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Ex1.xml" ContentType="application/vnd.ms-office.chartex+xml"/>
  <Override PartName="/xl/charts/style3.xml" ContentType="application/vnd.ms-office.chartstyle+xml"/>
  <Override PartName="/xl/charts/colors3.xml" ContentType="application/vnd.ms-office.chartcolorstyle+xml"/>
  <Override PartName="/xl/charts/chartEx2.xml" ContentType="application/vnd.ms-office.chartex+xml"/>
  <Override PartName="/xl/charts/style4.xml" ContentType="application/vnd.ms-office.chartstyle+xml"/>
  <Override PartName="/xl/charts/colors4.xml" ContentType="application/vnd.ms-office.chartcolorstyle+xml"/>
  <Override PartName="/xl/charts/chart3.xml" ContentType="application/vnd.openxmlformats-officedocument.drawingml.chart+xml"/>
  <Override PartName="/xl/charts/style5.xml" ContentType="application/vnd.ms-office.chartstyle+xml"/>
  <Override PartName="/xl/charts/colors5.xml" ContentType="application/vnd.ms-office.chartcolorstyle+xml"/>
  <Override PartName="/xl/charts/chart4.xml" ContentType="application/vnd.openxmlformats-officedocument.drawingml.chart+xml"/>
  <Override PartName="/xl/charts/style6.xml" ContentType="application/vnd.ms-office.chartstyle+xml"/>
  <Override PartName="/xl/charts/colors6.xml" ContentType="application/vnd.ms-office.chartcolorstyle+xml"/>
  <Override PartName="/xl/charts/chartEx3.xml" ContentType="application/vnd.ms-office.chartex+xml"/>
  <Override PartName="/xl/charts/style7.xml" ContentType="application/vnd.ms-office.chartstyle+xml"/>
  <Override PartName="/xl/charts/colors7.xml" ContentType="application/vnd.ms-office.chartcolorstyle+xml"/>
  <Override PartName="/xl/charts/chartEx4.xml" ContentType="application/vnd.ms-office.chartex+xml"/>
  <Override PartName="/xl/charts/style8.xml" ContentType="application/vnd.ms-office.chartstyle+xml"/>
  <Override PartName="/xl/charts/colors8.xml" ContentType="application/vnd.ms-office.chartcolorstyle+xml"/>
  <Override PartName="/xl/charts/chartEx5.xml" ContentType="application/vnd.ms-office.chartex+xml"/>
  <Override PartName="/xl/charts/style9.xml" ContentType="application/vnd.ms-office.chartstyle+xml"/>
  <Override PartName="/xl/charts/colors9.xml" ContentType="application/vnd.ms-office.chartcolorstyle+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charts/chart5.xml" ContentType="application/vnd.openxmlformats-officedocument.drawingml.chart+xml"/>
  <Override PartName="/xl/charts/style10.xml" ContentType="application/vnd.ms-office.chartstyle+xml"/>
  <Override PartName="/xl/charts/colors10.xml" ContentType="application/vnd.ms-office.chartcolorstyle+xml"/>
  <Override PartName="/xl/charts/chart6.xml" ContentType="application/vnd.openxmlformats-officedocument.drawingml.chart+xml"/>
  <Override PartName="/xl/charts/style11.xml" ContentType="application/vnd.ms-office.chartstyle+xml"/>
  <Override PartName="/xl/charts/colors11.xml" ContentType="application/vnd.ms-office.chartcolorstyle+xml"/>
  <Override PartName="/xl/charts/chart7.xml" ContentType="application/vnd.openxmlformats-officedocument.drawingml.chart+xml"/>
  <Override PartName="/xl/charts/style12.xml" ContentType="application/vnd.ms-office.chartstyle+xml"/>
  <Override PartName="/xl/charts/colors12.xml" ContentType="application/vnd.ms-office.chartcolorstyle+xml"/>
  <Override PartName="/xl/charts/chart8.xml" ContentType="application/vnd.openxmlformats-officedocument.drawingml.chart+xml"/>
  <Override PartName="/xl/charts/style13.xml" ContentType="application/vnd.ms-office.chartstyle+xml"/>
  <Override PartName="/xl/charts/colors13.xml" ContentType="application/vnd.ms-office.chartcolorstyle+xml"/>
  <Override PartName="/xl/charts/chart9.xml" ContentType="application/vnd.openxmlformats-officedocument.drawingml.chart+xml"/>
  <Override PartName="/xl/charts/style14.xml" ContentType="application/vnd.ms-office.chartstyle+xml"/>
  <Override PartName="/xl/charts/colors14.xml" ContentType="application/vnd.ms-office.chartcolorstyle+xml"/>
  <Override PartName="/xl/charts/chart10.xml" ContentType="application/vnd.openxmlformats-officedocument.drawingml.chart+xml"/>
  <Override PartName="/xl/charts/style15.xml" ContentType="application/vnd.ms-office.chartstyle+xml"/>
  <Override PartName="/xl/charts/colors15.xml" ContentType="application/vnd.ms-office.chartcolorstyle+xml"/>
  <Override PartName="/xl/charts/chart11.xml" ContentType="application/vnd.openxmlformats-officedocument.drawingml.chart+xml"/>
  <Override PartName="/xl/charts/style16.xml" ContentType="application/vnd.ms-office.chartstyle+xml"/>
  <Override PartName="/xl/charts/colors16.xml" ContentType="application/vnd.ms-office.chartcolorstyle+xml"/>
  <Override PartName="/xl/charts/chart12.xml" ContentType="application/vnd.openxmlformats-officedocument.drawingml.chart+xml"/>
  <Override PartName="/xl/charts/style17.xml" ContentType="application/vnd.ms-office.chartstyle+xml"/>
  <Override PartName="/xl/charts/colors17.xml" ContentType="application/vnd.ms-office.chartcolorstyle+xml"/>
  <Override PartName="/xl/charts/chartEx6.xml" ContentType="application/vnd.ms-office.chartex+xml"/>
  <Override PartName="/xl/charts/style18.xml" ContentType="application/vnd.ms-office.chartstyle+xml"/>
  <Override PartName="/xl/charts/colors18.xml" ContentType="application/vnd.ms-office.chartcolorstyle+xml"/>
  <Override PartName="/xl/charts/chart13.xml" ContentType="application/vnd.openxmlformats-officedocument.drawingml.chart+xml"/>
  <Override PartName="/xl/charts/style19.xml" ContentType="application/vnd.ms-office.chartstyle+xml"/>
  <Override PartName="/xl/charts/colors19.xml" ContentType="application/vnd.ms-office.chartcolorstyle+xml"/>
  <Override PartName="/xl/charts/chart14.xml" ContentType="application/vnd.openxmlformats-officedocument.drawingml.chart+xml"/>
  <Override PartName="/xl/charts/style20.xml" ContentType="application/vnd.ms-office.chartstyle+xml"/>
  <Override PartName="/xl/charts/colors20.xml" ContentType="application/vnd.ms-office.chartcolorstyle+xml"/>
  <Override PartName="/xl/charts/chart15.xml" ContentType="application/vnd.openxmlformats-officedocument.drawingml.chart+xml"/>
  <Override PartName="/xl/charts/style21.xml" ContentType="application/vnd.ms-office.chartstyle+xml"/>
  <Override PartName="/xl/charts/colors21.xml" ContentType="application/vnd.ms-office.chartcolorstyle+xml"/>
  <Override PartName="/xl/charts/chart16.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5.xml" ContentType="application/vnd.openxmlformats-officedocument.drawing+xml"/>
  <Override PartName="/xl/charts/chart17.xml" ContentType="application/vnd.openxmlformats-officedocument.drawingml.chart+xml"/>
  <Override PartName="/xl/charts/style23.xml" ContentType="application/vnd.ms-office.chartstyle+xml"/>
  <Override PartName="/xl/charts/colors23.xml" ContentType="application/vnd.ms-office.chartcolorstyle+xml"/>
  <Override PartName="/xl/charts/chartEx7.xml" ContentType="application/vnd.ms-office.chartex+xml"/>
  <Override PartName="/xl/charts/style24.xml" ContentType="application/vnd.ms-office.chartstyle+xml"/>
  <Override PartName="/xl/charts/colors24.xml" ContentType="application/vnd.ms-office.chartcolorstyle+xml"/>
  <Override PartName="/xl/charts/chartEx8.xml" ContentType="application/vnd.ms-office.chartex+xml"/>
  <Override PartName="/xl/charts/style25.xml" ContentType="application/vnd.ms-office.chartstyle+xml"/>
  <Override PartName="/xl/charts/colors25.xml" ContentType="application/vnd.ms-office.chartcolorstyle+xml"/>
  <Override PartName="/xl/drawings/drawing6.xml" ContentType="application/vnd.openxmlformats-officedocument.drawing+xml"/>
  <Override PartName="/xl/charts/chart18.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7.xml" ContentType="application/vnd.openxmlformats-officedocument.drawing+xml"/>
  <Override PartName="/xl/charts/chart19.xml" ContentType="application/vnd.openxmlformats-officedocument.drawingml.chart+xml"/>
  <Override PartName="/xl/charts/style27.xml" ContentType="application/vnd.ms-office.chartstyle+xml"/>
  <Override PartName="/xl/charts/colors27.xml" ContentType="application/vnd.ms-office.chartcolorstyle+xml"/>
  <Override PartName="/xl/charts/chartEx9.xml" ContentType="application/vnd.ms-office.chartex+xml"/>
  <Override PartName="/xl/charts/style28.xml" ContentType="application/vnd.ms-office.chartstyle+xml"/>
  <Override PartName="/xl/charts/colors28.xml" ContentType="application/vnd.ms-office.chartcolorstyle+xml"/>
  <Override PartName="/xl/charts/chartEx10.xml" ContentType="application/vnd.ms-office.chartex+xml"/>
  <Override PartName="/xl/charts/style29.xml" ContentType="application/vnd.ms-office.chartstyle+xml"/>
  <Override PartName="/xl/charts/colors29.xml" ContentType="application/vnd.ms-office.chartcolorstyle+xml"/>
  <Override PartName="/xl/charts/chart20.xml" ContentType="application/vnd.openxmlformats-officedocument.drawingml.chart+xml"/>
  <Override PartName="/xl/charts/style30.xml" ContentType="application/vnd.ms-office.chartstyle+xml"/>
  <Override PartName="/xl/charts/colors30.xml" ContentType="application/vnd.ms-office.chartcolorstyle+xml"/>
  <Override PartName="/xl/charts/chart21.xml" ContentType="application/vnd.openxmlformats-officedocument.drawingml.chart+xml"/>
  <Override PartName="/xl/charts/style31.xml" ContentType="application/vnd.ms-office.chartstyle+xml"/>
  <Override PartName="/xl/charts/colors31.xml" ContentType="application/vnd.ms-office.chartcolorstyle+xml"/>
  <Override PartName="/xl/charts/chart22.xml" ContentType="application/vnd.openxmlformats-officedocument.drawingml.chart+xml"/>
  <Override PartName="/xl/charts/style32.xml" ContentType="application/vnd.ms-office.chartstyle+xml"/>
  <Override PartName="/xl/charts/colors32.xml" ContentType="application/vnd.ms-office.chartcolorstyle+xml"/>
  <Override PartName="/xl/charts/chart23.xml" ContentType="application/vnd.openxmlformats-officedocument.drawingml.chart+xml"/>
  <Override PartName="/xl/charts/style33.xml" ContentType="application/vnd.ms-office.chartstyle+xml"/>
  <Override PartName="/xl/charts/colors33.xml" ContentType="application/vnd.ms-office.chartcolorstyle+xml"/>
  <Override PartName="/xl/charts/chart24.xml" ContentType="application/vnd.openxmlformats-officedocument.drawingml.chart+xml"/>
  <Override PartName="/xl/charts/style34.xml" ContentType="application/vnd.ms-office.chartstyle+xml"/>
  <Override PartName="/xl/charts/colors34.xml" ContentType="application/vnd.ms-office.chartcolorstyle+xml"/>
  <Override PartName="/xl/charts/chart2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8.xml" ContentType="application/vnd.openxmlformats-officedocument.drawing+xml"/>
  <Override PartName="/xl/charts/chart26.xml" ContentType="application/vnd.openxmlformats-officedocument.drawingml.chart+xml"/>
  <Override PartName="/xl/charts/style36.xml" ContentType="application/vnd.ms-office.chartstyle+xml"/>
  <Override PartName="/xl/charts/colors36.xml" ContentType="application/vnd.ms-office.chartcolorstyle+xml"/>
  <Override PartName="/xl/charts/chart27.xml" ContentType="application/vnd.openxmlformats-officedocument.drawingml.chart+xml"/>
  <Override PartName="/xl/charts/style37.xml" ContentType="application/vnd.ms-office.chartstyle+xml"/>
  <Override PartName="/xl/charts/colors37.xml" ContentType="application/vnd.ms-office.chartcolorstyle+xml"/>
  <Override PartName="/xl/charts/chart28.xml" ContentType="application/vnd.openxmlformats-officedocument.drawingml.chart+xml"/>
  <Override PartName="/xl/charts/style38.xml" ContentType="application/vnd.ms-office.chartstyle+xml"/>
  <Override PartName="/xl/charts/colors38.xml" ContentType="application/vnd.ms-office.chartcolorstyle+xml"/>
  <Override PartName="/xl/charts/chart29.xml" ContentType="application/vnd.openxmlformats-officedocument.drawingml.chart+xml"/>
  <Override PartName="/xl/charts/style39.xml" ContentType="application/vnd.ms-office.chartstyle+xml"/>
  <Override PartName="/xl/charts/colors39.xml" ContentType="application/vnd.ms-office.chartcolorstyle+xml"/>
  <Override PartName="/xl/charts/chart30.xml" ContentType="application/vnd.openxmlformats-officedocument.drawingml.chart+xml"/>
  <Override PartName="/xl/charts/style40.xml" ContentType="application/vnd.ms-office.chartstyle+xml"/>
  <Override PartName="/xl/charts/colors40.xml" ContentType="application/vnd.ms-office.chartcolorstyle+xml"/>
  <Override PartName="/xl/charts/chartEx11.xml" ContentType="application/vnd.ms-office.chartex+xml"/>
  <Override PartName="/xl/charts/style41.xml" ContentType="application/vnd.ms-office.chartstyle+xml"/>
  <Override PartName="/xl/charts/colors41.xml" ContentType="application/vnd.ms-office.chartcolorstyle+xml"/>
  <Override PartName="/xl/charts/chartEx12.xml" ContentType="application/vnd.ms-office.chartex+xml"/>
  <Override PartName="/xl/charts/style42.xml" ContentType="application/vnd.ms-office.chartstyle+xml"/>
  <Override PartName="/xl/charts/colors42.xml" ContentType="application/vnd.ms-office.chartcolorstyle+xml"/>
  <Override PartName="/xl/charts/chartEx13.xml" ContentType="application/vnd.ms-office.chartex+xml"/>
  <Override PartName="/xl/charts/style43.xml" ContentType="application/vnd.ms-office.chartstyle+xml"/>
  <Override PartName="/xl/charts/colors43.xml" ContentType="application/vnd.ms-office.chartcolorstyle+xml"/>
  <Override PartName="/xl/charts/chartEx14.xml" ContentType="application/vnd.ms-office.chartex+xml"/>
  <Override PartName="/xl/charts/style44.xml" ContentType="application/vnd.ms-office.chartstyle+xml"/>
  <Override PartName="/xl/charts/colors44.xml" ContentType="application/vnd.ms-office.chartcolorstyle+xml"/>
  <Override PartName="/xl/charts/chartEx15.xml" ContentType="application/vnd.ms-office.chartex+xml"/>
  <Override PartName="/xl/charts/style45.xml" ContentType="application/vnd.ms-office.chartstyle+xml"/>
  <Override PartName="/xl/charts/colors45.xml" ContentType="application/vnd.ms-office.chartcolorstyle+xml"/>
  <Override PartName="/xl/charts/chartEx16.xml" ContentType="application/vnd.ms-office.chartex+xml"/>
  <Override PartName="/xl/charts/style46.xml" ContentType="application/vnd.ms-office.chartstyle+xml"/>
  <Override PartName="/xl/charts/colors46.xml" ContentType="application/vnd.ms-office.chartcolorstyle+xml"/>
  <Override PartName="/xl/charts/chartEx17.xml" ContentType="application/vnd.ms-office.chartex+xml"/>
  <Override PartName="/xl/charts/style47.xml" ContentType="application/vnd.ms-office.chartstyle+xml"/>
  <Override PartName="/xl/charts/colors47.xml" ContentType="application/vnd.ms-office.chartcolorstyle+xml"/>
  <Override PartName="/xl/charts/chartEx18.xml" ContentType="application/vnd.ms-office.chartex+xml"/>
  <Override PartName="/xl/charts/style48.xml" ContentType="application/vnd.ms-office.chartstyle+xml"/>
  <Override PartName="/xl/charts/colors48.xml" ContentType="application/vnd.ms-office.chartcolorstyle+xml"/>
  <Override PartName="/xl/charts/chartEx19.xml" ContentType="application/vnd.ms-office.chartex+xml"/>
  <Override PartName="/xl/charts/style49.xml" ContentType="application/vnd.ms-office.chartstyle+xml"/>
  <Override PartName="/xl/charts/colors49.xml" ContentType="application/vnd.ms-office.chartcolorstyle+xml"/>
  <Override PartName="/xl/charts/chartEx20.xml" ContentType="application/vnd.ms-office.chartex+xml"/>
  <Override PartName="/xl/charts/style50.xml" ContentType="application/vnd.ms-office.chartstyle+xml"/>
  <Override PartName="/xl/charts/colors50.xml" ContentType="application/vnd.ms-office.chartcolorstyle+xml"/>
  <Override PartName="/xl/drawings/drawing9.xml" ContentType="application/vnd.openxmlformats-officedocument.drawing+xml"/>
  <Override PartName="/xl/charts/chart31.xml" ContentType="application/vnd.openxmlformats-officedocument.drawingml.chart+xml"/>
  <Override PartName="/xl/charts/style51.xml" ContentType="application/vnd.ms-office.chartstyle+xml"/>
  <Override PartName="/xl/charts/colors51.xml" ContentType="application/vnd.ms-office.chartcolorstyle+xml"/>
  <Override PartName="/xl/charts/chart32.xml" ContentType="application/vnd.openxmlformats-officedocument.drawingml.chart+xml"/>
  <Override PartName="/xl/charts/style52.xml" ContentType="application/vnd.ms-office.chartstyle+xml"/>
  <Override PartName="/xl/charts/colors52.xml" ContentType="application/vnd.ms-office.chartcolorstyle+xml"/>
  <Override PartName="/xl/charts/chart33.xml" ContentType="application/vnd.openxmlformats-officedocument.drawingml.chart+xml"/>
  <Override PartName="/xl/charts/style53.xml" ContentType="application/vnd.ms-office.chartstyle+xml"/>
  <Override PartName="/xl/charts/colors53.xml" ContentType="application/vnd.ms-office.chartcolorstyle+xml"/>
  <Override PartName="/xl/charts/chart34.xml" ContentType="application/vnd.openxmlformats-officedocument.drawingml.chart+xml"/>
  <Override PartName="/xl/charts/style54.xml" ContentType="application/vnd.ms-office.chartstyle+xml"/>
  <Override PartName="/xl/charts/colors54.xml" ContentType="application/vnd.ms-office.chartcolorstyle+xml"/>
  <Override PartName="/xl/charts/chart35.xml" ContentType="application/vnd.openxmlformats-officedocument.drawingml.chart+xml"/>
  <Override PartName="/xl/charts/style55.xml" ContentType="application/vnd.ms-office.chartstyle+xml"/>
  <Override PartName="/xl/charts/colors55.xml" ContentType="application/vnd.ms-office.chartcolorstyle+xml"/>
  <Override PartName="/xl/charts/chart36.xml" ContentType="application/vnd.openxmlformats-officedocument.drawingml.chart+xml"/>
  <Override PartName="/xl/charts/style56.xml" ContentType="application/vnd.ms-office.chartstyle+xml"/>
  <Override PartName="/xl/charts/colors56.xml" ContentType="application/vnd.ms-office.chartcolorstyle+xml"/>
  <Override PartName="/xl/comments2.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ämäTyökirja"/>
  <mc:AlternateContent xmlns:mc="http://schemas.openxmlformats.org/markup-compatibility/2006">
    <mc:Choice Requires="x15">
      <x15ac:absPath xmlns:x15ac="http://schemas.microsoft.com/office/spreadsheetml/2010/11/ac" url="C:\LVV_paikallinen\Party\Tilastot\"/>
    </mc:Choice>
  </mc:AlternateContent>
  <xr:revisionPtr revIDLastSave="0" documentId="13_ncr:1_{BE704F99-0FA4-473F-9934-FD5B76FCBF98}" xr6:coauthVersionLast="47" xr6:coauthVersionMax="47" xr10:uidLastSave="{00000000-0000-0000-0000-000000000000}"/>
  <bookViews>
    <workbookView xWindow="-120" yWindow="-120" windowWidth="29040" windowHeight="17520" tabRatio="929" xr2:uid="{00000000-000D-0000-FFFF-FFFF00000000}"/>
  </bookViews>
  <sheets>
    <sheet name="Parkki" sheetId="35" r:id="rId1"/>
    <sheet name="Henkilöstö" sheetId="24" r:id="rId2"/>
    <sheet name="HTV-laskuri" sheetId="37" r:id="rId3"/>
    <sheet name="Trendit" sheetId="34" r:id="rId4"/>
    <sheet name="Asiakastilastot" sheetId="4" r:id="rId5"/>
    <sheet name="Toimenpiteet" sheetId="49" r:id="rId6"/>
    <sheet name="Toimintamenetelmät" sheetId="5" r:id="rId7"/>
    <sheet name="Ohjaus" sheetId="47" r:id="rId8"/>
    <sheet name="Tilanne" sheetId="29" r:id="rId9"/>
    <sheet name="Tavoitteet" sheetId="41" r:id="rId10"/>
    <sheet name="INFO" sheetId="33" r:id="rId11"/>
    <sheet name="Vakiot" sheetId="36" state="hidden" r:id="rId12"/>
    <sheet name="AS" sheetId="16" state="hidden" r:id="rId13"/>
    <sheet name="TI" sheetId="14" state="hidden" r:id="rId14"/>
    <sheet name="JA" sheetId="12" state="hidden" r:id="rId15"/>
    <sheet name="TP2" sheetId="46" state="hidden" r:id="rId16"/>
    <sheet name="TP" sheetId="13" state="hidden" r:id="rId17"/>
    <sheet name="VTP" sheetId="32" state="hidden" r:id="rId18"/>
    <sheet name="TA" sheetId="38" state="hidden" r:id="rId19"/>
    <sheet name="Data_Kayttis" sheetId="25" state="hidden" r:id="rId20"/>
    <sheet name="Data_tavoitteet" sheetId="39" state="hidden" r:id="rId21"/>
    <sheet name="Data_Tpajapalvelu" sheetId="20" state="hidden" r:id="rId22"/>
    <sheet name="Data_Tpajavanha" sheetId="15" state="hidden" r:id="rId23"/>
    <sheet name="Data_TYasiakas" sheetId="9" state="hidden" r:id="rId24"/>
    <sheet name="Data_TYjaksot" sheetId="19" state="hidden" r:id="rId25"/>
    <sheet name="Data_TYtilanne" sheetId="28" state="hidden" r:id="rId26"/>
    <sheet name="Data_Organisaatio" sheetId="23" state="hidden" r:id="rId27"/>
    <sheet name="Data_Omakoodi" sheetId="31" state="hidden" r:id="rId28"/>
    <sheet name="Data_Toimenpiteet" sheetId="45" state="hidden" r:id="rId29"/>
    <sheet name="Data_Muistiot" sheetId="48" state="hidden" r:id="rId30"/>
  </sheets>
  <definedNames>
    <definedName name="_xlnm._FilterDatabase" localSheetId="12" hidden="1">AS!$A$2:$CZ$1506</definedName>
    <definedName name="_xlnm._FilterDatabase" localSheetId="27" hidden="1">Data_Omakoodi!$A$1:$H$1</definedName>
    <definedName name="_xlnm._FilterDatabase" localSheetId="28" hidden="1">Data_Toimenpiteet!$A$1:$Q$1</definedName>
    <definedName name="_xlnm._FilterDatabase" localSheetId="22" hidden="1">Data_Tpajavanha!$A$1:$M$2</definedName>
    <definedName name="_xlnm._FilterDatabase" localSheetId="23" hidden="1">Data_TYasiakas!$A$1:$Z$191</definedName>
    <definedName name="_xlnm._FilterDatabase" localSheetId="24" hidden="1">Data_TYjaksot!$A$1:$AS$183</definedName>
    <definedName name="_xlnm._FilterDatabase" localSheetId="25" hidden="1">Data_TYtilanne!$A$1:$AT$1</definedName>
    <definedName name="_xlnm._FilterDatabase" localSheetId="1" hidden="1">Henkilöstö!$W$71:$W$79</definedName>
    <definedName name="_xlnm._FilterDatabase" localSheetId="14" hidden="1">JA!$A$2:$DA$2360</definedName>
    <definedName name="_xlnm._FilterDatabase" localSheetId="18" hidden="1">TA!$A$2:$AL$15</definedName>
    <definedName name="_xlnm._FilterDatabase" localSheetId="13" hidden="1">TI!$A$2:$AU$240</definedName>
    <definedName name="_xlnm._FilterDatabase" localSheetId="16" hidden="1">TP!$A$2:$BG$2</definedName>
    <definedName name="_xlnm._FilterDatabase" localSheetId="15" hidden="1">'TP2'!$A$2:$AN$470</definedName>
    <definedName name="_xlnm._FilterDatabase" localSheetId="17" hidden="1">VTP!$A$2:$AQ$2</definedName>
    <definedName name="_xlchart.v1.0" hidden="1">Parkki!$A$65:$B$89</definedName>
    <definedName name="_xlchart.v1.1" hidden="1">Parkki!$E$65:$E$89</definedName>
    <definedName name="_xlchart.v1.11" hidden="1">Toimenpiteet!$A$46:$B$86</definedName>
    <definedName name="_xlchart.v1.12" hidden="1">Toimenpiteet!$F$46:$F$86</definedName>
    <definedName name="_xlchart.v1.13" hidden="1">Toimenpiteet!$A$46:$B$86</definedName>
    <definedName name="_xlchart.v1.14" hidden="1">Toimenpiteet!$D$46:$D$86</definedName>
    <definedName name="_xlchart.v1.15" hidden="1">Ohjaus!$B$17:$B$29</definedName>
    <definedName name="_xlchart.v1.16" hidden="1">Ohjaus!$D$17:$D$29</definedName>
    <definedName name="_xlchart.v1.17" hidden="1">Ohjaus!$B$33:$B$42,Ohjaus!$B$44:$B$48,Ohjaus!$B$50:$B$58,Ohjaus!$B$60:$B$68,Ohjaus!$B$70:$B$75</definedName>
    <definedName name="_xlchart.v1.18" hidden="1">Ohjaus!$D$33:$D$42,Ohjaus!$D$44:$D$48,Ohjaus!$D$50:$D$58,Ohjaus!$D$60:$D$68,Ohjaus!$D$70:$D$75</definedName>
    <definedName name="_xlchart.v1.19" hidden="1">Tilanne!$A$107:$A$117</definedName>
    <definedName name="_xlchart.v1.2" hidden="1">Parkki!$A$112:$B$152</definedName>
    <definedName name="_xlchart.v1.20" hidden="1">Tilanne!$C$107:$C$117</definedName>
    <definedName name="_xlchart.v1.21" hidden="1">Tilanne!$I$35:$I$50</definedName>
    <definedName name="_xlchart.v1.22" hidden="1">Tilanne!$K$35:$K$50</definedName>
    <definedName name="_xlchart.v1.23" hidden="1">Tilanne!$I$59:$I$70</definedName>
    <definedName name="_xlchart.v1.24" hidden="1">Tilanne!$K$59:$K$70</definedName>
    <definedName name="_xlchart.v1.25" hidden="1">Tilanne!$I$107:$I$117</definedName>
    <definedName name="_xlchart.v1.26" hidden="1">Tilanne!$K$107:$K$117</definedName>
    <definedName name="_xlchart.v1.27" hidden="1">Tilanne!$I$81:$I$97</definedName>
    <definedName name="_xlchart.v1.28" hidden="1">Tilanne!$K$81:$K$97</definedName>
    <definedName name="_xlchart.v1.29" hidden="1">Tilanne!$A$14:$A$26</definedName>
    <definedName name="_xlchart.v1.3" hidden="1">Parkki!$C$112:$C$152</definedName>
    <definedName name="_xlchart.v1.30" hidden="1">Tilanne!$C$14:$C$26</definedName>
    <definedName name="_xlchart.v1.31" hidden="1">Tilanne!$I$14:$I$26</definedName>
    <definedName name="_xlchart.v1.32" hidden="1">Tilanne!$K$14:$K$26</definedName>
    <definedName name="_xlchart.v1.33" hidden="1">Tilanne!$A$35:$A$50</definedName>
    <definedName name="_xlchart.v1.34" hidden="1">Tilanne!$C$35:$C$50</definedName>
    <definedName name="_xlchart.v1.35" hidden="1">Tilanne!$A$81:$A$97</definedName>
    <definedName name="_xlchart.v1.36" hidden="1">Tilanne!$C$81:$C$97</definedName>
    <definedName name="_xlchart.v1.37" hidden="1">Tilanne!$A$59:$A$70</definedName>
    <definedName name="_xlchart.v1.38" hidden="1">Tilanne!$C$59:$C$70</definedName>
    <definedName name="_xlchart.v1.4" hidden="1">Parkki!$A$95:$B$106</definedName>
    <definedName name="_xlchart.v1.5" hidden="1">Parkki!$E$95:$E$106</definedName>
    <definedName name="_xlchart.v1.6" hidden="1">Parkki!$A$112:$B$152</definedName>
    <definedName name="_xlchart.v1.7" hidden="1">Parkki!$D$112:$D$152</definedName>
    <definedName name="_xlchart.v1.8" hidden="1">Parkki!$A$40:$B$59</definedName>
    <definedName name="_xlchart.v1.9" hidden="1">Parkki!$E$40:$E$59</definedName>
    <definedName name="_xlchart.v2.10" hidden="1">Asiakastilastot!$B$17,Asiakastilastot!$B$20,Asiakastilastot!$B$23</definedName>
    <definedName name="Asiakkuudentila" localSheetId="27">#REF!</definedName>
    <definedName name="Asiakkuudentila" localSheetId="25">#REF!</definedName>
    <definedName name="Asumismuoto" localSheetId="27">#REF!</definedName>
    <definedName name="Asumismuoto" localSheetId="25">#REF!</definedName>
    <definedName name="Etsivä" localSheetId="27">#REF!</definedName>
    <definedName name="Etsivä" localSheetId="25">#REF!</definedName>
    <definedName name="ewq" localSheetId="27">#REF!</definedName>
    <definedName name="ewq" localSheetId="25">#REF!</definedName>
    <definedName name="Koulutustausta" localSheetId="27">#REF!</definedName>
    <definedName name="Koulutustausta" localSheetId="25">#REF!</definedName>
    <definedName name="Piiriin" localSheetId="27">#REF!</definedName>
    <definedName name="Piiriin" localSheetId="25">#REF!</definedName>
    <definedName name="Päättyminen" localSheetId="27">#REF!</definedName>
    <definedName name="Päättyminen" localSheetId="25">#REF!</definedName>
    <definedName name="Tila" localSheetId="27">#REF!</definedName>
    <definedName name="Tila" localSheetId="25">#REF!</definedName>
    <definedName name="Toimeentulo" localSheetId="27">#REF!</definedName>
    <definedName name="Toimeentulo" localSheetId="25">#REF!</definedName>
    <definedName name="Toiminta" localSheetId="27">#REF!</definedName>
    <definedName name="Toiminta" localSheetId="25">#REF!</definedName>
    <definedName name="_xlnm.Print_Area" localSheetId="0">Parkki!$A$9:$P$187</definedName>
    <definedName name="_xlnm.Print_Area" localSheetId="9">Tavoitteet!$A$7:$AW$67</definedName>
    <definedName name="_xlnm.Print_Area" localSheetId="8">Tilanne!$A$8:$V$121</definedName>
    <definedName name="xAsiakkuuden_tila" localSheetId="27">#REF!</definedName>
    <definedName name="xAsiakkuuden_tila" localSheetId="25">#REF!</definedName>
    <definedName name="xATK_taso" localSheetId="27">#REF!</definedName>
    <definedName name="xATK_taso" localSheetId="25">#REF!</definedName>
    <definedName name="xccxcx" localSheetId="27">#REF!</definedName>
    <definedName name="xccxcx" localSheetId="25">#REF!</definedName>
    <definedName name="xcxcx" localSheetId="27">#REF!</definedName>
    <definedName name="xcxcx" localSheetId="25">#REF!</definedName>
    <definedName name="xEnsisijainen_kesto" localSheetId="27">#REF!</definedName>
    <definedName name="xEnsisijainen_kesto" localSheetId="25">#REF!</definedName>
    <definedName name="xKirjallinen_suomenkieli" localSheetId="27">#REF!</definedName>
    <definedName name="xKirjallinen_suomenkieli" localSheetId="25">#REF!</definedName>
    <definedName name="xkoulutustausta_NYT" localSheetId="27">#REF!</definedName>
    <definedName name="xkoulutustausta_NYT" localSheetId="25">#REF!</definedName>
    <definedName name="xkoulutustilanne_NYT" localSheetId="27">#REF!</definedName>
    <definedName name="xkoulutustilanne_NYT" localSheetId="25">#REF!</definedName>
    <definedName name="xPääasiallinen_asumismuoto_ALKU" localSheetId="27">#REF!</definedName>
    <definedName name="xPääasiallinen_asumismuoto_ALKU" localSheetId="25">#REF!</definedName>
    <definedName name="xPääasiallinen_toimeentulo_ALKU" localSheetId="27">#REF!</definedName>
    <definedName name="xPääasiallinen_toimeentulo_ALKU" localSheetId="25">#REF!</definedName>
    <definedName name="xPääasiallinen_toiminta_ALKU" localSheetId="27">#REF!</definedName>
    <definedName name="xPääasiallinen_toiminta_ALKU" localSheetId="25">#REF!</definedName>
    <definedName name="xsaapuminen" localSheetId="27">#REF!</definedName>
    <definedName name="xsaapuminen" localSheetId="25">#REF!</definedName>
    <definedName name="xSijoittuminen" localSheetId="27">#REF!</definedName>
    <definedName name="xSijoittuminen" localSheetId="25">#REF!</definedName>
    <definedName name="xSiviilisääty" localSheetId="27">#REF!</definedName>
    <definedName name="xSiviilisääty" localSheetId="25">#REF!</definedName>
    <definedName name="xSuullinen_suomenkieli" localSheetId="27">#REF!</definedName>
    <definedName name="xSuullinen_suomenkieli" localSheetId="25">#REF!</definedName>
    <definedName name="xvuoden_jälkeen" localSheetId="27">#REF!</definedName>
    <definedName name="xvuoden_jälkeen" localSheetId="25">#REF!</definedName>
    <definedName name="xäidinkieli" localSheetId="27">#REF!</definedName>
    <definedName name="xäidinkieli" localSheetId="25">#REF!</definedName>
    <definedName name="Äidinkieli" localSheetId="27">#REF!</definedName>
    <definedName name="Äidinkieli" localSheetId="2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9" l="1"/>
  <c r="J4" i="12"/>
  <c r="A4" i="46"/>
  <c r="B4" i="46"/>
  <c r="C4" i="46"/>
  <c r="D4" i="46"/>
  <c r="U4" i="46" s="1"/>
  <c r="E4" i="46"/>
  <c r="F4" i="46"/>
  <c r="G4" i="46"/>
  <c r="H4" i="46"/>
  <c r="I4" i="46"/>
  <c r="AA4" i="46" s="1"/>
  <c r="J4" i="46"/>
  <c r="Z4" i="46" s="1"/>
  <c r="K4" i="46"/>
  <c r="L4" i="46"/>
  <c r="M4" i="46"/>
  <c r="N4" i="46"/>
  <c r="O4" i="46"/>
  <c r="P4" i="46"/>
  <c r="AN4" i="46"/>
  <c r="A5" i="46"/>
  <c r="B5" i="46"/>
  <c r="C5" i="46"/>
  <c r="D5" i="46"/>
  <c r="U5" i="46" s="1"/>
  <c r="E5" i="46"/>
  <c r="F5" i="46"/>
  <c r="G5" i="46"/>
  <c r="H5" i="46"/>
  <c r="I5" i="46"/>
  <c r="AA5" i="46" s="1"/>
  <c r="J5" i="46"/>
  <c r="Z5" i="46" s="1"/>
  <c r="K5" i="46"/>
  <c r="L5" i="46"/>
  <c r="M5" i="46"/>
  <c r="N5" i="46"/>
  <c r="O5" i="46"/>
  <c r="P5" i="46"/>
  <c r="AN5" i="46"/>
  <c r="A4" i="38"/>
  <c r="B4" i="38"/>
  <c r="C4" i="38"/>
  <c r="D4" i="38"/>
  <c r="E4" i="38"/>
  <c r="F4" i="38"/>
  <c r="G4" i="38"/>
  <c r="H4" i="38"/>
  <c r="I4" i="38"/>
  <c r="J4" i="38"/>
  <c r="K4" i="38"/>
  <c r="L4" i="38"/>
  <c r="M4" i="38"/>
  <c r="N4" i="38"/>
  <c r="O4" i="38"/>
  <c r="P4" i="38"/>
  <c r="Q4" i="38"/>
  <c r="R4" i="38"/>
  <c r="S4" i="38"/>
  <c r="T4" i="38"/>
  <c r="U4" i="38"/>
  <c r="V4" i="38"/>
  <c r="W4" i="38"/>
  <c r="X4" i="38"/>
  <c r="Y4" i="38"/>
  <c r="Z4" i="38"/>
  <c r="A5" i="38"/>
  <c r="B5" i="38"/>
  <c r="C5" i="38"/>
  <c r="D5" i="38"/>
  <c r="E5" i="38"/>
  <c r="F5" i="38"/>
  <c r="G5" i="38"/>
  <c r="H5" i="38"/>
  <c r="I5" i="38"/>
  <c r="J5" i="38"/>
  <c r="K5" i="38"/>
  <c r="L5" i="38"/>
  <c r="M5" i="38"/>
  <c r="N5" i="38"/>
  <c r="O5" i="38"/>
  <c r="P5" i="38"/>
  <c r="Q5" i="38"/>
  <c r="R5" i="38"/>
  <c r="S5" i="38"/>
  <c r="T5" i="38"/>
  <c r="U5" i="38"/>
  <c r="V5" i="38"/>
  <c r="W5" i="38"/>
  <c r="X5" i="38"/>
  <c r="Y5" i="38"/>
  <c r="Z5" i="38"/>
  <c r="I3" i="31"/>
  <c r="I4" i="31"/>
  <c r="AX4" i="25"/>
  <c r="AY4" i="25"/>
  <c r="AZ4" i="25" s="1"/>
  <c r="BA4" i="25"/>
  <c r="BB4" i="25"/>
  <c r="BC4" i="25"/>
  <c r="BD4" i="25"/>
  <c r="BE4" i="25" s="1"/>
  <c r="AX5" i="25"/>
  <c r="AY5" i="25"/>
  <c r="AZ5" i="25" s="1"/>
  <c r="BA5" i="25"/>
  <c r="BB5" i="25"/>
  <c r="BC5" i="25"/>
  <c r="BD5" i="25"/>
  <c r="BE5" i="25" s="1"/>
  <c r="A4" i="13"/>
  <c r="B4" i="13"/>
  <c r="C4" i="13"/>
  <c r="D4" i="13"/>
  <c r="E4" i="13"/>
  <c r="U4" i="13" s="1"/>
  <c r="F4" i="13"/>
  <c r="G4" i="13"/>
  <c r="H4" i="13"/>
  <c r="I4" i="13"/>
  <c r="AA4" i="13" s="1"/>
  <c r="J4" i="13"/>
  <c r="Z4" i="13" s="1"/>
  <c r="K4" i="13"/>
  <c r="L4" i="13"/>
  <c r="M4" i="13"/>
  <c r="N4" i="13"/>
  <c r="P4" i="13"/>
  <c r="A5" i="13"/>
  <c r="B5" i="13"/>
  <c r="C5" i="13"/>
  <c r="D5" i="13"/>
  <c r="E5" i="13"/>
  <c r="U5" i="13" s="1"/>
  <c r="F5" i="13"/>
  <c r="G5" i="13"/>
  <c r="H5" i="13"/>
  <c r="I5" i="13"/>
  <c r="AA5" i="13" s="1"/>
  <c r="J5" i="13"/>
  <c r="Z5" i="13" s="1"/>
  <c r="K5" i="13"/>
  <c r="L5" i="13"/>
  <c r="M5" i="13"/>
  <c r="N5" i="13"/>
  <c r="P5" i="13"/>
  <c r="A4" i="14"/>
  <c r="B4" i="14"/>
  <c r="C4" i="14"/>
  <c r="E4" i="14"/>
  <c r="E5" i="14" s="1"/>
  <c r="I4" i="14"/>
  <c r="I5" i="14" s="1"/>
  <c r="L4" i="14"/>
  <c r="M4" i="14"/>
  <c r="N4" i="14"/>
  <c r="O4" i="14"/>
  <c r="P4" i="14"/>
  <c r="V4" i="14"/>
  <c r="W4" i="14"/>
  <c r="X4" i="14"/>
  <c r="Y4" i="14"/>
  <c r="A5" i="14"/>
  <c r="B5" i="14"/>
  <c r="C5" i="14"/>
  <c r="L5" i="14"/>
  <c r="M5" i="14"/>
  <c r="N5" i="14"/>
  <c r="O5" i="14"/>
  <c r="P5" i="14"/>
  <c r="V5" i="14"/>
  <c r="W5" i="14"/>
  <c r="X5" i="14"/>
  <c r="Y5" i="14"/>
  <c r="A4" i="12"/>
  <c r="B4" i="12"/>
  <c r="C4" i="12"/>
  <c r="E4" i="12"/>
  <c r="F4" i="12"/>
  <c r="G4" i="12"/>
  <c r="H4" i="12"/>
  <c r="I4" i="12"/>
  <c r="K4" i="12"/>
  <c r="L4" i="12"/>
  <c r="AQ4" i="12" s="1"/>
  <c r="M4" i="12"/>
  <c r="AV4" i="12" s="1"/>
  <c r="N4" i="12"/>
  <c r="O4" i="12"/>
  <c r="AR4" i="12" s="1"/>
  <c r="P4" i="12"/>
  <c r="Q4" i="12"/>
  <c r="R4" i="12"/>
  <c r="S4" i="12"/>
  <c r="T4" i="12"/>
  <c r="U4" i="12"/>
  <c r="V4" i="12"/>
  <c r="W4" i="12"/>
  <c r="Z4" i="12"/>
  <c r="AA4" i="12"/>
  <c r="A5" i="12"/>
  <c r="B5" i="12"/>
  <c r="C5" i="12"/>
  <c r="E5" i="12"/>
  <c r="F5" i="12"/>
  <c r="G5" i="12"/>
  <c r="H5" i="12"/>
  <c r="I5" i="12"/>
  <c r="J5" i="12"/>
  <c r="K5" i="12"/>
  <c r="L5" i="12"/>
  <c r="AQ5" i="12" s="1"/>
  <c r="M5" i="12"/>
  <c r="AV5" i="12" s="1"/>
  <c r="N5" i="12"/>
  <c r="O5" i="12"/>
  <c r="AR5" i="12" s="1"/>
  <c r="P5" i="12"/>
  <c r="Q5" i="12"/>
  <c r="R5" i="12"/>
  <c r="S5" i="12"/>
  <c r="T5" i="12"/>
  <c r="U5" i="12"/>
  <c r="V5" i="12"/>
  <c r="W5" i="12"/>
  <c r="Z5" i="12"/>
  <c r="AA5" i="12"/>
  <c r="A4" i="16"/>
  <c r="B4" i="16"/>
  <c r="C4" i="16"/>
  <c r="AW4" i="16" s="1"/>
  <c r="D4" i="16"/>
  <c r="AD4" i="16" s="1"/>
  <c r="E4" i="16"/>
  <c r="F4" i="16"/>
  <c r="G4" i="16"/>
  <c r="AI4" i="16" s="1"/>
  <c r="H4" i="16"/>
  <c r="I4" i="16"/>
  <c r="J4" i="16"/>
  <c r="K4" i="16"/>
  <c r="L4" i="16"/>
  <c r="M4" i="16"/>
  <c r="N4" i="16"/>
  <c r="O4" i="16"/>
  <c r="P4" i="16"/>
  <c r="Q4" i="16"/>
  <c r="R4" i="16"/>
  <c r="S4" i="16"/>
  <c r="T4" i="16"/>
  <c r="U4" i="16"/>
  <c r="V4" i="16" s="1"/>
  <c r="W4" i="16"/>
  <c r="A5" i="16"/>
  <c r="B5" i="16"/>
  <c r="C5" i="16"/>
  <c r="AW5" i="16" s="1"/>
  <c r="D5" i="16"/>
  <c r="AD5" i="16" s="1"/>
  <c r="E5" i="16"/>
  <c r="F5" i="16"/>
  <c r="G5" i="16"/>
  <c r="AI5" i="16" s="1"/>
  <c r="H5" i="16"/>
  <c r="I5" i="16"/>
  <c r="J5" i="16"/>
  <c r="K5" i="16"/>
  <c r="L5" i="16"/>
  <c r="M5" i="16"/>
  <c r="N5" i="16"/>
  <c r="O5" i="16"/>
  <c r="P5" i="16"/>
  <c r="Q5" i="16"/>
  <c r="R5" i="16"/>
  <c r="S5" i="16"/>
  <c r="T5" i="16"/>
  <c r="U5" i="16"/>
  <c r="V5" i="16" s="1"/>
  <c r="W5" i="16"/>
  <c r="C189" i="49"/>
  <c r="C141" i="49"/>
  <c r="AD37" i="49"/>
  <c r="AB37" i="49"/>
  <c r="AD36" i="49"/>
  <c r="AB36" i="49"/>
  <c r="AD35" i="49"/>
  <c r="AB35" i="49"/>
  <c r="AD34" i="49"/>
  <c r="AB34" i="49"/>
  <c r="AD33" i="49"/>
  <c r="AB33" i="49"/>
  <c r="AD32" i="49"/>
  <c r="AB32" i="49"/>
  <c r="AD31" i="49"/>
  <c r="AB31" i="49"/>
  <c r="AD30" i="49"/>
  <c r="AB30" i="49"/>
  <c r="AD29" i="49"/>
  <c r="AB29" i="49"/>
  <c r="AD28" i="49"/>
  <c r="AB28" i="49"/>
  <c r="AD27" i="49"/>
  <c r="AB27" i="49"/>
  <c r="AD26" i="49"/>
  <c r="AB26" i="49"/>
  <c r="AD25" i="49"/>
  <c r="AB25" i="49"/>
  <c r="AD24" i="49"/>
  <c r="AB24" i="49"/>
  <c r="AD23" i="49"/>
  <c r="AB23" i="49"/>
  <c r="AD22" i="49"/>
  <c r="AB22" i="49"/>
  <c r="AD21" i="49"/>
  <c r="AB21" i="49"/>
  <c r="AD20" i="49"/>
  <c r="AB20" i="49"/>
  <c r="AD19" i="49"/>
  <c r="AB19" i="49"/>
  <c r="AD18" i="49"/>
  <c r="AB18" i="49"/>
  <c r="AD17" i="49"/>
  <c r="AB17" i="49"/>
  <c r="AD16" i="49"/>
  <c r="AB16" i="49"/>
  <c r="AD15" i="49"/>
  <c r="AB15" i="49"/>
  <c r="AD14" i="49"/>
  <c r="AB14" i="49"/>
  <c r="AD13" i="49"/>
  <c r="AB13" i="49"/>
  <c r="AD12" i="49"/>
  <c r="AB12" i="49"/>
  <c r="X12" i="49"/>
  <c r="AD11" i="49"/>
  <c r="AB11" i="49"/>
  <c r="AD10" i="49"/>
  <c r="AB10" i="49"/>
  <c r="AD9" i="49"/>
  <c r="AB9" i="49"/>
  <c r="AD8" i="49"/>
  <c r="AB8" i="49"/>
  <c r="Y6" i="49"/>
  <c r="Y5" i="49"/>
  <c r="AF4" i="49"/>
  <c r="AF6" i="49" s="1"/>
  <c r="Y4" i="49"/>
  <c r="W3" i="49"/>
  <c r="Y2" i="49"/>
  <c r="A2" i="49"/>
  <c r="Y1" i="49"/>
  <c r="Y4" i="35"/>
  <c r="Y6" i="35"/>
  <c r="W8" i="35" s="1"/>
  <c r="Y5" i="35"/>
  <c r="Y2" i="35"/>
  <c r="A2" i="5"/>
  <c r="X12" i="4"/>
  <c r="X12" i="35"/>
  <c r="L3" i="14"/>
  <c r="H3" i="14"/>
  <c r="H4" i="14" s="1"/>
  <c r="H5" i="14" s="1"/>
  <c r="D3" i="14"/>
  <c r="D4" i="14" s="1"/>
  <c r="D5" i="14" s="1"/>
  <c r="Y3" i="14"/>
  <c r="X3" i="14"/>
  <c r="W3" i="14"/>
  <c r="V3" i="14"/>
  <c r="N3" i="14"/>
  <c r="J3" i="14"/>
  <c r="J4" i="14" s="1"/>
  <c r="J5" i="14" s="1"/>
  <c r="I3" i="14"/>
  <c r="E3" i="14"/>
  <c r="S5" i="46" l="1"/>
  <c r="T5" i="46" s="1"/>
  <c r="S4" i="46"/>
  <c r="AT5" i="12"/>
  <c r="AB5" i="12"/>
  <c r="AY5" i="12" s="1"/>
  <c r="AB4" i="12"/>
  <c r="AY4" i="12" s="1"/>
  <c r="AT4" i="12"/>
  <c r="BA4" i="16"/>
  <c r="BA5" i="16"/>
  <c r="S4" i="13"/>
  <c r="K5" i="14"/>
  <c r="T4" i="46"/>
  <c r="S5" i="13"/>
  <c r="K4" i="14"/>
  <c r="AD5" i="38"/>
  <c r="AF4" i="38"/>
  <c r="AZ5" i="12"/>
  <c r="AZ4" i="12"/>
  <c r="AF5" i="38"/>
  <c r="X10" i="49"/>
  <c r="A41" i="49" s="1"/>
  <c r="M42" i="49" s="1"/>
  <c r="W2" i="49"/>
  <c r="M3" i="14"/>
  <c r="K3" i="14" s="1"/>
  <c r="AD36" i="5"/>
  <c r="AN3" i="46"/>
  <c r="M3" i="12"/>
  <c r="AV3" i="12" s="1"/>
  <c r="A7" i="35"/>
  <c r="A4" i="35"/>
  <c r="A5" i="35"/>
  <c r="A6" i="35"/>
  <c r="A1" i="35"/>
  <c r="Y1" i="47"/>
  <c r="Y6" i="47"/>
  <c r="Y5" i="47"/>
  <c r="F2" i="35"/>
  <c r="A2" i="35" s="1"/>
  <c r="A2" i="24"/>
  <c r="A2" i="34"/>
  <c r="A2" i="47"/>
  <c r="A2" i="29"/>
  <c r="X200" i="4"/>
  <c r="A238" i="4"/>
  <c r="A3" i="41"/>
  <c r="A2" i="41"/>
  <c r="A3" i="29"/>
  <c r="A3" i="47"/>
  <c r="A3" i="5"/>
  <c r="F3" i="35"/>
  <c r="A3" i="35" s="1"/>
  <c r="A3" i="24"/>
  <c r="A3" i="34"/>
  <c r="AD1" i="16"/>
  <c r="AX3" i="25"/>
  <c r="AY3" i="25"/>
  <c r="AZ3" i="25" s="1"/>
  <c r="BA3" i="25"/>
  <c r="BB3" i="25"/>
  <c r="BC3" i="25"/>
  <c r="BD3" i="25"/>
  <c r="BE3" i="25" s="1"/>
  <c r="BH5" i="12" l="1"/>
  <c r="CQ5" i="12"/>
  <c r="BB5" i="12"/>
  <c r="BA5" i="12"/>
  <c r="M73" i="49"/>
  <c r="V94" i="49"/>
  <c r="A144" i="49"/>
  <c r="Q98" i="49"/>
  <c r="P97" i="49"/>
  <c r="A96" i="49"/>
  <c r="C3" i="16"/>
  <c r="AJ6" i="35"/>
  <c r="AK6" i="35" s="1"/>
  <c r="AJ7" i="35"/>
  <c r="AK7" i="35" s="1"/>
  <c r="AJ5" i="35"/>
  <c r="AG5" i="35"/>
  <c r="AD28" i="35"/>
  <c r="AG28" i="35" s="1"/>
  <c r="AH28" i="35" s="1"/>
  <c r="AD29" i="35"/>
  <c r="AG29" i="35" s="1"/>
  <c r="AH29" i="35" s="1"/>
  <c r="AD33" i="35"/>
  <c r="AG33" i="35" s="1"/>
  <c r="AH33" i="35" s="1"/>
  <c r="AD27" i="35"/>
  <c r="AG27" i="35" s="1"/>
  <c r="AH27" i="35" s="1"/>
  <c r="BB4" i="12"/>
  <c r="BA4" i="12"/>
  <c r="AK5" i="35" l="1"/>
  <c r="W2" i="47" l="1"/>
  <c r="Q1" i="46"/>
  <c r="P1" i="46"/>
  <c r="C3" i="46"/>
  <c r="O3" i="46"/>
  <c r="N3" i="46"/>
  <c r="M3" i="46"/>
  <c r="L3" i="46"/>
  <c r="K3" i="46"/>
  <c r="J3" i="46"/>
  <c r="Z3" i="46" s="1"/>
  <c r="I3" i="46"/>
  <c r="AA3" i="46" s="1"/>
  <c r="H3" i="46"/>
  <c r="G3" i="46"/>
  <c r="F3" i="46"/>
  <c r="E3" i="46"/>
  <c r="D3" i="46"/>
  <c r="U3" i="46" s="1"/>
  <c r="B3" i="46"/>
  <c r="A3" i="46"/>
  <c r="AD37" i="47"/>
  <c r="AB37" i="47"/>
  <c r="AD36" i="47"/>
  <c r="AB36" i="47"/>
  <c r="AD35" i="47"/>
  <c r="AB35" i="47"/>
  <c r="AD34" i="47"/>
  <c r="AB34" i="47"/>
  <c r="AD33" i="47"/>
  <c r="AB33" i="47"/>
  <c r="AD32" i="47"/>
  <c r="AB32" i="47"/>
  <c r="AD31" i="47"/>
  <c r="AB31" i="47"/>
  <c r="AD30" i="47"/>
  <c r="AB30" i="47"/>
  <c r="AD29" i="47"/>
  <c r="AB29" i="47"/>
  <c r="AD28" i="47"/>
  <c r="AB28" i="47"/>
  <c r="AD27" i="47"/>
  <c r="AB27" i="47"/>
  <c r="AD26" i="47"/>
  <c r="AB26" i="47"/>
  <c r="AD25" i="47"/>
  <c r="AB25" i="47"/>
  <c r="AD24" i="47"/>
  <c r="AB24" i="47"/>
  <c r="AD23" i="47"/>
  <c r="AB23" i="47"/>
  <c r="AD22" i="47"/>
  <c r="AB22" i="47"/>
  <c r="AD21" i="47"/>
  <c r="AB21" i="47"/>
  <c r="AD20" i="47"/>
  <c r="AB20" i="47"/>
  <c r="AD19" i="47"/>
  <c r="AB19" i="47"/>
  <c r="AD18" i="47"/>
  <c r="AB18" i="47"/>
  <c r="AD17" i="47"/>
  <c r="AB17" i="47"/>
  <c r="AD16" i="47"/>
  <c r="AB16" i="47"/>
  <c r="AD15" i="47"/>
  <c r="AB15" i="47"/>
  <c r="AD14" i="47"/>
  <c r="AB14" i="47"/>
  <c r="AD13" i="47"/>
  <c r="AB13" i="47"/>
  <c r="AD12" i="47"/>
  <c r="AB12" i="47"/>
  <c r="AD11" i="47"/>
  <c r="AB11" i="47"/>
  <c r="AD10" i="47"/>
  <c r="AB10" i="47"/>
  <c r="AD9" i="47"/>
  <c r="AB9" i="47"/>
  <c r="AD8" i="47"/>
  <c r="AB8" i="47"/>
  <c r="B69" i="47"/>
  <c r="B59" i="47"/>
  <c r="B49" i="47"/>
  <c r="B43" i="47"/>
  <c r="B32" i="47"/>
  <c r="B31" i="47"/>
  <c r="B16" i="47"/>
  <c r="X12" i="47"/>
  <c r="AF4" i="47"/>
  <c r="AF6" i="47" s="1"/>
  <c r="Y4" i="47"/>
  <c r="Y2" i="47"/>
  <c r="P3" i="46"/>
  <c r="Y5" i="46" l="1"/>
  <c r="Y4" i="46"/>
  <c r="Q5" i="46"/>
  <c r="Q4" i="46"/>
  <c r="R5" i="46"/>
  <c r="R4" i="46"/>
  <c r="S3" i="46"/>
  <c r="T3" i="46" s="1"/>
  <c r="R3" i="46" s="1"/>
  <c r="X10" i="47"/>
  <c r="H106" i="47" s="1"/>
  <c r="R1" i="46"/>
  <c r="Y3" i="46"/>
  <c r="W3" i="47"/>
  <c r="AB3" i="46"/>
  <c r="AB4" i="46" s="1"/>
  <c r="AB5" i="46" s="1"/>
  <c r="S1" i="46"/>
  <c r="AK4" i="46" l="1"/>
  <c r="AL4" i="46" s="1"/>
  <c r="AJ4" i="46"/>
  <c r="AJ5" i="46"/>
  <c r="AK5" i="46"/>
  <c r="AL5" i="46" s="1"/>
  <c r="Q3" i="46"/>
  <c r="AC3" i="46" s="1"/>
  <c r="AC4" i="46" s="1"/>
  <c r="AC5" i="46" s="1"/>
  <c r="A10" i="47"/>
  <c r="A86" i="47"/>
  <c r="H86" i="47"/>
  <c r="A126" i="47"/>
  <c r="H126" i="47"/>
  <c r="A106" i="47"/>
  <c r="AK3" i="46"/>
  <c r="AL3" i="46" s="1"/>
  <c r="AJ3" i="46"/>
  <c r="AG6" i="35" l="1"/>
  <c r="AH6" i="35" s="1"/>
  <c r="AG7" i="35"/>
  <c r="AH7" i="35" s="1"/>
  <c r="AH5" i="35"/>
  <c r="AD8" i="35"/>
  <c r="AG8" i="35" l="1"/>
  <c r="AH8" i="35" s="1"/>
  <c r="Y1" i="35"/>
  <c r="W7" i="35" s="1"/>
  <c r="K3" i="16"/>
  <c r="A2" i="38"/>
  <c r="B2" i="38"/>
  <c r="C2" i="38"/>
  <c r="D2" i="38"/>
  <c r="E2" i="38"/>
  <c r="F2" i="38"/>
  <c r="G2" i="38"/>
  <c r="H2" i="38"/>
  <c r="I2" i="38"/>
  <c r="J2" i="38"/>
  <c r="K2" i="38"/>
  <c r="L2" i="38"/>
  <c r="M2" i="38"/>
  <c r="N2" i="38"/>
  <c r="O2" i="38"/>
  <c r="P2" i="38"/>
  <c r="Q2" i="38"/>
  <c r="R2" i="38"/>
  <c r="S2" i="38"/>
  <c r="T2" i="38"/>
  <c r="U2" i="38"/>
  <c r="V2" i="38"/>
  <c r="W2" i="38"/>
  <c r="X2" i="38"/>
  <c r="Y2" i="38"/>
  <c r="Z2" i="38"/>
  <c r="Z3" i="38"/>
  <c r="Y3" i="38"/>
  <c r="A3" i="38"/>
  <c r="B3" i="38"/>
  <c r="C3" i="38"/>
  <c r="D3" i="38"/>
  <c r="E3" i="38"/>
  <c r="F3" i="38"/>
  <c r="G3" i="38"/>
  <c r="H3" i="38"/>
  <c r="I3" i="38"/>
  <c r="J3" i="38"/>
  <c r="K3" i="38"/>
  <c r="L3" i="38"/>
  <c r="M3" i="38"/>
  <c r="N3" i="38"/>
  <c r="O3" i="38"/>
  <c r="P3" i="38"/>
  <c r="Q3" i="38"/>
  <c r="R3" i="38"/>
  <c r="S3" i="38"/>
  <c r="T3" i="38"/>
  <c r="U3" i="38"/>
  <c r="V3" i="38"/>
  <c r="W3" i="38"/>
  <c r="X3" i="38"/>
  <c r="AD37" i="41"/>
  <c r="AB37" i="41"/>
  <c r="AD36" i="41"/>
  <c r="AB36" i="41"/>
  <c r="AD35" i="41"/>
  <c r="AB35" i="41"/>
  <c r="AD34" i="41"/>
  <c r="AB34" i="41"/>
  <c r="AD33" i="41"/>
  <c r="AB33" i="41"/>
  <c r="AD32" i="41"/>
  <c r="AB32" i="41"/>
  <c r="AD31" i="41"/>
  <c r="AB31" i="41"/>
  <c r="AD30" i="41"/>
  <c r="AB30" i="41"/>
  <c r="AD29" i="41"/>
  <c r="AB29" i="41"/>
  <c r="AD28" i="41"/>
  <c r="AB28" i="41"/>
  <c r="AD27" i="41"/>
  <c r="AB27" i="41"/>
  <c r="AD26" i="41"/>
  <c r="AB26" i="41"/>
  <c r="AD25" i="41"/>
  <c r="AB25" i="41"/>
  <c r="AD24" i="41"/>
  <c r="AB24" i="41"/>
  <c r="AD23" i="41"/>
  <c r="AB23" i="41"/>
  <c r="AD22" i="41"/>
  <c r="AB22" i="41"/>
  <c r="AD21" i="41"/>
  <c r="AB21" i="41"/>
  <c r="AD20" i="41"/>
  <c r="AB20" i="41"/>
  <c r="AD19" i="41"/>
  <c r="AB19" i="41"/>
  <c r="AD18" i="41"/>
  <c r="AB18" i="41"/>
  <c r="AD17" i="41"/>
  <c r="AB17" i="41"/>
  <c r="AD16" i="41"/>
  <c r="AB16" i="41"/>
  <c r="AD15" i="41"/>
  <c r="AB15" i="41"/>
  <c r="AD14" i="41"/>
  <c r="AB14" i="41"/>
  <c r="AD13" i="41"/>
  <c r="AB13" i="41"/>
  <c r="AD12" i="41"/>
  <c r="AB12" i="41"/>
  <c r="AD11" i="41"/>
  <c r="Y1" i="41" s="1"/>
  <c r="AB11" i="41"/>
  <c r="AD10" i="41"/>
  <c r="AB10" i="41"/>
  <c r="Y6" i="41" s="1"/>
  <c r="AD9" i="41"/>
  <c r="AB9" i="41"/>
  <c r="AD8" i="41"/>
  <c r="AB8" i="41"/>
  <c r="Y5" i="41"/>
  <c r="Y4" i="41"/>
  <c r="Y2" i="41"/>
  <c r="W7" i="41" s="1"/>
  <c r="W10" i="41"/>
  <c r="B9" i="35"/>
  <c r="Y1" i="34"/>
  <c r="Y6" i="34"/>
  <c r="N32" i="4"/>
  <c r="AB5" i="38" l="1"/>
  <c r="AD4" i="38"/>
  <c r="AB4" i="38"/>
  <c r="AB3" i="38"/>
  <c r="AF3" i="38"/>
  <c r="AC3" i="38"/>
  <c r="AC4" i="38" s="1"/>
  <c r="AC5" i="38" s="1"/>
  <c r="AD3" i="38"/>
  <c r="X10" i="41"/>
  <c r="M11" i="37"/>
  <c r="N11" i="37" s="1"/>
  <c r="P11" i="37" s="1"/>
  <c r="D11" i="37"/>
  <c r="E11" i="37" s="1"/>
  <c r="G11" i="37" s="1"/>
  <c r="M10" i="37"/>
  <c r="N10" i="37" s="1"/>
  <c r="P10" i="37" s="1"/>
  <c r="D10" i="37"/>
  <c r="E10" i="37" s="1"/>
  <c r="G10" i="37" s="1"/>
  <c r="M9" i="37"/>
  <c r="N9" i="37" s="1"/>
  <c r="P9" i="37" s="1"/>
  <c r="D9" i="37"/>
  <c r="E9" i="37" s="1"/>
  <c r="G9" i="37" s="1"/>
  <c r="M8" i="37"/>
  <c r="N8" i="37" s="1"/>
  <c r="P8" i="37" s="1"/>
  <c r="D8" i="37"/>
  <c r="E8" i="37" s="1"/>
  <c r="G8" i="37" s="1"/>
  <c r="M7" i="37"/>
  <c r="N7" i="37" s="1"/>
  <c r="P7" i="37" s="1"/>
  <c r="D7" i="37"/>
  <c r="E7" i="37" s="1"/>
  <c r="G7" i="37" s="1"/>
  <c r="M6" i="37"/>
  <c r="N6" i="37" s="1"/>
  <c r="P6" i="37" s="1"/>
  <c r="D6" i="37"/>
  <c r="E6" i="37" s="1"/>
  <c r="G6" i="37" s="1"/>
  <c r="AL8" i="41" l="1"/>
  <c r="B8" i="41"/>
  <c r="G12" i="37"/>
  <c r="P12" i="37"/>
  <c r="AK18" i="5" l="1"/>
  <c r="AK19" i="5"/>
  <c r="AK20" i="5"/>
  <c r="AK21" i="5"/>
  <c r="AK22" i="5"/>
  <c r="AK23" i="5"/>
  <c r="AK24" i="5"/>
  <c r="AK25" i="5"/>
  <c r="AK26" i="5"/>
  <c r="AK27" i="5"/>
  <c r="AK28" i="5"/>
  <c r="AK29" i="5"/>
  <c r="AK30" i="5"/>
  <c r="AK32" i="5"/>
  <c r="AK33" i="5"/>
  <c r="AK37" i="5"/>
  <c r="AK38" i="5"/>
  <c r="AK39" i="5"/>
  <c r="AK40" i="5"/>
  <c r="AK41" i="5"/>
  <c r="AK42" i="5"/>
  <c r="AK43" i="5"/>
  <c r="AK44" i="5"/>
  <c r="AK45" i="5"/>
  <c r="AK47" i="5"/>
  <c r="AK48" i="5"/>
  <c r="AK49" i="5"/>
  <c r="AK50" i="5"/>
  <c r="AK51" i="5"/>
  <c r="AK52" i="5"/>
  <c r="AK53" i="5"/>
  <c r="AK54" i="5"/>
  <c r="AK55" i="5"/>
  <c r="AK56" i="5"/>
  <c r="AK57" i="5"/>
  <c r="AK58" i="5"/>
  <c r="AK59" i="5"/>
  <c r="AK17" i="5"/>
  <c r="J3" i="16" l="1"/>
  <c r="I3" i="16"/>
  <c r="F3" i="16"/>
  <c r="H3" i="16" l="1"/>
  <c r="D3" i="16"/>
  <c r="A3" i="16"/>
  <c r="V5" i="46" l="1"/>
  <c r="X4" i="46"/>
  <c r="X5" i="46"/>
  <c r="V4" i="46"/>
  <c r="AA5" i="38"/>
  <c r="AH5" i="38"/>
  <c r="AH5" i="13"/>
  <c r="AA4" i="38"/>
  <c r="X5" i="13"/>
  <c r="CI5" i="12"/>
  <c r="Y5" i="12" s="1"/>
  <c r="CH4" i="12"/>
  <c r="CI4" i="12"/>
  <c r="Y4" i="12" s="1"/>
  <c r="X4" i="13"/>
  <c r="CJ5" i="12"/>
  <c r="AU5" i="14"/>
  <c r="CH5" i="12"/>
  <c r="AH4" i="13"/>
  <c r="AU4" i="14"/>
  <c r="V4" i="13"/>
  <c r="AH4" i="38"/>
  <c r="V5" i="13"/>
  <c r="AH3" i="38"/>
  <c r="V3" i="46"/>
  <c r="X3" i="46"/>
  <c r="AA3" i="38"/>
  <c r="L3" i="16"/>
  <c r="CJ4" i="12" s="1"/>
  <c r="O3" i="16"/>
  <c r="P3" i="16"/>
  <c r="Q3" i="16"/>
  <c r="AM5" i="46" s="1"/>
  <c r="B3" i="16"/>
  <c r="E3" i="16"/>
  <c r="G3" i="16"/>
  <c r="M3" i="16"/>
  <c r="N3" i="16"/>
  <c r="R3" i="16"/>
  <c r="S3" i="16"/>
  <c r="T3" i="16"/>
  <c r="U3" i="16"/>
  <c r="B3" i="14"/>
  <c r="C3" i="14"/>
  <c r="A3" i="14"/>
  <c r="B3" i="12"/>
  <c r="C3" i="12"/>
  <c r="E3" i="12"/>
  <c r="F3" i="12"/>
  <c r="G3" i="12"/>
  <c r="H3" i="12"/>
  <c r="I3" i="12"/>
  <c r="J3" i="12"/>
  <c r="K3" i="12"/>
  <c r="L3" i="12"/>
  <c r="N3" i="12"/>
  <c r="O3" i="12"/>
  <c r="P3" i="12"/>
  <c r="Q3" i="12"/>
  <c r="R3" i="12"/>
  <c r="S3" i="12"/>
  <c r="T3" i="12"/>
  <c r="U3" i="12"/>
  <c r="V3" i="12"/>
  <c r="W3" i="12"/>
  <c r="A3" i="12"/>
  <c r="E3" i="13"/>
  <c r="B3" i="13"/>
  <c r="C3" i="13"/>
  <c r="D3" i="13"/>
  <c r="F3" i="13"/>
  <c r="G3" i="13"/>
  <c r="H3" i="13"/>
  <c r="I3" i="13"/>
  <c r="J3" i="13"/>
  <c r="K3" i="13"/>
  <c r="L3" i="13"/>
  <c r="M3" i="13"/>
  <c r="N3" i="13"/>
  <c r="A3" i="13"/>
  <c r="AM4" i="46" l="1"/>
  <c r="Q5" i="14"/>
  <c r="R4" i="14"/>
  <c r="R5" i="14"/>
  <c r="Q4" i="14"/>
  <c r="AK5" i="12"/>
  <c r="AL5" i="12"/>
  <c r="BF4" i="16"/>
  <c r="BJ5" i="16"/>
  <c r="BJ4" i="16"/>
  <c r="CC5" i="16"/>
  <c r="CC4" i="16"/>
  <c r="AK4" i="12"/>
  <c r="AL4" i="12"/>
  <c r="BF5" i="16"/>
  <c r="Y5" i="13"/>
  <c r="AU5" i="16"/>
  <c r="AU4" i="16"/>
  <c r="Y4" i="13"/>
  <c r="Q3" i="14"/>
  <c r="AM3" i="46"/>
  <c r="R4" i="41"/>
  <c r="AB3" i="12"/>
  <c r="AW1" i="25"/>
  <c r="AV1" i="25"/>
  <c r="AV5" i="25" l="1"/>
  <c r="AV4" i="25"/>
  <c r="AW4" i="25" s="1"/>
  <c r="AU4" i="25" s="1"/>
  <c r="AW5" i="25"/>
  <c r="AU5" i="25" s="1"/>
  <c r="AV3" i="25"/>
  <c r="AW3" i="25" s="1"/>
  <c r="AU3" i="25" l="1"/>
  <c r="X57" i="24" l="1"/>
  <c r="Z57" i="24"/>
  <c r="X58" i="24"/>
  <c r="Z58" i="24"/>
  <c r="X59" i="24"/>
  <c r="Z59" i="24"/>
  <c r="X60" i="24"/>
  <c r="Z60" i="24"/>
  <c r="X61" i="24"/>
  <c r="Z61" i="24"/>
  <c r="X62" i="24"/>
  <c r="Z62" i="24"/>
  <c r="X63" i="24"/>
  <c r="Z63" i="24"/>
  <c r="X64" i="24"/>
  <c r="Z64" i="24"/>
  <c r="X65" i="24"/>
  <c r="Z65" i="24"/>
  <c r="X66" i="24"/>
  <c r="Z66" i="24"/>
  <c r="Y5" i="5" l="1"/>
  <c r="Y6" i="5"/>
  <c r="A12" i="5"/>
  <c r="X12" i="5"/>
  <c r="A121" i="29"/>
  <c r="A101" i="29"/>
  <c r="A74" i="29"/>
  <c r="A54" i="29"/>
  <c r="A30" i="29"/>
  <c r="Y12" i="29"/>
  <c r="Y5" i="34" l="1"/>
  <c r="Y2" i="34"/>
  <c r="Y6" i="4"/>
  <c r="A191" i="4"/>
  <c r="A147" i="4"/>
  <c r="A125" i="4"/>
  <c r="A86" i="4"/>
  <c r="A52" i="4"/>
  <c r="A39" i="4"/>
  <c r="A198" i="4"/>
  <c r="X12" i="34" l="1"/>
  <c r="W10" i="35" l="1"/>
  <c r="AD37" i="35"/>
  <c r="AG37" i="35" s="1"/>
  <c r="AH37" i="35" s="1"/>
  <c r="AB37" i="35"/>
  <c r="AJ37" i="35" s="1"/>
  <c r="AK37" i="35" s="1"/>
  <c r="AD36" i="35"/>
  <c r="AG36" i="35" s="1"/>
  <c r="AH36" i="35" s="1"/>
  <c r="AB36" i="35"/>
  <c r="AJ36" i="35" s="1"/>
  <c r="AK36" i="35" s="1"/>
  <c r="AD35" i="35"/>
  <c r="AG35" i="35" s="1"/>
  <c r="AH35" i="35" s="1"/>
  <c r="AB35" i="35"/>
  <c r="AJ35" i="35" s="1"/>
  <c r="AK35" i="35" s="1"/>
  <c r="AD34" i="35"/>
  <c r="AG34" i="35" s="1"/>
  <c r="AH34" i="35" s="1"/>
  <c r="AB34" i="35"/>
  <c r="AJ34" i="35" s="1"/>
  <c r="AK34" i="35" s="1"/>
  <c r="AB33" i="35"/>
  <c r="AJ33" i="35" s="1"/>
  <c r="AK33" i="35" s="1"/>
  <c r="AD32" i="35"/>
  <c r="AG32" i="35" s="1"/>
  <c r="AH32" i="35" s="1"/>
  <c r="AB32" i="35"/>
  <c r="AJ32" i="35" s="1"/>
  <c r="AK32" i="35" s="1"/>
  <c r="AD31" i="35"/>
  <c r="AG31" i="35" s="1"/>
  <c r="AH31" i="35" s="1"/>
  <c r="AB31" i="35"/>
  <c r="AJ31" i="35" s="1"/>
  <c r="AK31" i="35" s="1"/>
  <c r="AD30" i="35"/>
  <c r="AG30" i="35" s="1"/>
  <c r="AH30" i="35" s="1"/>
  <c r="AB30" i="35"/>
  <c r="AJ30" i="35" s="1"/>
  <c r="AK30" i="35" s="1"/>
  <c r="AB29" i="35"/>
  <c r="AJ29" i="35" s="1"/>
  <c r="AK29" i="35" s="1"/>
  <c r="AB28" i="35"/>
  <c r="AJ28" i="35" s="1"/>
  <c r="AK28" i="35" s="1"/>
  <c r="AB27" i="35"/>
  <c r="AJ27" i="35" s="1"/>
  <c r="AK27" i="35" s="1"/>
  <c r="AD26" i="35"/>
  <c r="AG26" i="35" s="1"/>
  <c r="AH26" i="35" s="1"/>
  <c r="AB26" i="35"/>
  <c r="AJ26" i="35" s="1"/>
  <c r="AK26" i="35" s="1"/>
  <c r="AD25" i="35"/>
  <c r="AG25" i="35" s="1"/>
  <c r="AH25" i="35" s="1"/>
  <c r="AB25" i="35"/>
  <c r="AJ25" i="35" s="1"/>
  <c r="AK25" i="35" s="1"/>
  <c r="AD24" i="35"/>
  <c r="AB24" i="35"/>
  <c r="AJ24" i="35" s="1"/>
  <c r="AK24" i="35" s="1"/>
  <c r="AD23" i="35"/>
  <c r="AG23" i="35" s="1"/>
  <c r="AH23" i="35" s="1"/>
  <c r="AB23" i="35"/>
  <c r="AJ23" i="35" s="1"/>
  <c r="AK23" i="35" s="1"/>
  <c r="AD22" i="35"/>
  <c r="AG22" i="35" s="1"/>
  <c r="AH22" i="35" s="1"/>
  <c r="AB22" i="35"/>
  <c r="AJ22" i="35" s="1"/>
  <c r="AK22" i="35" s="1"/>
  <c r="AD21" i="35"/>
  <c r="AG21" i="35" s="1"/>
  <c r="AH21" i="35" s="1"/>
  <c r="AB21" i="35"/>
  <c r="AJ21" i="35" s="1"/>
  <c r="AK21" i="35" s="1"/>
  <c r="AD20" i="35"/>
  <c r="AG20" i="35" s="1"/>
  <c r="AH20" i="35" s="1"/>
  <c r="AB20" i="35"/>
  <c r="AJ20" i="35" s="1"/>
  <c r="AK20" i="35" s="1"/>
  <c r="AD19" i="35"/>
  <c r="AG19" i="35" s="1"/>
  <c r="AH19" i="35" s="1"/>
  <c r="AB19" i="35"/>
  <c r="AJ19" i="35" s="1"/>
  <c r="AK19" i="35" s="1"/>
  <c r="AD18" i="35"/>
  <c r="AG18" i="35" s="1"/>
  <c r="AH18" i="35" s="1"/>
  <c r="AB18" i="35"/>
  <c r="AJ18" i="35" s="1"/>
  <c r="AK18" i="35" s="1"/>
  <c r="AD17" i="35"/>
  <c r="AG17" i="35" s="1"/>
  <c r="AH17" i="35" s="1"/>
  <c r="AB17" i="35"/>
  <c r="AJ17" i="35" s="1"/>
  <c r="AK17" i="35" s="1"/>
  <c r="AD16" i="35"/>
  <c r="AG16" i="35" s="1"/>
  <c r="AH16" i="35" s="1"/>
  <c r="AB16" i="35"/>
  <c r="AJ16" i="35" s="1"/>
  <c r="AK16" i="35" s="1"/>
  <c r="AD15" i="35"/>
  <c r="AG15" i="35" s="1"/>
  <c r="AH15" i="35" s="1"/>
  <c r="AB15" i="35"/>
  <c r="AJ15" i="35" s="1"/>
  <c r="AK15" i="35" s="1"/>
  <c r="AD14" i="35"/>
  <c r="AG14" i="35" s="1"/>
  <c r="AH14" i="35" s="1"/>
  <c r="AB14" i="35"/>
  <c r="AJ14" i="35" s="1"/>
  <c r="AK14" i="35" s="1"/>
  <c r="AD13" i="35"/>
  <c r="AG13" i="35" s="1"/>
  <c r="AH13" i="35" s="1"/>
  <c r="AB13" i="35"/>
  <c r="AJ13" i="35" s="1"/>
  <c r="AK13" i="35" s="1"/>
  <c r="AD12" i="35"/>
  <c r="AG12" i="35" s="1"/>
  <c r="AH12" i="35" s="1"/>
  <c r="AB12" i="35"/>
  <c r="AJ12" i="35" s="1"/>
  <c r="AK12" i="35" s="1"/>
  <c r="AD11" i="35"/>
  <c r="AG11" i="35" s="1"/>
  <c r="AH11" i="35" s="1"/>
  <c r="AB11" i="35"/>
  <c r="AJ11" i="35" s="1"/>
  <c r="AK11" i="35" s="1"/>
  <c r="AD10" i="35"/>
  <c r="AG10" i="35" s="1"/>
  <c r="AH10" i="35" s="1"/>
  <c r="AB10" i="35"/>
  <c r="AJ10" i="35" s="1"/>
  <c r="AK10" i="35" s="1"/>
  <c r="AD9" i="35"/>
  <c r="AG9" i="35" s="1"/>
  <c r="AH9" i="35" s="1"/>
  <c r="AB9" i="35"/>
  <c r="AJ9" i="35" s="1"/>
  <c r="AK9" i="35" s="1"/>
  <c r="AB8" i="35"/>
  <c r="AJ8" i="35" l="1"/>
  <c r="AK8" i="35" s="1"/>
  <c r="AG24" i="35"/>
  <c r="AH24" i="35" s="1"/>
  <c r="X10" i="35"/>
  <c r="Y2" i="4"/>
  <c r="Y5" i="4"/>
  <c r="M72" i="35" l="1"/>
  <c r="U72" i="35" s="1"/>
  <c r="M73" i="35"/>
  <c r="U73" i="35" s="1"/>
  <c r="M74" i="35"/>
  <c r="U74" i="35" s="1"/>
  <c r="M75" i="35"/>
  <c r="U75" i="35" s="1"/>
  <c r="M47" i="35"/>
  <c r="S47" i="35" s="1"/>
  <c r="M70" i="35"/>
  <c r="U70" i="35" s="1"/>
  <c r="B13" i="35"/>
  <c r="A109" i="35"/>
  <c r="B26" i="35"/>
  <c r="M68" i="35"/>
  <c r="U68" i="35" s="1"/>
  <c r="M55" i="35"/>
  <c r="U55" i="35" s="1"/>
  <c r="M43" i="35"/>
  <c r="M9" i="35"/>
  <c r="A37" i="35"/>
  <c r="W5" i="35"/>
  <c r="M60" i="35"/>
  <c r="U60" i="35" s="1"/>
  <c r="M63" i="35"/>
  <c r="U63" i="35" s="1"/>
  <c r="M53" i="35"/>
  <c r="U53" i="35" s="1"/>
  <c r="M59" i="35"/>
  <c r="U59" i="35" s="1"/>
  <c r="M58" i="35"/>
  <c r="U58" i="35" s="1"/>
  <c r="M69" i="35"/>
  <c r="U69" i="35" s="1"/>
  <c r="M57" i="35"/>
  <c r="U57" i="35" s="1"/>
  <c r="M50" i="35"/>
  <c r="U50" i="35" s="1"/>
  <c r="M48" i="35"/>
  <c r="U48" i="35" s="1"/>
  <c r="M52" i="35"/>
  <c r="U52" i="35" s="1"/>
  <c r="M66" i="35"/>
  <c r="U66" i="35" s="1"/>
  <c r="M65" i="35"/>
  <c r="U65" i="35" s="1"/>
  <c r="M51" i="35"/>
  <c r="U51" i="35" s="1"/>
  <c r="M61" i="35"/>
  <c r="U61" i="35" s="1"/>
  <c r="M76" i="35"/>
  <c r="U76" i="35" s="1"/>
  <c r="M56" i="35"/>
  <c r="U56" i="35" s="1"/>
  <c r="M54" i="35"/>
  <c r="U54" i="35" s="1"/>
  <c r="M67" i="35"/>
  <c r="U67" i="35" s="1"/>
  <c r="M71" i="35"/>
  <c r="U71" i="35" s="1"/>
  <c r="M64" i="35"/>
  <c r="U64" i="35" s="1"/>
  <c r="M62" i="35"/>
  <c r="U62" i="35" s="1"/>
  <c r="M49" i="35"/>
  <c r="U49" i="35" s="1"/>
  <c r="M13" i="35"/>
  <c r="U13" i="35" s="1"/>
  <c r="M30" i="35"/>
  <c r="S30" i="35" s="1"/>
  <c r="M26" i="35"/>
  <c r="S26" i="35" s="1"/>
  <c r="M42" i="35"/>
  <c r="U42" i="35" s="1"/>
  <c r="M41" i="35"/>
  <c r="S41" i="35" s="1"/>
  <c r="M37" i="35"/>
  <c r="S37" i="35" s="1"/>
  <c r="M31" i="35"/>
  <c r="S31" i="35" s="1"/>
  <c r="M14" i="35"/>
  <c r="U14" i="35" s="1"/>
  <c r="M38" i="35"/>
  <c r="M25" i="35"/>
  <c r="S25" i="35" s="1"/>
  <c r="M18" i="35"/>
  <c r="S18" i="35" s="1"/>
  <c r="M35" i="35"/>
  <c r="S35" i="35" s="1"/>
  <c r="M19" i="35"/>
  <c r="S19" i="35" s="1"/>
  <c r="M33" i="35"/>
  <c r="S33" i="35" s="1"/>
  <c r="M39" i="35"/>
  <c r="S39" i="35" s="1"/>
  <c r="M34" i="35"/>
  <c r="S34" i="35" s="1"/>
  <c r="M20" i="35"/>
  <c r="S20" i="35" s="1"/>
  <c r="M40" i="35"/>
  <c r="S40" i="35" s="1"/>
  <c r="M23" i="35"/>
  <c r="S23" i="35" s="1"/>
  <c r="M28" i="35"/>
  <c r="S28" i="35" s="1"/>
  <c r="M29" i="35"/>
  <c r="S29" i="35" s="1"/>
  <c r="M32" i="35"/>
  <c r="S32" i="35" s="1"/>
  <c r="M22" i="35"/>
  <c r="S22" i="35" s="1"/>
  <c r="M17" i="35"/>
  <c r="S17" i="35" s="1"/>
  <c r="M27" i="35"/>
  <c r="S27" i="35" s="1"/>
  <c r="M24" i="35"/>
  <c r="S24" i="35" s="1"/>
  <c r="M15" i="35"/>
  <c r="S15" i="35" s="1"/>
  <c r="M21" i="35"/>
  <c r="S21" i="35" s="1"/>
  <c r="M16" i="35"/>
  <c r="S16" i="35" s="1"/>
  <c r="M36" i="35"/>
  <c r="S36" i="35" s="1"/>
  <c r="W6" i="35"/>
  <c r="A155" i="35"/>
  <c r="A92" i="35"/>
  <c r="A62" i="35"/>
  <c r="S75" i="35" l="1"/>
  <c r="U47" i="35"/>
  <c r="S70" i="35"/>
  <c r="S55" i="35"/>
  <c r="S68" i="35"/>
  <c r="S74" i="35"/>
  <c r="S71" i="35"/>
  <c r="S60" i="35"/>
  <c r="U5" i="35"/>
  <c r="S63" i="35"/>
  <c r="S72" i="35"/>
  <c r="S62" i="35"/>
  <c r="S64" i="35"/>
  <c r="S69" i="35"/>
  <c r="S53" i="35"/>
  <c r="U6" i="35"/>
  <c r="U34" i="35"/>
  <c r="S50" i="35"/>
  <c r="S66" i="35"/>
  <c r="S57" i="35"/>
  <c r="S56" i="35"/>
  <c r="S51" i="35"/>
  <c r="S65" i="35"/>
  <c r="S13" i="35"/>
  <c r="S59" i="35"/>
  <c r="S58" i="35"/>
  <c r="S52" i="35"/>
  <c r="S49" i="35"/>
  <c r="S61" i="35"/>
  <c r="S48" i="35"/>
  <c r="U35" i="35"/>
  <c r="S73" i="35"/>
  <c r="S67" i="35"/>
  <c r="S54" i="35"/>
  <c r="U19" i="35"/>
  <c r="U32" i="35"/>
  <c r="U22" i="35"/>
  <c r="U33" i="35"/>
  <c r="U24" i="35"/>
  <c r="U17" i="35"/>
  <c r="U36" i="35"/>
  <c r="U31" i="35"/>
  <c r="U26" i="35"/>
  <c r="U27" i="35"/>
  <c r="U29" i="35"/>
  <c r="U30" i="35"/>
  <c r="U41" i="35"/>
  <c r="U25" i="35"/>
  <c r="U37" i="35"/>
  <c r="S14" i="35"/>
  <c r="U28" i="35"/>
  <c r="S38" i="35"/>
  <c r="U38" i="35"/>
  <c r="U39" i="35"/>
  <c r="U15" i="35"/>
  <c r="U40" i="35"/>
  <c r="U23" i="35"/>
  <c r="U18" i="35"/>
  <c r="U21" i="35"/>
  <c r="U16" i="35"/>
  <c r="U20" i="35"/>
  <c r="L15" i="4"/>
  <c r="N31" i="4"/>
  <c r="N30" i="4"/>
  <c r="Z5" i="29"/>
  <c r="Z2" i="29"/>
  <c r="Y2" i="5"/>
  <c r="Z1" i="29" l="1"/>
  <c r="Y1" i="5"/>
  <c r="AE38" i="29"/>
  <c r="AE37" i="29"/>
  <c r="AE36" i="29"/>
  <c r="AE35" i="29"/>
  <c r="AE34" i="29"/>
  <c r="AE33" i="29"/>
  <c r="AE32" i="29"/>
  <c r="AE31" i="29"/>
  <c r="AE30" i="29"/>
  <c r="AE29" i="29"/>
  <c r="AE28" i="29"/>
  <c r="AE27" i="29"/>
  <c r="AE26" i="29"/>
  <c r="AE25" i="29"/>
  <c r="AE24" i="29"/>
  <c r="AE23" i="29"/>
  <c r="AE22" i="29"/>
  <c r="AE21" i="29"/>
  <c r="AE20" i="29"/>
  <c r="AE18" i="29"/>
  <c r="AE17" i="29"/>
  <c r="AE16" i="29"/>
  <c r="AE15" i="29"/>
  <c r="AE14" i="29"/>
  <c r="AE13" i="29"/>
  <c r="AE12" i="29"/>
  <c r="AE11" i="29"/>
  <c r="AE10" i="29"/>
  <c r="AE9" i="29"/>
  <c r="AE8" i="29"/>
  <c r="AD37" i="5"/>
  <c r="AD35" i="5"/>
  <c r="AD34" i="5"/>
  <c r="AD33" i="5"/>
  <c r="AD32" i="5"/>
  <c r="AD31" i="5"/>
  <c r="AD30" i="5"/>
  <c r="AD29" i="5"/>
  <c r="AD28" i="5"/>
  <c r="AD27" i="5"/>
  <c r="AD26" i="5"/>
  <c r="AD25" i="5"/>
  <c r="AD24" i="5"/>
  <c r="AD23" i="5"/>
  <c r="AD22" i="5"/>
  <c r="AD21" i="5"/>
  <c r="AD20" i="5"/>
  <c r="AD19" i="5"/>
  <c r="AD18" i="5"/>
  <c r="AD17" i="5"/>
  <c r="AD16" i="5"/>
  <c r="AD15" i="5"/>
  <c r="AD14" i="5"/>
  <c r="AD13" i="5"/>
  <c r="AD12" i="5"/>
  <c r="AD11" i="5"/>
  <c r="AD10" i="5"/>
  <c r="AD9" i="5"/>
  <c r="AD8" i="5"/>
  <c r="AD37" i="34"/>
  <c r="AD36" i="34"/>
  <c r="AD35" i="34"/>
  <c r="AD34" i="34"/>
  <c r="AD33" i="34"/>
  <c r="AD32" i="34"/>
  <c r="AD31" i="34"/>
  <c r="AD30" i="34"/>
  <c r="AD29" i="34"/>
  <c r="AD28" i="34"/>
  <c r="AD27" i="34"/>
  <c r="AD26" i="34"/>
  <c r="AD25" i="34"/>
  <c r="AD24" i="34"/>
  <c r="AD23" i="34"/>
  <c r="AD22" i="34"/>
  <c r="AD21" i="34"/>
  <c r="AD20" i="34"/>
  <c r="AD19" i="34"/>
  <c r="AD18" i="34"/>
  <c r="AD17" i="34"/>
  <c r="AD16" i="34"/>
  <c r="AD15" i="34"/>
  <c r="AD14" i="34"/>
  <c r="AD13" i="34"/>
  <c r="AD12" i="34"/>
  <c r="AD11" i="34"/>
  <c r="AD10" i="34"/>
  <c r="AD9" i="34"/>
  <c r="AD8" i="34"/>
  <c r="AD9" i="4"/>
  <c r="AD10" i="4"/>
  <c r="AD11" i="4"/>
  <c r="AD12" i="4"/>
  <c r="AD13" i="4"/>
  <c r="AD14" i="4"/>
  <c r="AD15" i="4"/>
  <c r="AD16" i="4"/>
  <c r="AD17" i="4"/>
  <c r="AD18" i="4"/>
  <c r="AD19" i="4"/>
  <c r="AD20" i="4"/>
  <c r="AD21" i="4"/>
  <c r="AD22" i="4"/>
  <c r="AD23" i="4"/>
  <c r="AD24" i="4"/>
  <c r="AD25" i="4"/>
  <c r="AD26" i="4"/>
  <c r="AD27" i="4"/>
  <c r="AD28" i="4"/>
  <c r="AD29" i="4"/>
  <c r="AD30" i="4"/>
  <c r="AD31" i="4"/>
  <c r="AD32" i="4"/>
  <c r="AD33" i="4"/>
  <c r="AD34" i="4"/>
  <c r="AD35" i="4"/>
  <c r="AD36" i="4"/>
  <c r="AD37" i="4"/>
  <c r="AD8" i="4"/>
  <c r="AB8" i="4"/>
  <c r="I2" i="31"/>
  <c r="J4" i="31" l="1"/>
  <c r="AD3" i="41"/>
  <c r="J3" i="31"/>
  <c r="K4" i="31"/>
  <c r="K3" i="31"/>
  <c r="AB4" i="49"/>
  <c r="AD4" i="49"/>
  <c r="Y1" i="4"/>
  <c r="AD4" i="47"/>
  <c r="AB4" i="47"/>
  <c r="AD4" i="41"/>
  <c r="AB4" i="41"/>
  <c r="AB4" i="35"/>
  <c r="AD4" i="35"/>
  <c r="J2" i="31"/>
  <c r="AD4" i="34"/>
  <c r="AE4" i="29"/>
  <c r="AD4" i="5"/>
  <c r="K2" i="31"/>
  <c r="AB3" i="49" s="1"/>
  <c r="AD4" i="4"/>
  <c r="Y4" i="5"/>
  <c r="O150" i="5"/>
  <c r="O145" i="5"/>
  <c r="O140" i="5"/>
  <c r="O130" i="5"/>
  <c r="O124" i="5"/>
  <c r="X115" i="5"/>
  <c r="X67" i="5"/>
  <c r="AD3" i="47" l="1"/>
  <c r="AD3" i="49"/>
  <c r="AB3" i="35"/>
  <c r="AB3" i="47"/>
  <c r="AB3" i="41"/>
  <c r="AD3" i="35"/>
  <c r="AD3" i="4"/>
  <c r="AE3" i="29"/>
  <c r="AD3" i="5"/>
  <c r="AD3" i="34"/>
  <c r="AB37" i="34"/>
  <c r="AB36" i="34"/>
  <c r="AB35" i="34"/>
  <c r="AB34" i="34"/>
  <c r="AB33" i="34"/>
  <c r="AB32" i="34"/>
  <c r="AB31" i="34"/>
  <c r="AB30" i="34"/>
  <c r="AB29" i="34"/>
  <c r="AB28" i="34"/>
  <c r="AB27" i="34"/>
  <c r="AB26" i="34"/>
  <c r="AB25" i="34"/>
  <c r="AB24" i="34"/>
  <c r="AB23" i="34"/>
  <c r="AB22" i="34"/>
  <c r="AB21" i="34"/>
  <c r="AB20" i="34"/>
  <c r="AB19" i="34"/>
  <c r="AB18" i="34"/>
  <c r="AB17" i="34"/>
  <c r="AB16" i="34"/>
  <c r="AB15" i="34"/>
  <c r="AB14" i="34"/>
  <c r="AB13" i="34"/>
  <c r="AB12" i="34"/>
  <c r="AB11" i="34"/>
  <c r="AB10" i="34"/>
  <c r="AB9" i="34"/>
  <c r="AB8" i="34"/>
  <c r="AB4" i="34"/>
  <c r="AB3" i="34"/>
  <c r="W3" i="34"/>
  <c r="D16" i="24" l="1"/>
  <c r="B29" i="24"/>
  <c r="B35" i="24"/>
  <c r="C29" i="24"/>
  <c r="C35" i="24"/>
  <c r="B30" i="24"/>
  <c r="B28" i="24"/>
  <c r="C30" i="24"/>
  <c r="C28" i="24"/>
  <c r="B31" i="24"/>
  <c r="E28" i="24"/>
  <c r="C31" i="24"/>
  <c r="D28" i="24"/>
  <c r="B32" i="24"/>
  <c r="C27" i="24"/>
  <c r="C32" i="24"/>
  <c r="E27" i="24"/>
  <c r="B33" i="24"/>
  <c r="B27" i="24"/>
  <c r="C33" i="24"/>
  <c r="D27" i="24"/>
  <c r="C34" i="24"/>
  <c r="B34" i="24"/>
  <c r="F27" i="24"/>
  <c r="F17" i="24"/>
  <c r="E17" i="24"/>
  <c r="D17" i="24"/>
  <c r="G18" i="24"/>
  <c r="F18" i="24"/>
  <c r="E18" i="24"/>
  <c r="D18" i="24"/>
  <c r="G17" i="24"/>
  <c r="I57" i="24"/>
  <c r="F29" i="24"/>
  <c r="F58" i="24"/>
  <c r="D59" i="24"/>
  <c r="E59" i="24"/>
  <c r="C59" i="24"/>
  <c r="F59" i="24"/>
  <c r="J59" i="24"/>
  <c r="G57" i="24"/>
  <c r="D29" i="24"/>
  <c r="J57" i="24"/>
  <c r="C57" i="24"/>
  <c r="G59" i="24"/>
  <c r="E57" i="24"/>
  <c r="D57" i="24"/>
  <c r="H59" i="24"/>
  <c r="I59" i="24"/>
  <c r="F57" i="24"/>
  <c r="C58" i="24"/>
  <c r="H57" i="24"/>
  <c r="E29" i="24"/>
  <c r="G27" i="24"/>
  <c r="G29" i="24"/>
  <c r="F65" i="24"/>
  <c r="J64" i="24"/>
  <c r="F64" i="24"/>
  <c r="J63" i="24"/>
  <c r="F63" i="24"/>
  <c r="J62" i="24"/>
  <c r="F62" i="24"/>
  <c r="J61" i="24"/>
  <c r="F61" i="24"/>
  <c r="J60" i="24"/>
  <c r="F60" i="24"/>
  <c r="J58" i="24"/>
  <c r="G35" i="24"/>
  <c r="G33" i="24"/>
  <c r="G31" i="24"/>
  <c r="G28" i="24"/>
  <c r="I65" i="24"/>
  <c r="E65" i="24"/>
  <c r="I64" i="24"/>
  <c r="E64" i="24"/>
  <c r="I63" i="24"/>
  <c r="E63" i="24"/>
  <c r="I62" i="24"/>
  <c r="E62" i="24"/>
  <c r="I61" i="24"/>
  <c r="E61" i="24"/>
  <c r="I60" i="24"/>
  <c r="E60" i="24"/>
  <c r="I58" i="24"/>
  <c r="E58" i="24"/>
  <c r="F33" i="24"/>
  <c r="F31" i="24"/>
  <c r="F28" i="24"/>
  <c r="H65" i="24"/>
  <c r="D65" i="24"/>
  <c r="H64" i="24"/>
  <c r="D64" i="24"/>
  <c r="H63" i="24"/>
  <c r="D63" i="24"/>
  <c r="H62" i="24"/>
  <c r="D62" i="24"/>
  <c r="H61" i="24"/>
  <c r="D61" i="24"/>
  <c r="H60" i="24"/>
  <c r="D60" i="24"/>
  <c r="H58" i="24"/>
  <c r="D58" i="24"/>
  <c r="G34" i="24"/>
  <c r="G32" i="24"/>
  <c r="G30" i="24"/>
  <c r="G65" i="24"/>
  <c r="C65" i="24"/>
  <c r="G64" i="24"/>
  <c r="C64" i="24"/>
  <c r="G63" i="24"/>
  <c r="C63" i="24"/>
  <c r="G62" i="24"/>
  <c r="C62" i="24"/>
  <c r="G61" i="24"/>
  <c r="C61" i="24"/>
  <c r="G60" i="24"/>
  <c r="C60" i="24"/>
  <c r="G58" i="24"/>
  <c r="F34" i="24"/>
  <c r="F32" i="24"/>
  <c r="F30" i="24"/>
  <c r="G19" i="24"/>
  <c r="F19" i="24"/>
  <c r="G21" i="24"/>
  <c r="G20" i="24"/>
  <c r="G16" i="24"/>
  <c r="F20" i="24"/>
  <c r="F16" i="24"/>
  <c r="X71" i="24"/>
  <c r="X72" i="24"/>
  <c r="X73" i="24"/>
  <c r="X74" i="24"/>
  <c r="X75" i="24"/>
  <c r="X76" i="24"/>
  <c r="X77" i="24"/>
  <c r="X78" i="24"/>
  <c r="X79" i="24"/>
  <c r="Y79" i="24"/>
  <c r="Y71" i="24"/>
  <c r="Y72" i="24"/>
  <c r="Y73" i="24"/>
  <c r="Y74" i="24"/>
  <c r="Y75" i="24"/>
  <c r="Y76" i="24"/>
  <c r="Y77" i="24"/>
  <c r="Y78" i="24"/>
  <c r="Y80" i="24"/>
  <c r="X81" i="24"/>
  <c r="Y81" i="24"/>
  <c r="X80" i="24"/>
  <c r="G49" i="24"/>
  <c r="G47" i="24"/>
  <c r="G45" i="24"/>
  <c r="G43" i="24"/>
  <c r="F47" i="24"/>
  <c r="F45" i="24"/>
  <c r="F43" i="24"/>
  <c r="G48" i="24"/>
  <c r="G46" i="24"/>
  <c r="G44" i="24"/>
  <c r="G42" i="24"/>
  <c r="F48" i="24"/>
  <c r="F46" i="24"/>
  <c r="F44" i="24"/>
  <c r="F42" i="24"/>
  <c r="B28" i="34"/>
  <c r="B98" i="34"/>
  <c r="B21" i="34"/>
  <c r="B60" i="34"/>
  <c r="B44" i="34"/>
  <c r="W2" i="34"/>
  <c r="C35" i="34"/>
  <c r="C98" i="34"/>
  <c r="C60" i="34"/>
  <c r="C14" i="34"/>
  <c r="C28" i="34"/>
  <c r="A34" i="34"/>
  <c r="A13" i="34"/>
  <c r="A27" i="34"/>
  <c r="A20" i="34"/>
  <c r="C44" i="34"/>
  <c r="C21" i="34"/>
  <c r="A97" i="34"/>
  <c r="X10" i="34"/>
  <c r="C36" i="24" l="1"/>
  <c r="B36" i="24"/>
  <c r="B59" i="24"/>
  <c r="B57" i="24"/>
  <c r="B63" i="24"/>
  <c r="F49" i="24"/>
  <c r="J65" i="24"/>
  <c r="F35" i="24"/>
  <c r="F21" i="24"/>
  <c r="Y82" i="24"/>
  <c r="X82" i="24"/>
  <c r="A43" i="34"/>
  <c r="A59" i="34" s="1"/>
  <c r="Q1" i="32" l="1"/>
  <c r="P1" i="32"/>
  <c r="R1" i="32" s="1"/>
  <c r="W3" i="16"/>
  <c r="O3" i="14"/>
  <c r="Z3" i="12"/>
  <c r="P3" i="13"/>
  <c r="X10" i="4"/>
  <c r="A42" i="4" l="1"/>
  <c r="A151" i="4"/>
  <c r="A21" i="4"/>
  <c r="A27" i="4"/>
  <c r="M28" i="4" s="1"/>
  <c r="A18" i="4"/>
  <c r="A89" i="4"/>
  <c r="J65" i="4" s="1"/>
  <c r="S1" i="32"/>
  <c r="A55" i="4"/>
  <c r="A15" i="4"/>
  <c r="A129" i="4"/>
  <c r="W3" i="5" l="1"/>
  <c r="W2" i="5"/>
  <c r="P67" i="5" l="1"/>
  <c r="Q68" i="5"/>
  <c r="A114" i="5"/>
  <c r="A66" i="5"/>
  <c r="X65" i="5"/>
  <c r="X113" i="5"/>
  <c r="X10" i="5"/>
  <c r="A11" i="5" l="1"/>
  <c r="AB37" i="5"/>
  <c r="AB36" i="5"/>
  <c r="AB35" i="5"/>
  <c r="AB34" i="5"/>
  <c r="AB33" i="5"/>
  <c r="AB32" i="5"/>
  <c r="AB31" i="5"/>
  <c r="AB30" i="5"/>
  <c r="AB29" i="5"/>
  <c r="AB28" i="5"/>
  <c r="AB27" i="5"/>
  <c r="AB26" i="5"/>
  <c r="AB25" i="5"/>
  <c r="AB24" i="5"/>
  <c r="AB23" i="5"/>
  <c r="AB22" i="5"/>
  <c r="AB21" i="5"/>
  <c r="AB20" i="5"/>
  <c r="AB19" i="5"/>
  <c r="AB18" i="5"/>
  <c r="AB17" i="5"/>
  <c r="AB16" i="5"/>
  <c r="AB15" i="5"/>
  <c r="AB14" i="5"/>
  <c r="AB13" i="5"/>
  <c r="AB12" i="5"/>
  <c r="AB11" i="5"/>
  <c r="AB10" i="5"/>
  <c r="AB9" i="5"/>
  <c r="AB8" i="5"/>
  <c r="AB37" i="4"/>
  <c r="AB36" i="4"/>
  <c r="AB35" i="4"/>
  <c r="AB34" i="4"/>
  <c r="AB33" i="4"/>
  <c r="AB32" i="4"/>
  <c r="AB31" i="4"/>
  <c r="AB30" i="4"/>
  <c r="AB29" i="4"/>
  <c r="AB28" i="4"/>
  <c r="AB27" i="4"/>
  <c r="AB26" i="4"/>
  <c r="AB25" i="4"/>
  <c r="AB24" i="4"/>
  <c r="AB23" i="4"/>
  <c r="AB22" i="4"/>
  <c r="AB21" i="4"/>
  <c r="AB20" i="4"/>
  <c r="AB19" i="4"/>
  <c r="AB18" i="4"/>
  <c r="AB17" i="4"/>
  <c r="AB16" i="4"/>
  <c r="AB15" i="4"/>
  <c r="AB14" i="4"/>
  <c r="AB13" i="4"/>
  <c r="AB12" i="4"/>
  <c r="AB11" i="4"/>
  <c r="AB10" i="4"/>
  <c r="AB9" i="4"/>
  <c r="Z6" i="29"/>
  <c r="AC9" i="29"/>
  <c r="AC10" i="29"/>
  <c r="AC11" i="29"/>
  <c r="AC12" i="29"/>
  <c r="AC13" i="29"/>
  <c r="AC14" i="29"/>
  <c r="AC15" i="29"/>
  <c r="AC16" i="29"/>
  <c r="AC17" i="29"/>
  <c r="AC18" i="29"/>
  <c r="AC20" i="29"/>
  <c r="AC21" i="29"/>
  <c r="AC22" i="29"/>
  <c r="AC23" i="29"/>
  <c r="AC24" i="29"/>
  <c r="AC25" i="29"/>
  <c r="AC26" i="29"/>
  <c r="AC27" i="29"/>
  <c r="AC28" i="29"/>
  <c r="AC29" i="29"/>
  <c r="AC30" i="29"/>
  <c r="AC31" i="29"/>
  <c r="AC32" i="29"/>
  <c r="AC33" i="29"/>
  <c r="AC34" i="29"/>
  <c r="AC35" i="29"/>
  <c r="AC36" i="29"/>
  <c r="AC37" i="29"/>
  <c r="AC38" i="29"/>
  <c r="AC8" i="29"/>
  <c r="U3" i="13" l="1"/>
  <c r="S3" i="13"/>
  <c r="AC4" i="29" l="1"/>
  <c r="AB3" i="5"/>
  <c r="AB3" i="4"/>
  <c r="AB4" i="5"/>
  <c r="AB4" i="4"/>
  <c r="AC3" i="29"/>
  <c r="Q1" i="13"/>
  <c r="P1" i="13"/>
  <c r="AC1" i="12"/>
  <c r="AC4" i="12" s="1"/>
  <c r="AB1" i="12"/>
  <c r="Q1" i="14"/>
  <c r="P1" i="14"/>
  <c r="L22" i="4"/>
  <c r="L21" i="4"/>
  <c r="L19" i="4"/>
  <c r="L18" i="4"/>
  <c r="L16" i="4"/>
  <c r="AB3" i="13"/>
  <c r="AB4" i="13" s="1"/>
  <c r="AB5" i="13" s="1"/>
  <c r="Z3" i="13"/>
  <c r="Y3" i="13"/>
  <c r="AA3" i="13"/>
  <c r="T4" i="14" l="1"/>
  <c r="T5" i="14"/>
  <c r="BF4" i="12"/>
  <c r="AD4" i="12"/>
  <c r="F4" i="14"/>
  <c r="F5" i="14"/>
  <c r="AE4" i="12"/>
  <c r="AI4" i="12"/>
  <c r="AI5" i="12"/>
  <c r="AS4" i="12"/>
  <c r="AC5" i="12"/>
  <c r="AE5" i="12" s="1"/>
  <c r="Q4" i="13"/>
  <c r="Q5" i="13"/>
  <c r="R4" i="13"/>
  <c r="R5" i="13"/>
  <c r="F3" i="14"/>
  <c r="AE1" i="12"/>
  <c r="AJ1" i="13"/>
  <c r="BG2" i="13" s="1"/>
  <c r="CL1" i="12"/>
  <c r="CK1" i="12"/>
  <c r="Q3" i="13"/>
  <c r="AC3" i="13" s="1"/>
  <c r="BJ1" i="12"/>
  <c r="BV1" i="12"/>
  <c r="S1" i="13"/>
  <c r="AD1" i="12"/>
  <c r="R1" i="13"/>
  <c r="Y10" i="29"/>
  <c r="A10" i="29" s="1"/>
  <c r="AH5" i="14" l="1" a="1"/>
  <c r="AH5" i="14" s="1"/>
  <c r="AI5" i="14" a="1"/>
  <c r="AI5" i="14" s="1"/>
  <c r="AS5" i="14"/>
  <c r="AF5" i="14" a="1"/>
  <c r="AF5" i="14" s="1"/>
  <c r="AG5" i="14" a="1"/>
  <c r="AG5" i="14" s="1"/>
  <c r="AP5" i="14"/>
  <c r="AE5" i="14" a="1"/>
  <c r="AE5" i="14" s="1"/>
  <c r="AP4" i="14"/>
  <c r="AE4" i="14" a="1"/>
  <c r="AE4" i="14" s="1"/>
  <c r="AS4" i="14"/>
  <c r="AH4" i="14" a="1"/>
  <c r="AH4" i="14" s="1"/>
  <c r="AI4" i="14" a="1"/>
  <c r="AI4" i="14" s="1"/>
  <c r="AG4" i="14" a="1"/>
  <c r="AG4" i="14" s="1"/>
  <c r="AF4" i="14" a="1"/>
  <c r="AF4" i="14" s="1"/>
  <c r="AC4" i="13"/>
  <c r="AC5" i="13" s="1"/>
  <c r="CS5" i="12"/>
  <c r="CT5" i="12" s="1"/>
  <c r="CU5" i="12"/>
  <c r="CX5" i="12"/>
  <c r="CR5" i="12"/>
  <c r="D5" i="12"/>
  <c r="CK4" i="12"/>
  <c r="CM5" i="12"/>
  <c r="CM4" i="12"/>
  <c r="CK5" i="12"/>
  <c r="AG4" i="12"/>
  <c r="AG5" i="12"/>
  <c r="AW4" i="12"/>
  <c r="CR4" i="12"/>
  <c r="CS4" i="12"/>
  <c r="CT4" i="12" s="1"/>
  <c r="D4" i="12"/>
  <c r="CU4" i="12"/>
  <c r="CX4" i="12"/>
  <c r="AD5" i="12"/>
  <c r="BF5" i="12"/>
  <c r="AS5" i="12"/>
  <c r="AW5" i="12"/>
  <c r="I103" i="29"/>
  <c r="I77" i="29"/>
  <c r="I55" i="29"/>
  <c r="I31" i="29"/>
  <c r="I10" i="29"/>
  <c r="A77" i="29"/>
  <c r="AT1" i="13"/>
  <c r="AU1" i="13" s="1"/>
  <c r="AX2" i="13"/>
  <c r="AL2" i="13"/>
  <c r="AW2" i="13"/>
  <c r="AK2" i="13"/>
  <c r="AV2" i="13"/>
  <c r="AJ2" i="13"/>
  <c r="AU2" i="13"/>
  <c r="BF2" i="13"/>
  <c r="AT2" i="13"/>
  <c r="BE2" i="13"/>
  <c r="AS2" i="13"/>
  <c r="BD2" i="13"/>
  <c r="AR2" i="13"/>
  <c r="BB2" i="13"/>
  <c r="AO2" i="13"/>
  <c r="AP2" i="13"/>
  <c r="AY2" i="13"/>
  <c r="BC2" i="13"/>
  <c r="AN2" i="13"/>
  <c r="AQ2" i="13"/>
  <c r="AZ2" i="13"/>
  <c r="AM2" i="13"/>
  <c r="BA2" i="13"/>
  <c r="BT2" i="12"/>
  <c r="BP2" i="12"/>
  <c r="BL2" i="12"/>
  <c r="BJ2" i="12"/>
  <c r="BU2" i="12"/>
  <c r="BS2" i="12"/>
  <c r="BO2" i="12"/>
  <c r="BK2" i="12"/>
  <c r="BQ2" i="12"/>
  <c r="BM2" i="12"/>
  <c r="BR2" i="12"/>
  <c r="BN2" i="12"/>
  <c r="CG2" i="12"/>
  <c r="CC2" i="12"/>
  <c r="BY2" i="12"/>
  <c r="CD2" i="12"/>
  <c r="CF2" i="12"/>
  <c r="CB2" i="12"/>
  <c r="BX2" i="12"/>
  <c r="BZ2" i="12"/>
  <c r="CE2" i="12"/>
  <c r="CA2" i="12"/>
  <c r="BW2" i="12"/>
  <c r="BV2" i="12"/>
  <c r="CF1" i="12"/>
  <c r="CG1" i="12" s="1"/>
  <c r="BT1" i="12"/>
  <c r="BU1" i="12" s="1"/>
  <c r="A31" i="29"/>
  <c r="Q103" i="29"/>
  <c r="Q55" i="29"/>
  <c r="Q10" i="29"/>
  <c r="A55" i="29"/>
  <c r="Q31" i="29"/>
  <c r="A103" i="29"/>
  <c r="Q77" i="29"/>
  <c r="BH4" i="12"/>
  <c r="BZ5" i="12" l="1"/>
  <c r="BZ4" i="12"/>
  <c r="BU5" i="12"/>
  <c r="BU4" i="12"/>
  <c r="BS4" i="12"/>
  <c r="BS5" i="12"/>
  <c r="AR4" i="13"/>
  <c r="AR5" i="13"/>
  <c r="BQ5" i="12"/>
  <c r="BQ4" i="12"/>
  <c r="BX5" i="12"/>
  <c r="BX4" i="12"/>
  <c r="BW4" i="12"/>
  <c r="BW5" i="12"/>
  <c r="BC4" i="13"/>
  <c r="BC5" i="13"/>
  <c r="CE5" i="12"/>
  <c r="CE4" i="12"/>
  <c r="CD5" i="12"/>
  <c r="CD4" i="12"/>
  <c r="AS4" i="13"/>
  <c r="AS5" i="13"/>
  <c r="CA5" i="12"/>
  <c r="CA4" i="12"/>
  <c r="BK5" i="12"/>
  <c r="BK4" i="12"/>
  <c r="AY4" i="13"/>
  <c r="AY5" i="13"/>
  <c r="AW5" i="13"/>
  <c r="AW4" i="13"/>
  <c r="CB5" i="12"/>
  <c r="CB4" i="12"/>
  <c r="BY4" i="12"/>
  <c r="BY5" i="12"/>
  <c r="BT5" i="12"/>
  <c r="BT4" i="12"/>
  <c r="BE5" i="13"/>
  <c r="BE4" i="13"/>
  <c r="BO5" i="12"/>
  <c r="BO4" i="12"/>
  <c r="AP4" i="13"/>
  <c r="AP5" i="13"/>
  <c r="CF5" i="12"/>
  <c r="CF4" i="12"/>
  <c r="BG5" i="12"/>
  <c r="BP5" i="12"/>
  <c r="BP4" i="12"/>
  <c r="CC5" i="12"/>
  <c r="CC4" i="12"/>
  <c r="BA5" i="13"/>
  <c r="BA4" i="13"/>
  <c r="AT4" i="13"/>
  <c r="AT5" i="13"/>
  <c r="CO4" i="12"/>
  <c r="AL5" i="13"/>
  <c r="AL4" i="13"/>
  <c r="AX5" i="13"/>
  <c r="AX4" i="13"/>
  <c r="BJ4" i="12"/>
  <c r="BJ5" i="12"/>
  <c r="BL5" i="12"/>
  <c r="BL4" i="12"/>
  <c r="BD4" i="13"/>
  <c r="BD5" i="13"/>
  <c r="CG4" i="12"/>
  <c r="CG5" i="12"/>
  <c r="AM5" i="13"/>
  <c r="AM4" i="13"/>
  <c r="BF4" i="13"/>
  <c r="BF5" i="13"/>
  <c r="AO4" i="13"/>
  <c r="AO5" i="13"/>
  <c r="BB5" i="13"/>
  <c r="BB4" i="13"/>
  <c r="BN5" i="12"/>
  <c r="BN4" i="12"/>
  <c r="AZ5" i="13"/>
  <c r="AZ4" i="13"/>
  <c r="AU4" i="13"/>
  <c r="AU5" i="13"/>
  <c r="AK4" i="13"/>
  <c r="AK5" i="13"/>
  <c r="BR5" i="12"/>
  <c r="BR4" i="12"/>
  <c r="AQ5" i="13"/>
  <c r="AQ4" i="13"/>
  <c r="AJ5" i="13"/>
  <c r="AJ4" i="13"/>
  <c r="BV5" i="12"/>
  <c r="BV4" i="12"/>
  <c r="BM5" i="12"/>
  <c r="BM4" i="12"/>
  <c r="AN5" i="13"/>
  <c r="AN4" i="13"/>
  <c r="AV5" i="13"/>
  <c r="AV4" i="13"/>
  <c r="CO5" i="12"/>
  <c r="AI5" i="38"/>
  <c r="AI4" i="38"/>
  <c r="BG1" i="13"/>
  <c r="N38" i="4"/>
  <c r="N37" i="4"/>
  <c r="N36" i="4"/>
  <c r="N35" i="4"/>
  <c r="N34" i="4"/>
  <c r="N33" i="4"/>
  <c r="AC1" i="16"/>
  <c r="BG4" i="12"/>
  <c r="CQ4" i="12"/>
  <c r="BG4" i="13" l="1"/>
  <c r="BG5" i="13"/>
  <c r="BI4" i="12"/>
  <c r="CP5" i="12"/>
  <c r="BI5" i="12"/>
  <c r="AJ4" i="38"/>
  <c r="AJ5" i="38"/>
  <c r="BG3" i="13"/>
  <c r="AF1" i="16"/>
  <c r="CK1" i="16"/>
  <c r="CU1" i="16" s="1"/>
  <c r="BP1" i="16"/>
  <c r="AE1" i="16"/>
  <c r="P3" i="14"/>
  <c r="AQ3" i="12"/>
  <c r="AR3" i="12"/>
  <c r="AI3" i="16"/>
  <c r="AW3" i="16"/>
  <c r="AD3" i="16"/>
  <c r="Y6" i="24"/>
  <c r="X10" i="24"/>
  <c r="CP4" i="12"/>
  <c r="AF5" i="46" l="1"/>
  <c r="AX5" i="12"/>
  <c r="X5" i="12" s="1"/>
  <c r="DA5" i="12" s="1"/>
  <c r="AX4" i="12"/>
  <c r="X4" i="12" s="1"/>
  <c r="DA4" i="12" s="1"/>
  <c r="AF4" i="46"/>
  <c r="S4" i="14"/>
  <c r="S5" i="14"/>
  <c r="S3" i="14"/>
  <c r="AF3" i="46"/>
  <c r="AX3" i="12"/>
  <c r="CK2" i="16"/>
  <c r="BP2" i="16"/>
  <c r="A13" i="24"/>
  <c r="A54" i="24"/>
  <c r="A39" i="24"/>
  <c r="A24" i="24"/>
  <c r="W55" i="24"/>
  <c r="W69" i="24"/>
  <c r="V3" i="16"/>
  <c r="AT3" i="12"/>
  <c r="CA2" i="16"/>
  <c r="BV2" i="16"/>
  <c r="BY2" i="16"/>
  <c r="BX2" i="16"/>
  <c r="BQ2" i="16"/>
  <c r="BW2" i="16"/>
  <c r="BT2" i="16"/>
  <c r="BU2" i="16"/>
  <c r="BZ1" i="16"/>
  <c r="CA1" i="16" s="1"/>
  <c r="BR2" i="16"/>
  <c r="BZ2" i="16"/>
  <c r="BS2" i="16"/>
  <c r="CL2" i="16"/>
  <c r="CS2" i="16"/>
  <c r="CO2" i="16"/>
  <c r="CR2" i="16"/>
  <c r="CN2" i="16"/>
  <c r="CV2" i="16"/>
  <c r="CU2" i="16"/>
  <c r="CQ2" i="16"/>
  <c r="CM2" i="16"/>
  <c r="CT2" i="16"/>
  <c r="CP2" i="16"/>
  <c r="CJ3" i="12"/>
  <c r="AC3" i="12" s="1"/>
  <c r="AE3" i="12" s="1"/>
  <c r="CI3" i="12"/>
  <c r="Y3" i="12" s="1"/>
  <c r="AU3" i="14"/>
  <c r="CC3" i="16"/>
  <c r="X3" i="13"/>
  <c r="CH3" i="12"/>
  <c r="BJ3" i="16"/>
  <c r="AK3" i="12"/>
  <c r="AZ3" i="12"/>
  <c r="AL3" i="12"/>
  <c r="V3" i="13"/>
  <c r="BA3" i="16"/>
  <c r="E30" i="24"/>
  <c r="E34" i="24"/>
  <c r="D32" i="24"/>
  <c r="E31" i="24"/>
  <c r="D33" i="24"/>
  <c r="E32" i="24"/>
  <c r="D30" i="24"/>
  <c r="D34" i="24"/>
  <c r="E33" i="24"/>
  <c r="D31" i="24"/>
  <c r="E16" i="24"/>
  <c r="E21" i="24"/>
  <c r="E19" i="24"/>
  <c r="D20" i="24"/>
  <c r="E20" i="24"/>
  <c r="D19" i="24"/>
  <c r="E35" i="24"/>
  <c r="R3" i="14"/>
  <c r="AH3" i="13"/>
  <c r="AU3" i="16"/>
  <c r="BF3" i="16"/>
  <c r="AR5" i="14" l="1"/>
  <c r="AT5" i="14" s="1"/>
  <c r="AO5" i="14"/>
  <c r="AQ5" i="14" s="1"/>
  <c r="AR4" i="14"/>
  <c r="AT4" i="14" s="1"/>
  <c r="AO4" i="14"/>
  <c r="AQ4" i="14" s="1"/>
  <c r="AF4" i="12"/>
  <c r="AN4" i="12" s="1"/>
  <c r="AM4" i="12"/>
  <c r="AP4" i="12" s="1"/>
  <c r="AF5" i="12"/>
  <c r="AM5" i="12"/>
  <c r="C101" i="49"/>
  <c r="Q132" i="49"/>
  <c r="C46" i="49"/>
  <c r="C77" i="49"/>
  <c r="AC113" i="35"/>
  <c r="C48" i="49"/>
  <c r="E46" i="49"/>
  <c r="E48" i="49"/>
  <c r="C49" i="49"/>
  <c r="E49" i="49"/>
  <c r="E77" i="49"/>
  <c r="AA84" i="49"/>
  <c r="J132" i="49"/>
  <c r="H180" i="49"/>
  <c r="I132" i="49"/>
  <c r="D180" i="49"/>
  <c r="H132" i="49"/>
  <c r="N180" i="49"/>
  <c r="F180" i="49"/>
  <c r="M132" i="49"/>
  <c r="C132" i="49"/>
  <c r="G132" i="49"/>
  <c r="E180" i="49"/>
  <c r="N132" i="49"/>
  <c r="G180" i="49"/>
  <c r="K180" i="49"/>
  <c r="L132" i="49"/>
  <c r="F132" i="49"/>
  <c r="L180" i="49"/>
  <c r="E132" i="49"/>
  <c r="K132" i="49"/>
  <c r="J180" i="49"/>
  <c r="C180" i="49"/>
  <c r="D132" i="49"/>
  <c r="M180" i="49"/>
  <c r="I180" i="49"/>
  <c r="Z84" i="49"/>
  <c r="Z115" i="35"/>
  <c r="AG115" i="35"/>
  <c r="AC112" i="35"/>
  <c r="AD112" i="35"/>
  <c r="AA115" i="35"/>
  <c r="AD113" i="35"/>
  <c r="C149" i="35"/>
  <c r="AC114" i="35"/>
  <c r="AF148" i="35"/>
  <c r="AD114" i="35"/>
  <c r="AG148" i="35"/>
  <c r="AC115" i="35"/>
  <c r="AD115" i="35"/>
  <c r="Z112" i="35"/>
  <c r="AA112" i="35"/>
  <c r="Z113" i="35"/>
  <c r="AG114" i="35"/>
  <c r="AA113" i="35"/>
  <c r="AF115" i="35"/>
  <c r="Z114" i="35"/>
  <c r="AA114" i="35"/>
  <c r="AF112" i="35"/>
  <c r="AG112" i="35"/>
  <c r="AF113" i="35"/>
  <c r="AG113" i="35"/>
  <c r="AF114" i="35"/>
  <c r="AC84" i="49"/>
  <c r="AA79" i="49"/>
  <c r="E79" i="49" s="1"/>
  <c r="AA85" i="49"/>
  <c r="Z78" i="49"/>
  <c r="C78" i="49" s="1"/>
  <c r="Z85" i="49"/>
  <c r="Z79" i="49"/>
  <c r="C79" i="49" s="1"/>
  <c r="AF81" i="49"/>
  <c r="AC75" i="49"/>
  <c r="AA76" i="49"/>
  <c r="Z83" i="49"/>
  <c r="C83" i="49" s="1"/>
  <c r="AA83" i="49"/>
  <c r="E83" i="49" s="1"/>
  <c r="AA82" i="49"/>
  <c r="Z82" i="49"/>
  <c r="AA81" i="49"/>
  <c r="Z81" i="49"/>
  <c r="AA80" i="49"/>
  <c r="E80" i="49" s="1"/>
  <c r="Z80" i="49"/>
  <c r="C80" i="49" s="1"/>
  <c r="Z147" i="35"/>
  <c r="AD148" i="35"/>
  <c r="AC148" i="35"/>
  <c r="AA148" i="35"/>
  <c r="Z148" i="35"/>
  <c r="AK4" i="38"/>
  <c r="AK5" i="38"/>
  <c r="AG5" i="38"/>
  <c r="AG4" i="38"/>
  <c r="AJ35" i="49"/>
  <c r="AJ37" i="49"/>
  <c r="D151" i="35"/>
  <c r="I173" i="49"/>
  <c r="E157" i="49"/>
  <c r="J182" i="49"/>
  <c r="F165" i="49"/>
  <c r="G173" i="49"/>
  <c r="C157" i="49"/>
  <c r="H182" i="49"/>
  <c r="D165" i="49"/>
  <c r="E173" i="49"/>
  <c r="M156" i="49"/>
  <c r="F182" i="49"/>
  <c r="N164" i="49"/>
  <c r="C173" i="49"/>
  <c r="K156" i="49"/>
  <c r="D182" i="49"/>
  <c r="L164" i="49"/>
  <c r="C174" i="49"/>
  <c r="K157" i="49"/>
  <c r="F184" i="49"/>
  <c r="N166" i="49"/>
  <c r="J150" i="49"/>
  <c r="E176" i="49"/>
  <c r="M159" i="49"/>
  <c r="H186" i="49"/>
  <c r="D169" i="49"/>
  <c r="L152" i="49"/>
  <c r="G178" i="49"/>
  <c r="C162" i="49"/>
  <c r="F171" i="49"/>
  <c r="N154" i="49"/>
  <c r="G121" i="49"/>
  <c r="D138" i="49"/>
  <c r="M118" i="49"/>
  <c r="N134" i="49"/>
  <c r="M134" i="49"/>
  <c r="C102" i="49"/>
  <c r="C105" i="49"/>
  <c r="D134" i="49"/>
  <c r="F108" i="49"/>
  <c r="J111" i="49"/>
  <c r="M123" i="49"/>
  <c r="L107" i="49"/>
  <c r="N127" i="49"/>
  <c r="M111" i="49"/>
  <c r="L111" i="49"/>
  <c r="C136" i="49"/>
  <c r="N114" i="49"/>
  <c r="M135" i="49"/>
  <c r="K134" i="49"/>
  <c r="K117" i="49"/>
  <c r="D107" i="49"/>
  <c r="E125" i="49"/>
  <c r="D109" i="49"/>
  <c r="F150" i="49"/>
  <c r="G172" i="49"/>
  <c r="C156" i="49"/>
  <c r="H181" i="49"/>
  <c r="D164" i="49"/>
  <c r="E172" i="49"/>
  <c r="M155" i="49"/>
  <c r="F181" i="49"/>
  <c r="N163" i="49"/>
  <c r="C172" i="49"/>
  <c r="K155" i="49"/>
  <c r="D181" i="49"/>
  <c r="L163" i="49"/>
  <c r="M171" i="49"/>
  <c r="I155" i="49"/>
  <c r="N179" i="49"/>
  <c r="J163" i="49"/>
  <c r="M172" i="49"/>
  <c r="I156" i="49"/>
  <c r="D183" i="49"/>
  <c r="L165" i="49"/>
  <c r="C175" i="49"/>
  <c r="K158" i="49"/>
  <c r="F185" i="49"/>
  <c r="N167" i="49"/>
  <c r="J151" i="49"/>
  <c r="E177" i="49"/>
  <c r="M160" i="49"/>
  <c r="H187" i="49"/>
  <c r="D170" i="49"/>
  <c r="L153" i="49"/>
  <c r="F107" i="49"/>
  <c r="F135" i="49"/>
  <c r="J121" i="49"/>
  <c r="I110" i="49"/>
  <c r="L124" i="49"/>
  <c r="E130" i="49"/>
  <c r="E137" i="49"/>
  <c r="H120" i="49"/>
  <c r="G104" i="49"/>
  <c r="K107" i="49"/>
  <c r="M138" i="49"/>
  <c r="K139" i="49"/>
  <c r="L122" i="49"/>
  <c r="K106" i="49"/>
  <c r="M126" i="49"/>
  <c r="E171" i="49"/>
  <c r="M154" i="49"/>
  <c r="F179" i="49"/>
  <c r="N162" i="49"/>
  <c r="C171" i="49"/>
  <c r="K154" i="49"/>
  <c r="D179" i="49"/>
  <c r="L162" i="49"/>
  <c r="M170" i="49"/>
  <c r="I154" i="49"/>
  <c r="N178" i="49"/>
  <c r="J162" i="49"/>
  <c r="K170" i="49"/>
  <c r="G154" i="49"/>
  <c r="L178" i="49"/>
  <c r="H162" i="49"/>
  <c r="C149" i="49"/>
  <c r="K171" i="49"/>
  <c r="G155" i="49"/>
  <c r="N181" i="49"/>
  <c r="J164" i="49"/>
  <c r="M173" i="49"/>
  <c r="I157" i="49"/>
  <c r="D184" i="49"/>
  <c r="L166" i="49"/>
  <c r="C176" i="49"/>
  <c r="K159" i="49"/>
  <c r="F186" i="49"/>
  <c r="N168" i="49"/>
  <c r="J152" i="49"/>
  <c r="E107" i="49"/>
  <c r="J127" i="49"/>
  <c r="I105" i="49"/>
  <c r="I102" i="49"/>
  <c r="D118" i="49"/>
  <c r="L126" i="49"/>
  <c r="N125" i="49"/>
  <c r="G123" i="49"/>
  <c r="G109" i="49"/>
  <c r="M129" i="49"/>
  <c r="C104" i="49"/>
  <c r="K136" i="49"/>
  <c r="J138" i="49"/>
  <c r="K121" i="49"/>
  <c r="J105" i="49"/>
  <c r="L125" i="49"/>
  <c r="K109" i="49"/>
  <c r="J109" i="49"/>
  <c r="N131" i="49"/>
  <c r="L112" i="49"/>
  <c r="K129" i="49"/>
  <c r="J131" i="49"/>
  <c r="K115" i="49"/>
  <c r="G187" i="49"/>
  <c r="C170" i="49"/>
  <c r="K153" i="49"/>
  <c r="D178" i="49"/>
  <c r="L161" i="49"/>
  <c r="E187" i="49"/>
  <c r="M169" i="49"/>
  <c r="I153" i="49"/>
  <c r="N177" i="49"/>
  <c r="J161" i="49"/>
  <c r="C187" i="49"/>
  <c r="K169" i="49"/>
  <c r="G153" i="49"/>
  <c r="L177" i="49"/>
  <c r="H161" i="49"/>
  <c r="M186" i="49"/>
  <c r="I169" i="49"/>
  <c r="E153" i="49"/>
  <c r="J177" i="49"/>
  <c r="F161" i="49"/>
  <c r="M187" i="49"/>
  <c r="I170" i="49"/>
  <c r="E154" i="49"/>
  <c r="L179" i="49"/>
  <c r="H163" i="49"/>
  <c r="K172" i="49"/>
  <c r="G156" i="49"/>
  <c r="N182" i="49"/>
  <c r="J165" i="49"/>
  <c r="M174" i="49"/>
  <c r="I158" i="49"/>
  <c r="D185" i="49"/>
  <c r="L167" i="49"/>
  <c r="H151" i="49"/>
  <c r="I120" i="49"/>
  <c r="C128" i="49"/>
  <c r="N135" i="49"/>
  <c r="M109" i="49"/>
  <c r="L123" i="49"/>
  <c r="F120" i="49"/>
  <c r="D105" i="49"/>
  <c r="L129" i="49"/>
  <c r="N116" i="49"/>
  <c r="D139" i="49"/>
  <c r="I134" i="49"/>
  <c r="I137" i="49"/>
  <c r="J120" i="49"/>
  <c r="I104" i="49"/>
  <c r="K124" i="49"/>
  <c r="J108" i="49"/>
  <c r="I108" i="49"/>
  <c r="N129" i="49"/>
  <c r="K111" i="49"/>
  <c r="H126" i="49"/>
  <c r="K130" i="49"/>
  <c r="J114" i="49"/>
  <c r="L130" i="49"/>
  <c r="M137" i="49"/>
  <c r="E186" i="49"/>
  <c r="M168" i="49"/>
  <c r="I152" i="49"/>
  <c r="N176" i="49"/>
  <c r="J160" i="49"/>
  <c r="C186" i="49"/>
  <c r="K168" i="49"/>
  <c r="G152" i="49"/>
  <c r="L176" i="49"/>
  <c r="H160" i="49"/>
  <c r="M185" i="49"/>
  <c r="I168" i="49"/>
  <c r="E152" i="49"/>
  <c r="J176" i="49"/>
  <c r="F160" i="49"/>
  <c r="K185" i="49"/>
  <c r="G168" i="49"/>
  <c r="C152" i="49"/>
  <c r="H176" i="49"/>
  <c r="D160" i="49"/>
  <c r="K186" i="49"/>
  <c r="G169" i="49"/>
  <c r="C153" i="49"/>
  <c r="J178" i="49"/>
  <c r="F162" i="49"/>
  <c r="I171" i="49"/>
  <c r="E155" i="49"/>
  <c r="L181" i="49"/>
  <c r="H164" i="49"/>
  <c r="K173" i="49"/>
  <c r="G157" i="49"/>
  <c r="N183" i="49"/>
  <c r="J166" i="49"/>
  <c r="L131" i="49"/>
  <c r="M110" i="49"/>
  <c r="I121" i="49"/>
  <c r="C135" i="49"/>
  <c r="F138" i="49"/>
  <c r="D121" i="49"/>
  <c r="L108" i="49"/>
  <c r="I139" i="49"/>
  <c r="F116" i="49"/>
  <c r="C137" i="49"/>
  <c r="M131" i="49"/>
  <c r="C185" i="49"/>
  <c r="K167" i="49"/>
  <c r="G151" i="49"/>
  <c r="L175" i="49"/>
  <c r="H159" i="49"/>
  <c r="M184" i="49"/>
  <c r="I167" i="49"/>
  <c r="E151" i="49"/>
  <c r="J175" i="49"/>
  <c r="F159" i="49"/>
  <c r="K184" i="49"/>
  <c r="G167" i="49"/>
  <c r="C151" i="49"/>
  <c r="H175" i="49"/>
  <c r="D159" i="49"/>
  <c r="I184" i="49"/>
  <c r="E167" i="49"/>
  <c r="F175" i="49"/>
  <c r="N158" i="49"/>
  <c r="I185" i="49"/>
  <c r="E168" i="49"/>
  <c r="M151" i="49"/>
  <c r="H177" i="49"/>
  <c r="D161" i="49"/>
  <c r="K187" i="49"/>
  <c r="G170" i="49"/>
  <c r="C154" i="49"/>
  <c r="J179" i="49"/>
  <c r="F163" i="49"/>
  <c r="I172" i="49"/>
  <c r="E156" i="49"/>
  <c r="L182" i="49"/>
  <c r="H165" i="49"/>
  <c r="D131" i="49"/>
  <c r="C124" i="49"/>
  <c r="L113" i="49"/>
  <c r="J126" i="49"/>
  <c r="D130" i="49"/>
  <c r="E117" i="49"/>
  <c r="J139" i="49"/>
  <c r="G136" i="49"/>
  <c r="G139" i="49"/>
  <c r="K112" i="49"/>
  <c r="K128" i="49"/>
  <c r="G128" i="49"/>
  <c r="G135" i="49"/>
  <c r="F118" i="49"/>
  <c r="J102" i="49"/>
  <c r="I122" i="49"/>
  <c r="H106" i="49"/>
  <c r="G106" i="49"/>
  <c r="L127" i="49"/>
  <c r="I109" i="49"/>
  <c r="M183" i="49"/>
  <c r="I166" i="49"/>
  <c r="E150" i="49"/>
  <c r="J174" i="49"/>
  <c r="F158" i="49"/>
  <c r="K183" i="49"/>
  <c r="G166" i="49"/>
  <c r="C150" i="49"/>
  <c r="H174" i="49"/>
  <c r="D158" i="49"/>
  <c r="I183" i="49"/>
  <c r="E166" i="49"/>
  <c r="F174" i="49"/>
  <c r="N157" i="49"/>
  <c r="G183" i="49"/>
  <c r="C166" i="49"/>
  <c r="D174" i="49"/>
  <c r="L157" i="49"/>
  <c r="G184" i="49"/>
  <c r="C167" i="49"/>
  <c r="F176" i="49"/>
  <c r="N159" i="49"/>
  <c r="I186" i="49"/>
  <c r="E169" i="49"/>
  <c r="M152" i="49"/>
  <c r="H178" i="49"/>
  <c r="D162" i="49"/>
  <c r="G171" i="49"/>
  <c r="C155" i="49"/>
  <c r="J181" i="49"/>
  <c r="F164" i="49"/>
  <c r="H124" i="49"/>
  <c r="M114" i="49"/>
  <c r="H103" i="49"/>
  <c r="E118" i="49"/>
  <c r="G137" i="49"/>
  <c r="K113" i="49"/>
  <c r="M133" i="49"/>
  <c r="L133" i="49"/>
  <c r="F136" i="49"/>
  <c r="E139" i="49"/>
  <c r="M124" i="49"/>
  <c r="K119" i="49"/>
  <c r="F134" i="49"/>
  <c r="F117" i="49"/>
  <c r="H121" i="49"/>
  <c r="G105" i="49"/>
  <c r="K182" i="49"/>
  <c r="G165" i="49"/>
  <c r="H173" i="49"/>
  <c r="D157" i="49"/>
  <c r="I182" i="49"/>
  <c r="E165" i="49"/>
  <c r="F173" i="49"/>
  <c r="N156" i="49"/>
  <c r="G182" i="49"/>
  <c r="C165" i="49"/>
  <c r="D173" i="49"/>
  <c r="L156" i="49"/>
  <c r="E182" i="49"/>
  <c r="M164" i="49"/>
  <c r="N172" i="49"/>
  <c r="J156" i="49"/>
  <c r="E183" i="49"/>
  <c r="M165" i="49"/>
  <c r="D175" i="49"/>
  <c r="L158" i="49"/>
  <c r="G185" i="49"/>
  <c r="C168" i="49"/>
  <c r="K151" i="49"/>
  <c r="F177" i="49"/>
  <c r="N160" i="49"/>
  <c r="I187" i="49"/>
  <c r="E170" i="49"/>
  <c r="M153" i="49"/>
  <c r="H179" i="49"/>
  <c r="D163" i="49"/>
  <c r="J106" i="49"/>
  <c r="M127" i="49"/>
  <c r="H110" i="49"/>
  <c r="K127" i="49"/>
  <c r="L109" i="49"/>
  <c r="D129" i="49"/>
  <c r="C129" i="49"/>
  <c r="D133" i="49"/>
  <c r="D136" i="49"/>
  <c r="F122" i="49"/>
  <c r="J116" i="49"/>
  <c r="E133" i="49"/>
  <c r="G116" i="49"/>
  <c r="H139" i="49"/>
  <c r="G120" i="49"/>
  <c r="F104" i="49"/>
  <c r="E104" i="49"/>
  <c r="J125" i="49"/>
  <c r="G107" i="49"/>
  <c r="L118" i="49"/>
  <c r="G126" i="49"/>
  <c r="F110" i="49"/>
  <c r="L117" i="49"/>
  <c r="I133" i="49"/>
  <c r="K116" i="49"/>
  <c r="M120" i="49"/>
  <c r="F128" i="49"/>
  <c r="E112" i="49"/>
  <c r="H129" i="49"/>
  <c r="J137" i="49"/>
  <c r="K120" i="49"/>
  <c r="J104" i="49"/>
  <c r="G149" i="49"/>
  <c r="I181" i="49"/>
  <c r="E164" i="49"/>
  <c r="F172" i="49"/>
  <c r="N155" i="49"/>
  <c r="G181" i="49"/>
  <c r="C164" i="49"/>
  <c r="D172" i="49"/>
  <c r="L155" i="49"/>
  <c r="E181" i="49"/>
  <c r="M163" i="49"/>
  <c r="N171" i="49"/>
  <c r="J155" i="49"/>
  <c r="C181" i="49"/>
  <c r="K163" i="49"/>
  <c r="L171" i="49"/>
  <c r="H155" i="49"/>
  <c r="C182" i="49"/>
  <c r="K164" i="49"/>
  <c r="N173" i="49"/>
  <c r="J157" i="49"/>
  <c r="E184" i="49"/>
  <c r="M166" i="49"/>
  <c r="D176" i="49"/>
  <c r="L159" i="49"/>
  <c r="G186" i="49"/>
  <c r="C169" i="49"/>
  <c r="K152" i="49"/>
  <c r="F178" i="49"/>
  <c r="N161" i="49"/>
  <c r="E178" i="49"/>
  <c r="M161" i="49"/>
  <c r="F187" i="49"/>
  <c r="N169" i="49"/>
  <c r="J153" i="49"/>
  <c r="C178" i="49"/>
  <c r="K161" i="49"/>
  <c r="D187" i="49"/>
  <c r="L169" i="49"/>
  <c r="H153" i="49"/>
  <c r="M177" i="49"/>
  <c r="I161" i="49"/>
  <c r="N186" i="49"/>
  <c r="J169" i="49"/>
  <c r="F153" i="49"/>
  <c r="K177" i="49"/>
  <c r="G161" i="49"/>
  <c r="L186" i="49"/>
  <c r="H169" i="49"/>
  <c r="D153" i="49"/>
  <c r="K178" i="49"/>
  <c r="G162" i="49"/>
  <c r="J171" i="49"/>
  <c r="F155" i="49"/>
  <c r="M181" i="49"/>
  <c r="I164" i="49"/>
  <c r="L173" i="49"/>
  <c r="H157" i="49"/>
  <c r="C184" i="49"/>
  <c r="K166" i="49"/>
  <c r="G150" i="49"/>
  <c r="N175" i="49"/>
  <c r="J159" i="49"/>
  <c r="D117" i="49"/>
  <c r="L114" i="49"/>
  <c r="N110" i="49"/>
  <c r="H138" i="49"/>
  <c r="N117" i="49"/>
  <c r="D120" i="49"/>
  <c r="C120" i="49"/>
  <c r="J122" i="49"/>
  <c r="H125" i="49"/>
  <c r="I111" i="49"/>
  <c r="C109" i="49"/>
  <c r="E129" i="49"/>
  <c r="D113" i="49"/>
  <c r="E136" i="49"/>
  <c r="C117" i="49"/>
  <c r="D119" i="49"/>
  <c r="G122" i="49"/>
  <c r="D104" i="49"/>
  <c r="D123" i="49"/>
  <c r="C107" i="49"/>
  <c r="I112" i="49"/>
  <c r="I129" i="49"/>
  <c r="H113" i="49"/>
  <c r="K174" i="49"/>
  <c r="G158" i="49"/>
  <c r="L183" i="49"/>
  <c r="H166" i="49"/>
  <c r="D150" i="49"/>
  <c r="I174" i="49"/>
  <c r="E158" i="49"/>
  <c r="J183" i="49"/>
  <c r="F166" i="49"/>
  <c r="G174" i="49"/>
  <c r="C158" i="49"/>
  <c r="H183" i="49"/>
  <c r="D166" i="49"/>
  <c r="E174" i="49"/>
  <c r="M157" i="49"/>
  <c r="F183" i="49"/>
  <c r="N165" i="49"/>
  <c r="E175" i="49"/>
  <c r="M158" i="49"/>
  <c r="H185" i="49"/>
  <c r="D168" i="49"/>
  <c r="L151" i="49"/>
  <c r="G177" i="49"/>
  <c r="C161" i="49"/>
  <c r="J187" i="49"/>
  <c r="F170" i="49"/>
  <c r="N153" i="49"/>
  <c r="I179" i="49"/>
  <c r="E163" i="49"/>
  <c r="H172" i="49"/>
  <c r="D156" i="49"/>
  <c r="G179" i="49"/>
  <c r="F151" i="49"/>
  <c r="F152" i="49"/>
  <c r="H154" i="49"/>
  <c r="D167" i="49"/>
  <c r="H170" i="49"/>
  <c r="N174" i="49"/>
  <c r="E121" i="49"/>
  <c r="D106" i="49"/>
  <c r="H104" i="49"/>
  <c r="K133" i="49"/>
  <c r="H119" i="49"/>
  <c r="C118" i="49"/>
  <c r="E103" i="49"/>
  <c r="J110" i="49"/>
  <c r="M136" i="49"/>
  <c r="G111" i="49"/>
  <c r="F109" i="49"/>
  <c r="N120" i="49"/>
  <c r="I127" i="49"/>
  <c r="E127" i="49"/>
  <c r="C110" i="49"/>
  <c r="D125" i="49"/>
  <c r="F133" i="49"/>
  <c r="G115" i="49"/>
  <c r="D149" i="49"/>
  <c r="C103" i="49"/>
  <c r="M116" i="49"/>
  <c r="D116" i="49"/>
  <c r="H108" i="49"/>
  <c r="E109" i="49"/>
  <c r="L119" i="49"/>
  <c r="D126" i="49"/>
  <c r="N121" i="49"/>
  <c r="F114" i="49"/>
  <c r="G101" i="49"/>
  <c r="M149" i="49"/>
  <c r="C130" i="49"/>
  <c r="G118" i="49"/>
  <c r="I151" i="49"/>
  <c r="C127" i="49"/>
  <c r="H130" i="49"/>
  <c r="C177" i="49"/>
  <c r="E179" i="49"/>
  <c r="D151" i="49"/>
  <c r="D152" i="49"/>
  <c r="F154" i="49"/>
  <c r="F169" i="49"/>
  <c r="J172" i="49"/>
  <c r="D177" i="49"/>
  <c r="N128" i="49"/>
  <c r="F115" i="49"/>
  <c r="F102" i="49"/>
  <c r="L135" i="49"/>
  <c r="E108" i="49"/>
  <c r="I117" i="49"/>
  <c r="N107" i="49"/>
  <c r="F131" i="49"/>
  <c r="N149" i="49"/>
  <c r="F112" i="49"/>
  <c r="M106" i="49"/>
  <c r="G130" i="49"/>
  <c r="K101" i="49"/>
  <c r="K110" i="49"/>
  <c r="F101" i="49"/>
  <c r="C119" i="49"/>
  <c r="H135" i="49"/>
  <c r="M175" i="49"/>
  <c r="M176" i="49"/>
  <c r="C179" i="49"/>
  <c r="N151" i="49"/>
  <c r="H156" i="49"/>
  <c r="H171" i="49"/>
  <c r="L174" i="49"/>
  <c r="E135" i="49"/>
  <c r="I126" i="49"/>
  <c r="I125" i="49"/>
  <c r="H131" i="49"/>
  <c r="E114" i="49"/>
  <c r="C115" i="49"/>
  <c r="F139" i="49"/>
  <c r="F106" i="49"/>
  <c r="J133" i="49"/>
  <c r="D108" i="49"/>
  <c r="C106" i="49"/>
  <c r="J118" i="49"/>
  <c r="C125" i="49"/>
  <c r="I118" i="49"/>
  <c r="E113" i="49"/>
  <c r="M104" i="49"/>
  <c r="L154" i="49"/>
  <c r="E106" i="49"/>
  <c r="J113" i="49"/>
  <c r="C163" i="49"/>
  <c r="K175" i="49"/>
  <c r="K176" i="49"/>
  <c r="M178" i="49"/>
  <c r="D154" i="49"/>
  <c r="J158" i="49"/>
  <c r="J173" i="49"/>
  <c r="G124" i="49"/>
  <c r="N126" i="49"/>
  <c r="I123" i="49"/>
  <c r="G119" i="49"/>
  <c r="H114" i="49"/>
  <c r="C112" i="49"/>
  <c r="N112" i="49"/>
  <c r="E138" i="49"/>
  <c r="E105" i="49"/>
  <c r="J129" i="49"/>
  <c r="N104" i="49"/>
  <c r="N138" i="49"/>
  <c r="J117" i="49"/>
  <c r="N122" i="49"/>
  <c r="L105" i="49"/>
  <c r="I115" i="49"/>
  <c r="F129" i="49"/>
  <c r="D112" i="49"/>
  <c r="L149" i="49"/>
  <c r="L101" i="49"/>
  <c r="E128" i="49"/>
  <c r="K149" i="49"/>
  <c r="I124" i="49"/>
  <c r="E110" i="49"/>
  <c r="K105" i="49"/>
  <c r="F119" i="49"/>
  <c r="H128" i="49"/>
  <c r="J103" i="49"/>
  <c r="N170" i="49"/>
  <c r="F130" i="49"/>
  <c r="G127" i="49"/>
  <c r="E120" i="49"/>
  <c r="I130" i="49"/>
  <c r="G110" i="49"/>
  <c r="K160" i="49"/>
  <c r="M162" i="49"/>
  <c r="I175" i="49"/>
  <c r="I176" i="49"/>
  <c r="M179" i="49"/>
  <c r="N152" i="49"/>
  <c r="F156" i="49"/>
  <c r="L160" i="49"/>
  <c r="M117" i="49"/>
  <c r="D102" i="49"/>
  <c r="H105" i="49"/>
  <c r="M115" i="49"/>
  <c r="E111" i="49"/>
  <c r="N109" i="49"/>
  <c r="L110" i="49"/>
  <c r="D137" i="49"/>
  <c r="D103" i="49"/>
  <c r="I128" i="49"/>
  <c r="N103" i="49"/>
  <c r="L136" i="49"/>
  <c r="J115" i="49"/>
  <c r="M139" i="49"/>
  <c r="M121" i="49"/>
  <c r="K104" i="49"/>
  <c r="G113" i="49"/>
  <c r="C111" i="49"/>
  <c r="M101" i="49"/>
  <c r="F137" i="49"/>
  <c r="I135" i="49"/>
  <c r="N113" i="49"/>
  <c r="J135" i="49"/>
  <c r="J184" i="49"/>
  <c r="I106" i="49"/>
  <c r="F121" i="49"/>
  <c r="H133" i="49"/>
  <c r="H184" i="49"/>
  <c r="N118" i="49"/>
  <c r="G131" i="49"/>
  <c r="J170" i="49"/>
  <c r="J123" i="49"/>
  <c r="F113" i="49"/>
  <c r="I159" i="49"/>
  <c r="I160" i="49"/>
  <c r="K162" i="49"/>
  <c r="G175" i="49"/>
  <c r="I177" i="49"/>
  <c r="C183" i="49"/>
  <c r="D155" i="49"/>
  <c r="H158" i="49"/>
  <c r="C131" i="49"/>
  <c r="I138" i="49"/>
  <c r="M125" i="49"/>
  <c r="N111" i="49"/>
  <c r="N106" i="49"/>
  <c r="M108" i="49"/>
  <c r="I107" i="49"/>
  <c r="N133" i="49"/>
  <c r="E102" i="49"/>
  <c r="H127" i="49"/>
  <c r="M119" i="49"/>
  <c r="K135" i="49"/>
  <c r="I114" i="49"/>
  <c r="L138" i="49"/>
  <c r="L120" i="49"/>
  <c r="K103" i="49"/>
  <c r="D110" i="49"/>
  <c r="D127" i="49"/>
  <c r="N108" i="49"/>
  <c r="J149" i="49"/>
  <c r="N101" i="49"/>
  <c r="M107" i="49"/>
  <c r="H122" i="49"/>
  <c r="J130" i="49"/>
  <c r="M122" i="49"/>
  <c r="D135" i="49"/>
  <c r="C108" i="49"/>
  <c r="E162" i="49"/>
  <c r="J124" i="49"/>
  <c r="C121" i="49"/>
  <c r="H115" i="49"/>
  <c r="J167" i="49"/>
  <c r="F126" i="49"/>
  <c r="H167" i="49"/>
  <c r="N115" i="49"/>
  <c r="I113" i="49"/>
  <c r="E101" i="49"/>
  <c r="G159" i="49"/>
  <c r="G160" i="49"/>
  <c r="I162" i="49"/>
  <c r="G176" i="49"/>
  <c r="K179" i="49"/>
  <c r="E185" i="49"/>
  <c r="F157" i="49"/>
  <c r="D114" i="49"/>
  <c r="M130" i="49"/>
  <c r="F123" i="49"/>
  <c r="C133" i="49"/>
  <c r="L104" i="49"/>
  <c r="I103" i="49"/>
  <c r="F103" i="49"/>
  <c r="M128" i="49"/>
  <c r="C139" i="49"/>
  <c r="F125" i="49"/>
  <c r="N136" i="49"/>
  <c r="J134" i="49"/>
  <c r="G112" i="49"/>
  <c r="K137" i="49"/>
  <c r="J119" i="49"/>
  <c r="L102" i="49"/>
  <c r="M105" i="49"/>
  <c r="C126" i="49"/>
  <c r="I149" i="49"/>
  <c r="J112" i="49"/>
  <c r="C122" i="49"/>
  <c r="L137" i="49"/>
  <c r="N119" i="49"/>
  <c r="L139" i="49"/>
  <c r="L168" i="49"/>
  <c r="E115" i="49"/>
  <c r="E123" i="49"/>
  <c r="I119" i="49"/>
  <c r="L187" i="49"/>
  <c r="E122" i="49"/>
  <c r="D128" i="49"/>
  <c r="G114" i="49"/>
  <c r="H107" i="49"/>
  <c r="F127" i="49"/>
  <c r="D186" i="49"/>
  <c r="E159" i="49"/>
  <c r="E160" i="49"/>
  <c r="I163" i="49"/>
  <c r="I178" i="49"/>
  <c r="M182" i="49"/>
  <c r="C138" i="49"/>
  <c r="C114" i="49"/>
  <c r="E116" i="49"/>
  <c r="L128" i="49"/>
  <c r="M102" i="49"/>
  <c r="G138" i="49"/>
  <c r="G102" i="49"/>
  <c r="K126" i="49"/>
  <c r="K131" i="49"/>
  <c r="E124" i="49"/>
  <c r="L134" i="49"/>
  <c r="I131" i="49"/>
  <c r="F111" i="49"/>
  <c r="J136" i="49"/>
  <c r="H118" i="49"/>
  <c r="N139" i="49"/>
  <c r="L103" i="49"/>
  <c r="N123" i="49"/>
  <c r="L106" i="49"/>
  <c r="H149" i="49"/>
  <c r="H136" i="49"/>
  <c r="J128" i="49"/>
  <c r="D122" i="49"/>
  <c r="I116" i="49"/>
  <c r="I101" i="49"/>
  <c r="J185" i="49"/>
  <c r="C134" i="49"/>
  <c r="N105" i="49"/>
  <c r="L170" i="49"/>
  <c r="L115" i="49"/>
  <c r="H168" i="49"/>
  <c r="D124" i="49"/>
  <c r="F149" i="49"/>
  <c r="N184" i="49"/>
  <c r="N185" i="49"/>
  <c r="C159" i="49"/>
  <c r="E161" i="49"/>
  <c r="K165" i="49"/>
  <c r="K181" i="49"/>
  <c r="N130" i="49"/>
  <c r="C113" i="49"/>
  <c r="C116" i="49"/>
  <c r="F124" i="49"/>
  <c r="H117" i="49"/>
  <c r="J101" i="49"/>
  <c r="H123" i="49"/>
  <c r="H134" i="49"/>
  <c r="I165" i="49"/>
  <c r="M112" i="49"/>
  <c r="G133" i="49"/>
  <c r="H101" i="49"/>
  <c r="G164" i="49"/>
  <c r="H109" i="49"/>
  <c r="K114" i="49"/>
  <c r="I136" i="49"/>
  <c r="J186" i="49"/>
  <c r="D115" i="49"/>
  <c r="M103" i="49"/>
  <c r="D171" i="49"/>
  <c r="L184" i="49"/>
  <c r="L185" i="49"/>
  <c r="N187" i="49"/>
  <c r="C160" i="49"/>
  <c r="G163" i="49"/>
  <c r="M167" i="49"/>
  <c r="K123" i="49"/>
  <c r="E134" i="49"/>
  <c r="K108" i="49"/>
  <c r="E131" i="49"/>
  <c r="G125" i="49"/>
  <c r="L121" i="49"/>
  <c r="K125" i="49"/>
  <c r="K118" i="49"/>
  <c r="K138" i="49"/>
  <c r="J168" i="49"/>
  <c r="K122" i="49"/>
  <c r="L116" i="49"/>
  <c r="H152" i="49"/>
  <c r="J154" i="49"/>
  <c r="F167" i="49"/>
  <c r="F168" i="49"/>
  <c r="L172" i="49"/>
  <c r="G103" i="49"/>
  <c r="H137" i="49"/>
  <c r="G108" i="49"/>
  <c r="J107" i="49"/>
  <c r="N124" i="49"/>
  <c r="E119" i="49"/>
  <c r="F105" i="49"/>
  <c r="M113" i="49"/>
  <c r="N137" i="49"/>
  <c r="H112" i="49"/>
  <c r="H111" i="49"/>
  <c r="C123" i="49"/>
  <c r="N102" i="49"/>
  <c r="G129" i="49"/>
  <c r="D111" i="49"/>
  <c r="E126" i="49"/>
  <c r="G134" i="49"/>
  <c r="H116" i="49"/>
  <c r="E149" i="49"/>
  <c r="D101" i="49"/>
  <c r="G117" i="49"/>
  <c r="Q128" i="49"/>
  <c r="Q123" i="49"/>
  <c r="Q126" i="49"/>
  <c r="Q136" i="49"/>
  <c r="Q115" i="49"/>
  <c r="Q124" i="49"/>
  <c r="Q113" i="49"/>
  <c r="Q122" i="49"/>
  <c r="Q111" i="49"/>
  <c r="Q114" i="49"/>
  <c r="Q109" i="49"/>
  <c r="Q112" i="49"/>
  <c r="Q121" i="49"/>
  <c r="Q119" i="49"/>
  <c r="Q110" i="49"/>
  <c r="Q101" i="49"/>
  <c r="Q117" i="49"/>
  <c r="Q108" i="49"/>
  <c r="Q120" i="49"/>
  <c r="Q106" i="49"/>
  <c r="Q139" i="49"/>
  <c r="Q135" i="49"/>
  <c r="Q133" i="49"/>
  <c r="Q118" i="49"/>
  <c r="Q137" i="49"/>
  <c r="Q107" i="49"/>
  <c r="Q130" i="49"/>
  <c r="Q104" i="49"/>
  <c r="Q103" i="49"/>
  <c r="Q116" i="49"/>
  <c r="Q140" i="49"/>
  <c r="Q134" i="49"/>
  <c r="Q131" i="49"/>
  <c r="Q138" i="49"/>
  <c r="Q129" i="49"/>
  <c r="Q127" i="49"/>
  <c r="Q105" i="49"/>
  <c r="Z62" i="49"/>
  <c r="AD65" i="49"/>
  <c r="AD51" i="49"/>
  <c r="AD54" i="49"/>
  <c r="Z76" i="49"/>
  <c r="Z56" i="49"/>
  <c r="AC69" i="49"/>
  <c r="AF64" i="49"/>
  <c r="Z64" i="49"/>
  <c r="Z65" i="49"/>
  <c r="AC54" i="49"/>
  <c r="AJ31" i="49"/>
  <c r="AA68" i="49"/>
  <c r="AC71" i="49"/>
  <c r="AC70" i="49"/>
  <c r="AC76" i="49"/>
  <c r="AD74" i="49"/>
  <c r="AD76" i="49"/>
  <c r="AG65" i="49"/>
  <c r="AK32" i="49"/>
  <c r="AA55" i="49"/>
  <c r="AD56" i="49"/>
  <c r="AJ34" i="49"/>
  <c r="AJ63" i="49"/>
  <c r="AA72" i="49"/>
  <c r="AA58" i="49"/>
  <c r="AC68" i="49"/>
  <c r="AC53" i="49"/>
  <c r="AC55" i="49"/>
  <c r="AD72" i="49"/>
  <c r="AD64" i="49"/>
  <c r="AA71" i="49"/>
  <c r="AA64" i="49"/>
  <c r="AC59" i="49"/>
  <c r="Z58" i="49"/>
  <c r="Z75" i="49"/>
  <c r="Z54" i="49"/>
  <c r="AC63" i="49"/>
  <c r="AC67" i="49"/>
  <c r="AC74" i="49"/>
  <c r="AD70" i="49"/>
  <c r="AG62" i="49"/>
  <c r="AA78" i="49"/>
  <c r="E78" i="49" s="1"/>
  <c r="AF63" i="49"/>
  <c r="Z69" i="49"/>
  <c r="Z55" i="49"/>
  <c r="AJ32" i="49"/>
  <c r="AA61" i="49"/>
  <c r="Z61" i="49"/>
  <c r="AC72" i="49"/>
  <c r="AA75" i="49"/>
  <c r="Z52" i="49"/>
  <c r="AC64" i="49"/>
  <c r="AD71" i="49"/>
  <c r="AG50" i="49"/>
  <c r="AG64" i="49"/>
  <c r="AG61" i="49"/>
  <c r="Z68" i="49"/>
  <c r="AC65" i="49"/>
  <c r="AG57" i="49"/>
  <c r="AK31" i="49"/>
  <c r="AC58" i="49"/>
  <c r="AG53" i="49"/>
  <c r="AA51" i="49"/>
  <c r="AA57" i="49"/>
  <c r="AA67" i="49"/>
  <c r="Z57" i="49"/>
  <c r="AD62" i="49"/>
  <c r="AA62" i="49"/>
  <c r="AJ33" i="49"/>
  <c r="Z66" i="49"/>
  <c r="AA65" i="49"/>
  <c r="AF51" i="49"/>
  <c r="Z51" i="49"/>
  <c r="Z71" i="49"/>
  <c r="AA73" i="49"/>
  <c r="Z67" i="49"/>
  <c r="AA60" i="49"/>
  <c r="AD67" i="49"/>
  <c r="AG55" i="49"/>
  <c r="AF62" i="49"/>
  <c r="AF54" i="49"/>
  <c r="Z72" i="49"/>
  <c r="AF84" i="49"/>
  <c r="AF56" i="49"/>
  <c r="AA63" i="49"/>
  <c r="AA66" i="49"/>
  <c r="Z60" i="49"/>
  <c r="AC61" i="49"/>
  <c r="AG52" i="49"/>
  <c r="AF61" i="49"/>
  <c r="AC73" i="49"/>
  <c r="AG51" i="49"/>
  <c r="AD69" i="49"/>
  <c r="AG54" i="49"/>
  <c r="Z63" i="49"/>
  <c r="AC51" i="49"/>
  <c r="AF65" i="49"/>
  <c r="AG58" i="49"/>
  <c r="AD63" i="49"/>
  <c r="AA69" i="49"/>
  <c r="AC56" i="49"/>
  <c r="Z73" i="49"/>
  <c r="AG63" i="49"/>
  <c r="AK34" i="49"/>
  <c r="AA56" i="49"/>
  <c r="AG56" i="49"/>
  <c r="AG81" i="49"/>
  <c r="AD52" i="49"/>
  <c r="AF55" i="49"/>
  <c r="AD61" i="49"/>
  <c r="Z70" i="49"/>
  <c r="AD57" i="49"/>
  <c r="AC52" i="49"/>
  <c r="AG59" i="49"/>
  <c r="AA52" i="49"/>
  <c r="AF52" i="49"/>
  <c r="AK33" i="49"/>
  <c r="AD53" i="49"/>
  <c r="AD59" i="49"/>
  <c r="AD58" i="49"/>
  <c r="AG84" i="49"/>
  <c r="AD84" i="49"/>
  <c r="AF60" i="49"/>
  <c r="AC60" i="49"/>
  <c r="AD75" i="49"/>
  <c r="AG60" i="49"/>
  <c r="AI63" i="49"/>
  <c r="AD60" i="49"/>
  <c r="AA54" i="49"/>
  <c r="AD55" i="49"/>
  <c r="AD68" i="49"/>
  <c r="AF59" i="49"/>
  <c r="AF53" i="49"/>
  <c r="AF57" i="49"/>
  <c r="AC57" i="49"/>
  <c r="AC62" i="49"/>
  <c r="AF58" i="49"/>
  <c r="AD73" i="49"/>
  <c r="AF50" i="49"/>
  <c r="AA70" i="49"/>
  <c r="AA132" i="35"/>
  <c r="AC131" i="35"/>
  <c r="Z136" i="35"/>
  <c r="C145" i="35"/>
  <c r="AD128" i="35"/>
  <c r="D123" i="35"/>
  <c r="AD142" i="35"/>
  <c r="AA141" i="35"/>
  <c r="D133" i="35"/>
  <c r="D149" i="35"/>
  <c r="Z124" i="35"/>
  <c r="AA135" i="35"/>
  <c r="AA136" i="35"/>
  <c r="AG147" i="35"/>
  <c r="C127" i="35"/>
  <c r="AA131" i="35"/>
  <c r="AD119" i="35"/>
  <c r="Z128" i="35"/>
  <c r="C118" i="35"/>
  <c r="AD125" i="35"/>
  <c r="AJ129" i="35"/>
  <c r="AA129" i="35"/>
  <c r="C144" i="35"/>
  <c r="D121" i="35"/>
  <c r="Z117" i="35"/>
  <c r="C117" i="35" s="1"/>
  <c r="AG150" i="35"/>
  <c r="AA139" i="35"/>
  <c r="AF131" i="35"/>
  <c r="Z135" i="35"/>
  <c r="AF147" i="35"/>
  <c r="C143" i="35"/>
  <c r="AC142" i="35"/>
  <c r="AD129" i="35"/>
  <c r="AC119" i="35"/>
  <c r="AC141" i="35"/>
  <c r="AC126" i="35"/>
  <c r="AI129" i="35"/>
  <c r="AA128" i="35"/>
  <c r="AG129" i="35"/>
  <c r="Z120" i="35"/>
  <c r="C120" i="35" s="1"/>
  <c r="AF116" i="35"/>
  <c r="AG131" i="35"/>
  <c r="Z129" i="35"/>
  <c r="D130" i="35"/>
  <c r="AC122" i="35"/>
  <c r="AC128" i="35"/>
  <c r="AF128" i="35"/>
  <c r="C137" i="35"/>
  <c r="AA122" i="35"/>
  <c r="AD126" i="35"/>
  <c r="Z131" i="35"/>
  <c r="C123" i="35"/>
  <c r="AF126" i="35"/>
  <c r="Z141" i="35"/>
  <c r="AD122" i="35"/>
  <c r="AD131" i="35"/>
  <c r="AD141" i="35"/>
  <c r="AG126" i="35"/>
  <c r="AF150" i="35"/>
  <c r="Z122" i="35"/>
  <c r="AD150" i="35"/>
  <c r="C121" i="35"/>
  <c r="C133" i="35"/>
  <c r="AA117" i="35"/>
  <c r="D117" i="35" s="1"/>
  <c r="D144" i="35"/>
  <c r="AA126" i="35"/>
  <c r="AC150" i="35"/>
  <c r="D118" i="35"/>
  <c r="AA124" i="35"/>
  <c r="Z139" i="35"/>
  <c r="AC125" i="35"/>
  <c r="AD135" i="35"/>
  <c r="C134" i="35"/>
  <c r="AA120" i="35"/>
  <c r="D120" i="35" s="1"/>
  <c r="Z142" i="35"/>
  <c r="D137" i="35"/>
  <c r="Z132" i="35"/>
  <c r="AC135" i="35"/>
  <c r="AC129" i="35"/>
  <c r="D127" i="35"/>
  <c r="AG128" i="35"/>
  <c r="D134" i="35"/>
  <c r="AF129" i="35"/>
  <c r="D143" i="35"/>
  <c r="Z126" i="35"/>
  <c r="C130" i="35"/>
  <c r="AA142" i="35"/>
  <c r="D145" i="35"/>
  <c r="AC102" i="35"/>
  <c r="AG116" i="35"/>
  <c r="X3" i="12"/>
  <c r="AC100" i="35"/>
  <c r="Z146" i="35"/>
  <c r="C146" i="35" s="1"/>
  <c r="AA147" i="35"/>
  <c r="AA146" i="35"/>
  <c r="D146" i="35" s="1"/>
  <c r="AF3" i="12"/>
  <c r="T3" i="14"/>
  <c r="AW3" i="12"/>
  <c r="AS3" i="12"/>
  <c r="CK3" i="12"/>
  <c r="BX3" i="12"/>
  <c r="E31" i="34" s="1"/>
  <c r="CV1" i="16"/>
  <c r="BW3" i="12"/>
  <c r="D140" i="49" s="1"/>
  <c r="BJ3" i="12"/>
  <c r="CE3" i="12"/>
  <c r="AG3" i="12"/>
  <c r="BL3" i="12"/>
  <c r="BY3" i="12"/>
  <c r="F140" i="49" s="1"/>
  <c r="BV3" i="12"/>
  <c r="C140" i="49" s="1"/>
  <c r="BK3" i="12"/>
  <c r="D37" i="34" s="1"/>
  <c r="CG3" i="12"/>
  <c r="CA3" i="12"/>
  <c r="BZ3" i="12"/>
  <c r="AY3" i="12"/>
  <c r="CD3" i="12"/>
  <c r="CF3" i="12"/>
  <c r="M140" i="49" s="1"/>
  <c r="CC3" i="12"/>
  <c r="CB3" i="12"/>
  <c r="I30" i="34" s="1"/>
  <c r="AI3" i="12"/>
  <c r="CM3" i="12"/>
  <c r="BN3" i="12"/>
  <c r="G188" i="49" s="1"/>
  <c r="BF3" i="12"/>
  <c r="BT3" i="12"/>
  <c r="BO3" i="12"/>
  <c r="BP3" i="12"/>
  <c r="BU3" i="12"/>
  <c r="AD3" i="12"/>
  <c r="BS3" i="12"/>
  <c r="L188" i="49" s="1"/>
  <c r="BM3" i="12"/>
  <c r="F188" i="49" s="1"/>
  <c r="BQ3" i="12"/>
  <c r="BR3" i="12"/>
  <c r="K188" i="49" s="1"/>
  <c r="E36" i="24"/>
  <c r="C66" i="24"/>
  <c r="F36" i="24"/>
  <c r="H66" i="24"/>
  <c r="D21" i="24"/>
  <c r="D22" i="24" s="1"/>
  <c r="B11" i="24" s="1"/>
  <c r="F22" i="24"/>
  <c r="D11" i="24" s="1"/>
  <c r="D35" i="24"/>
  <c r="D36" i="24" s="1"/>
  <c r="J66" i="24"/>
  <c r="F50" i="24"/>
  <c r="B64" i="24"/>
  <c r="B60" i="24"/>
  <c r="G22" i="24"/>
  <c r="E11" i="24" s="1"/>
  <c r="G36" i="24"/>
  <c r="B61" i="24"/>
  <c r="I66" i="24"/>
  <c r="B58" i="24"/>
  <c r="G50" i="24"/>
  <c r="E22" i="24"/>
  <c r="C11" i="24" s="1"/>
  <c r="E66" i="24"/>
  <c r="B62" i="24"/>
  <c r="D66" i="24"/>
  <c r="G66" i="24"/>
  <c r="F66" i="24"/>
  <c r="G4" i="14"/>
  <c r="G5" i="14"/>
  <c r="G3" i="14"/>
  <c r="E140" i="49" l="1"/>
  <c r="CL5" i="12"/>
  <c r="CL4" i="12"/>
  <c r="G140" i="49"/>
  <c r="G99" i="49" s="1"/>
  <c r="M188" i="49"/>
  <c r="C188" i="49"/>
  <c r="AH5" i="12"/>
  <c r="AH4" i="12"/>
  <c r="N188" i="49"/>
  <c r="I188" i="49"/>
  <c r="AJ4" i="12"/>
  <c r="AJ5" i="12"/>
  <c r="D188" i="49"/>
  <c r="H140" i="49"/>
  <c r="AA5" i="16"/>
  <c r="AB5" i="16" s="1"/>
  <c r="AA4" i="16"/>
  <c r="AB4" i="16" s="1"/>
  <c r="E188" i="49"/>
  <c r="AN5" i="12"/>
  <c r="AP5" i="12"/>
  <c r="J188" i="49"/>
  <c r="N140" i="49"/>
  <c r="N99" i="49" s="1"/>
  <c r="I140" i="49"/>
  <c r="I99" i="49" s="1"/>
  <c r="L140" i="49"/>
  <c r="L99" i="49" s="1"/>
  <c r="CN5" i="12"/>
  <c r="CN4" i="12"/>
  <c r="H188" i="49"/>
  <c r="AO4" i="12"/>
  <c r="AO5" i="12"/>
  <c r="J140" i="49"/>
  <c r="J99" i="49" s="1"/>
  <c r="K140" i="49"/>
  <c r="C75" i="49"/>
  <c r="C151" i="35"/>
  <c r="C85" i="49"/>
  <c r="E85" i="49"/>
  <c r="E61" i="49"/>
  <c r="O75" i="35"/>
  <c r="P75" i="35"/>
  <c r="P73" i="35"/>
  <c r="O73" i="35"/>
  <c r="P72" i="35"/>
  <c r="O72" i="35"/>
  <c r="O74" i="35"/>
  <c r="P74" i="35"/>
  <c r="D115" i="35"/>
  <c r="C115" i="35"/>
  <c r="C112" i="35"/>
  <c r="C63" i="49"/>
  <c r="C52" i="49"/>
  <c r="E75" i="49"/>
  <c r="E82" i="49"/>
  <c r="C82" i="49"/>
  <c r="E67" i="49"/>
  <c r="E57" i="49"/>
  <c r="E51" i="49"/>
  <c r="C54" i="49"/>
  <c r="C67" i="49"/>
  <c r="C61" i="49"/>
  <c r="C64" i="49"/>
  <c r="C71" i="49"/>
  <c r="E55" i="49"/>
  <c r="E54" i="49"/>
  <c r="E52" i="49"/>
  <c r="C51" i="49"/>
  <c r="C55" i="49"/>
  <c r="E64" i="49"/>
  <c r="C129" i="35"/>
  <c r="E63" i="49"/>
  <c r="C68" i="49"/>
  <c r="E71" i="49"/>
  <c r="E62" i="49"/>
  <c r="C62" i="49"/>
  <c r="C57" i="49"/>
  <c r="E68" i="49"/>
  <c r="AC105" i="35"/>
  <c r="E84" i="49"/>
  <c r="C84" i="49"/>
  <c r="C65" i="49"/>
  <c r="C72" i="49"/>
  <c r="E70" i="49"/>
  <c r="C76" i="49"/>
  <c r="E60" i="49"/>
  <c r="E69" i="49"/>
  <c r="C69" i="49"/>
  <c r="C56" i="49"/>
  <c r="C60" i="49"/>
  <c r="E56" i="49"/>
  <c r="E76" i="49"/>
  <c r="C58" i="49"/>
  <c r="E72" i="49"/>
  <c r="E58" i="49"/>
  <c r="C73" i="49"/>
  <c r="E65" i="49"/>
  <c r="E73" i="49"/>
  <c r="AJ36" i="49"/>
  <c r="AJ30" i="49" s="1"/>
  <c r="D112" i="35"/>
  <c r="D114" i="35"/>
  <c r="C114" i="35"/>
  <c r="O180" i="49"/>
  <c r="O132" i="49"/>
  <c r="P132" i="49" s="1"/>
  <c r="C148" i="35"/>
  <c r="AD50" i="49"/>
  <c r="C138" i="35"/>
  <c r="D148" i="35"/>
  <c r="Z74" i="49"/>
  <c r="C74" i="49" s="1"/>
  <c r="Z116" i="35"/>
  <c r="AD106" i="35"/>
  <c r="Z50" i="49"/>
  <c r="C141" i="35"/>
  <c r="AC104" i="35"/>
  <c r="AK35" i="49"/>
  <c r="Z140" i="35"/>
  <c r="C140" i="35" s="1"/>
  <c r="AK37" i="49"/>
  <c r="AA74" i="49"/>
  <c r="E74" i="49" s="1"/>
  <c r="D138" i="35"/>
  <c r="AA50" i="49"/>
  <c r="AA140" i="35"/>
  <c r="D140" i="35" s="1"/>
  <c r="AK36" i="49"/>
  <c r="D136" i="35"/>
  <c r="AA53" i="49"/>
  <c r="E53" i="49" s="1"/>
  <c r="E40" i="41"/>
  <c r="C124" i="35"/>
  <c r="AA119" i="35"/>
  <c r="D119" i="35" s="1"/>
  <c r="AA116" i="35"/>
  <c r="Z53" i="49"/>
  <c r="C53" i="49" s="1"/>
  <c r="C128" i="35"/>
  <c r="D141" i="35"/>
  <c r="E39" i="41"/>
  <c r="Z119" i="35"/>
  <c r="C119" i="35" s="1"/>
  <c r="C139" i="35"/>
  <c r="D124" i="35"/>
  <c r="D139" i="35"/>
  <c r="C40" i="41"/>
  <c r="O183" i="49"/>
  <c r="O151" i="49"/>
  <c r="O137" i="49"/>
  <c r="P137" i="49" s="1"/>
  <c r="O171" i="49"/>
  <c r="O160" i="49"/>
  <c r="O139" i="49"/>
  <c r="P139" i="49" s="1"/>
  <c r="O169" i="49"/>
  <c r="O181" i="49"/>
  <c r="O172" i="49"/>
  <c r="C131" i="35"/>
  <c r="C142" i="35"/>
  <c r="D129" i="35"/>
  <c r="O159" i="49"/>
  <c r="O108" i="49"/>
  <c r="P108" i="49" s="1"/>
  <c r="O125" i="49"/>
  <c r="G147" i="49"/>
  <c r="O166" i="49"/>
  <c r="O101" i="49"/>
  <c r="P101" i="49" s="1"/>
  <c r="C99" i="49"/>
  <c r="O162" i="49"/>
  <c r="C122" i="35"/>
  <c r="C135" i="35"/>
  <c r="O176" i="49"/>
  <c r="O175" i="49"/>
  <c r="O177" i="49"/>
  <c r="O149" i="49"/>
  <c r="C147" i="49"/>
  <c r="C126" i="35"/>
  <c r="D99" i="49"/>
  <c r="E99" i="49"/>
  <c r="O104" i="49"/>
  <c r="P104" i="49" s="1"/>
  <c r="D122" i="35"/>
  <c r="O126" i="49"/>
  <c r="P126" i="49" s="1"/>
  <c r="O133" i="49"/>
  <c r="P133" i="49" s="1"/>
  <c r="O127" i="49"/>
  <c r="P127" i="49" s="1"/>
  <c r="O103" i="49"/>
  <c r="P103" i="49" s="1"/>
  <c r="O118" i="49"/>
  <c r="P118" i="49" s="1"/>
  <c r="O178" i="49"/>
  <c r="O124" i="49"/>
  <c r="P124" i="49" s="1"/>
  <c r="O168" i="49"/>
  <c r="J147" i="49"/>
  <c r="M99" i="49"/>
  <c r="O163" i="49"/>
  <c r="O115" i="49"/>
  <c r="P115" i="49" s="1"/>
  <c r="D147" i="49"/>
  <c r="O135" i="49"/>
  <c r="P135" i="49" s="1"/>
  <c r="O136" i="49"/>
  <c r="P136" i="49" s="1"/>
  <c r="O122" i="49"/>
  <c r="P122" i="49" s="1"/>
  <c r="F147" i="49"/>
  <c r="O179" i="49"/>
  <c r="O116" i="49"/>
  <c r="P116" i="49" s="1"/>
  <c r="O111" i="49"/>
  <c r="P111" i="49" s="1"/>
  <c r="O112" i="49"/>
  <c r="P112" i="49" s="1"/>
  <c r="O119" i="49"/>
  <c r="P119" i="49" s="1"/>
  <c r="O109" i="49"/>
  <c r="P109" i="49" s="1"/>
  <c r="O164" i="49"/>
  <c r="O153" i="49"/>
  <c r="O157" i="49"/>
  <c r="O106" i="49"/>
  <c r="P106" i="49" s="1"/>
  <c r="O113" i="49"/>
  <c r="P113" i="49" s="1"/>
  <c r="O114" i="49"/>
  <c r="P114" i="49" s="1"/>
  <c r="F99" i="49"/>
  <c r="O130" i="49"/>
  <c r="P130" i="49" s="1"/>
  <c r="O187" i="49"/>
  <c r="O154" i="49"/>
  <c r="E147" i="49"/>
  <c r="O138" i="49"/>
  <c r="P138" i="49" s="1"/>
  <c r="O184" i="49"/>
  <c r="O156" i="49"/>
  <c r="O117" i="49"/>
  <c r="P117" i="49" s="1"/>
  <c r="O123" i="49"/>
  <c r="P123" i="49" s="1"/>
  <c r="O134" i="49"/>
  <c r="P134" i="49" s="1"/>
  <c r="O121" i="49"/>
  <c r="P121" i="49" s="1"/>
  <c r="O110" i="49"/>
  <c r="P110" i="49" s="1"/>
  <c r="O158" i="49"/>
  <c r="O107" i="49"/>
  <c r="P107" i="49" s="1"/>
  <c r="O182" i="49"/>
  <c r="O167" i="49"/>
  <c r="O186" i="49"/>
  <c r="O128" i="49"/>
  <c r="P128" i="49" s="1"/>
  <c r="O174" i="49"/>
  <c r="O173" i="49"/>
  <c r="O170" i="49"/>
  <c r="O105" i="49"/>
  <c r="P105" i="49" s="1"/>
  <c r="O131" i="49"/>
  <c r="P131" i="49" s="1"/>
  <c r="O161" i="49"/>
  <c r="O120" i="49"/>
  <c r="P120" i="49" s="1"/>
  <c r="O129" i="49"/>
  <c r="P129" i="49" s="1"/>
  <c r="O165" i="49"/>
  <c r="D135" i="35"/>
  <c r="O155" i="49"/>
  <c r="O185" i="49"/>
  <c r="O152" i="49"/>
  <c r="D142" i="35"/>
  <c r="D131" i="35"/>
  <c r="D128" i="35"/>
  <c r="D126" i="35"/>
  <c r="AG3" i="14" a="1"/>
  <c r="AG3" i="14" s="1"/>
  <c r="AE3" i="14" a="1"/>
  <c r="AE3" i="14" s="1"/>
  <c r="AH3" i="14" a="1"/>
  <c r="AH3" i="14" s="1"/>
  <c r="AF3" i="14" a="1"/>
  <c r="AF3" i="14" s="1"/>
  <c r="AI3" i="14" a="1"/>
  <c r="AI3" i="14" s="1"/>
  <c r="AP3" i="14"/>
  <c r="AS3" i="14"/>
  <c r="AO3" i="14"/>
  <c r="AR3" i="14"/>
  <c r="F13" i="47"/>
  <c r="CL3" i="12"/>
  <c r="AD102" i="35"/>
  <c r="AD103" i="35"/>
  <c r="AD101" i="35"/>
  <c r="AC103" i="35"/>
  <c r="AC101" i="35"/>
  <c r="AD100" i="35"/>
  <c r="AA150" i="35"/>
  <c r="D150" i="35" s="1"/>
  <c r="AD104" i="35"/>
  <c r="AD105" i="35"/>
  <c r="Z150" i="35"/>
  <c r="C150" i="35" s="1"/>
  <c r="DA3" i="12"/>
  <c r="CX3" i="12"/>
  <c r="CU3" i="12"/>
  <c r="E30" i="34"/>
  <c r="E32" i="34" s="1"/>
  <c r="J31" i="34"/>
  <c r="L31" i="34"/>
  <c r="K31" i="34"/>
  <c r="E37" i="34"/>
  <c r="G30" i="34"/>
  <c r="N31" i="34"/>
  <c r="E38" i="34"/>
  <c r="C38" i="34"/>
  <c r="C37" i="34"/>
  <c r="J30" i="34"/>
  <c r="M31" i="34"/>
  <c r="M30" i="34"/>
  <c r="A6" i="24"/>
  <c r="X6" i="24" s="1"/>
  <c r="L30" i="34"/>
  <c r="K30" i="34"/>
  <c r="G31" i="34"/>
  <c r="D30" i="34"/>
  <c r="H30" i="34"/>
  <c r="H31" i="34"/>
  <c r="C31" i="34"/>
  <c r="A8" i="24"/>
  <c r="A5" i="24"/>
  <c r="F30" i="34"/>
  <c r="D31" i="34"/>
  <c r="F31" i="34"/>
  <c r="CN3" i="12"/>
  <c r="C30" i="34"/>
  <c r="N30" i="34"/>
  <c r="D38" i="34"/>
  <c r="D39" i="34" s="1"/>
  <c r="D3" i="12"/>
  <c r="I31" i="34"/>
  <c r="I32" i="34" s="1"/>
  <c r="AJ3" i="12"/>
  <c r="CR3" i="12"/>
  <c r="CS3" i="12"/>
  <c r="Y65" i="24"/>
  <c r="Y57" i="24"/>
  <c r="Y61" i="24"/>
  <c r="Y59" i="24"/>
  <c r="Y58" i="24"/>
  <c r="Y62" i="24"/>
  <c r="Y66" i="24"/>
  <c r="Y64" i="24"/>
  <c r="Y63" i="24"/>
  <c r="Y60" i="24"/>
  <c r="AA60" i="24"/>
  <c r="AA64" i="24"/>
  <c r="AA58" i="24"/>
  <c r="AA66" i="24"/>
  <c r="AA63" i="24"/>
  <c r="AA65" i="24"/>
  <c r="AA57" i="24"/>
  <c r="AA62" i="24"/>
  <c r="AA59" i="24"/>
  <c r="AA61" i="24"/>
  <c r="AH3" i="12"/>
  <c r="K38" i="34"/>
  <c r="CO3" i="12"/>
  <c r="F38" i="34"/>
  <c r="L37" i="34"/>
  <c r="M37" i="34"/>
  <c r="F37" i="34"/>
  <c r="AM3" i="12"/>
  <c r="AO3" i="12"/>
  <c r="N38" i="34"/>
  <c r="I38" i="34"/>
  <c r="H37" i="34"/>
  <c r="L38" i="34"/>
  <c r="J37" i="34"/>
  <c r="Q31" i="34"/>
  <c r="J38" i="34"/>
  <c r="H38" i="34"/>
  <c r="M38" i="34"/>
  <c r="N37" i="34"/>
  <c r="Q30" i="34"/>
  <c r="G37" i="34"/>
  <c r="I37" i="34"/>
  <c r="G38" i="34"/>
  <c r="K37" i="34"/>
  <c r="B65" i="24"/>
  <c r="B66" i="24"/>
  <c r="A7" i="24" s="1"/>
  <c r="U3" i="14"/>
  <c r="U4" i="14"/>
  <c r="U5" i="14"/>
  <c r="AA4" i="14" l="1" a="1"/>
  <c r="AA4" i="14" s="1"/>
  <c r="AK4" i="14" s="1"/>
  <c r="Z4" i="14" a="1"/>
  <c r="Z4" i="14" s="1"/>
  <c r="AJ4" i="14" s="1"/>
  <c r="AB4" i="14" a="1"/>
  <c r="AB4" i="14" s="1"/>
  <c r="AL4" i="14" s="1"/>
  <c r="AD4" i="14" a="1"/>
  <c r="AD4" i="14" s="1"/>
  <c r="AN4" i="14" s="1"/>
  <c r="AC4" i="14" a="1"/>
  <c r="AC4" i="14" s="1"/>
  <c r="AM4" i="14" s="1"/>
  <c r="Z5" i="14" a="1"/>
  <c r="Z5" i="14" s="1"/>
  <c r="AJ5" i="14" s="1"/>
  <c r="AD5" i="14" a="1"/>
  <c r="AD5" i="14" s="1"/>
  <c r="AN5" i="14" s="1"/>
  <c r="AB5" i="14" a="1"/>
  <c r="AB5" i="14" s="1"/>
  <c r="AL5" i="14" s="1"/>
  <c r="AC5" i="14" a="1"/>
  <c r="AC5" i="14" s="1"/>
  <c r="AM5" i="14" s="1"/>
  <c r="AA5" i="14" a="1"/>
  <c r="AA5" i="14" s="1"/>
  <c r="AK5" i="14" s="1"/>
  <c r="O188" i="49"/>
  <c r="AO5" i="16"/>
  <c r="AO4" i="16"/>
  <c r="AS5" i="16"/>
  <c r="AS4" i="16"/>
  <c r="AP5" i="16"/>
  <c r="AP4" i="16"/>
  <c r="AR5" i="16"/>
  <c r="AR4" i="16"/>
  <c r="AQ5" i="16"/>
  <c r="AQ4" i="16"/>
  <c r="AV5" i="16"/>
  <c r="AV4" i="16"/>
  <c r="O5" i="13"/>
  <c r="O4" i="13"/>
  <c r="CI5" i="16"/>
  <c r="CJ5" i="16" s="1"/>
  <c r="CI4" i="16"/>
  <c r="CJ4" i="16" s="1"/>
  <c r="Y4" i="16"/>
  <c r="Z4" i="16" s="1"/>
  <c r="Y5" i="16"/>
  <c r="Z5" i="16" s="1"/>
  <c r="O140" i="49"/>
  <c r="P140" i="49" s="1"/>
  <c r="CH4" i="16"/>
  <c r="CH5" i="16"/>
  <c r="BC4" i="16"/>
  <c r="BC5" i="16"/>
  <c r="E50" i="49"/>
  <c r="AC81" i="49"/>
  <c r="C81" i="49" s="1"/>
  <c r="AK30" i="49"/>
  <c r="AD81" i="49" s="1"/>
  <c r="E81" i="49" s="1"/>
  <c r="G40" i="41"/>
  <c r="AX5" i="16"/>
  <c r="AX4" i="16"/>
  <c r="CZ4" i="16"/>
  <c r="CY4" i="16"/>
  <c r="CY5" i="16"/>
  <c r="CZ5" i="16"/>
  <c r="CY4" i="12"/>
  <c r="CZ4" i="12" s="1"/>
  <c r="CV4" i="12"/>
  <c r="CW4" i="12" s="1"/>
  <c r="CY5" i="12"/>
  <c r="CZ5" i="12" s="1"/>
  <c r="CV5" i="12"/>
  <c r="CW5" i="12" s="1"/>
  <c r="AD99" i="35"/>
  <c r="AD147" i="35" s="1"/>
  <c r="D147" i="35" s="1"/>
  <c r="AB3" i="14" a="1"/>
  <c r="AB3" i="14" s="1"/>
  <c r="Z3" i="14" a="1"/>
  <c r="Z3" i="14" s="1"/>
  <c r="AA3" i="14" a="1"/>
  <c r="AA3" i="14" s="1"/>
  <c r="AD3" i="14" a="1"/>
  <c r="AD3" i="14" s="1"/>
  <c r="AC3" i="14" a="1"/>
  <c r="AC3" i="14" s="1"/>
  <c r="CH3" i="16"/>
  <c r="AI3" i="38"/>
  <c r="AP3" i="16"/>
  <c r="AQ3" i="14"/>
  <c r="CY3" i="12"/>
  <c r="CZ3" i="12" s="1"/>
  <c r="CZ3" i="16"/>
  <c r="CV3" i="12"/>
  <c r="CW3" i="12" s="1"/>
  <c r="CY3" i="16"/>
  <c r="CT3" i="12"/>
  <c r="N32" i="34"/>
  <c r="E39" i="34"/>
  <c r="J32" i="34"/>
  <c r="K32" i="34"/>
  <c r="AQ3" i="16"/>
  <c r="L32" i="34"/>
  <c r="G32" i="34"/>
  <c r="C39" i="34"/>
  <c r="CI3" i="16"/>
  <c r="CJ3" i="16" s="1"/>
  <c r="CK3" i="16" s="1"/>
  <c r="M32" i="34"/>
  <c r="C32" i="34"/>
  <c r="D32" i="34"/>
  <c r="F32" i="34"/>
  <c r="M39" i="34"/>
  <c r="H32" i="34"/>
  <c r="O30" i="34"/>
  <c r="P30" i="34" s="1"/>
  <c r="O31" i="34"/>
  <c r="P31" i="34" s="1"/>
  <c r="AT3" i="14"/>
  <c r="BC3" i="16"/>
  <c r="AV3" i="16"/>
  <c r="O3" i="13"/>
  <c r="AA3" i="16"/>
  <c r="I39" i="34"/>
  <c r="N39" i="34"/>
  <c r="K39" i="34"/>
  <c r="AX3" i="16"/>
  <c r="Y3" i="16"/>
  <c r="F39" i="34"/>
  <c r="J39" i="34"/>
  <c r="L39" i="34"/>
  <c r="AP3" i="12"/>
  <c r="H39" i="34"/>
  <c r="O38" i="34"/>
  <c r="AN3" i="12"/>
  <c r="G39" i="34"/>
  <c r="Q32" i="34"/>
  <c r="O37" i="34"/>
  <c r="AS3" i="16"/>
  <c r="AR3" i="16"/>
  <c r="AO3" i="16"/>
  <c r="AI5" i="46" l="1"/>
  <c r="AI4" i="46"/>
  <c r="AN3" i="14"/>
  <c r="AN4" i="16"/>
  <c r="AN5" i="16"/>
  <c r="AJ3" i="14"/>
  <c r="AJ4" i="16"/>
  <c r="AJ5" i="16"/>
  <c r="AK3" i="16"/>
  <c r="AK5" i="16"/>
  <c r="AK4" i="16"/>
  <c r="AM4" i="16"/>
  <c r="AM5" i="16"/>
  <c r="AL3" i="16"/>
  <c r="AL4" i="16"/>
  <c r="AL5" i="16"/>
  <c r="CS4" i="16"/>
  <c r="CM4" i="16"/>
  <c r="CP4" i="16"/>
  <c r="CQ4" i="16"/>
  <c r="CU4" i="16"/>
  <c r="CR4" i="16"/>
  <c r="CN4" i="16"/>
  <c r="CO4" i="16"/>
  <c r="CT4" i="16"/>
  <c r="CV4" i="16"/>
  <c r="CK4" i="16"/>
  <c r="CL4" i="16"/>
  <c r="BD4" i="16"/>
  <c r="BD5" i="16"/>
  <c r="CM5" i="16"/>
  <c r="CR5" i="16"/>
  <c r="CS5" i="16"/>
  <c r="CN5" i="16"/>
  <c r="CK5" i="16"/>
  <c r="CT5" i="16"/>
  <c r="CQ5" i="16"/>
  <c r="CU5" i="16"/>
  <c r="CP5" i="16"/>
  <c r="CO5" i="16"/>
  <c r="CV5" i="16"/>
  <c r="CL5" i="16"/>
  <c r="BB4" i="16"/>
  <c r="BB5" i="16"/>
  <c r="AD132" i="35"/>
  <c r="D132" i="35" s="1"/>
  <c r="AC132" i="35"/>
  <c r="C132" i="35" s="1"/>
  <c r="H150" i="49"/>
  <c r="I150" i="49"/>
  <c r="I147" i="49" s="1"/>
  <c r="AC66" i="49"/>
  <c r="C66" i="49" s="1"/>
  <c r="Q102" i="49"/>
  <c r="AD66" i="49"/>
  <c r="E66" i="49" s="1"/>
  <c r="H102" i="49"/>
  <c r="C47" i="49"/>
  <c r="D113" i="35"/>
  <c r="E47" i="49"/>
  <c r="C113" i="35"/>
  <c r="N150" i="49"/>
  <c r="N147" i="49" s="1"/>
  <c r="L150" i="49"/>
  <c r="L147" i="49" s="1"/>
  <c r="M150" i="49"/>
  <c r="M147" i="49" s="1"/>
  <c r="K150" i="49"/>
  <c r="K147" i="49" s="1"/>
  <c r="K102" i="49"/>
  <c r="K99" i="49" s="1"/>
  <c r="Q125" i="49"/>
  <c r="AC116" i="35"/>
  <c r="C116" i="35" s="1"/>
  <c r="C70" i="49"/>
  <c r="AC50" i="49"/>
  <c r="C50" i="49" s="1"/>
  <c r="AD116" i="35"/>
  <c r="D116" i="35" s="1"/>
  <c r="C136" i="35"/>
  <c r="AA59" i="49"/>
  <c r="E59" i="49" s="1"/>
  <c r="Z125" i="35"/>
  <c r="C125" i="35" s="1"/>
  <c r="AA125" i="35"/>
  <c r="D125" i="35" s="1"/>
  <c r="Z59" i="49"/>
  <c r="C59" i="49" s="1"/>
  <c r="AL3" i="14"/>
  <c r="AK3" i="14"/>
  <c r="AJ3" i="16"/>
  <c r="E77" i="34"/>
  <c r="F66" i="34"/>
  <c r="J66" i="34"/>
  <c r="G66" i="34"/>
  <c r="M66" i="34"/>
  <c r="L66" i="34"/>
  <c r="E78" i="34"/>
  <c r="H77" i="34"/>
  <c r="K78" i="34"/>
  <c r="N66" i="34"/>
  <c r="C68" i="34"/>
  <c r="M72" i="34"/>
  <c r="I66" i="34"/>
  <c r="L72" i="34"/>
  <c r="N77" i="34"/>
  <c r="C78" i="34"/>
  <c r="D66" i="34"/>
  <c r="K66" i="34"/>
  <c r="H66" i="34"/>
  <c r="I72" i="34"/>
  <c r="H72" i="34"/>
  <c r="G78" i="34"/>
  <c r="M77" i="34"/>
  <c r="J77" i="34"/>
  <c r="N72" i="34"/>
  <c r="C72" i="34"/>
  <c r="K72" i="34"/>
  <c r="G77" i="34"/>
  <c r="G72" i="34"/>
  <c r="J72" i="34"/>
  <c r="D78" i="34"/>
  <c r="D72" i="34"/>
  <c r="M78" i="34"/>
  <c r="F72" i="34"/>
  <c r="F77" i="34"/>
  <c r="E72" i="34"/>
  <c r="L77" i="34"/>
  <c r="J78" i="34"/>
  <c r="C77" i="34"/>
  <c r="I78" i="34"/>
  <c r="H78" i="34"/>
  <c r="N78" i="34"/>
  <c r="E66" i="34"/>
  <c r="D77" i="34"/>
  <c r="I77" i="34"/>
  <c r="F78" i="34"/>
  <c r="L78" i="34"/>
  <c r="K77" i="34"/>
  <c r="C66" i="34"/>
  <c r="AN3" i="16"/>
  <c r="AM3" i="14"/>
  <c r="AM3" i="16"/>
  <c r="A12" i="35"/>
  <c r="B12" i="35" s="1"/>
  <c r="AI3" i="46"/>
  <c r="AO27" i="41"/>
  <c r="C27" i="41"/>
  <c r="E25" i="41"/>
  <c r="AM25" i="41"/>
  <c r="AP29" i="41"/>
  <c r="AO29" i="41"/>
  <c r="C25" i="41"/>
  <c r="F29" i="41"/>
  <c r="F27" i="41"/>
  <c r="AO25" i="41"/>
  <c r="E29" i="41"/>
  <c r="E27" i="41"/>
  <c r="AP25" i="41"/>
  <c r="AM27" i="41"/>
  <c r="C29" i="41"/>
  <c r="AM29" i="41"/>
  <c r="AP27" i="41"/>
  <c r="F25" i="41"/>
  <c r="E60" i="41"/>
  <c r="E65" i="41"/>
  <c r="AO43" i="41"/>
  <c r="E57" i="41"/>
  <c r="AO47" i="41"/>
  <c r="AO38" i="41"/>
  <c r="E43" i="41"/>
  <c r="AO61" i="41"/>
  <c r="AO60" i="41"/>
  <c r="E56" i="41"/>
  <c r="AO42" i="41"/>
  <c r="AO65" i="41"/>
  <c r="AO39" i="41"/>
  <c r="E47" i="41"/>
  <c r="AO59" i="41"/>
  <c r="E46" i="41"/>
  <c r="E59" i="41"/>
  <c r="E61" i="41"/>
  <c r="E41" i="41"/>
  <c r="E42" i="41"/>
  <c r="E64" i="41"/>
  <c r="AO41" i="41"/>
  <c r="AO64" i="41"/>
  <c r="AO46" i="41"/>
  <c r="AO56" i="41"/>
  <c r="AO57" i="41"/>
  <c r="E38" i="41"/>
  <c r="AM46" i="41"/>
  <c r="C64" i="41"/>
  <c r="C46" i="41"/>
  <c r="C44" i="41"/>
  <c r="AM62" i="41"/>
  <c r="AM44" i="41"/>
  <c r="AM64" i="41"/>
  <c r="C62" i="41"/>
  <c r="E63" i="41"/>
  <c r="E45" i="41"/>
  <c r="AO45" i="41"/>
  <c r="AO63" i="41"/>
  <c r="C58" i="41"/>
  <c r="C60" i="41"/>
  <c r="C56" i="41"/>
  <c r="C42" i="41"/>
  <c r="C38" i="41"/>
  <c r="AM40" i="41"/>
  <c r="AM38" i="41"/>
  <c r="AM56" i="41"/>
  <c r="AM42" i="41"/>
  <c r="AM60" i="41"/>
  <c r="AM58" i="41"/>
  <c r="E20" i="4"/>
  <c r="C20" i="4"/>
  <c r="H86" i="34"/>
  <c r="H85" i="34"/>
  <c r="H84" i="34"/>
  <c r="H83" i="34"/>
  <c r="M83" i="34"/>
  <c r="G86" i="34"/>
  <c r="G85" i="34"/>
  <c r="G84" i="34"/>
  <c r="G83" i="34"/>
  <c r="F86" i="34"/>
  <c r="F85" i="34"/>
  <c r="F84" i="34"/>
  <c r="F83" i="34"/>
  <c r="E86" i="34"/>
  <c r="E85" i="34"/>
  <c r="E84" i="34"/>
  <c r="E83" i="34"/>
  <c r="M86" i="34"/>
  <c r="D86" i="34"/>
  <c r="D85" i="34"/>
  <c r="D84" i="34"/>
  <c r="D83" i="34"/>
  <c r="C86" i="34"/>
  <c r="C85" i="34"/>
  <c r="C84" i="34"/>
  <c r="C83" i="34"/>
  <c r="M84" i="34"/>
  <c r="N86" i="34"/>
  <c r="N85" i="34"/>
  <c r="N84" i="34"/>
  <c r="N83" i="34"/>
  <c r="M85" i="34"/>
  <c r="L86" i="34"/>
  <c r="L85" i="34"/>
  <c r="L84" i="34"/>
  <c r="L83" i="34"/>
  <c r="K86" i="34"/>
  <c r="K85" i="34"/>
  <c r="K84" i="34"/>
  <c r="K83" i="34"/>
  <c r="J86" i="34"/>
  <c r="J85" i="34"/>
  <c r="J84" i="34"/>
  <c r="J83" i="34"/>
  <c r="I86" i="34"/>
  <c r="I85" i="34"/>
  <c r="I84" i="34"/>
  <c r="I83" i="34"/>
  <c r="B30" i="34"/>
  <c r="O32" i="34"/>
  <c r="B32" i="34" s="1"/>
  <c r="B31" i="34"/>
  <c r="BD3" i="16"/>
  <c r="BB3" i="16"/>
  <c r="O39" i="34"/>
  <c r="CM3" i="16"/>
  <c r="CU3" i="16"/>
  <c r="CR3" i="16"/>
  <c r="CP3" i="16"/>
  <c r="CV3" i="16"/>
  <c r="CS3" i="16"/>
  <c r="CO3" i="16"/>
  <c r="CQ3" i="16"/>
  <c r="CL3" i="16"/>
  <c r="CT3" i="16"/>
  <c r="CN3" i="16"/>
  <c r="AA3" i="12"/>
  <c r="H99" i="49" l="1"/>
  <c r="O99" i="49" s="1"/>
  <c r="O102" i="49"/>
  <c r="P102" i="49" s="1"/>
  <c r="H147" i="49"/>
  <c r="O147" i="49" s="1"/>
  <c r="O150" i="49"/>
  <c r="Q99" i="49"/>
  <c r="P125" i="49"/>
  <c r="G60" i="41"/>
  <c r="O66" i="34"/>
  <c r="O77" i="34"/>
  <c r="O78" i="34"/>
  <c r="O72" i="34"/>
  <c r="AQ60" i="41"/>
  <c r="AQ56" i="41"/>
  <c r="G56" i="41"/>
  <c r="G64" i="41"/>
  <c r="AQ64" i="41"/>
  <c r="AG52" i="47"/>
  <c r="AG53" i="47"/>
  <c r="AJ70" i="47"/>
  <c r="Y23" i="47"/>
  <c r="X71" i="47"/>
  <c r="K51" i="47"/>
  <c r="AH55" i="47"/>
  <c r="K70" i="47"/>
  <c r="N21" i="47"/>
  <c r="AJ74" i="47"/>
  <c r="Y27" i="47"/>
  <c r="G38" i="47"/>
  <c r="X70" i="47"/>
  <c r="M50" i="47"/>
  <c r="AH54" i="47"/>
  <c r="J21" i="47"/>
  <c r="K62" i="47"/>
  <c r="Y34" i="47"/>
  <c r="M33" i="47"/>
  <c r="X74" i="47"/>
  <c r="W49" i="47"/>
  <c r="V44" i="47"/>
  <c r="AJ72" i="47"/>
  <c r="Y25" i="47"/>
  <c r="X63" i="47"/>
  <c r="G50" i="47"/>
  <c r="AH47" i="47"/>
  <c r="N67" i="47"/>
  <c r="G28" i="47"/>
  <c r="AJ71" i="47"/>
  <c r="Y24" i="47"/>
  <c r="G34" i="47"/>
  <c r="X67" i="47"/>
  <c r="AH51" i="47"/>
  <c r="J19" i="47"/>
  <c r="K60" i="47"/>
  <c r="J28" i="47"/>
  <c r="G24" i="47"/>
  <c r="M36" i="47"/>
  <c r="M74" i="47"/>
  <c r="V67" i="47"/>
  <c r="W72" i="47"/>
  <c r="AG36" i="47"/>
  <c r="AG40" i="47"/>
  <c r="AJ65" i="47"/>
  <c r="Y18" i="47"/>
  <c r="N28" i="47"/>
  <c r="X66" i="47"/>
  <c r="G54" i="47"/>
  <c r="AH50" i="47"/>
  <c r="L18" i="47"/>
  <c r="AJ69" i="47"/>
  <c r="Y22" i="47"/>
  <c r="X65" i="47"/>
  <c r="AH49" i="47"/>
  <c r="G66" i="47"/>
  <c r="AJ73" i="47"/>
  <c r="Y26" i="47"/>
  <c r="X69" i="47"/>
  <c r="G58" i="47"/>
  <c r="O26" i="47"/>
  <c r="W44" i="47"/>
  <c r="O39" i="47"/>
  <c r="V39" i="47"/>
  <c r="AJ67" i="47"/>
  <c r="Y20" i="47"/>
  <c r="N26" i="47"/>
  <c r="X58" i="47"/>
  <c r="K47" i="47"/>
  <c r="AH42" i="47"/>
  <c r="L64" i="47"/>
  <c r="O58" i="47"/>
  <c r="AJ66" i="47"/>
  <c r="Y19" i="47"/>
  <c r="L29" i="47"/>
  <c r="X62" i="47"/>
  <c r="AH46" i="47"/>
  <c r="J67" i="47"/>
  <c r="Y17" i="47"/>
  <c r="N65" i="47"/>
  <c r="V34" i="47"/>
  <c r="M55" i="47"/>
  <c r="AH23" i="47"/>
  <c r="AJ36" i="47"/>
  <c r="L46" i="47"/>
  <c r="AG25" i="47"/>
  <c r="AG66" i="47"/>
  <c r="AJ60" i="47"/>
  <c r="O73" i="47"/>
  <c r="X61" i="47"/>
  <c r="AH45" i="47"/>
  <c r="L66" i="47"/>
  <c r="M57" i="47"/>
  <c r="AJ64" i="47"/>
  <c r="M48" i="47"/>
  <c r="K20" i="47"/>
  <c r="J61" i="47"/>
  <c r="K58" i="47"/>
  <c r="AH18" i="47"/>
  <c r="AJ28" i="47"/>
  <c r="AG75" i="47"/>
  <c r="AG74" i="47"/>
  <c r="AG58" i="47"/>
  <c r="AJ55" i="47"/>
  <c r="M70" i="47"/>
  <c r="J22" i="47"/>
  <c r="X56" i="47"/>
  <c r="O45" i="47"/>
  <c r="AH40" i="47"/>
  <c r="J63" i="47"/>
  <c r="K54" i="47"/>
  <c r="AJ59" i="47"/>
  <c r="K73" i="47"/>
  <c r="N24" i="47"/>
  <c r="X55" i="47"/>
  <c r="K45" i="47"/>
  <c r="AH39" i="47"/>
  <c r="L62" i="47"/>
  <c r="O56" i="47"/>
  <c r="AJ63" i="47"/>
  <c r="O75" i="47"/>
  <c r="L27" i="47"/>
  <c r="X59" i="47"/>
  <c r="O47" i="47"/>
  <c r="G29" i="47"/>
  <c r="W34" i="47"/>
  <c r="K33" i="47"/>
  <c r="V26" i="47"/>
  <c r="AJ57" i="47"/>
  <c r="O71" i="47"/>
  <c r="J20" i="47"/>
  <c r="X48" i="47"/>
  <c r="N42" i="47"/>
  <c r="AH29" i="47"/>
  <c r="V73" i="47"/>
  <c r="K52" i="47"/>
  <c r="AJ56" i="47"/>
  <c r="K71" i="47"/>
  <c r="N22" i="47"/>
  <c r="X52" i="47"/>
  <c r="AH36" i="47"/>
  <c r="L60" i="47"/>
  <c r="O54" i="47"/>
  <c r="M51" i="47"/>
  <c r="X42" i="47"/>
  <c r="L35" i="47"/>
  <c r="X24" i="47"/>
  <c r="AG62" i="47"/>
  <c r="AG19" i="47"/>
  <c r="AG45" i="47"/>
  <c r="AJ50" i="47"/>
  <c r="N18" i="47"/>
  <c r="X51" i="47"/>
  <c r="AH35" i="47"/>
  <c r="V71" i="47"/>
  <c r="O50" i="47"/>
  <c r="AJ54" i="47"/>
  <c r="G75" i="47"/>
  <c r="L21" i="47"/>
  <c r="X50" i="47"/>
  <c r="G44" i="47"/>
  <c r="AH34" i="47"/>
  <c r="V75" i="47"/>
  <c r="AJ58" i="47"/>
  <c r="M72" i="47"/>
  <c r="J24" i="47"/>
  <c r="X54" i="47"/>
  <c r="M44" i="47"/>
  <c r="AH73" i="47"/>
  <c r="W26" i="47"/>
  <c r="G36" i="47"/>
  <c r="V21" i="47"/>
  <c r="AJ52" i="47"/>
  <c r="X43" i="47"/>
  <c r="L39" i="47"/>
  <c r="AH24" i="47"/>
  <c r="V68" i="47"/>
  <c r="G56" i="47"/>
  <c r="AJ51" i="47"/>
  <c r="G71" i="47"/>
  <c r="L19" i="47"/>
  <c r="X47" i="47"/>
  <c r="J42" i="47"/>
  <c r="AH28" i="47"/>
  <c r="V72" i="47"/>
  <c r="L67" i="47"/>
  <c r="O46" i="47"/>
  <c r="V52" i="47"/>
  <c r="AG54" i="47"/>
  <c r="AG44" i="47"/>
  <c r="AG71" i="47"/>
  <c r="AJ45" i="47"/>
  <c r="N66" i="47"/>
  <c r="G26" i="47"/>
  <c r="X46" i="47"/>
  <c r="L41" i="47"/>
  <c r="AH27" i="47"/>
  <c r="G61" i="47"/>
  <c r="V66" i="47"/>
  <c r="AJ49" i="47"/>
  <c r="J18" i="47"/>
  <c r="X45" i="47"/>
  <c r="N40" i="47"/>
  <c r="AH26" i="47"/>
  <c r="V70" i="47"/>
  <c r="K50" i="47"/>
  <c r="AJ53" i="47"/>
  <c r="N20" i="47"/>
  <c r="X49" i="47"/>
  <c r="AH68" i="47"/>
  <c r="W21" i="47"/>
  <c r="J27" i="47"/>
  <c r="L75" i="47"/>
  <c r="AJ47" i="47"/>
  <c r="J68" i="47"/>
  <c r="G22" i="47"/>
  <c r="X38" i="47"/>
  <c r="J36" i="47"/>
  <c r="AH19" i="47"/>
  <c r="N55" i="47"/>
  <c r="V63" i="47"/>
  <c r="AJ46" i="47"/>
  <c r="X37" i="47"/>
  <c r="W67" i="47"/>
  <c r="AG18" i="47"/>
  <c r="AG41" i="47"/>
  <c r="AG55" i="47"/>
  <c r="AJ40" i="47"/>
  <c r="L63" i="47"/>
  <c r="X41" i="47"/>
  <c r="J38" i="47"/>
  <c r="AH22" i="47"/>
  <c r="N57" i="47"/>
  <c r="V61" i="47"/>
  <c r="O48" i="47"/>
  <c r="AJ44" i="47"/>
  <c r="J66" i="47"/>
  <c r="X40" i="47"/>
  <c r="L37" i="47"/>
  <c r="AH21" i="47"/>
  <c r="J57" i="47"/>
  <c r="V65" i="47"/>
  <c r="G52" i="47"/>
  <c r="AJ48" i="47"/>
  <c r="N68" i="47"/>
  <c r="X44" i="47"/>
  <c r="J40" i="47"/>
  <c r="AH63" i="47"/>
  <c r="M75" i="47"/>
  <c r="N23" i="47"/>
  <c r="J72" i="47"/>
  <c r="AJ42" i="47"/>
  <c r="N64" i="47"/>
  <c r="X33" i="47"/>
  <c r="L52" i="47"/>
  <c r="K46" i="47"/>
  <c r="AG67" i="47"/>
  <c r="AG33" i="47"/>
  <c r="AG34" i="47"/>
  <c r="AJ35" i="47"/>
  <c r="J60" i="47"/>
  <c r="X36" i="47"/>
  <c r="N34" i="47"/>
  <c r="AH17" i="47"/>
  <c r="L54" i="47"/>
  <c r="V56" i="47"/>
  <c r="M45" i="47"/>
  <c r="AJ39" i="47"/>
  <c r="N62" i="47"/>
  <c r="G18" i="47"/>
  <c r="X35" i="47"/>
  <c r="J34" i="47"/>
  <c r="W75" i="47"/>
  <c r="V60" i="47"/>
  <c r="K48" i="47"/>
  <c r="AJ43" i="47"/>
  <c r="L65" i="47"/>
  <c r="X39" i="47"/>
  <c r="N36" i="47"/>
  <c r="AH58" i="47"/>
  <c r="K72" i="47"/>
  <c r="L20" i="47"/>
  <c r="AJ37" i="47"/>
  <c r="L61" i="47"/>
  <c r="AI72" i="47"/>
  <c r="X25" i="47"/>
  <c r="G35" i="47"/>
  <c r="W68" i="47"/>
  <c r="N60" i="47"/>
  <c r="AG59" i="47"/>
  <c r="AG17" i="47"/>
  <c r="AG57" i="47"/>
  <c r="AJ27" i="47"/>
  <c r="AI75" i="47"/>
  <c r="X28" i="47"/>
  <c r="G39" i="47"/>
  <c r="W71" i="47"/>
  <c r="J51" i="47"/>
  <c r="V51" i="47"/>
  <c r="AJ34" i="47"/>
  <c r="G67" i="47"/>
  <c r="AI74" i="47"/>
  <c r="X27" i="47"/>
  <c r="W70" i="47"/>
  <c r="L50" i="47"/>
  <c r="V55" i="47"/>
  <c r="O44" i="47"/>
  <c r="AJ38" i="47"/>
  <c r="J62" i="47"/>
  <c r="X34" i="47"/>
  <c r="L33" i="47"/>
  <c r="AH53" i="47"/>
  <c r="G73" i="47"/>
  <c r="K68" i="47"/>
  <c r="AJ29" i="47"/>
  <c r="AI67" i="47"/>
  <c r="X20" i="47"/>
  <c r="O29" i="47"/>
  <c r="W63" i="47"/>
  <c r="V48" i="47"/>
  <c r="G46" i="47"/>
  <c r="AG23" i="47"/>
  <c r="AG63" i="47"/>
  <c r="AG24" i="47"/>
  <c r="AJ22" i="47"/>
  <c r="J58" i="47"/>
  <c r="AI70" i="47"/>
  <c r="X23" i="47"/>
  <c r="W66" i="47"/>
  <c r="V46" i="47"/>
  <c r="J41" i="47"/>
  <c r="AJ26" i="47"/>
  <c r="AI69" i="47"/>
  <c r="X22" i="47"/>
  <c r="W65" i="47"/>
  <c r="V50" i="47"/>
  <c r="AJ33" i="47"/>
  <c r="AI73" i="47"/>
  <c r="X26" i="47"/>
  <c r="AH48" i="47"/>
  <c r="L68" i="47"/>
  <c r="O64" i="47"/>
  <c r="AJ24" i="47"/>
  <c r="AI62" i="47"/>
  <c r="J75" i="47"/>
  <c r="M26" i="47"/>
  <c r="W58" i="47"/>
  <c r="J47" i="47"/>
  <c r="V43" i="47"/>
  <c r="J39" i="47"/>
  <c r="AJ23" i="47"/>
  <c r="N58" i="47"/>
  <c r="AI66" i="47"/>
  <c r="X19" i="47"/>
  <c r="K29" i="47"/>
  <c r="W62" i="47"/>
  <c r="V47" i="47"/>
  <c r="N41" i="47"/>
  <c r="N35" i="47"/>
  <c r="L55" i="47"/>
  <c r="L74" i="47"/>
  <c r="AG72" i="47"/>
  <c r="AG46" i="47"/>
  <c r="AG73" i="47"/>
  <c r="AJ17" i="47"/>
  <c r="N54" i="47"/>
  <c r="AI65" i="47"/>
  <c r="X18" i="47"/>
  <c r="M28" i="47"/>
  <c r="W61" i="47"/>
  <c r="V41" i="47"/>
  <c r="N37" i="47"/>
  <c r="AJ21" i="47"/>
  <c r="L57" i="47"/>
  <c r="AI64" i="47"/>
  <c r="X17" i="47"/>
  <c r="O27" i="47"/>
  <c r="W60" i="47"/>
  <c r="L48" i="47"/>
  <c r="V45" i="47"/>
  <c r="L40" i="47"/>
  <c r="AJ25" i="47"/>
  <c r="AI68" i="47"/>
  <c r="X21" i="47"/>
  <c r="AH43" i="47"/>
  <c r="J65" i="47"/>
  <c r="M61" i="47"/>
  <c r="AJ19" i="47"/>
  <c r="J56" i="47"/>
  <c r="AI57" i="47"/>
  <c r="N71" i="47"/>
  <c r="K23" i="47"/>
  <c r="W53" i="47"/>
  <c r="V38" i="47"/>
  <c r="AJ18" i="47"/>
  <c r="AI61" i="47"/>
  <c r="AG64" i="47"/>
  <c r="AG38" i="47"/>
  <c r="AG60" i="47"/>
  <c r="Y71" i="47"/>
  <c r="L51" i="47"/>
  <c r="AI60" i="47"/>
  <c r="N73" i="47"/>
  <c r="W56" i="47"/>
  <c r="N45" i="47"/>
  <c r="V36" i="47"/>
  <c r="L34" i="47"/>
  <c r="Y75" i="47"/>
  <c r="J54" i="47"/>
  <c r="AI59" i="47"/>
  <c r="J73" i="47"/>
  <c r="M24" i="47"/>
  <c r="W55" i="47"/>
  <c r="J45" i="47"/>
  <c r="V40" i="47"/>
  <c r="J37" i="47"/>
  <c r="AJ20" i="47"/>
  <c r="N56" i="47"/>
  <c r="AI63" i="47"/>
  <c r="N75" i="47"/>
  <c r="K27" i="47"/>
  <c r="AH38" i="47"/>
  <c r="N61" i="47"/>
  <c r="V74" i="47"/>
  <c r="Y73" i="47"/>
  <c r="N52" i="47"/>
  <c r="AI52" i="47"/>
  <c r="G72" i="47"/>
  <c r="O19" i="47"/>
  <c r="W48" i="47"/>
  <c r="M42" i="47"/>
  <c r="V33" i="47"/>
  <c r="G41" i="47"/>
  <c r="Y72" i="47"/>
  <c r="J52" i="47"/>
  <c r="AI56" i="47"/>
  <c r="J71" i="47"/>
  <c r="M22" i="47"/>
  <c r="W52" i="47"/>
  <c r="V37" i="47"/>
  <c r="J35" i="47"/>
  <c r="V57" i="47"/>
  <c r="AG50" i="47"/>
  <c r="AG22" i="47"/>
  <c r="AG65" i="47"/>
  <c r="Y66" i="47"/>
  <c r="AI55" i="47"/>
  <c r="L70" i="47"/>
  <c r="O21" i="47"/>
  <c r="W51" i="47"/>
  <c r="G45" i="47"/>
  <c r="V28" i="47"/>
  <c r="Y70" i="47"/>
  <c r="N50" i="47"/>
  <c r="AI54" i="47"/>
  <c r="K21" i="47"/>
  <c r="W50" i="47"/>
  <c r="V35" i="47"/>
  <c r="N33" i="47"/>
  <c r="Y74" i="47"/>
  <c r="AI58" i="47"/>
  <c r="L72" i="47"/>
  <c r="O23" i="47"/>
  <c r="AH33" i="47"/>
  <c r="G65" i="47"/>
  <c r="Y68" i="47"/>
  <c r="G57" i="47"/>
  <c r="AI47" i="47"/>
  <c r="O67" i="47"/>
  <c r="W43" i="47"/>
  <c r="K39" i="47"/>
  <c r="V25" i="47"/>
  <c r="Y67" i="47"/>
  <c r="AI51" i="47"/>
  <c r="K19" i="47"/>
  <c r="W47" i="47"/>
  <c r="O41" i="47"/>
  <c r="V29" i="47"/>
  <c r="V42" i="47"/>
  <c r="AG26" i="47"/>
  <c r="AG51" i="47"/>
  <c r="AG70" i="47"/>
  <c r="Y61" i="47"/>
  <c r="AI50" i="47"/>
  <c r="M18" i="47"/>
  <c r="W46" i="47"/>
  <c r="K41" i="47"/>
  <c r="V23" i="47"/>
  <c r="Y65" i="47"/>
  <c r="AI49" i="47"/>
  <c r="W45" i="47"/>
  <c r="M40" i="47"/>
  <c r="V27" i="47"/>
  <c r="G37" i="47"/>
  <c r="Y69" i="47"/>
  <c r="J50" i="47"/>
  <c r="AI53" i="47"/>
  <c r="M20" i="47"/>
  <c r="AH25" i="47"/>
  <c r="J33" i="47"/>
  <c r="O52" i="47"/>
  <c r="Y63" i="47"/>
  <c r="AI42" i="47"/>
  <c r="M64" i="47"/>
  <c r="W38" i="47"/>
  <c r="O35" i="47"/>
  <c r="V20" i="47"/>
  <c r="M29" i="47"/>
  <c r="Y62" i="47"/>
  <c r="AI46" i="47"/>
  <c r="K67" i="47"/>
  <c r="G27" i="47"/>
  <c r="W42" i="47"/>
  <c r="M38" i="47"/>
  <c r="V24" i="47"/>
  <c r="G33" i="47"/>
  <c r="G48" i="47"/>
  <c r="N63" i="47"/>
  <c r="J64" i="47"/>
  <c r="AI71" i="47"/>
  <c r="AG39" i="47"/>
  <c r="AG43" i="47"/>
  <c r="AG29" i="47"/>
  <c r="Y56" i="47"/>
  <c r="J46" i="47"/>
  <c r="AI45" i="47"/>
  <c r="M66" i="47"/>
  <c r="W41" i="47"/>
  <c r="O37" i="47"/>
  <c r="V18" i="47"/>
  <c r="K28" i="47"/>
  <c r="Y60" i="47"/>
  <c r="N48" i="47"/>
  <c r="AI44" i="47"/>
  <c r="O65" i="47"/>
  <c r="W40" i="47"/>
  <c r="K37" i="47"/>
  <c r="V22" i="47"/>
  <c r="Y64" i="47"/>
  <c r="AI48" i="47"/>
  <c r="M68" i="47"/>
  <c r="AH20" i="47"/>
  <c r="L56" i="47"/>
  <c r="M23" i="47"/>
  <c r="Y58" i="47"/>
  <c r="L47" i="47"/>
  <c r="AI37" i="47"/>
  <c r="K61" i="47"/>
  <c r="W33" i="47"/>
  <c r="N74" i="47"/>
  <c r="K26" i="47"/>
  <c r="Y57" i="47"/>
  <c r="N46" i="47"/>
  <c r="AI41" i="47"/>
  <c r="O63" i="47"/>
  <c r="W37" i="47"/>
  <c r="K35" i="47"/>
  <c r="V19" i="47"/>
  <c r="O28" i="47"/>
  <c r="G47" i="47"/>
  <c r="M60" i="47"/>
  <c r="G40" i="47"/>
  <c r="K75" i="47"/>
  <c r="M46" i="47"/>
  <c r="V58" i="47"/>
  <c r="X29" i="47"/>
  <c r="L38" i="47"/>
  <c r="AG49" i="47"/>
  <c r="AG27" i="47"/>
  <c r="AG21" i="47"/>
  <c r="Y51" i="47"/>
  <c r="AI40" i="47"/>
  <c r="K63" i="47"/>
  <c r="G19" i="47"/>
  <c r="W36" i="47"/>
  <c r="M34" i="47"/>
  <c r="L73" i="47"/>
  <c r="O24" i="47"/>
  <c r="Y55" i="47"/>
  <c r="L45" i="47"/>
  <c r="AI39" i="47"/>
  <c r="M62" i="47"/>
  <c r="W35" i="47"/>
  <c r="O33" i="47"/>
  <c r="V17" i="47"/>
  <c r="M27" i="47"/>
  <c r="Y59" i="47"/>
  <c r="J48" i="47"/>
  <c r="AI43" i="47"/>
  <c r="K65" i="47"/>
  <c r="G23" i="47"/>
  <c r="W74" i="47"/>
  <c r="M47" i="47"/>
  <c r="Y53" i="47"/>
  <c r="J44" i="47"/>
  <c r="AI29" i="47"/>
  <c r="G64" i="47"/>
  <c r="AH72" i="47"/>
  <c r="W25" i="47"/>
  <c r="L71" i="47"/>
  <c r="O22" i="47"/>
  <c r="Y52" i="47"/>
  <c r="AI36" i="47"/>
  <c r="W29" i="47"/>
  <c r="J74" i="47"/>
  <c r="W39" i="47"/>
  <c r="J26" i="47"/>
  <c r="L58" i="47"/>
  <c r="V53" i="47"/>
  <c r="W57" i="47"/>
  <c r="AG28" i="47"/>
  <c r="AG56" i="47"/>
  <c r="AG37" i="47"/>
  <c r="Y46" i="47"/>
  <c r="M41" i="47"/>
  <c r="AI35" i="47"/>
  <c r="G68" i="47"/>
  <c r="AH75" i="47"/>
  <c r="W28" i="47"/>
  <c r="J70" i="47"/>
  <c r="M21" i="47"/>
  <c r="Y50" i="47"/>
  <c r="AI34" i="47"/>
  <c r="AH74" i="47"/>
  <c r="W27" i="47"/>
  <c r="N72" i="47"/>
  <c r="K24" i="47"/>
  <c r="Y54" i="47"/>
  <c r="N44" i="47"/>
  <c r="AI38" i="47"/>
  <c r="O61" i="47"/>
  <c r="W69" i="47"/>
  <c r="V69" i="47"/>
  <c r="K44" i="47"/>
  <c r="Y48" i="47"/>
  <c r="O42" i="47"/>
  <c r="AI24" i="47"/>
  <c r="AH67" i="47"/>
  <c r="W20" i="47"/>
  <c r="N29" i="47"/>
  <c r="M19" i="47"/>
  <c r="Y47" i="47"/>
  <c r="K42" i="47"/>
  <c r="AI28" i="47"/>
  <c r="AH71" i="47"/>
  <c r="W24" i="47"/>
  <c r="N70" i="47"/>
  <c r="K22" i="47"/>
  <c r="Y21" i="47"/>
  <c r="X53" i="47"/>
  <c r="G20" i="47"/>
  <c r="AJ41" i="47"/>
  <c r="L42" i="47"/>
  <c r="AG20" i="47"/>
  <c r="AG48" i="47"/>
  <c r="AG42" i="47"/>
  <c r="Y41" i="47"/>
  <c r="K38" i="47"/>
  <c r="AI27" i="47"/>
  <c r="AH70" i="47"/>
  <c r="W23" i="47"/>
  <c r="K18" i="47"/>
  <c r="Y45" i="47"/>
  <c r="O40" i="47"/>
  <c r="AI26" i="47"/>
  <c r="G60" i="47"/>
  <c r="AH69" i="47"/>
  <c r="W22" i="47"/>
  <c r="G74" i="47"/>
  <c r="O20" i="47"/>
  <c r="Y49" i="47"/>
  <c r="AI33" i="47"/>
  <c r="V64" i="47"/>
  <c r="W64" i="47"/>
  <c r="G51" i="47"/>
  <c r="V59" i="47"/>
  <c r="N39" i="47"/>
  <c r="Y43" i="47"/>
  <c r="M39" i="47"/>
  <c r="AI19" i="47"/>
  <c r="O55" i="47"/>
  <c r="AH62" i="47"/>
  <c r="O74" i="47"/>
  <c r="L26" i="47"/>
  <c r="M67" i="47"/>
  <c r="Y42" i="47"/>
  <c r="O38" i="47"/>
  <c r="AI23" i="47"/>
  <c r="M58" i="47"/>
  <c r="AH66" i="47"/>
  <c r="W19" i="47"/>
  <c r="J29" i="47"/>
  <c r="G70" i="47"/>
  <c r="O18" i="47"/>
  <c r="X73" i="47"/>
  <c r="AH57" i="47"/>
  <c r="J23" i="47"/>
  <c r="G21" i="47"/>
  <c r="M35" i="47"/>
  <c r="K55" i="47"/>
  <c r="K74" i="47"/>
  <c r="O66" i="47"/>
  <c r="X64" i="47"/>
  <c r="AH37" i="47"/>
  <c r="AH41" i="47"/>
  <c r="J55" i="47"/>
  <c r="G63" i="47"/>
  <c r="AG69" i="47"/>
  <c r="AG35" i="47"/>
  <c r="AG47" i="47"/>
  <c r="Y36" i="47"/>
  <c r="O34" i="47"/>
  <c r="AI22" i="47"/>
  <c r="O57" i="47"/>
  <c r="AH65" i="47"/>
  <c r="W18" i="47"/>
  <c r="L28" i="47"/>
  <c r="K66" i="47"/>
  <c r="Y40" i="47"/>
  <c r="M37" i="47"/>
  <c r="AI21" i="47"/>
  <c r="K57" i="47"/>
  <c r="AH64" i="47"/>
  <c r="W17" i="47"/>
  <c r="N27" i="47"/>
  <c r="O68" i="47"/>
  <c r="Y44" i="47"/>
  <c r="K40" i="47"/>
  <c r="AI25" i="47"/>
  <c r="K56" i="47"/>
  <c r="W59" i="47"/>
  <c r="N47" i="47"/>
  <c r="V54" i="47"/>
  <c r="L36" i="47"/>
  <c r="Y38" i="47"/>
  <c r="K36" i="47"/>
  <c r="M52" i="47"/>
  <c r="M71" i="47"/>
  <c r="K64" i="47"/>
  <c r="Y37" i="47"/>
  <c r="AI18" i="47"/>
  <c r="AH61" i="47"/>
  <c r="AH44" i="47"/>
  <c r="AJ62" i="47"/>
  <c r="AJ61" i="47"/>
  <c r="N38" i="47"/>
  <c r="V62" i="47"/>
  <c r="G55" i="47"/>
  <c r="AG68" i="47"/>
  <c r="AG61" i="47"/>
  <c r="AJ75" i="47"/>
  <c r="Y28" i="47"/>
  <c r="AI17" i="47"/>
  <c r="M54" i="47"/>
  <c r="AH60" i="47"/>
  <c r="M73" i="47"/>
  <c r="O62" i="47"/>
  <c r="Y35" i="47"/>
  <c r="K34" i="47"/>
  <c r="X75" i="47"/>
  <c r="AH59" i="47"/>
  <c r="O72" i="47"/>
  <c r="L24" i="47"/>
  <c r="M65" i="47"/>
  <c r="Y39" i="47"/>
  <c r="O36" i="47"/>
  <c r="AI20" i="47"/>
  <c r="M56" i="47"/>
  <c r="W54" i="47"/>
  <c r="L44" i="47"/>
  <c r="V49" i="47"/>
  <c r="Y33" i="47"/>
  <c r="G42" i="47"/>
  <c r="X68" i="47"/>
  <c r="AH52" i="47"/>
  <c r="N19" i="47"/>
  <c r="O60" i="47"/>
  <c r="Y29" i="47"/>
  <c r="X72" i="47"/>
  <c r="O51" i="47"/>
  <c r="AH56" i="47"/>
  <c r="O70" i="47"/>
  <c r="L22" i="47"/>
  <c r="M63" i="47"/>
  <c r="G62" i="47"/>
  <c r="X60" i="47"/>
  <c r="AJ68" i="47"/>
  <c r="L23" i="47"/>
  <c r="X57" i="47"/>
  <c r="W73" i="47"/>
  <c r="N51" i="47"/>
  <c r="AQ38" i="41"/>
  <c r="AQ42" i="41"/>
  <c r="G42" i="41"/>
  <c r="G63" i="34"/>
  <c r="E63" i="34"/>
  <c r="D63" i="34"/>
  <c r="J63" i="34"/>
  <c r="L63" i="34"/>
  <c r="I63" i="34"/>
  <c r="H63" i="34"/>
  <c r="K63" i="34"/>
  <c r="F63" i="34"/>
  <c r="C63" i="34"/>
  <c r="M63" i="34"/>
  <c r="N63" i="34"/>
  <c r="G38" i="41"/>
  <c r="AQ46" i="41"/>
  <c r="G46" i="41"/>
  <c r="AJ3" i="38"/>
  <c r="Y57" i="41"/>
  <c r="AK52" i="41" s="1"/>
  <c r="AO58" i="41"/>
  <c r="AQ58" i="41" s="1"/>
  <c r="P32" i="34"/>
  <c r="B20" i="4"/>
  <c r="F20" i="4" s="1"/>
  <c r="P99" i="49" l="1"/>
  <c r="E45" i="47"/>
  <c r="E73" i="47"/>
  <c r="E55" i="47"/>
  <c r="C62" i="47"/>
  <c r="E54" i="47"/>
  <c r="F18" i="47"/>
  <c r="C54" i="47"/>
  <c r="C19" i="47"/>
  <c r="E40" i="47"/>
  <c r="E47" i="47"/>
  <c r="C36" i="47"/>
  <c r="E28" i="47"/>
  <c r="C40" i="47"/>
  <c r="F64" i="47"/>
  <c r="E35" i="47"/>
  <c r="F60" i="47"/>
  <c r="C55" i="47"/>
  <c r="AR58" i="41"/>
  <c r="AR64" i="41"/>
  <c r="AR56" i="41"/>
  <c r="AR60" i="41"/>
  <c r="F68" i="47"/>
  <c r="C58" i="47"/>
  <c r="E23" i="47"/>
  <c r="C41" i="47"/>
  <c r="E51" i="47"/>
  <c r="E29" i="47"/>
  <c r="C74" i="47"/>
  <c r="F75" i="47"/>
  <c r="E63" i="47"/>
  <c r="C66" i="47"/>
  <c r="C22" i="47"/>
  <c r="E36" i="47"/>
  <c r="F72" i="47"/>
  <c r="C18" i="47"/>
  <c r="C52" i="47"/>
  <c r="E22" i="47"/>
  <c r="C75" i="47"/>
  <c r="E50" i="47"/>
  <c r="C24" i="47"/>
  <c r="E38" i="47"/>
  <c r="E20" i="47"/>
  <c r="E33" i="47"/>
  <c r="E48" i="47"/>
  <c r="E24" i="47"/>
  <c r="C57" i="47"/>
  <c r="F73" i="47"/>
  <c r="C64" i="47"/>
  <c r="E42" i="47"/>
  <c r="C33" i="47"/>
  <c r="F57" i="47"/>
  <c r="C23" i="47"/>
  <c r="E68" i="47"/>
  <c r="E58" i="47"/>
  <c r="E39" i="47"/>
  <c r="E46" i="47"/>
  <c r="E27" i="47"/>
  <c r="C45" i="47"/>
  <c r="E18" i="47"/>
  <c r="E19" i="47"/>
  <c r="AO23" i="41"/>
  <c r="AM23" i="41"/>
  <c r="AP23" i="41"/>
  <c r="E74" i="47"/>
  <c r="C20" i="47"/>
  <c r="F33" i="47"/>
  <c r="F46" i="47"/>
  <c r="F74" i="47"/>
  <c r="E75" i="47"/>
  <c r="C61" i="47"/>
  <c r="C71" i="47"/>
  <c r="C73" i="47"/>
  <c r="E61" i="47"/>
  <c r="C46" i="47"/>
  <c r="F55" i="47"/>
  <c r="F62" i="47"/>
  <c r="E66" i="47"/>
  <c r="F34" i="47"/>
  <c r="F35" i="47"/>
  <c r="C21" i="47"/>
  <c r="F51" i="47"/>
  <c r="F23" i="47"/>
  <c r="E21" i="47"/>
  <c r="F48" i="47"/>
  <c r="F41" i="47"/>
  <c r="E26" i="47"/>
  <c r="F65" i="47"/>
  <c r="E56" i="47"/>
  <c r="F67" i="47"/>
  <c r="F61" i="47"/>
  <c r="F70" i="47"/>
  <c r="F21" i="47"/>
  <c r="C56" i="47"/>
  <c r="F44" i="47"/>
  <c r="F54" i="47"/>
  <c r="C26" i="47"/>
  <c r="E70" i="47"/>
  <c r="F24" i="47"/>
  <c r="E64" i="47"/>
  <c r="E37" i="47"/>
  <c r="C42" i="47"/>
  <c r="C37" i="47"/>
  <c r="F27" i="47"/>
  <c r="C70" i="47"/>
  <c r="C72" i="47"/>
  <c r="E34" i="47"/>
  <c r="F56" i="47"/>
  <c r="F58" i="47"/>
  <c r="C29" i="47"/>
  <c r="E52" i="47"/>
  <c r="E67" i="47"/>
  <c r="F42" i="47"/>
  <c r="F66" i="47"/>
  <c r="C35" i="47"/>
  <c r="C48" i="47"/>
  <c r="F36" i="47"/>
  <c r="F37" i="47"/>
  <c r="F26" i="47"/>
  <c r="C65" i="47"/>
  <c r="F45" i="47"/>
  <c r="F47" i="47"/>
  <c r="E57" i="47"/>
  <c r="C27" i="47"/>
  <c r="E60" i="47"/>
  <c r="C51" i="47"/>
  <c r="C63" i="47"/>
  <c r="C39" i="47"/>
  <c r="F63" i="47"/>
  <c r="C47" i="47"/>
  <c r="F20" i="47"/>
  <c r="F39" i="47"/>
  <c r="F71" i="47"/>
  <c r="E62" i="47"/>
  <c r="C50" i="47"/>
  <c r="E71" i="47"/>
  <c r="F50" i="47"/>
  <c r="F52" i="47"/>
  <c r="E44" i="47"/>
  <c r="E65" i="47"/>
  <c r="F40" i="47"/>
  <c r="C34" i="47"/>
  <c r="E72" i="47"/>
  <c r="C44" i="47"/>
  <c r="C28" i="47"/>
  <c r="C38" i="47"/>
  <c r="F19" i="47"/>
  <c r="F22" i="47"/>
  <c r="F28" i="47"/>
  <c r="F38" i="47"/>
  <c r="C68" i="47"/>
  <c r="C67" i="47"/>
  <c r="F29" i="47"/>
  <c r="E41" i="47"/>
  <c r="C60" i="47"/>
  <c r="J69" i="47"/>
  <c r="K69" i="47"/>
  <c r="L69" i="47"/>
  <c r="O69" i="47"/>
  <c r="N59" i="47"/>
  <c r="K32" i="47"/>
  <c r="O32" i="47"/>
  <c r="M32" i="47"/>
  <c r="M43" i="47"/>
  <c r="K43" i="47"/>
  <c r="K59" i="47"/>
  <c r="L43" i="47"/>
  <c r="M69" i="47"/>
  <c r="M59" i="47"/>
  <c r="L32" i="47"/>
  <c r="N69" i="47"/>
  <c r="L59" i="47"/>
  <c r="N32" i="47"/>
  <c r="J43" i="47"/>
  <c r="O43" i="47"/>
  <c r="N43" i="47"/>
  <c r="J32" i="47"/>
  <c r="O59" i="47"/>
  <c r="J59" i="47"/>
  <c r="D79" i="34"/>
  <c r="AM59" i="41"/>
  <c r="AM41" i="41"/>
  <c r="AP58" i="41"/>
  <c r="AP56" i="41"/>
  <c r="AP59" i="41"/>
  <c r="AP63" i="41"/>
  <c r="AP65" i="41"/>
  <c r="AP60" i="41"/>
  <c r="AP61" i="41"/>
  <c r="AP57" i="41"/>
  <c r="AP64" i="41"/>
  <c r="AN56" i="41"/>
  <c r="AN60" i="41"/>
  <c r="AN64" i="41"/>
  <c r="AN58" i="41"/>
  <c r="AN62" i="41"/>
  <c r="AP30" i="41"/>
  <c r="AO30" i="41"/>
  <c r="AP26" i="41"/>
  <c r="AM30" i="41"/>
  <c r="AM26" i="41"/>
  <c r="AM28" i="41"/>
  <c r="AO44" i="41"/>
  <c r="AO40" i="41"/>
  <c r="AM45" i="41"/>
  <c r="X57" i="41"/>
  <c r="AM43" i="41"/>
  <c r="AM47" i="41"/>
  <c r="AO28" i="41"/>
  <c r="AO26" i="41"/>
  <c r="AP28" i="41"/>
  <c r="AM61" i="41"/>
  <c r="AO62" i="41"/>
  <c r="AO66" i="41" s="1"/>
  <c r="AM63" i="41"/>
  <c r="AM65" i="41"/>
  <c r="O86" i="34"/>
  <c r="O85" i="34"/>
  <c r="O63" i="34"/>
  <c r="O84" i="34"/>
  <c r="O83" i="34"/>
  <c r="D20" i="4"/>
  <c r="M18" i="4" s="1"/>
  <c r="N17" i="4"/>
  <c r="M17" i="4"/>
  <c r="N18" i="4"/>
  <c r="N20" i="4"/>
  <c r="M20" i="4"/>
  <c r="AO49" i="41" l="1"/>
  <c r="AO48" i="41"/>
  <c r="AO67" i="41"/>
  <c r="H64" i="41"/>
  <c r="H56" i="41"/>
  <c r="H60" i="41"/>
  <c r="F59" i="41"/>
  <c r="A52" i="41"/>
  <c r="AN59" i="41"/>
  <c r="AQ59" i="41"/>
  <c r="AR59" i="41" s="1"/>
  <c r="AN65" i="41"/>
  <c r="AQ65" i="41"/>
  <c r="AR65" i="41" s="1"/>
  <c r="AN63" i="41"/>
  <c r="AQ63" i="41"/>
  <c r="AR63" i="41" s="1"/>
  <c r="AP62" i="41"/>
  <c r="AP66" i="41" s="1"/>
  <c r="AQ62" i="41"/>
  <c r="AR62" i="41" s="1"/>
  <c r="AN61" i="41"/>
  <c r="AQ61" i="41"/>
  <c r="AR61" i="41" s="1"/>
  <c r="E23" i="41"/>
  <c r="C23" i="41"/>
  <c r="F23" i="41"/>
  <c r="C69" i="47"/>
  <c r="C43" i="47"/>
  <c r="C59" i="47"/>
  <c r="C32" i="47"/>
  <c r="F79" i="34"/>
  <c r="N79" i="34"/>
  <c r="H79" i="34"/>
  <c r="M79" i="34"/>
  <c r="E79" i="34"/>
  <c r="G79" i="34"/>
  <c r="I79" i="34"/>
  <c r="L79" i="34"/>
  <c r="J79" i="34"/>
  <c r="C79" i="34"/>
  <c r="K79" i="34"/>
  <c r="AQ41" i="41"/>
  <c r="C41" i="41"/>
  <c r="C59" i="41"/>
  <c r="AQ43" i="41"/>
  <c r="AQ40" i="41"/>
  <c r="AQ44" i="41"/>
  <c r="AQ45" i="41"/>
  <c r="AQ47" i="41"/>
  <c r="E62" i="41"/>
  <c r="G62" i="41" s="1"/>
  <c r="H62" i="41" s="1"/>
  <c r="E58" i="41"/>
  <c r="C65" i="41"/>
  <c r="G65" i="41" s="1"/>
  <c r="H65" i="41" s="1"/>
  <c r="C63" i="41"/>
  <c r="G63" i="41" s="1"/>
  <c r="H63" i="41" s="1"/>
  <c r="C61" i="41"/>
  <c r="G61" i="41" s="1"/>
  <c r="H61" i="41" s="1"/>
  <c r="C47" i="41"/>
  <c r="C45" i="41"/>
  <c r="E44" i="41"/>
  <c r="C43" i="41"/>
  <c r="C26" i="41"/>
  <c r="F30" i="41"/>
  <c r="C28" i="41"/>
  <c r="E28" i="41"/>
  <c r="F28" i="41"/>
  <c r="E26" i="41"/>
  <c r="F26" i="41"/>
  <c r="C30" i="41"/>
  <c r="E30" i="41"/>
  <c r="N23" i="4"/>
  <c r="M23" i="4"/>
  <c r="G58" i="41" l="1"/>
  <c r="H58" i="41" s="1"/>
  <c r="E67" i="41"/>
  <c r="E66" i="41"/>
  <c r="D59" i="41"/>
  <c r="G59" i="41"/>
  <c r="H59" i="41" s="1"/>
  <c r="O79" i="34"/>
  <c r="G41" i="41"/>
  <c r="F61" i="41"/>
  <c r="D61" i="41"/>
  <c r="D63" i="41"/>
  <c r="D65" i="41"/>
  <c r="F58" i="41"/>
  <c r="F62" i="41"/>
  <c r="F57" i="41"/>
  <c r="D64" i="41"/>
  <c r="D58" i="41"/>
  <c r="F60" i="41"/>
  <c r="D56" i="41"/>
  <c r="F64" i="41"/>
  <c r="F63" i="41"/>
  <c r="D60" i="41"/>
  <c r="D62" i="41"/>
  <c r="F56" i="41"/>
  <c r="F65" i="41"/>
  <c r="G43" i="41"/>
  <c r="G45" i="41"/>
  <c r="G47" i="41"/>
  <c r="G44" i="41"/>
  <c r="F66" i="41" l="1"/>
  <c r="N69" i="34" l="1"/>
  <c r="L69" i="34"/>
  <c r="I69" i="34"/>
  <c r="C69" i="34"/>
  <c r="C67" i="34" s="1"/>
  <c r="H69" i="34"/>
  <c r="D69" i="34"/>
  <c r="J69" i="34"/>
  <c r="G69" i="34"/>
  <c r="M69" i="34"/>
  <c r="E69" i="34"/>
  <c r="F69" i="34"/>
  <c r="K69" i="34"/>
  <c r="M65" i="34"/>
  <c r="N65" i="34"/>
  <c r="G65" i="34"/>
  <c r="H65" i="34"/>
  <c r="D65" i="34"/>
  <c r="I65" i="34"/>
  <c r="K65" i="34"/>
  <c r="E65" i="34" l="1"/>
  <c r="F65" i="34"/>
  <c r="C65" i="34"/>
  <c r="L65" i="34"/>
  <c r="J65" i="34"/>
  <c r="O69" i="34"/>
  <c r="F92" i="34"/>
  <c r="I92" i="34"/>
  <c r="J92" i="34"/>
  <c r="D92" i="34"/>
  <c r="K92" i="34"/>
  <c r="E92" i="34"/>
  <c r="G92" i="34"/>
  <c r="C92" i="34"/>
  <c r="L92" i="34"/>
  <c r="N92" i="34"/>
  <c r="M92" i="34"/>
  <c r="H92" i="34"/>
  <c r="J73" i="34"/>
  <c r="N73" i="34"/>
  <c r="I73" i="34"/>
  <c r="L73" i="34" l="1"/>
  <c r="I82" i="34"/>
  <c r="N82" i="34"/>
  <c r="K82" i="34"/>
  <c r="L82" i="34"/>
  <c r="C82" i="34"/>
  <c r="C81" i="34" s="1"/>
  <c r="F82" i="34"/>
  <c r="D82" i="34"/>
  <c r="E82" i="34"/>
  <c r="G82" i="34"/>
  <c r="H82" i="34"/>
  <c r="J82" i="34"/>
  <c r="M82" i="34"/>
  <c r="C73" i="34"/>
  <c r="O65" i="34"/>
  <c r="H73" i="34"/>
  <c r="K73" i="34"/>
  <c r="G73" i="34"/>
  <c r="D73" i="34"/>
  <c r="F73" i="34"/>
  <c r="O92" i="34"/>
  <c r="M73" i="34"/>
  <c r="E73" i="34"/>
  <c r="H71" i="34"/>
  <c r="L71" i="34"/>
  <c r="N71" i="34"/>
  <c r="K71" i="34"/>
  <c r="I71" i="34"/>
  <c r="C71" i="34"/>
  <c r="D71" i="34"/>
  <c r="E71" i="34"/>
  <c r="G71" i="34"/>
  <c r="F71" i="34"/>
  <c r="M71" i="34"/>
  <c r="J71" i="34"/>
  <c r="F75" i="34"/>
  <c r="E75" i="34"/>
  <c r="H75" i="34"/>
  <c r="D75" i="34"/>
  <c r="L75" i="34"/>
  <c r="I75" i="34"/>
  <c r="C75" i="34"/>
  <c r="M75" i="34"/>
  <c r="K75" i="34"/>
  <c r="N75" i="34"/>
  <c r="G75" i="34"/>
  <c r="J75" i="34"/>
  <c r="I81" i="34" l="1"/>
  <c r="H81" i="34"/>
  <c r="F81" i="34"/>
  <c r="K81" i="34"/>
  <c r="E81" i="34"/>
  <c r="G81" i="34"/>
  <c r="O82" i="34"/>
  <c r="J81" i="34"/>
  <c r="N81" i="34"/>
  <c r="M81" i="34"/>
  <c r="D81" i="34"/>
  <c r="L81" i="34"/>
  <c r="N90" i="34"/>
  <c r="L90" i="34"/>
  <c r="K90" i="34"/>
  <c r="M90" i="34"/>
  <c r="E90" i="34"/>
  <c r="D90" i="34"/>
  <c r="J90" i="34"/>
  <c r="H90" i="34"/>
  <c r="G90" i="34"/>
  <c r="C90" i="34"/>
  <c r="I90" i="34"/>
  <c r="F90" i="34"/>
  <c r="O73" i="34"/>
  <c r="O71" i="34"/>
  <c r="O75" i="34"/>
  <c r="O81" i="34" l="1"/>
  <c r="O90" i="34"/>
  <c r="H80" i="34" l="1"/>
  <c r="H76" i="34" s="1"/>
  <c r="D80" i="34"/>
  <c r="D76" i="34" s="1"/>
  <c r="N80" i="34"/>
  <c r="N76" i="34" s="1"/>
  <c r="J80" i="34"/>
  <c r="J76" i="34" s="1"/>
  <c r="K80" i="34"/>
  <c r="K76" i="34" s="1"/>
  <c r="I80" i="34"/>
  <c r="I76" i="34" s="1"/>
  <c r="F80" i="34"/>
  <c r="F76" i="34" s="1"/>
  <c r="G80" i="34"/>
  <c r="G76" i="34" s="1"/>
  <c r="E80" i="34"/>
  <c r="E76" i="34" s="1"/>
  <c r="L80" i="34"/>
  <c r="L76" i="34" s="1"/>
  <c r="C80" i="34"/>
  <c r="C76" i="34" s="1"/>
  <c r="M80" i="34"/>
  <c r="M76" i="34" s="1"/>
  <c r="O80" i="34" l="1"/>
  <c r="E64" i="34" l="1"/>
  <c r="E62" i="34" s="1"/>
  <c r="N64" i="34"/>
  <c r="N62" i="34" s="1"/>
  <c r="C64" i="34"/>
  <c r="C62" i="34" s="1"/>
  <c r="K64" i="34"/>
  <c r="K62" i="34" s="1"/>
  <c r="J64" i="34"/>
  <c r="J62" i="34" s="1"/>
  <c r="L64" i="34"/>
  <c r="L62" i="34" s="1"/>
  <c r="G64" i="34"/>
  <c r="G62" i="34" s="1"/>
  <c r="M64" i="34"/>
  <c r="M62" i="34" s="1"/>
  <c r="D64" i="34"/>
  <c r="D62" i="34" s="1"/>
  <c r="I64" i="34"/>
  <c r="I62" i="34" s="1"/>
  <c r="H64" i="34"/>
  <c r="H62" i="34" s="1"/>
  <c r="F64" i="34"/>
  <c r="F62" i="34" s="1"/>
  <c r="O62" i="34" l="1"/>
  <c r="O64" i="34"/>
  <c r="BD3" i="13" l="1"/>
  <c r="AW3" i="13"/>
  <c r="AZ3" i="13"/>
  <c r="BE3" i="13"/>
  <c r="AX3" i="13"/>
  <c r="BB3" i="13"/>
  <c r="BC3" i="13"/>
  <c r="AY3" i="13"/>
  <c r="BA3" i="13"/>
  <c r="AV3" i="13"/>
  <c r="BF3" i="13"/>
  <c r="BG3" i="12"/>
  <c r="CF5" i="16" l="1"/>
  <c r="CF4" i="16"/>
  <c r="CF3" i="16"/>
  <c r="BI3" i="12"/>
  <c r="AI4" i="13" l="1"/>
  <c r="T4" i="13" s="1"/>
  <c r="AI5" i="13"/>
  <c r="T5" i="13" s="1"/>
  <c r="AI3" i="13"/>
  <c r="T3" i="13" s="1"/>
  <c r="R3" i="13" l="1"/>
  <c r="E138" i="5" s="1"/>
  <c r="AU3" i="13"/>
  <c r="AS3" i="13"/>
  <c r="AL3" i="13"/>
  <c r="AO3" i="13"/>
  <c r="AQ3" i="13"/>
  <c r="AN3" i="13"/>
  <c r="AJ3" i="13"/>
  <c r="AR3" i="13"/>
  <c r="AM3" i="13"/>
  <c r="AK3" i="13"/>
  <c r="AP3" i="13"/>
  <c r="AT3" i="13"/>
  <c r="G103" i="5"/>
  <c r="C119" i="5"/>
  <c r="N91" i="5"/>
  <c r="D135" i="5"/>
  <c r="C85" i="5"/>
  <c r="BB3" i="12"/>
  <c r="BA3" i="12"/>
  <c r="BM5" i="16" l="1"/>
  <c r="BM4" i="16"/>
  <c r="BK4" i="16"/>
  <c r="BL4" i="16" s="1"/>
  <c r="BK5" i="16"/>
  <c r="BL5" i="16" s="1"/>
  <c r="K104" i="5"/>
  <c r="L87" i="5"/>
  <c r="I133" i="5"/>
  <c r="M84" i="5"/>
  <c r="D119" i="5"/>
  <c r="H80" i="5"/>
  <c r="C81" i="5"/>
  <c r="N72" i="5"/>
  <c r="I106" i="5"/>
  <c r="D143" i="5"/>
  <c r="F73" i="5"/>
  <c r="K72" i="5"/>
  <c r="L155" i="5"/>
  <c r="F87" i="5"/>
  <c r="H81" i="5"/>
  <c r="K148" i="5"/>
  <c r="E94" i="5"/>
  <c r="K131" i="5"/>
  <c r="J120" i="5"/>
  <c r="G138" i="5"/>
  <c r="H155" i="5"/>
  <c r="F109" i="5"/>
  <c r="D137" i="5"/>
  <c r="K122" i="5"/>
  <c r="J127" i="5"/>
  <c r="H134" i="5"/>
  <c r="J141" i="5"/>
  <c r="C93" i="5"/>
  <c r="C146" i="5"/>
  <c r="G90" i="5"/>
  <c r="L103" i="5"/>
  <c r="D98" i="5"/>
  <c r="G126" i="5"/>
  <c r="G89" i="5"/>
  <c r="M148" i="5"/>
  <c r="N104" i="5"/>
  <c r="N152" i="5"/>
  <c r="E74" i="5"/>
  <c r="G81" i="5"/>
  <c r="F132" i="5"/>
  <c r="K107" i="5"/>
  <c r="H120" i="5"/>
  <c r="N133" i="5"/>
  <c r="I157" i="5"/>
  <c r="D151" i="5"/>
  <c r="J148" i="5"/>
  <c r="F119" i="5"/>
  <c r="I135" i="5"/>
  <c r="F128" i="5"/>
  <c r="C84" i="5"/>
  <c r="L107" i="5"/>
  <c r="F155" i="5"/>
  <c r="N89" i="5"/>
  <c r="H128" i="5"/>
  <c r="F94" i="5"/>
  <c r="C144" i="5"/>
  <c r="N148" i="5"/>
  <c r="F122" i="5"/>
  <c r="C138" i="5"/>
  <c r="F134" i="5"/>
  <c r="D73" i="5"/>
  <c r="E80" i="5"/>
  <c r="C101" i="5"/>
  <c r="I74" i="5"/>
  <c r="J128" i="5"/>
  <c r="E91" i="5"/>
  <c r="C149" i="5"/>
  <c r="L75" i="5"/>
  <c r="F101" i="5"/>
  <c r="E75" i="5"/>
  <c r="I95" i="5"/>
  <c r="D85" i="5"/>
  <c r="M101" i="5"/>
  <c r="F95" i="5"/>
  <c r="J73" i="5"/>
  <c r="E90" i="5"/>
  <c r="I96" i="5"/>
  <c r="D106" i="5"/>
  <c r="C139" i="5"/>
  <c r="C103" i="5"/>
  <c r="F104" i="5"/>
  <c r="L126" i="5"/>
  <c r="H133" i="5"/>
  <c r="M144" i="5"/>
  <c r="E151" i="5"/>
  <c r="K95" i="5"/>
  <c r="N141" i="5"/>
  <c r="D84" i="5"/>
  <c r="I85" i="5"/>
  <c r="E148" i="5"/>
  <c r="I139" i="5"/>
  <c r="N134" i="5"/>
  <c r="N146" i="5"/>
  <c r="J99" i="5"/>
  <c r="L143" i="5"/>
  <c r="G106" i="5"/>
  <c r="N94" i="5"/>
  <c r="N157" i="5"/>
  <c r="N139" i="5"/>
  <c r="C75" i="5"/>
  <c r="K152" i="5"/>
  <c r="D157" i="5"/>
  <c r="K81" i="5"/>
  <c r="D78" i="5"/>
  <c r="L77" i="5"/>
  <c r="C109" i="5"/>
  <c r="J106" i="5"/>
  <c r="I151" i="5"/>
  <c r="N87" i="5"/>
  <c r="J156" i="5"/>
  <c r="L149" i="5"/>
  <c r="C91" i="5"/>
  <c r="I89" i="5"/>
  <c r="L72" i="5"/>
  <c r="N143" i="5"/>
  <c r="G156" i="5"/>
  <c r="C90" i="5"/>
  <c r="F83" i="5"/>
  <c r="E86" i="5"/>
  <c r="N98" i="5"/>
  <c r="F81" i="5"/>
  <c r="H141" i="5"/>
  <c r="K106" i="5"/>
  <c r="E154" i="5"/>
  <c r="M119" i="5"/>
  <c r="J108" i="5"/>
  <c r="G146" i="5"/>
  <c r="L96" i="5"/>
  <c r="M153" i="5"/>
  <c r="M121" i="5"/>
  <c r="M133" i="5"/>
  <c r="K73" i="5"/>
  <c r="E87" i="5"/>
  <c r="J121" i="5"/>
  <c r="K78" i="5"/>
  <c r="G134" i="5"/>
  <c r="M100" i="5"/>
  <c r="H138" i="5"/>
  <c r="H100" i="5"/>
  <c r="M109" i="5"/>
  <c r="I129" i="5"/>
  <c r="G105" i="5"/>
  <c r="M79" i="5"/>
  <c r="J142" i="5"/>
  <c r="I77" i="5"/>
  <c r="K86" i="5"/>
  <c r="D154" i="5"/>
  <c r="N126" i="5"/>
  <c r="E120" i="5"/>
  <c r="M139" i="5"/>
  <c r="I119" i="5"/>
  <c r="J105" i="5"/>
  <c r="D139" i="5"/>
  <c r="G153" i="5"/>
  <c r="L93" i="5"/>
  <c r="N137" i="5"/>
  <c r="E152" i="5"/>
  <c r="J146" i="5"/>
  <c r="N128" i="5"/>
  <c r="J95" i="5"/>
  <c r="M103" i="5"/>
  <c r="K105" i="5"/>
  <c r="M98" i="5"/>
  <c r="I141" i="5"/>
  <c r="D120" i="5"/>
  <c r="H147" i="5"/>
  <c r="L123" i="5"/>
  <c r="L122" i="5"/>
  <c r="K103" i="5"/>
  <c r="H153" i="5"/>
  <c r="E119" i="5"/>
  <c r="H152" i="5"/>
  <c r="I87" i="5"/>
  <c r="K83" i="5"/>
  <c r="E134" i="5"/>
  <c r="J151" i="5"/>
  <c r="F133" i="5"/>
  <c r="C128" i="5"/>
  <c r="C96" i="5"/>
  <c r="J104" i="5"/>
  <c r="K89" i="5"/>
  <c r="K144" i="5"/>
  <c r="G73" i="5"/>
  <c r="G135" i="5"/>
  <c r="G133" i="5"/>
  <c r="M73" i="5"/>
  <c r="F135" i="5"/>
  <c r="K100" i="5"/>
  <c r="K90" i="5"/>
  <c r="I153" i="5"/>
  <c r="F146" i="5"/>
  <c r="C134" i="5"/>
  <c r="D138" i="5"/>
  <c r="J77" i="5"/>
  <c r="I149" i="5"/>
  <c r="D146" i="5"/>
  <c r="G128" i="5"/>
  <c r="N132" i="5"/>
  <c r="L151" i="5"/>
  <c r="N108" i="5"/>
  <c r="K98" i="5"/>
  <c r="J144" i="5"/>
  <c r="H127" i="5"/>
  <c r="M86" i="5"/>
  <c r="N101" i="5"/>
  <c r="I79" i="5"/>
  <c r="H151" i="5"/>
  <c r="D107" i="5"/>
  <c r="E71" i="5"/>
  <c r="L119" i="5"/>
  <c r="E129" i="5"/>
  <c r="F142" i="5"/>
  <c r="D155" i="5"/>
  <c r="N86" i="5"/>
  <c r="K96" i="5"/>
  <c r="M94" i="5"/>
  <c r="L89" i="5"/>
  <c r="F120" i="5"/>
  <c r="D105" i="5"/>
  <c r="L141" i="5"/>
  <c r="K99" i="5"/>
  <c r="H125" i="5"/>
  <c r="F141" i="5"/>
  <c r="H74" i="5"/>
  <c r="J89" i="5"/>
  <c r="H104" i="5"/>
  <c r="H131" i="5"/>
  <c r="K109" i="5"/>
  <c r="H135" i="5"/>
  <c r="N100" i="5"/>
  <c r="K147" i="5"/>
  <c r="M149" i="5"/>
  <c r="G122" i="5"/>
  <c r="M89" i="5"/>
  <c r="M135" i="5"/>
  <c r="K133" i="5"/>
  <c r="E73" i="5"/>
  <c r="E85" i="5"/>
  <c r="C73" i="5"/>
  <c r="F153" i="5"/>
  <c r="N85" i="5"/>
  <c r="N138" i="5"/>
  <c r="N90" i="5"/>
  <c r="H103" i="5"/>
  <c r="N95" i="5"/>
  <c r="G120" i="5"/>
  <c r="L78" i="5"/>
  <c r="F72" i="5"/>
  <c r="I131" i="5"/>
  <c r="M93" i="5"/>
  <c r="L120" i="5"/>
  <c r="E109" i="5"/>
  <c r="L147" i="5"/>
  <c r="K77" i="5"/>
  <c r="H157" i="5"/>
  <c r="I147" i="5"/>
  <c r="E78" i="5"/>
  <c r="E132" i="5"/>
  <c r="C74" i="5"/>
  <c r="F96" i="5"/>
  <c r="D122" i="5"/>
  <c r="N123" i="5"/>
  <c r="J100" i="5"/>
  <c r="I142" i="5"/>
  <c r="E156" i="5"/>
  <c r="J78" i="5"/>
  <c r="E83" i="5"/>
  <c r="H108" i="5"/>
  <c r="F137" i="5"/>
  <c r="L105" i="5"/>
  <c r="H129" i="5"/>
  <c r="L132" i="5"/>
  <c r="F123" i="5"/>
  <c r="I98" i="5"/>
  <c r="M74" i="5"/>
  <c r="H91" i="5"/>
  <c r="K135" i="5"/>
  <c r="G100" i="5"/>
  <c r="K126" i="5"/>
  <c r="M122" i="5"/>
  <c r="H83" i="5"/>
  <c r="J96" i="5"/>
  <c r="C89" i="5"/>
  <c r="K93" i="5"/>
  <c r="E98" i="5"/>
  <c r="L85" i="5"/>
  <c r="L135" i="5"/>
  <c r="E135" i="5"/>
  <c r="I73" i="5"/>
  <c r="N135" i="5"/>
  <c r="I101" i="5"/>
  <c r="F100" i="5"/>
  <c r="C148" i="5"/>
  <c r="L71" i="5"/>
  <c r="J122" i="5"/>
  <c r="H90" i="5"/>
  <c r="G139" i="5"/>
  <c r="L109" i="5"/>
  <c r="J137" i="5"/>
  <c r="C127" i="5"/>
  <c r="I93" i="5"/>
  <c r="D129" i="5"/>
  <c r="J157" i="5"/>
  <c r="E79" i="5"/>
  <c r="E147" i="5"/>
  <c r="L127" i="5"/>
  <c r="G151" i="5"/>
  <c r="C108" i="5"/>
  <c r="M129" i="5"/>
  <c r="E127" i="5"/>
  <c r="D75" i="5"/>
  <c r="I107" i="5"/>
  <c r="H119" i="5"/>
  <c r="D147" i="5"/>
  <c r="J101" i="5"/>
  <c r="H93" i="5"/>
  <c r="C80" i="5"/>
  <c r="D71" i="5"/>
  <c r="L104" i="5"/>
  <c r="E126" i="5"/>
  <c r="G123" i="5"/>
  <c r="F74" i="5"/>
  <c r="L90" i="5"/>
  <c r="D144" i="5"/>
  <c r="D125" i="5"/>
  <c r="N80" i="5"/>
  <c r="D91" i="5"/>
  <c r="H85" i="5"/>
  <c r="H71" i="5"/>
  <c r="C120" i="5"/>
  <c r="F99" i="5"/>
  <c r="I148" i="5"/>
  <c r="M77" i="5"/>
  <c r="I91" i="5"/>
  <c r="E153" i="5"/>
  <c r="D133" i="5"/>
  <c r="K85" i="5"/>
  <c r="J134" i="5"/>
  <c r="D90" i="5"/>
  <c r="M104" i="5"/>
  <c r="I138" i="5"/>
  <c r="G95" i="5"/>
  <c r="K132" i="5"/>
  <c r="D131" i="5"/>
  <c r="H132" i="5"/>
  <c r="C152" i="5"/>
  <c r="F149" i="5"/>
  <c r="D83" i="5"/>
  <c r="J123" i="5"/>
  <c r="C143" i="5"/>
  <c r="G155" i="5"/>
  <c r="I99" i="5"/>
  <c r="M143" i="5"/>
  <c r="C129" i="5"/>
  <c r="I156" i="5"/>
  <c r="N119" i="5"/>
  <c r="K120" i="5"/>
  <c r="F91" i="5"/>
  <c r="I120" i="5"/>
  <c r="L74" i="5"/>
  <c r="J109" i="5"/>
  <c r="E141" i="5"/>
  <c r="N96" i="5"/>
  <c r="I75" i="5"/>
  <c r="N156" i="5"/>
  <c r="F126" i="5"/>
  <c r="D132" i="5"/>
  <c r="F139" i="5"/>
  <c r="F75" i="5"/>
  <c r="F151" i="5"/>
  <c r="H146" i="5"/>
  <c r="E105" i="5"/>
  <c r="N142" i="5"/>
  <c r="J125" i="5"/>
  <c r="M152" i="5"/>
  <c r="M91" i="5"/>
  <c r="F80" i="5"/>
  <c r="H137" i="5"/>
  <c r="L128" i="5"/>
  <c r="M125" i="5"/>
  <c r="H123" i="5"/>
  <c r="N84" i="5"/>
  <c r="J152" i="5"/>
  <c r="H121" i="5"/>
  <c r="L73" i="5"/>
  <c r="C87" i="5"/>
  <c r="K121" i="5"/>
  <c r="H73" i="5"/>
  <c r="J85" i="5"/>
  <c r="M96" i="5"/>
  <c r="L148" i="5"/>
  <c r="N93" i="5"/>
  <c r="H148" i="5"/>
  <c r="K137" i="5"/>
  <c r="K142" i="5"/>
  <c r="L80" i="5"/>
  <c r="C77" i="5"/>
  <c r="J155" i="5"/>
  <c r="H79" i="5"/>
  <c r="K139" i="5"/>
  <c r="M154" i="5"/>
  <c r="D81" i="5"/>
  <c r="N78" i="5"/>
  <c r="N149" i="5"/>
  <c r="E131" i="5"/>
  <c r="H105" i="5"/>
  <c r="I127" i="5"/>
  <c r="K154" i="5"/>
  <c r="C125" i="5"/>
  <c r="D152" i="5"/>
  <c r="F93" i="5"/>
  <c r="K79" i="5"/>
  <c r="L101" i="5"/>
  <c r="C141" i="5"/>
  <c r="I100" i="5"/>
  <c r="F156" i="5"/>
  <c r="J103" i="5"/>
  <c r="C154" i="5"/>
  <c r="N144" i="5"/>
  <c r="M131" i="5"/>
  <c r="C86" i="5"/>
  <c r="L91" i="5"/>
  <c r="J139" i="5"/>
  <c r="I90" i="5"/>
  <c r="D86" i="5"/>
  <c r="K146" i="5"/>
  <c r="J86" i="5"/>
  <c r="H106" i="5"/>
  <c r="G149" i="5"/>
  <c r="G147" i="5"/>
  <c r="K143" i="5"/>
  <c r="J79" i="5"/>
  <c r="M127" i="5"/>
  <c r="K155" i="5"/>
  <c r="M156" i="5"/>
  <c r="G121" i="5"/>
  <c r="C133" i="5"/>
  <c r="L121" i="5"/>
  <c r="H87" i="5"/>
  <c r="L133" i="5"/>
  <c r="N75" i="5"/>
  <c r="M137" i="5"/>
  <c r="L137" i="5"/>
  <c r="G148" i="5"/>
  <c r="F148" i="5"/>
  <c r="H75" i="5"/>
  <c r="F147" i="5"/>
  <c r="L156" i="5"/>
  <c r="E89" i="5"/>
  <c r="K151" i="5"/>
  <c r="D99" i="5"/>
  <c r="K149" i="5"/>
  <c r="L94" i="5"/>
  <c r="H98" i="5"/>
  <c r="I72" i="5"/>
  <c r="I81" i="5"/>
  <c r="M107" i="5"/>
  <c r="I144" i="5"/>
  <c r="C83" i="5"/>
  <c r="D104" i="5"/>
  <c r="E101" i="5"/>
  <c r="M106" i="5"/>
  <c r="N77" i="5"/>
  <c r="F154" i="5"/>
  <c r="G99" i="5"/>
  <c r="E107" i="5"/>
  <c r="E142" i="5"/>
  <c r="L134" i="5"/>
  <c r="G93" i="5"/>
  <c r="I108" i="5"/>
  <c r="E155" i="5"/>
  <c r="L144" i="5"/>
  <c r="I78" i="5"/>
  <c r="G104" i="5"/>
  <c r="N122" i="5"/>
  <c r="J75" i="5"/>
  <c r="F107" i="5"/>
  <c r="D87" i="5"/>
  <c r="F103" i="5"/>
  <c r="G152" i="5"/>
  <c r="M147" i="5"/>
  <c r="C135" i="5"/>
  <c r="M108" i="5"/>
  <c r="F71" i="5"/>
  <c r="J126" i="5"/>
  <c r="G86" i="5"/>
  <c r="J135" i="5"/>
  <c r="J87" i="5"/>
  <c r="F85" i="5"/>
  <c r="K87" i="5"/>
  <c r="G87" i="5"/>
  <c r="J133" i="5"/>
  <c r="E133" i="5"/>
  <c r="M134" i="5"/>
  <c r="M138" i="5"/>
  <c r="D148" i="5"/>
  <c r="K134" i="5"/>
  <c r="N131" i="5"/>
  <c r="L138" i="5"/>
  <c r="C155" i="5"/>
  <c r="E93" i="5"/>
  <c r="G101" i="5"/>
  <c r="C107" i="5"/>
  <c r="N73" i="5"/>
  <c r="C79" i="5"/>
  <c r="L146" i="5"/>
  <c r="E104" i="5"/>
  <c r="G127" i="5"/>
  <c r="F152" i="5"/>
  <c r="N107" i="5"/>
  <c r="K157" i="5"/>
  <c r="H143" i="5"/>
  <c r="D80" i="5"/>
  <c r="N99" i="5"/>
  <c r="D79" i="5"/>
  <c r="H142" i="5"/>
  <c r="D149" i="5"/>
  <c r="J71" i="5"/>
  <c r="K153" i="5"/>
  <c r="M71" i="5"/>
  <c r="E100" i="5"/>
  <c r="D108" i="5"/>
  <c r="D156" i="5"/>
  <c r="I105" i="5"/>
  <c r="C157" i="5"/>
  <c r="L81" i="5"/>
  <c r="F143" i="5"/>
  <c r="J149" i="5"/>
  <c r="F127" i="5"/>
  <c r="N125" i="5"/>
  <c r="C147" i="5"/>
  <c r="M90" i="5"/>
  <c r="E146" i="5"/>
  <c r="D74" i="5"/>
  <c r="N121" i="5"/>
  <c r="F90" i="5"/>
  <c r="M132" i="5"/>
  <c r="J129" i="5"/>
  <c r="J93" i="5"/>
  <c r="M87" i="5"/>
  <c r="E121" i="5"/>
  <c r="M85" i="5"/>
  <c r="C121" i="5"/>
  <c r="G85" i="5"/>
  <c r="N129" i="5"/>
  <c r="L100" i="5"/>
  <c r="K119" i="5"/>
  <c r="K128" i="5"/>
  <c r="K123" i="5"/>
  <c r="G137" i="5"/>
  <c r="F98" i="5"/>
  <c r="H156" i="5"/>
  <c r="M155" i="5"/>
  <c r="G84" i="5"/>
  <c r="I125" i="5"/>
  <c r="L142" i="5"/>
  <c r="D128" i="5"/>
  <c r="C105" i="5"/>
  <c r="N155" i="5"/>
  <c r="I71" i="5"/>
  <c r="N120" i="5"/>
  <c r="H89" i="5"/>
  <c r="N71" i="5"/>
  <c r="F157" i="5"/>
  <c r="I152" i="5"/>
  <c r="G144" i="5"/>
  <c r="I94" i="5"/>
  <c r="N105" i="5"/>
  <c r="M151" i="5"/>
  <c r="F108" i="5"/>
  <c r="M146" i="5"/>
  <c r="H107" i="5"/>
  <c r="J83" i="5"/>
  <c r="G142" i="5"/>
  <c r="G109" i="5"/>
  <c r="H122" i="5"/>
  <c r="H95" i="5"/>
  <c r="L129" i="5"/>
  <c r="H126" i="5"/>
  <c r="J98" i="5"/>
  <c r="E103" i="5"/>
  <c r="I84" i="5"/>
  <c r="D89" i="5"/>
  <c r="N88" i="5"/>
  <c r="N147" i="5"/>
  <c r="H96" i="5"/>
  <c r="L125" i="5"/>
  <c r="F86" i="5"/>
  <c r="L154" i="5"/>
  <c r="E157" i="5"/>
  <c r="N127" i="5"/>
  <c r="E95" i="5"/>
  <c r="G80" i="5"/>
  <c r="D121" i="5"/>
  <c r="D142" i="5"/>
  <c r="M126" i="5"/>
  <c r="C99" i="5"/>
  <c r="G96" i="5"/>
  <c r="G91" i="5"/>
  <c r="M83" i="5"/>
  <c r="H94" i="5"/>
  <c r="L157" i="5"/>
  <c r="D100" i="5"/>
  <c r="D109" i="5"/>
  <c r="M95" i="5"/>
  <c r="C122" i="5"/>
  <c r="H154" i="5"/>
  <c r="I128" i="5"/>
  <c r="J94" i="5"/>
  <c r="E81" i="5"/>
  <c r="I104" i="5"/>
  <c r="K138" i="5"/>
  <c r="H72" i="5"/>
  <c r="J153" i="5"/>
  <c r="J143" i="5"/>
  <c r="I122" i="5"/>
  <c r="I83" i="5"/>
  <c r="G107" i="5"/>
  <c r="I155" i="5"/>
  <c r="F84" i="5"/>
  <c r="G98" i="5"/>
  <c r="G78" i="5"/>
  <c r="L131" i="5"/>
  <c r="G72" i="5"/>
  <c r="E108" i="5"/>
  <c r="E149" i="5"/>
  <c r="G125" i="5"/>
  <c r="F78" i="5"/>
  <c r="L83" i="5"/>
  <c r="M128" i="5"/>
  <c r="G77" i="5"/>
  <c r="E77" i="5"/>
  <c r="I123" i="5"/>
  <c r="H86" i="5"/>
  <c r="L153" i="5"/>
  <c r="C94" i="5"/>
  <c r="H77" i="5"/>
  <c r="N106" i="5"/>
  <c r="F79" i="5"/>
  <c r="F89" i="5"/>
  <c r="C126" i="5"/>
  <c r="M123" i="5"/>
  <c r="N83" i="5"/>
  <c r="G75" i="5"/>
  <c r="J72" i="5"/>
  <c r="K108" i="5"/>
  <c r="F138" i="5"/>
  <c r="L86" i="5"/>
  <c r="E139" i="5"/>
  <c r="N103" i="5"/>
  <c r="C131" i="5"/>
  <c r="I143" i="5"/>
  <c r="C100" i="5"/>
  <c r="N153" i="5"/>
  <c r="E96" i="5"/>
  <c r="K129" i="5"/>
  <c r="M105" i="5"/>
  <c r="C78" i="5"/>
  <c r="E72" i="5"/>
  <c r="E123" i="5"/>
  <c r="E128" i="5"/>
  <c r="K80" i="5"/>
  <c r="G154" i="5"/>
  <c r="I80" i="5"/>
  <c r="G141" i="5"/>
  <c r="K71" i="5"/>
  <c r="H84" i="5"/>
  <c r="H109" i="5"/>
  <c r="G157" i="5"/>
  <c r="D126" i="5"/>
  <c r="I126" i="5"/>
  <c r="J131" i="5"/>
  <c r="N136" i="5"/>
  <c r="I121" i="5"/>
  <c r="F121" i="5"/>
  <c r="M88" i="5"/>
  <c r="E136" i="5"/>
  <c r="F88" i="5"/>
  <c r="L136" i="5"/>
  <c r="J136" i="5"/>
  <c r="C88" i="5"/>
  <c r="L88" i="5"/>
  <c r="D136" i="5"/>
  <c r="D101" i="5"/>
  <c r="M99" i="5"/>
  <c r="G132" i="5"/>
  <c r="J132" i="5"/>
  <c r="C132" i="5"/>
  <c r="F129" i="5"/>
  <c r="E125" i="5"/>
  <c r="D95" i="5"/>
  <c r="M78" i="5"/>
  <c r="C137" i="5"/>
  <c r="E143" i="5"/>
  <c r="K84" i="5"/>
  <c r="L152" i="5"/>
  <c r="F106" i="5"/>
  <c r="I134" i="5"/>
  <c r="F136" i="5"/>
  <c r="H136" i="5"/>
  <c r="K94" i="5"/>
  <c r="C153" i="5"/>
  <c r="F77" i="5"/>
  <c r="E122" i="5"/>
  <c r="L139" i="5"/>
  <c r="H101" i="5"/>
  <c r="I86" i="5"/>
  <c r="G79" i="5"/>
  <c r="I154" i="5"/>
  <c r="J154" i="5"/>
  <c r="F105" i="5"/>
  <c r="C142" i="5"/>
  <c r="L108" i="5"/>
  <c r="E99" i="5"/>
  <c r="K74" i="5"/>
  <c r="D88" i="5"/>
  <c r="E88" i="5"/>
  <c r="J90" i="5"/>
  <c r="G74" i="5"/>
  <c r="G83" i="5"/>
  <c r="C106" i="5"/>
  <c r="C104" i="5"/>
  <c r="N79" i="5"/>
  <c r="D127" i="5"/>
  <c r="G143" i="5"/>
  <c r="M157" i="5"/>
  <c r="K75" i="5"/>
  <c r="K141" i="5"/>
  <c r="E106" i="5"/>
  <c r="D134" i="5"/>
  <c r="G94" i="5"/>
  <c r="G119" i="5"/>
  <c r="C136" i="5"/>
  <c r="G88" i="5"/>
  <c r="J80" i="5"/>
  <c r="D93" i="5"/>
  <c r="I137" i="5"/>
  <c r="J119" i="5"/>
  <c r="I132" i="5"/>
  <c r="J147" i="5"/>
  <c r="K127" i="5"/>
  <c r="M80" i="5"/>
  <c r="J74" i="5"/>
  <c r="D72" i="5"/>
  <c r="M72" i="5"/>
  <c r="I103" i="5"/>
  <c r="F131" i="5"/>
  <c r="E144" i="5"/>
  <c r="C151" i="5"/>
  <c r="J88" i="5"/>
  <c r="K88" i="5"/>
  <c r="M142" i="5"/>
  <c r="H149" i="5"/>
  <c r="N109" i="5"/>
  <c r="F125" i="5"/>
  <c r="J138" i="5"/>
  <c r="L99" i="5"/>
  <c r="I146" i="5"/>
  <c r="H99" i="5"/>
  <c r="E84" i="5"/>
  <c r="H78" i="5"/>
  <c r="J81" i="5"/>
  <c r="H144" i="5"/>
  <c r="M136" i="5"/>
  <c r="K136" i="5"/>
  <c r="C95" i="5"/>
  <c r="K125" i="5"/>
  <c r="M81" i="5"/>
  <c r="D123" i="5"/>
  <c r="G108" i="5"/>
  <c r="F144" i="5"/>
  <c r="G71" i="5"/>
  <c r="J91" i="5"/>
  <c r="K156" i="5"/>
  <c r="M141" i="5"/>
  <c r="C71" i="5"/>
  <c r="L84" i="5"/>
  <c r="G131" i="5"/>
  <c r="G129" i="5"/>
  <c r="H139" i="5"/>
  <c r="E137" i="5"/>
  <c r="G136" i="5"/>
  <c r="N81" i="5"/>
  <c r="J84" i="5"/>
  <c r="L79" i="5"/>
  <c r="C156" i="5"/>
  <c r="N154" i="5"/>
  <c r="D94" i="5"/>
  <c r="N151" i="5"/>
  <c r="L106" i="5"/>
  <c r="K91" i="5"/>
  <c r="D103" i="5"/>
  <c r="D153" i="5"/>
  <c r="M120" i="5"/>
  <c r="C72" i="5"/>
  <c r="H88" i="5"/>
  <c r="I136" i="5"/>
  <c r="L95" i="5"/>
  <c r="D141" i="5"/>
  <c r="N74" i="5"/>
  <c r="C123" i="5"/>
  <c r="J107" i="5"/>
  <c r="I109" i="5"/>
  <c r="D77" i="5"/>
  <c r="M75" i="5"/>
  <c r="L98" i="5"/>
  <c r="C98" i="5"/>
  <c r="D96" i="5"/>
  <c r="K101" i="5"/>
  <c r="I88" i="5"/>
  <c r="BK3" i="16"/>
  <c r="BL3" i="16" s="1"/>
  <c r="BM3" i="16"/>
  <c r="BD4" i="12" l="1"/>
  <c r="BD5" i="12"/>
  <c r="AC4" i="16"/>
  <c r="BO4" i="16" s="1"/>
  <c r="BN4" i="16"/>
  <c r="X4" i="16" s="1"/>
  <c r="BU4" i="16"/>
  <c r="BZ4" i="16"/>
  <c r="BT4" i="16"/>
  <c r="BW4" i="16"/>
  <c r="BR4" i="16"/>
  <c r="BX4" i="16"/>
  <c r="BV4" i="16"/>
  <c r="BQ4" i="16"/>
  <c r="BP4" i="16"/>
  <c r="BY4" i="16"/>
  <c r="CA4" i="16"/>
  <c r="BS4" i="16"/>
  <c r="AC5" i="16"/>
  <c r="BO5" i="16" s="1"/>
  <c r="BN5" i="16"/>
  <c r="X5" i="16" s="1"/>
  <c r="BT5" i="16"/>
  <c r="BP5" i="16"/>
  <c r="BX5" i="16"/>
  <c r="BS5" i="16"/>
  <c r="BW5" i="16"/>
  <c r="BU5" i="16"/>
  <c r="BR5" i="16"/>
  <c r="BQ5" i="16"/>
  <c r="BZ5" i="16"/>
  <c r="BV5" i="16"/>
  <c r="BY5" i="16"/>
  <c r="CA5" i="16"/>
  <c r="O146" i="5"/>
  <c r="O133" i="5"/>
  <c r="O87" i="5"/>
  <c r="O148" i="5"/>
  <c r="O85" i="5"/>
  <c r="O73" i="5"/>
  <c r="O135" i="5"/>
  <c r="O149" i="5"/>
  <c r="O152" i="5"/>
  <c r="O155" i="5"/>
  <c r="O93" i="5"/>
  <c r="O90" i="5"/>
  <c r="O89" i="5"/>
  <c r="O139" i="5"/>
  <c r="O147" i="5"/>
  <c r="O138" i="5"/>
  <c r="O107" i="5"/>
  <c r="O96" i="5"/>
  <c r="O126" i="5"/>
  <c r="O104" i="5"/>
  <c r="O108" i="5"/>
  <c r="O100" i="5"/>
  <c r="O83" i="5"/>
  <c r="O128" i="5"/>
  <c r="O122" i="5"/>
  <c r="O86" i="5"/>
  <c r="O131" i="5"/>
  <c r="O157" i="5"/>
  <c r="O121" i="5"/>
  <c r="O153" i="5"/>
  <c r="O103" i="5"/>
  <c r="O156" i="5"/>
  <c r="O142" i="5"/>
  <c r="O134" i="5"/>
  <c r="O74" i="5"/>
  <c r="O101" i="5"/>
  <c r="O109" i="5"/>
  <c r="O80" i="5"/>
  <c r="N117" i="5"/>
  <c r="O94" i="5"/>
  <c r="O129" i="5"/>
  <c r="O77" i="5"/>
  <c r="O78" i="5"/>
  <c r="H69" i="5"/>
  <c r="O98" i="5"/>
  <c r="E69" i="5"/>
  <c r="M117" i="5"/>
  <c r="O95" i="5"/>
  <c r="J117" i="5"/>
  <c r="O127" i="5"/>
  <c r="O154" i="5"/>
  <c r="O99" i="5"/>
  <c r="O141" i="5"/>
  <c r="F117" i="5"/>
  <c r="M69" i="5"/>
  <c r="O91" i="5"/>
  <c r="O71" i="5"/>
  <c r="O81" i="5"/>
  <c r="O136" i="5"/>
  <c r="O84" i="5"/>
  <c r="O132" i="5"/>
  <c r="F69" i="5"/>
  <c r="N69" i="5"/>
  <c r="J69" i="5"/>
  <c r="O143" i="5"/>
  <c r="L69" i="5"/>
  <c r="C117" i="5"/>
  <c r="O88" i="5"/>
  <c r="C69" i="5"/>
  <c r="E117" i="5"/>
  <c r="K117" i="5"/>
  <c r="G117" i="5"/>
  <c r="O106" i="5"/>
  <c r="O144" i="5"/>
  <c r="O151" i="5"/>
  <c r="O137" i="5"/>
  <c r="O79" i="5"/>
  <c r="O75" i="5"/>
  <c r="O123" i="5"/>
  <c r="L117" i="5"/>
  <c r="O120" i="5"/>
  <c r="O119" i="5"/>
  <c r="O105" i="5"/>
  <c r="I69" i="5"/>
  <c r="D117" i="5"/>
  <c r="K69" i="5"/>
  <c r="O125" i="5"/>
  <c r="O72" i="5"/>
  <c r="I117" i="5"/>
  <c r="G69" i="5"/>
  <c r="H117" i="5"/>
  <c r="D69" i="5"/>
  <c r="D68" i="34"/>
  <c r="L68" i="34"/>
  <c r="M68" i="34"/>
  <c r="J68" i="34"/>
  <c r="K68" i="34"/>
  <c r="N68" i="34"/>
  <c r="F68" i="34"/>
  <c r="G68" i="34"/>
  <c r="E68" i="34"/>
  <c r="H68" i="34"/>
  <c r="I68" i="34"/>
  <c r="BR3" i="16"/>
  <c r="BS3" i="16"/>
  <c r="BX3" i="16"/>
  <c r="BZ3" i="16"/>
  <c r="BY3" i="16"/>
  <c r="BW3" i="16"/>
  <c r="BP3" i="16"/>
  <c r="BU3" i="16"/>
  <c r="BV3" i="16"/>
  <c r="BN3" i="16"/>
  <c r="BD3" i="12"/>
  <c r="BQ3" i="16"/>
  <c r="AC3" i="16"/>
  <c r="CA3" i="16"/>
  <c r="BT3" i="16"/>
  <c r="BC4" i="12" l="1"/>
  <c r="BC5" i="12"/>
  <c r="AE5" i="16"/>
  <c r="AF5" i="16"/>
  <c r="AE4" i="16"/>
  <c r="AF4" i="16"/>
  <c r="O69" i="5"/>
  <c r="O117" i="5"/>
  <c r="N67" i="34"/>
  <c r="M67" i="34"/>
  <c r="G67" i="34"/>
  <c r="F67" i="34"/>
  <c r="J67" i="34"/>
  <c r="I67" i="34"/>
  <c r="L67" i="34"/>
  <c r="H67" i="34"/>
  <c r="K67" i="34"/>
  <c r="D67" i="34"/>
  <c r="O68" i="34"/>
  <c r="E67" i="34"/>
  <c r="AK3" i="38"/>
  <c r="AB3" i="16"/>
  <c r="Z3" i="16"/>
  <c r="A11" i="35"/>
  <c r="B11" i="35" s="1"/>
  <c r="N74" i="34"/>
  <c r="N70" i="34" s="1"/>
  <c r="N88" i="34"/>
  <c r="M74" i="34"/>
  <c r="M70" i="34" s="1"/>
  <c r="M88" i="34"/>
  <c r="L74" i="34"/>
  <c r="L70" i="34" s="1"/>
  <c r="L88" i="34"/>
  <c r="K74" i="34"/>
  <c r="K70" i="34" s="1"/>
  <c r="K88" i="34"/>
  <c r="J74" i="34"/>
  <c r="J70" i="34" s="1"/>
  <c r="J88" i="34"/>
  <c r="I74" i="34"/>
  <c r="I70" i="34" s="1"/>
  <c r="I88" i="34"/>
  <c r="H74" i="34"/>
  <c r="H70" i="34" s="1"/>
  <c r="H88" i="34"/>
  <c r="C74" i="34"/>
  <c r="C70" i="34" s="1"/>
  <c r="C88" i="34"/>
  <c r="G74" i="34"/>
  <c r="G70" i="34" s="1"/>
  <c r="G88" i="34"/>
  <c r="F74" i="34"/>
  <c r="F70" i="34" s="1"/>
  <c r="F88" i="34"/>
  <c r="D74" i="34"/>
  <c r="D70" i="34" s="1"/>
  <c r="D88" i="34"/>
  <c r="E74" i="34"/>
  <c r="E70" i="34" s="1"/>
  <c r="E88" i="34"/>
  <c r="N17" i="34"/>
  <c r="M17" i="34"/>
  <c r="L17" i="34"/>
  <c r="K17" i="34"/>
  <c r="J17" i="34"/>
  <c r="I17" i="34"/>
  <c r="H17" i="34"/>
  <c r="C17" i="34"/>
  <c r="G17" i="34"/>
  <c r="F17" i="34"/>
  <c r="D17" i="34"/>
  <c r="E17" i="34"/>
  <c r="H16" i="34"/>
  <c r="I16" i="34"/>
  <c r="C16" i="34"/>
  <c r="M16" i="34"/>
  <c r="L16" i="34"/>
  <c r="D16" i="34"/>
  <c r="X3" i="16"/>
  <c r="BC3" i="12"/>
  <c r="J16" i="34"/>
  <c r="E16" i="34"/>
  <c r="N16" i="34"/>
  <c r="AE3" i="16"/>
  <c r="AF3" i="16"/>
  <c r="K16" i="34"/>
  <c r="F16" i="34"/>
  <c r="BO3" i="16"/>
  <c r="G16" i="34"/>
  <c r="AD5" i="46" l="1"/>
  <c r="AD4" i="46"/>
  <c r="AG4" i="46"/>
  <c r="AG5" i="46"/>
  <c r="BE5" i="12"/>
  <c r="BE4" i="12"/>
  <c r="AH4" i="16"/>
  <c r="BG4" i="16"/>
  <c r="AG4" i="16"/>
  <c r="CW4" i="16"/>
  <c r="CX4" i="16" s="1"/>
  <c r="AG5" i="16"/>
  <c r="AH5" i="16"/>
  <c r="BG5" i="16"/>
  <c r="CW5" i="16"/>
  <c r="CX5" i="16" s="1"/>
  <c r="AG4" i="13"/>
  <c r="AG5" i="13"/>
  <c r="AD4" i="13"/>
  <c r="AE4" i="13" s="1"/>
  <c r="AF4" i="13" s="1"/>
  <c r="AD5" i="13"/>
  <c r="AE5" i="13" s="1"/>
  <c r="AF5" i="13" s="1"/>
  <c r="N75" i="35"/>
  <c r="N73" i="35"/>
  <c r="N72" i="35"/>
  <c r="N74" i="35"/>
  <c r="D65" i="35"/>
  <c r="C152" i="35"/>
  <c r="AP21" i="41"/>
  <c r="R3" i="41"/>
  <c r="AO21" i="41"/>
  <c r="AM21" i="41"/>
  <c r="AP11" i="41"/>
  <c r="AO24" i="41"/>
  <c r="AP24" i="41"/>
  <c r="AM24" i="41"/>
  <c r="E86" i="49"/>
  <c r="E87" i="49" s="1"/>
  <c r="C44" i="49"/>
  <c r="E44" i="49"/>
  <c r="C86" i="49"/>
  <c r="C87" i="49" s="1"/>
  <c r="D119" i="4"/>
  <c r="C158" i="35"/>
  <c r="O70" i="34"/>
  <c r="O67" i="34"/>
  <c r="B103" i="4"/>
  <c r="Q72" i="34"/>
  <c r="Q78" i="34"/>
  <c r="Q77" i="34"/>
  <c r="Q66" i="34"/>
  <c r="Q68" i="34"/>
  <c r="P68" i="34" s="1"/>
  <c r="J19" i="29"/>
  <c r="L19" i="29"/>
  <c r="M19" i="29"/>
  <c r="E19" i="29"/>
  <c r="F19" i="29"/>
  <c r="N19" i="29"/>
  <c r="B19" i="29"/>
  <c r="D19" i="29"/>
  <c r="O76" i="34"/>
  <c r="H102" i="4"/>
  <c r="F102" i="4"/>
  <c r="H101" i="4"/>
  <c r="B102" i="4"/>
  <c r="D102" i="4"/>
  <c r="B104" i="4"/>
  <c r="B101" i="4"/>
  <c r="B107" i="4"/>
  <c r="F107" i="4"/>
  <c r="D107" i="4"/>
  <c r="H107" i="4"/>
  <c r="H108" i="4"/>
  <c r="B108" i="4"/>
  <c r="F108" i="4"/>
  <c r="D108" i="4"/>
  <c r="C70" i="35"/>
  <c r="B96" i="4"/>
  <c r="D96" i="4"/>
  <c r="F96" i="4"/>
  <c r="H96" i="4"/>
  <c r="C56" i="35"/>
  <c r="C68" i="35"/>
  <c r="D68" i="35"/>
  <c r="C67" i="35"/>
  <c r="C74" i="35"/>
  <c r="D77" i="35"/>
  <c r="C78" i="35"/>
  <c r="C71" i="35"/>
  <c r="C72" i="35"/>
  <c r="D72" i="35"/>
  <c r="C73" i="35"/>
  <c r="D70" i="35"/>
  <c r="D76" i="35"/>
  <c r="C77" i="35"/>
  <c r="C75" i="35"/>
  <c r="C76" i="35"/>
  <c r="D73" i="35"/>
  <c r="D74" i="35"/>
  <c r="C79" i="35"/>
  <c r="C69" i="35"/>
  <c r="D69" i="35"/>
  <c r="B119" i="4"/>
  <c r="C54" i="35"/>
  <c r="D54" i="35"/>
  <c r="C55" i="35"/>
  <c r="D55" i="35"/>
  <c r="D56" i="35"/>
  <c r="B77" i="4"/>
  <c r="C77" i="4"/>
  <c r="B78" i="4"/>
  <c r="C78" i="4"/>
  <c r="B79" i="4"/>
  <c r="C79" i="4"/>
  <c r="B98" i="4"/>
  <c r="D98" i="4"/>
  <c r="Q75" i="34"/>
  <c r="H114" i="4"/>
  <c r="B113" i="4"/>
  <c r="B120" i="4"/>
  <c r="Q69" i="34"/>
  <c r="C87" i="35"/>
  <c r="F105" i="4"/>
  <c r="F101" i="4"/>
  <c r="B109" i="4"/>
  <c r="Q83" i="34"/>
  <c r="F99" i="4"/>
  <c r="D99" i="4"/>
  <c r="F113" i="4"/>
  <c r="Q80" i="34"/>
  <c r="D110" i="4"/>
  <c r="Q85" i="34"/>
  <c r="H109" i="4"/>
  <c r="Q65" i="34"/>
  <c r="D105" i="4"/>
  <c r="H115" i="4"/>
  <c r="C83" i="35"/>
  <c r="H105" i="4"/>
  <c r="Q92" i="34"/>
  <c r="D114" i="4"/>
  <c r="Q82" i="34"/>
  <c r="D113" i="4"/>
  <c r="D116" i="4"/>
  <c r="Q74" i="34"/>
  <c r="C88" i="35"/>
  <c r="D103" i="4"/>
  <c r="H116" i="4"/>
  <c r="F116" i="4"/>
  <c r="D93" i="4"/>
  <c r="D78" i="35"/>
  <c r="H99" i="4"/>
  <c r="Q89" i="34"/>
  <c r="Q86" i="34"/>
  <c r="F93" i="4"/>
  <c r="D67" i="35"/>
  <c r="C82" i="35"/>
  <c r="D95" i="4"/>
  <c r="Q64" i="34"/>
  <c r="F112" i="4"/>
  <c r="Q71" i="34"/>
  <c r="H112" i="4"/>
  <c r="D120" i="4"/>
  <c r="H95" i="4"/>
  <c r="C80" i="35"/>
  <c r="B95" i="4"/>
  <c r="Q90" i="34"/>
  <c r="B94" i="4"/>
  <c r="F95" i="4"/>
  <c r="Q88" i="34"/>
  <c r="H122" i="4"/>
  <c r="D94" i="4"/>
  <c r="C65" i="35"/>
  <c r="B99" i="4"/>
  <c r="B114" i="4"/>
  <c r="D87" i="35"/>
  <c r="C84" i="35"/>
  <c r="B105" i="4"/>
  <c r="H94" i="4"/>
  <c r="D80" i="35"/>
  <c r="D84" i="35"/>
  <c r="F109" i="4"/>
  <c r="F94" i="4"/>
  <c r="H113" i="4"/>
  <c r="D122" i="4"/>
  <c r="F122" i="4"/>
  <c r="F114" i="4"/>
  <c r="D88" i="35"/>
  <c r="D71" i="35"/>
  <c r="D83" i="35"/>
  <c r="Q79" i="34"/>
  <c r="D109" i="4"/>
  <c r="F115" i="4"/>
  <c r="D81" i="35"/>
  <c r="Q63" i="34"/>
  <c r="B93" i="4"/>
  <c r="D75" i="35"/>
  <c r="Q84" i="34"/>
  <c r="B116" i="4"/>
  <c r="C81" i="35"/>
  <c r="D101" i="4"/>
  <c r="D66" i="35"/>
  <c r="D82" i="35"/>
  <c r="C66" i="35"/>
  <c r="H103" i="4"/>
  <c r="B115" i="4"/>
  <c r="B122" i="4"/>
  <c r="Q73" i="34"/>
  <c r="D79" i="35"/>
  <c r="F103" i="4"/>
  <c r="D115" i="4"/>
  <c r="D112" i="4"/>
  <c r="H93" i="4"/>
  <c r="B112" i="4"/>
  <c r="H120" i="4"/>
  <c r="F120" i="4"/>
  <c r="B110" i="4"/>
  <c r="F110" i="4"/>
  <c r="H110" i="4"/>
  <c r="H142" i="4"/>
  <c r="D133" i="4"/>
  <c r="H140" i="4"/>
  <c r="N48" i="35"/>
  <c r="N14" i="35"/>
  <c r="AM39" i="41"/>
  <c r="AM49" i="41" s="1"/>
  <c r="AM22" i="41"/>
  <c r="AM57" i="41"/>
  <c r="AO22" i="41"/>
  <c r="AP22" i="41"/>
  <c r="AP12" i="41"/>
  <c r="D139" i="4"/>
  <c r="H137" i="4"/>
  <c r="D137" i="4"/>
  <c r="H138" i="4"/>
  <c r="D138" i="4"/>
  <c r="D140" i="4"/>
  <c r="H141" i="4"/>
  <c r="D136" i="4"/>
  <c r="H136" i="4"/>
  <c r="D142" i="4"/>
  <c r="D141" i="4"/>
  <c r="D134" i="4"/>
  <c r="H139" i="4"/>
  <c r="H144" i="4"/>
  <c r="D144" i="4"/>
  <c r="AG3" i="38"/>
  <c r="C39" i="41" s="1"/>
  <c r="D16" i="35"/>
  <c r="AD3" i="46"/>
  <c r="AE3" i="46" s="1"/>
  <c r="C95" i="35"/>
  <c r="AD3" i="13"/>
  <c r="Q16" i="34"/>
  <c r="Q23" i="34"/>
  <c r="Q24" i="34"/>
  <c r="Q17" i="34"/>
  <c r="Q93" i="34"/>
  <c r="H134" i="4"/>
  <c r="L18" i="34"/>
  <c r="G18" i="34"/>
  <c r="K18" i="34"/>
  <c r="F18" i="34"/>
  <c r="I18" i="34"/>
  <c r="H18" i="34"/>
  <c r="M18" i="34"/>
  <c r="E18" i="34"/>
  <c r="J18" i="34"/>
  <c r="N18" i="34"/>
  <c r="L81" i="29"/>
  <c r="D111" i="29"/>
  <c r="D88" i="29"/>
  <c r="F112" i="29"/>
  <c r="L112" i="29"/>
  <c r="F88" i="29"/>
  <c r="F107" i="29"/>
  <c r="D107" i="29"/>
  <c r="L107" i="29"/>
  <c r="B107" i="29"/>
  <c r="N88" i="29"/>
  <c r="J88" i="29"/>
  <c r="B116" i="29"/>
  <c r="F116" i="29"/>
  <c r="E116" i="29"/>
  <c r="M89" i="29"/>
  <c r="B144" i="4"/>
  <c r="F134" i="4"/>
  <c r="B140" i="4"/>
  <c r="B138" i="4"/>
  <c r="F138" i="4"/>
  <c r="F139" i="4"/>
  <c r="B137" i="4"/>
  <c r="F142" i="4"/>
  <c r="B134" i="4"/>
  <c r="F133" i="4"/>
  <c r="F144" i="4"/>
  <c r="B142" i="4"/>
  <c r="F141" i="4"/>
  <c r="F137" i="4"/>
  <c r="B136" i="4"/>
  <c r="F140" i="4"/>
  <c r="B139" i="4"/>
  <c r="B133" i="4"/>
  <c r="B141" i="4"/>
  <c r="F136" i="4"/>
  <c r="N91" i="29"/>
  <c r="M95" i="29"/>
  <c r="F87" i="29"/>
  <c r="B62" i="4"/>
  <c r="B94" i="29"/>
  <c r="D113" i="29"/>
  <c r="B118" i="29"/>
  <c r="B84" i="29"/>
  <c r="B96" i="29"/>
  <c r="B83" i="29"/>
  <c r="B108" i="29"/>
  <c r="F115" i="29"/>
  <c r="D118" i="29"/>
  <c r="M115" i="29"/>
  <c r="F111" i="29"/>
  <c r="J82" i="29"/>
  <c r="F114" i="29"/>
  <c r="N82" i="29"/>
  <c r="F108" i="29"/>
  <c r="J112" i="29"/>
  <c r="N90" i="29"/>
  <c r="M90" i="29"/>
  <c r="L90" i="29"/>
  <c r="B112" i="29"/>
  <c r="J81" i="29"/>
  <c r="J90" i="29"/>
  <c r="B88" i="29"/>
  <c r="F90" i="29"/>
  <c r="D90" i="29"/>
  <c r="E90" i="29"/>
  <c r="N112" i="29"/>
  <c r="M112" i="29"/>
  <c r="E112" i="29"/>
  <c r="D112" i="29"/>
  <c r="B90" i="29"/>
  <c r="L92" i="29"/>
  <c r="L111" i="29"/>
  <c r="N111" i="29"/>
  <c r="C67" i="4"/>
  <c r="M88" i="29"/>
  <c r="E43" i="29"/>
  <c r="L83" i="29"/>
  <c r="F95" i="29"/>
  <c r="D98" i="29"/>
  <c r="B68" i="4"/>
  <c r="J118" i="29"/>
  <c r="B72" i="4"/>
  <c r="L108" i="29"/>
  <c r="F86" i="29"/>
  <c r="L95" i="29"/>
  <c r="E111" i="29"/>
  <c r="F118" i="29"/>
  <c r="D103" i="35"/>
  <c r="D82" i="29"/>
  <c r="B113" i="29"/>
  <c r="D93" i="29"/>
  <c r="M92" i="29"/>
  <c r="M83" i="29"/>
  <c r="C83" i="4"/>
  <c r="B84" i="4"/>
  <c r="D96" i="29"/>
  <c r="F91" i="29"/>
  <c r="L91" i="29"/>
  <c r="J114" i="29"/>
  <c r="N115" i="29"/>
  <c r="C69" i="4"/>
  <c r="C66" i="4"/>
  <c r="E114" i="29"/>
  <c r="C70" i="4"/>
  <c r="C74" i="4"/>
  <c r="C80" i="4"/>
  <c r="N83" i="29"/>
  <c r="B71" i="4"/>
  <c r="B80" i="4"/>
  <c r="L98" i="29"/>
  <c r="B95" i="29"/>
  <c r="L88" i="29"/>
  <c r="M82" i="29"/>
  <c r="J87" i="29"/>
  <c r="B75" i="4"/>
  <c r="D114" i="29"/>
  <c r="N110" i="29"/>
  <c r="C63" i="4"/>
  <c r="D45" i="35"/>
  <c r="J94" i="29"/>
  <c r="F113" i="29"/>
  <c r="E83" i="29"/>
  <c r="M98" i="29"/>
  <c r="B70" i="4"/>
  <c r="E113" i="29"/>
  <c r="D53" i="35"/>
  <c r="C52" i="35"/>
  <c r="D84" i="29"/>
  <c r="E91" i="29"/>
  <c r="E118" i="29"/>
  <c r="J113" i="29"/>
  <c r="M111" i="29"/>
  <c r="B76" i="4"/>
  <c r="F110" i="29"/>
  <c r="B91" i="29"/>
  <c r="E108" i="29"/>
  <c r="J86" i="29"/>
  <c r="J85" i="29"/>
  <c r="C62" i="4"/>
  <c r="C76" i="4"/>
  <c r="N95" i="29"/>
  <c r="D95" i="29"/>
  <c r="E110" i="29"/>
  <c r="B92" i="29"/>
  <c r="F81" i="29"/>
  <c r="M114" i="29"/>
  <c r="J111" i="29"/>
  <c r="B69" i="4"/>
  <c r="B111" i="29"/>
  <c r="M107" i="29"/>
  <c r="C71" i="4"/>
  <c r="N107" i="29"/>
  <c r="B74" i="4"/>
  <c r="D92" i="29"/>
  <c r="E107" i="29"/>
  <c r="E93" i="29"/>
  <c r="B67" i="4"/>
  <c r="C43" i="35"/>
  <c r="D85" i="29"/>
  <c r="D81" i="29"/>
  <c r="F85" i="29"/>
  <c r="L118" i="29"/>
  <c r="C42" i="35"/>
  <c r="D46" i="35"/>
  <c r="D91" i="29"/>
  <c r="B110" i="29"/>
  <c r="F82" i="29"/>
  <c r="F84" i="29"/>
  <c r="F93" i="29"/>
  <c r="C68" i="4"/>
  <c r="M113" i="29"/>
  <c r="B66" i="4"/>
  <c r="C72" i="4"/>
  <c r="N84" i="29"/>
  <c r="B73" i="4"/>
  <c r="D48" i="35"/>
  <c r="D104" i="35"/>
  <c r="D116" i="29"/>
  <c r="F96" i="29"/>
  <c r="B98" i="29"/>
  <c r="C103" i="35"/>
  <c r="L116" i="29"/>
  <c r="E96" i="29"/>
  <c r="E82" i="29"/>
  <c r="M96" i="29"/>
  <c r="M86" i="29"/>
  <c r="C84" i="4"/>
  <c r="D115" i="29"/>
  <c r="N93" i="29"/>
  <c r="D51" i="35"/>
  <c r="D83" i="29"/>
  <c r="E115" i="29"/>
  <c r="C100" i="35"/>
  <c r="D110" i="29"/>
  <c r="B115" i="29"/>
  <c r="D108" i="29"/>
  <c r="J93" i="29"/>
  <c r="J84" i="29"/>
  <c r="C75" i="4"/>
  <c r="N96" i="29"/>
  <c r="B83" i="4"/>
  <c r="B63" i="4"/>
  <c r="C73" i="4"/>
  <c r="B114" i="29"/>
  <c r="D48" i="4"/>
  <c r="D46" i="4"/>
  <c r="AN11" i="41"/>
  <c r="B45" i="4"/>
  <c r="C22" i="4"/>
  <c r="F12" i="47"/>
  <c r="F14" i="47" s="1"/>
  <c r="D45" i="4"/>
  <c r="AC106" i="35"/>
  <c r="AC99" i="35" s="1"/>
  <c r="D59" i="35"/>
  <c r="D42" i="35"/>
  <c r="C41" i="35"/>
  <c r="M94" i="29"/>
  <c r="B86" i="29"/>
  <c r="E86" i="29"/>
  <c r="B82" i="29"/>
  <c r="E87" i="29"/>
  <c r="J110" i="29"/>
  <c r="J108" i="29"/>
  <c r="D105" i="35"/>
  <c r="C101" i="35"/>
  <c r="N94" i="29"/>
  <c r="D86" i="29"/>
  <c r="D87" i="29"/>
  <c r="N85" i="29"/>
  <c r="E84" i="29"/>
  <c r="J83" i="29"/>
  <c r="N118" i="29"/>
  <c r="D123" i="4"/>
  <c r="D49" i="35"/>
  <c r="C30" i="35"/>
  <c r="C96" i="35"/>
  <c r="C34" i="35"/>
  <c r="F94" i="29"/>
  <c r="L113" i="29"/>
  <c r="L82" i="29"/>
  <c r="E95" i="29"/>
  <c r="N116" i="29"/>
  <c r="J98" i="29"/>
  <c r="M84" i="29"/>
  <c r="M91" i="29"/>
  <c r="B48" i="4"/>
  <c r="B46" i="4"/>
  <c r="D47" i="35"/>
  <c r="C50" i="35"/>
  <c r="D101" i="35"/>
  <c r="C31" i="35"/>
  <c r="D94" i="29"/>
  <c r="L86" i="29"/>
  <c r="B87" i="29"/>
  <c r="J92" i="29"/>
  <c r="N108" i="29"/>
  <c r="N92" i="29"/>
  <c r="D95" i="35"/>
  <c r="D41" i="35"/>
  <c r="D30" i="35"/>
  <c r="E94" i="29"/>
  <c r="L84" i="29"/>
  <c r="F83" i="29"/>
  <c r="L115" i="29"/>
  <c r="M93" i="29"/>
  <c r="N81" i="29"/>
  <c r="J91" i="29"/>
  <c r="J96" i="29"/>
  <c r="C49" i="35"/>
  <c r="C29" i="35"/>
  <c r="C45" i="35"/>
  <c r="D96" i="35"/>
  <c r="C44" i="35"/>
  <c r="L110" i="29"/>
  <c r="B50" i="4"/>
  <c r="C51" i="35"/>
  <c r="C46" i="35"/>
  <c r="C48" i="35"/>
  <c r="D29" i="35"/>
  <c r="C105" i="35"/>
  <c r="C53" i="35"/>
  <c r="C32" i="35"/>
  <c r="D52" i="35"/>
  <c r="C57" i="35"/>
  <c r="D98" i="35"/>
  <c r="D58" i="35"/>
  <c r="C104" i="35"/>
  <c r="L96" i="29"/>
  <c r="B81" i="29"/>
  <c r="E88" i="29"/>
  <c r="M85" i="29"/>
  <c r="M87" i="29"/>
  <c r="J107" i="29"/>
  <c r="N114" i="29"/>
  <c r="L85" i="29"/>
  <c r="N86" i="29"/>
  <c r="C23" i="4"/>
  <c r="D100" i="35"/>
  <c r="D44" i="35"/>
  <c r="D43" i="35"/>
  <c r="L93" i="29"/>
  <c r="E81" i="29"/>
  <c r="N113" i="29"/>
  <c r="F98" i="29"/>
  <c r="M108" i="29"/>
  <c r="N87" i="29"/>
  <c r="B123" i="4"/>
  <c r="J95" i="29"/>
  <c r="M81" i="29"/>
  <c r="D102" i="35"/>
  <c r="C99" i="35"/>
  <c r="D50" i="35"/>
  <c r="B93" i="29"/>
  <c r="F92" i="29"/>
  <c r="E85" i="29"/>
  <c r="J116" i="29"/>
  <c r="M116" i="29"/>
  <c r="M110" i="29"/>
  <c r="C98" i="35"/>
  <c r="D57" i="35"/>
  <c r="C58" i="35"/>
  <c r="C59" i="35"/>
  <c r="C102" i="35"/>
  <c r="L114" i="29"/>
  <c r="E92" i="29"/>
  <c r="B85" i="29"/>
  <c r="E98" i="29"/>
  <c r="M118" i="29"/>
  <c r="N98" i="29"/>
  <c r="J115" i="29"/>
  <c r="L87" i="29"/>
  <c r="D99" i="35"/>
  <c r="C47" i="35"/>
  <c r="E23" i="4"/>
  <c r="B47" i="4"/>
  <c r="D32" i="35"/>
  <c r="L94" i="29"/>
  <c r="C16" i="4"/>
  <c r="C17" i="4"/>
  <c r="N70" i="35"/>
  <c r="B145" i="4"/>
  <c r="D145" i="4"/>
  <c r="D18" i="34"/>
  <c r="N58" i="35"/>
  <c r="N62" i="35"/>
  <c r="N59" i="35"/>
  <c r="N61" i="35"/>
  <c r="N64" i="35"/>
  <c r="N65" i="35"/>
  <c r="N66" i="35"/>
  <c r="N67" i="35"/>
  <c r="N52" i="35"/>
  <c r="N60" i="35"/>
  <c r="N76" i="35"/>
  <c r="N56" i="35"/>
  <c r="N71" i="35"/>
  <c r="N69" i="35"/>
  <c r="N49" i="35"/>
  <c r="N54" i="35"/>
  <c r="N47" i="35"/>
  <c r="N63" i="35"/>
  <c r="N68" i="35"/>
  <c r="N57" i="35"/>
  <c r="N55" i="35"/>
  <c r="N53" i="35"/>
  <c r="N51" i="35"/>
  <c r="N50" i="35"/>
  <c r="N21" i="35"/>
  <c r="O74" i="34"/>
  <c r="O88" i="34"/>
  <c r="D118" i="4"/>
  <c r="B118" i="4"/>
  <c r="N20" i="35"/>
  <c r="N13" i="35"/>
  <c r="N28" i="35"/>
  <c r="N22" i="35"/>
  <c r="E17" i="4"/>
  <c r="B49" i="4"/>
  <c r="AN12" i="41"/>
  <c r="D104" i="4"/>
  <c r="N15" i="35"/>
  <c r="C40" i="35"/>
  <c r="C33" i="35"/>
  <c r="N39" i="35"/>
  <c r="N23" i="35"/>
  <c r="N30" i="35"/>
  <c r="N37" i="35"/>
  <c r="B61" i="4"/>
  <c r="N42" i="35"/>
  <c r="N25" i="35"/>
  <c r="N40" i="35"/>
  <c r="N18" i="35"/>
  <c r="N36" i="35"/>
  <c r="N38" i="35"/>
  <c r="N19" i="35"/>
  <c r="N17" i="35"/>
  <c r="N24" i="35"/>
  <c r="C14" i="5"/>
  <c r="N29" i="35"/>
  <c r="N41" i="35"/>
  <c r="N26" i="35"/>
  <c r="N27" i="35"/>
  <c r="N31" i="35"/>
  <c r="N32" i="35"/>
  <c r="N34" i="35"/>
  <c r="N33" i="35"/>
  <c r="N16" i="35"/>
  <c r="N35" i="35"/>
  <c r="B135" i="4"/>
  <c r="D135" i="4"/>
  <c r="D89" i="35"/>
  <c r="O17" i="34"/>
  <c r="C18" i="34"/>
  <c r="O16" i="34"/>
  <c r="AG3" i="16"/>
  <c r="BG3" i="16"/>
  <c r="AH3" i="16"/>
  <c r="CW3" i="16"/>
  <c r="CX3" i="16" s="1"/>
  <c r="AG3" i="13"/>
  <c r="AG3" i="46"/>
  <c r="BE3" i="12"/>
  <c r="AE4" i="46" l="1"/>
  <c r="AE5" i="46" s="1"/>
  <c r="W5" i="46"/>
  <c r="W4" i="46"/>
  <c r="AH4" i="46"/>
  <c r="AH5" i="46"/>
  <c r="BI5" i="16"/>
  <c r="BH5" i="16"/>
  <c r="BI4" i="16"/>
  <c r="BH4" i="16"/>
  <c r="AU5" i="12"/>
  <c r="AU4" i="12"/>
  <c r="W4" i="13"/>
  <c r="W5" i="13"/>
  <c r="AC147" i="35"/>
  <c r="F86" i="49"/>
  <c r="F79" i="49"/>
  <c r="F84" i="49"/>
  <c r="F81" i="49"/>
  <c r="F80" i="49"/>
  <c r="F77" i="49"/>
  <c r="F85" i="49"/>
  <c r="F78" i="49"/>
  <c r="F83" i="49"/>
  <c r="F82" i="49"/>
  <c r="D79" i="49"/>
  <c r="D81" i="49"/>
  <c r="D80" i="49"/>
  <c r="D77" i="49"/>
  <c r="D84" i="49"/>
  <c r="D78" i="49"/>
  <c r="D85" i="49"/>
  <c r="D83" i="49"/>
  <c r="D82" i="49"/>
  <c r="AP13" i="41"/>
  <c r="AQ11" i="41" s="1"/>
  <c r="E21" i="41"/>
  <c r="F21" i="41"/>
  <c r="E24" i="41"/>
  <c r="F24" i="41"/>
  <c r="C24" i="41"/>
  <c r="F11" i="41"/>
  <c r="R7" i="41" s="1"/>
  <c r="C21" i="41"/>
  <c r="D86" i="49"/>
  <c r="C90" i="49"/>
  <c r="C91" i="49" s="1"/>
  <c r="F44" i="49"/>
  <c r="F48" i="49"/>
  <c r="F63" i="49"/>
  <c r="F70" i="49"/>
  <c r="F76" i="49"/>
  <c r="F66" i="49"/>
  <c r="F51" i="49"/>
  <c r="F49" i="49"/>
  <c r="F65" i="49"/>
  <c r="F74" i="49"/>
  <c r="F47" i="49"/>
  <c r="F46" i="49"/>
  <c r="F59" i="49"/>
  <c r="F72" i="49"/>
  <c r="F50" i="49"/>
  <c r="F67" i="49"/>
  <c r="F68" i="49"/>
  <c r="F69" i="49"/>
  <c r="F73" i="49"/>
  <c r="F55" i="49"/>
  <c r="F75" i="49"/>
  <c r="F54" i="49"/>
  <c r="F62" i="49"/>
  <c r="F61" i="49"/>
  <c r="F60" i="49"/>
  <c r="F71" i="49"/>
  <c r="F52" i="49"/>
  <c r="F58" i="49"/>
  <c r="F57" i="49"/>
  <c r="F64" i="49"/>
  <c r="F56" i="49"/>
  <c r="F53" i="49"/>
  <c r="D44" i="49"/>
  <c r="D50" i="49"/>
  <c r="D55" i="49"/>
  <c r="D47" i="49"/>
  <c r="D65" i="49"/>
  <c r="D62" i="49"/>
  <c r="D69" i="49"/>
  <c r="D74" i="49"/>
  <c r="D73" i="49"/>
  <c r="D71" i="49"/>
  <c r="D48" i="49"/>
  <c r="D63" i="49"/>
  <c r="D68" i="49"/>
  <c r="D46" i="49"/>
  <c r="D67" i="49"/>
  <c r="D51" i="49"/>
  <c r="D66" i="49"/>
  <c r="D53" i="49"/>
  <c r="D70" i="49"/>
  <c r="D75" i="49"/>
  <c r="D49" i="49"/>
  <c r="D72" i="49"/>
  <c r="D64" i="49"/>
  <c r="D58" i="49"/>
  <c r="D61" i="49"/>
  <c r="D52" i="49"/>
  <c r="D56" i="49"/>
  <c r="D76" i="49"/>
  <c r="D54" i="49"/>
  <c r="D57" i="49"/>
  <c r="D59" i="49"/>
  <c r="D60" i="49"/>
  <c r="E90" i="49"/>
  <c r="E91" i="49" s="1"/>
  <c r="B68" i="34"/>
  <c r="Q70" i="34"/>
  <c r="P70" i="34" s="1"/>
  <c r="D121" i="4"/>
  <c r="P74" i="34"/>
  <c r="C34" i="5"/>
  <c r="D34" i="5" s="1"/>
  <c r="E34" i="5"/>
  <c r="Q88" i="5"/>
  <c r="P88" i="5" s="1"/>
  <c r="V19" i="29"/>
  <c r="B143" i="4"/>
  <c r="D97" i="4"/>
  <c r="B97" i="4"/>
  <c r="Q67" i="34"/>
  <c r="B67" i="34" s="1"/>
  <c r="B64" i="4"/>
  <c r="B111" i="4"/>
  <c r="H106" i="4"/>
  <c r="D92" i="4"/>
  <c r="B106" i="4"/>
  <c r="B100" i="4"/>
  <c r="H92" i="4"/>
  <c r="B121" i="4"/>
  <c r="Q76" i="34"/>
  <c r="B92" i="4"/>
  <c r="F106" i="4"/>
  <c r="Q62" i="34"/>
  <c r="Q87" i="34"/>
  <c r="B117" i="4"/>
  <c r="B132" i="4"/>
  <c r="F92" i="4"/>
  <c r="D106" i="4"/>
  <c r="D100" i="4"/>
  <c r="Q81" i="34"/>
  <c r="U19" i="29"/>
  <c r="T19" i="29"/>
  <c r="R19" i="29"/>
  <c r="B66" i="34"/>
  <c r="P66" i="34"/>
  <c r="B77" i="34"/>
  <c r="P77" i="34"/>
  <c r="B78" i="34"/>
  <c r="P78" i="34"/>
  <c r="D117" i="4"/>
  <c r="B72" i="34"/>
  <c r="P72" i="34"/>
  <c r="Q91" i="34"/>
  <c r="B84" i="34"/>
  <c r="P84" i="34"/>
  <c r="D111" i="4"/>
  <c r="B80" i="34"/>
  <c r="P80" i="34"/>
  <c r="C39" i="5"/>
  <c r="D39" i="5" s="1"/>
  <c r="B63" i="34"/>
  <c r="P63" i="34"/>
  <c r="H111" i="4"/>
  <c r="B83" i="34"/>
  <c r="P83" i="34"/>
  <c r="B73" i="34"/>
  <c r="P73" i="34"/>
  <c r="B71" i="34"/>
  <c r="P71" i="34"/>
  <c r="Q103" i="5"/>
  <c r="P103" i="5" s="1"/>
  <c r="C29" i="5"/>
  <c r="D29" i="5" s="1"/>
  <c r="C18" i="5"/>
  <c r="D18" i="5" s="1"/>
  <c r="C17" i="5"/>
  <c r="D17" i="5" s="1"/>
  <c r="F111" i="4"/>
  <c r="P64" i="34"/>
  <c r="B64" i="34"/>
  <c r="B82" i="34"/>
  <c r="P82" i="34"/>
  <c r="B79" i="34"/>
  <c r="P79" i="34"/>
  <c r="P92" i="34"/>
  <c r="B92" i="34"/>
  <c r="B69" i="34"/>
  <c r="P69" i="34"/>
  <c r="P75" i="34"/>
  <c r="B75" i="34"/>
  <c r="B86" i="34"/>
  <c r="P86" i="34"/>
  <c r="P65" i="34"/>
  <c r="B65" i="34"/>
  <c r="P90" i="34"/>
  <c r="B90" i="34"/>
  <c r="B85" i="34"/>
  <c r="P85" i="34"/>
  <c r="E64" i="29"/>
  <c r="M28" i="29"/>
  <c r="E35" i="29"/>
  <c r="M49" i="29"/>
  <c r="M48" i="29"/>
  <c r="M36" i="29"/>
  <c r="M23" i="29"/>
  <c r="E23" i="29"/>
  <c r="E51" i="29"/>
  <c r="M64" i="29"/>
  <c r="E65" i="29"/>
  <c r="M20" i="29"/>
  <c r="M67" i="29"/>
  <c r="M59" i="29"/>
  <c r="E40" i="29"/>
  <c r="M17" i="29"/>
  <c r="E37" i="29"/>
  <c r="M62" i="29"/>
  <c r="M61" i="29"/>
  <c r="M21" i="29"/>
  <c r="E49" i="29"/>
  <c r="E72" i="29"/>
  <c r="E48" i="29"/>
  <c r="D11" i="41"/>
  <c r="E52" i="29"/>
  <c r="M15" i="29"/>
  <c r="E28" i="29"/>
  <c r="E38" i="29"/>
  <c r="D33" i="4"/>
  <c r="D34" i="4"/>
  <c r="E62" i="29"/>
  <c r="M43" i="29"/>
  <c r="U43" i="29" s="1"/>
  <c r="E45" i="29"/>
  <c r="E14" i="29"/>
  <c r="M52" i="29"/>
  <c r="M27" i="29"/>
  <c r="D37" i="4"/>
  <c r="M24" i="29"/>
  <c r="M25" i="29"/>
  <c r="D36" i="4"/>
  <c r="M68" i="29"/>
  <c r="E42" i="29"/>
  <c r="M51" i="29"/>
  <c r="M47" i="29"/>
  <c r="E69" i="29"/>
  <c r="M42" i="29"/>
  <c r="E61" i="29"/>
  <c r="M72" i="29"/>
  <c r="E39" i="29"/>
  <c r="M46" i="29"/>
  <c r="E44" i="29"/>
  <c r="M37" i="29"/>
  <c r="M60" i="29"/>
  <c r="E60" i="29"/>
  <c r="M65" i="29"/>
  <c r="E24" i="29"/>
  <c r="M35" i="29"/>
  <c r="E18" i="29"/>
  <c r="E20" i="29"/>
  <c r="D31" i="4"/>
  <c r="D32" i="4"/>
  <c r="E47" i="29"/>
  <c r="M109" i="29"/>
  <c r="M106" i="29" s="1"/>
  <c r="E89" i="29"/>
  <c r="E80" i="29" s="1"/>
  <c r="E16" i="29"/>
  <c r="E41" i="29"/>
  <c r="M14" i="29"/>
  <c r="M39" i="29"/>
  <c r="E59" i="29"/>
  <c r="E21" i="29"/>
  <c r="M38" i="29"/>
  <c r="M18" i="29"/>
  <c r="E17" i="29"/>
  <c r="M40" i="29"/>
  <c r="M71" i="29"/>
  <c r="D35" i="4"/>
  <c r="M63" i="29"/>
  <c r="M41" i="29"/>
  <c r="E67" i="29"/>
  <c r="E63" i="29"/>
  <c r="M69" i="29"/>
  <c r="E27" i="29"/>
  <c r="E66" i="29"/>
  <c r="E71" i="29"/>
  <c r="M22" i="29"/>
  <c r="E25" i="29"/>
  <c r="E68" i="29"/>
  <c r="M16" i="29"/>
  <c r="M66" i="29"/>
  <c r="E36" i="29"/>
  <c r="E22" i="29"/>
  <c r="E46" i="29"/>
  <c r="E15" i="29"/>
  <c r="M45" i="29"/>
  <c r="M44" i="29"/>
  <c r="G39" i="41"/>
  <c r="AQ39" i="41"/>
  <c r="AQ48" i="41" s="1"/>
  <c r="AM48" i="41"/>
  <c r="AP32" i="41"/>
  <c r="AP31" i="41"/>
  <c r="AO32" i="41"/>
  <c r="AO31" i="41"/>
  <c r="AM32" i="41"/>
  <c r="AM31" i="41"/>
  <c r="R84" i="29"/>
  <c r="AM67" i="41"/>
  <c r="AM66" i="41"/>
  <c r="AN57" i="41"/>
  <c r="AN66" i="41" s="1"/>
  <c r="AQ57" i="41"/>
  <c r="D143" i="4"/>
  <c r="P41" i="35"/>
  <c r="P31" i="35"/>
  <c r="P21" i="35"/>
  <c r="P76" i="35"/>
  <c r="P66" i="35"/>
  <c r="P56" i="35"/>
  <c r="P42" i="35"/>
  <c r="P32" i="35"/>
  <c r="P22" i="35"/>
  <c r="O76" i="35"/>
  <c r="O66" i="35"/>
  <c r="O56" i="35"/>
  <c r="O42" i="35"/>
  <c r="O32" i="35"/>
  <c r="O22" i="35"/>
  <c r="P65" i="35"/>
  <c r="P55" i="35"/>
  <c r="O65" i="35"/>
  <c r="O55" i="35"/>
  <c r="O41" i="35"/>
  <c r="O31" i="35"/>
  <c r="O21" i="35"/>
  <c r="P64" i="35"/>
  <c r="P54" i="35"/>
  <c r="P40" i="35"/>
  <c r="P30" i="35"/>
  <c r="P20" i="35"/>
  <c r="O64" i="35"/>
  <c r="O54" i="35"/>
  <c r="O40" i="35"/>
  <c r="O30" i="35"/>
  <c r="O20" i="35"/>
  <c r="P63" i="35"/>
  <c r="P53" i="35"/>
  <c r="P39" i="35"/>
  <c r="P29" i="35"/>
  <c r="P19" i="35"/>
  <c r="O63" i="35"/>
  <c r="O53" i="35"/>
  <c r="O39" i="35"/>
  <c r="O29" i="35"/>
  <c r="O19" i="35"/>
  <c r="P62" i="35"/>
  <c r="P52" i="35"/>
  <c r="P38" i="35"/>
  <c r="P28" i="35"/>
  <c r="P18" i="35"/>
  <c r="O62" i="35"/>
  <c r="O52" i="35"/>
  <c r="O38" i="35"/>
  <c r="O28" i="35"/>
  <c r="O18" i="35"/>
  <c r="P71" i="35"/>
  <c r="P61" i="35"/>
  <c r="P51" i="35"/>
  <c r="P37" i="35"/>
  <c r="P27" i="35"/>
  <c r="P17" i="35"/>
  <c r="O71" i="35"/>
  <c r="O61" i="35"/>
  <c r="O51" i="35"/>
  <c r="O37" i="35"/>
  <c r="O27" i="35"/>
  <c r="O17" i="35"/>
  <c r="P70" i="35"/>
  <c r="P60" i="35"/>
  <c r="P50" i="35"/>
  <c r="P36" i="35"/>
  <c r="P26" i="35"/>
  <c r="P16" i="35"/>
  <c r="O70" i="35"/>
  <c r="O60" i="35"/>
  <c r="O50" i="35"/>
  <c r="O36" i="35"/>
  <c r="O26" i="35"/>
  <c r="O16" i="35"/>
  <c r="P69" i="35"/>
  <c r="P59" i="35"/>
  <c r="P49" i="35"/>
  <c r="P35" i="35"/>
  <c r="P25" i="35"/>
  <c r="P15" i="35"/>
  <c r="O69" i="35"/>
  <c r="O59" i="35"/>
  <c r="O49" i="35"/>
  <c r="O35" i="35"/>
  <c r="O25" i="35"/>
  <c r="O15" i="35"/>
  <c r="P68" i="35"/>
  <c r="P58" i="35"/>
  <c r="P48" i="35"/>
  <c r="P34" i="35"/>
  <c r="P24" i="35"/>
  <c r="P14" i="35"/>
  <c r="O68" i="35"/>
  <c r="O58" i="35"/>
  <c r="O48" i="35"/>
  <c r="O34" i="35"/>
  <c r="O24" i="35"/>
  <c r="O14" i="35"/>
  <c r="P67" i="35"/>
  <c r="P57" i="35"/>
  <c r="P47" i="35"/>
  <c r="P33" i="35"/>
  <c r="P23" i="35"/>
  <c r="P13" i="35"/>
  <c r="O67" i="35"/>
  <c r="O57" i="35"/>
  <c r="O47" i="35"/>
  <c r="O33" i="35"/>
  <c r="O23" i="35"/>
  <c r="O13" i="35"/>
  <c r="D89" i="29"/>
  <c r="D80" i="29" s="1"/>
  <c r="D31" i="35"/>
  <c r="L89" i="29"/>
  <c r="D47" i="4"/>
  <c r="F89" i="29"/>
  <c r="F80" i="29" s="1"/>
  <c r="R107" i="29"/>
  <c r="B89" i="29"/>
  <c r="B80" i="29" s="1"/>
  <c r="B14" i="29"/>
  <c r="N89" i="29"/>
  <c r="N80" i="29" s="1"/>
  <c r="J89" i="29"/>
  <c r="J80" i="29" s="1"/>
  <c r="C55" i="5"/>
  <c r="D55" i="5" s="1"/>
  <c r="C52" i="5"/>
  <c r="D52" i="5" s="1"/>
  <c r="E32" i="5"/>
  <c r="E54" i="5"/>
  <c r="E23" i="5"/>
  <c r="E30" i="5"/>
  <c r="C42" i="5"/>
  <c r="D42" i="5" s="1"/>
  <c r="E47" i="5"/>
  <c r="E44" i="5"/>
  <c r="C51" i="5"/>
  <c r="D51" i="5" s="1"/>
  <c r="Q71" i="5"/>
  <c r="P71" i="5" s="1"/>
  <c r="Q77" i="5"/>
  <c r="P77" i="5" s="1"/>
  <c r="E45" i="5"/>
  <c r="C49" i="5"/>
  <c r="D49" i="5" s="1"/>
  <c r="Q99" i="5"/>
  <c r="P99" i="5" s="1"/>
  <c r="E20" i="5"/>
  <c r="C26" i="5"/>
  <c r="D26" i="5" s="1"/>
  <c r="Q104" i="5"/>
  <c r="P104" i="5" s="1"/>
  <c r="E52" i="5"/>
  <c r="E25" i="5"/>
  <c r="Q95" i="5"/>
  <c r="P95" i="5" s="1"/>
  <c r="E50" i="5"/>
  <c r="E55" i="5"/>
  <c r="Q91" i="5"/>
  <c r="P91" i="5" s="1"/>
  <c r="C47" i="5"/>
  <c r="D47" i="5" s="1"/>
  <c r="C53" i="5"/>
  <c r="D53" i="5" s="1"/>
  <c r="Q89" i="5"/>
  <c r="P89" i="5" s="1"/>
  <c r="E24" i="5"/>
  <c r="E35" i="5"/>
  <c r="Q75" i="5"/>
  <c r="P75" i="5" s="1"/>
  <c r="C54" i="5"/>
  <c r="D54" i="5" s="1"/>
  <c r="C24" i="5"/>
  <c r="D24" i="5" s="1"/>
  <c r="Q105" i="5"/>
  <c r="P105" i="5" s="1"/>
  <c r="C35" i="5"/>
  <c r="D35" i="5" s="1"/>
  <c r="E41" i="5"/>
  <c r="C40" i="5"/>
  <c r="D40" i="5" s="1"/>
  <c r="C27" i="5"/>
  <c r="D27" i="5" s="1"/>
  <c r="C20" i="5"/>
  <c r="D20" i="5" s="1"/>
  <c r="E42" i="5"/>
  <c r="C37" i="5"/>
  <c r="D37" i="5" s="1"/>
  <c r="E37" i="5"/>
  <c r="E21" i="5"/>
  <c r="C30" i="5"/>
  <c r="D30" i="5" s="1"/>
  <c r="E51" i="5"/>
  <c r="E49" i="5"/>
  <c r="C44" i="5"/>
  <c r="D44" i="5" s="1"/>
  <c r="C50" i="5"/>
  <c r="D50" i="5" s="1"/>
  <c r="C21" i="5"/>
  <c r="D21" i="5" s="1"/>
  <c r="C41" i="5"/>
  <c r="D41" i="5" s="1"/>
  <c r="C25" i="5"/>
  <c r="D25" i="5" s="1"/>
  <c r="C23" i="5"/>
  <c r="D23" i="5" s="1"/>
  <c r="C45" i="5"/>
  <c r="D45" i="5" s="1"/>
  <c r="E53" i="5"/>
  <c r="E40" i="5"/>
  <c r="C32" i="5"/>
  <c r="D32" i="5" s="1"/>
  <c r="E27" i="5"/>
  <c r="E26" i="5"/>
  <c r="C22" i="41"/>
  <c r="F12" i="41"/>
  <c r="C57" i="41"/>
  <c r="E22" i="41"/>
  <c r="F22" i="41"/>
  <c r="Q106" i="5"/>
  <c r="P106" i="5" s="1"/>
  <c r="Q98" i="5"/>
  <c r="P98" i="5" s="1"/>
  <c r="C33" i="5"/>
  <c r="D33" i="5" s="1"/>
  <c r="Q74" i="5"/>
  <c r="P74" i="5" s="1"/>
  <c r="Q73" i="5"/>
  <c r="P73" i="5" s="1"/>
  <c r="Q93" i="5"/>
  <c r="P93" i="5" s="1"/>
  <c r="Q78" i="5"/>
  <c r="P78" i="5" s="1"/>
  <c r="Q87" i="5"/>
  <c r="P87" i="5" s="1"/>
  <c r="Q107" i="5"/>
  <c r="P107" i="5" s="1"/>
  <c r="Q84" i="5"/>
  <c r="P84" i="5" s="1"/>
  <c r="Q101" i="5"/>
  <c r="P101" i="5" s="1"/>
  <c r="Q79" i="5"/>
  <c r="P79" i="5" s="1"/>
  <c r="E39" i="5"/>
  <c r="E17" i="5"/>
  <c r="E18" i="5"/>
  <c r="E29" i="5"/>
  <c r="C86" i="35"/>
  <c r="D86" i="35"/>
  <c r="F119" i="4"/>
  <c r="H119" i="4"/>
  <c r="C19" i="4"/>
  <c r="Q86" i="5"/>
  <c r="P86" i="5" s="1"/>
  <c r="Q109" i="5"/>
  <c r="P109" i="5" s="1"/>
  <c r="Q80" i="5"/>
  <c r="P80" i="5" s="1"/>
  <c r="Q94" i="5"/>
  <c r="P94" i="5" s="1"/>
  <c r="Q82" i="5"/>
  <c r="Q81" i="5"/>
  <c r="P81" i="5" s="1"/>
  <c r="Q83" i="5"/>
  <c r="P83" i="5" s="1"/>
  <c r="Q108" i="5"/>
  <c r="P108" i="5" s="1"/>
  <c r="Q85" i="5"/>
  <c r="P85" i="5" s="1"/>
  <c r="Q92" i="5"/>
  <c r="Q102" i="5"/>
  <c r="Q76" i="5"/>
  <c r="Q72" i="5"/>
  <c r="P72" i="5" s="1"/>
  <c r="Q96" i="5"/>
  <c r="P96" i="5" s="1"/>
  <c r="Q97" i="5"/>
  <c r="P17" i="34"/>
  <c r="Q90" i="5"/>
  <c r="Q100" i="5"/>
  <c r="P100" i="5" s="1"/>
  <c r="C46" i="5"/>
  <c r="D46" i="5" s="1"/>
  <c r="E46" i="5"/>
  <c r="C36" i="5"/>
  <c r="D36" i="5" s="1"/>
  <c r="E36" i="5"/>
  <c r="AE3" i="13"/>
  <c r="AF3" i="13" s="1"/>
  <c r="U116" i="29"/>
  <c r="R96" i="29"/>
  <c r="V118" i="29"/>
  <c r="E14" i="5"/>
  <c r="C19" i="5"/>
  <c r="D19" i="5" s="1"/>
  <c r="C31" i="5"/>
  <c r="D31" i="5" s="1"/>
  <c r="V86" i="29"/>
  <c r="U115" i="29"/>
  <c r="T92" i="29"/>
  <c r="R110" i="29"/>
  <c r="R116" i="29"/>
  <c r="V116" i="29"/>
  <c r="V114" i="29"/>
  <c r="R94" i="29"/>
  <c r="R118" i="29"/>
  <c r="Q25" i="34"/>
  <c r="Q18" i="34"/>
  <c r="T113" i="29"/>
  <c r="V107" i="29"/>
  <c r="R82" i="29"/>
  <c r="G12" i="47"/>
  <c r="T114" i="29"/>
  <c r="Q47" i="34"/>
  <c r="Q52" i="34"/>
  <c r="Q49" i="34"/>
  <c r="Q50" i="34"/>
  <c r="Q51" i="34"/>
  <c r="Q48" i="34"/>
  <c r="Q53" i="34"/>
  <c r="R92" i="29"/>
  <c r="V93" i="29"/>
  <c r="U92" i="29"/>
  <c r="T96" i="29"/>
  <c r="U110" i="29"/>
  <c r="H98" i="4"/>
  <c r="H97" i="4" s="1"/>
  <c r="F98" i="4"/>
  <c r="F97" i="4" s="1"/>
  <c r="H133" i="4"/>
  <c r="R85" i="29"/>
  <c r="V87" i="29"/>
  <c r="V95" i="29"/>
  <c r="T81" i="29"/>
  <c r="U98" i="29"/>
  <c r="B59" i="4"/>
  <c r="R95" i="29"/>
  <c r="R86" i="29"/>
  <c r="U95" i="29"/>
  <c r="T112" i="29"/>
  <c r="U93" i="29"/>
  <c r="U91" i="29"/>
  <c r="T85" i="29"/>
  <c r="R113" i="29"/>
  <c r="U118" i="29"/>
  <c r="T93" i="29"/>
  <c r="T84" i="29"/>
  <c r="B17" i="4"/>
  <c r="D17" i="4" s="1"/>
  <c r="M21" i="4" s="1"/>
  <c r="V85" i="29"/>
  <c r="T88" i="29"/>
  <c r="V112" i="29"/>
  <c r="R93" i="29"/>
  <c r="R112" i="29"/>
  <c r="V88" i="29"/>
  <c r="R88" i="29"/>
  <c r="T116" i="29"/>
  <c r="V111" i="29"/>
  <c r="T111" i="29"/>
  <c r="V84" i="29"/>
  <c r="T107" i="29"/>
  <c r="R90" i="29"/>
  <c r="V90" i="29"/>
  <c r="R91" i="29"/>
  <c r="V113" i="29"/>
  <c r="T115" i="29"/>
  <c r="T118" i="29"/>
  <c r="V115" i="29"/>
  <c r="R98" i="29"/>
  <c r="R108" i="29"/>
  <c r="U86" i="29"/>
  <c r="U112" i="29"/>
  <c r="V108" i="29"/>
  <c r="T87" i="29"/>
  <c r="T110" i="29"/>
  <c r="R87" i="29"/>
  <c r="V82" i="29"/>
  <c r="R115" i="29"/>
  <c r="U87" i="29"/>
  <c r="U96" i="29"/>
  <c r="U88" i="29"/>
  <c r="V96" i="29"/>
  <c r="V91" i="29"/>
  <c r="T94" i="29"/>
  <c r="C81" i="4"/>
  <c r="U111" i="29"/>
  <c r="U113" i="29"/>
  <c r="T98" i="29"/>
  <c r="U114" i="29"/>
  <c r="T90" i="29"/>
  <c r="U90" i="29"/>
  <c r="T86" i="29"/>
  <c r="V98" i="29"/>
  <c r="R111" i="29"/>
  <c r="C35" i="35"/>
  <c r="T95" i="29"/>
  <c r="T108" i="29"/>
  <c r="C64" i="4"/>
  <c r="V94" i="29"/>
  <c r="B81" i="4"/>
  <c r="U84" i="29"/>
  <c r="R114" i="29"/>
  <c r="T91" i="29"/>
  <c r="V110" i="29"/>
  <c r="T83" i="29"/>
  <c r="U82" i="29"/>
  <c r="U83" i="29"/>
  <c r="B23" i="4"/>
  <c r="D23" i="4" s="1"/>
  <c r="M15" i="4" s="1"/>
  <c r="U107" i="29"/>
  <c r="R81" i="29"/>
  <c r="H123" i="4"/>
  <c r="H121" i="4" s="1"/>
  <c r="U108" i="29"/>
  <c r="R83" i="29"/>
  <c r="V81" i="29"/>
  <c r="F123" i="4"/>
  <c r="F121" i="4" s="1"/>
  <c r="V83" i="29"/>
  <c r="C89" i="35"/>
  <c r="T82" i="29"/>
  <c r="D50" i="4"/>
  <c r="V92" i="29"/>
  <c r="D34" i="35"/>
  <c r="U85" i="29"/>
  <c r="U94" i="29"/>
  <c r="C60" i="35"/>
  <c r="E40" i="35" s="1"/>
  <c r="U81" i="29"/>
  <c r="M80" i="29"/>
  <c r="D152" i="35"/>
  <c r="D153" i="35" s="1"/>
  <c r="J119" i="29"/>
  <c r="F119" i="29"/>
  <c r="F117" i="29" s="1"/>
  <c r="M119" i="29"/>
  <c r="C106" i="35"/>
  <c r="D106" i="35"/>
  <c r="D119" i="29"/>
  <c r="D117" i="29" s="1"/>
  <c r="B119" i="29"/>
  <c r="B117" i="29" s="1"/>
  <c r="E119" i="29"/>
  <c r="E117" i="29" s="1"/>
  <c r="L119" i="29"/>
  <c r="N119" i="29"/>
  <c r="F145" i="4"/>
  <c r="F143" i="4" s="1"/>
  <c r="H145" i="4"/>
  <c r="H143" i="4" s="1"/>
  <c r="B74" i="34"/>
  <c r="B42" i="29"/>
  <c r="D85" i="35"/>
  <c r="C85" i="35"/>
  <c r="F118" i="4"/>
  <c r="H118" i="4"/>
  <c r="P88" i="34"/>
  <c r="B88" i="34"/>
  <c r="C18" i="35"/>
  <c r="C16" i="35"/>
  <c r="B45" i="29"/>
  <c r="B40" i="29"/>
  <c r="F47" i="29"/>
  <c r="F42" i="29"/>
  <c r="F41" i="29"/>
  <c r="B46" i="29"/>
  <c r="B51" i="29"/>
  <c r="F17" i="29"/>
  <c r="F69" i="29"/>
  <c r="D41" i="29"/>
  <c r="B67" i="29"/>
  <c r="F51" i="29"/>
  <c r="D47" i="29"/>
  <c r="F48" i="29"/>
  <c r="B47" i="29"/>
  <c r="B66" i="29"/>
  <c r="B48" i="29"/>
  <c r="D22" i="29"/>
  <c r="B68" i="29"/>
  <c r="D23" i="29"/>
  <c r="D46" i="29"/>
  <c r="D49" i="29"/>
  <c r="F46" i="29"/>
  <c r="D51" i="29"/>
  <c r="D27" i="29"/>
  <c r="D24" i="29"/>
  <c r="F45" i="29"/>
  <c r="B24" i="29"/>
  <c r="F25" i="29"/>
  <c r="F21" i="29"/>
  <c r="F66" i="29"/>
  <c r="B25" i="29"/>
  <c r="F27" i="29"/>
  <c r="F20" i="29"/>
  <c r="B27" i="29"/>
  <c r="F22" i="29"/>
  <c r="F67" i="29"/>
  <c r="B20" i="29"/>
  <c r="F23" i="29"/>
  <c r="B21" i="29"/>
  <c r="B64" i="29"/>
  <c r="B23" i="29"/>
  <c r="B22" i="29"/>
  <c r="E16" i="4"/>
  <c r="B16" i="4" s="1"/>
  <c r="D16" i="4" s="1"/>
  <c r="M22" i="4" s="1"/>
  <c r="M99" i="29"/>
  <c r="E99" i="29"/>
  <c r="E97" i="29" s="1"/>
  <c r="E109" i="29"/>
  <c r="B69" i="29"/>
  <c r="D59" i="29"/>
  <c r="D62" i="29"/>
  <c r="D14" i="29"/>
  <c r="D61" i="29"/>
  <c r="D60" i="29"/>
  <c r="B15" i="29"/>
  <c r="D35" i="29"/>
  <c r="D39" i="29"/>
  <c r="F35" i="29"/>
  <c r="B62" i="29"/>
  <c r="D44" i="29"/>
  <c r="D38" i="29"/>
  <c r="B71" i="29"/>
  <c r="B37" i="29"/>
  <c r="F62" i="29"/>
  <c r="D63" i="29"/>
  <c r="F61" i="29"/>
  <c r="F44" i="29"/>
  <c r="D43" i="29"/>
  <c r="B16" i="29"/>
  <c r="B18" i="29"/>
  <c r="F59" i="29"/>
  <c r="F43" i="29"/>
  <c r="F71" i="29"/>
  <c r="F37" i="29"/>
  <c r="F63" i="29"/>
  <c r="F39" i="29"/>
  <c r="F16" i="29"/>
  <c r="F18" i="29"/>
  <c r="F14" i="29"/>
  <c r="B36" i="29"/>
  <c r="F15" i="29"/>
  <c r="B63" i="29"/>
  <c r="F60" i="29"/>
  <c r="B39" i="29"/>
  <c r="B60" i="29"/>
  <c r="AN13" i="41"/>
  <c r="AO13" i="41" s="1"/>
  <c r="C21" i="35"/>
  <c r="C17" i="35"/>
  <c r="C23" i="35"/>
  <c r="C22" i="35"/>
  <c r="D17" i="35"/>
  <c r="C19" i="35"/>
  <c r="D19" i="35"/>
  <c r="D23" i="35"/>
  <c r="D18" i="35"/>
  <c r="D22" i="35"/>
  <c r="D21" i="35"/>
  <c r="F36" i="4"/>
  <c r="F37" i="4"/>
  <c r="F31" i="4"/>
  <c r="F35" i="4"/>
  <c r="F33" i="4"/>
  <c r="F34" i="4"/>
  <c r="F32" i="4"/>
  <c r="B33" i="4"/>
  <c r="B35" i="4"/>
  <c r="B37" i="4"/>
  <c r="B36" i="4"/>
  <c r="B31" i="4"/>
  <c r="B32" i="4"/>
  <c r="B34" i="4"/>
  <c r="D14" i="5"/>
  <c r="B51" i="4"/>
  <c r="C49" i="4" s="1"/>
  <c r="D97" i="35"/>
  <c r="J99" i="29"/>
  <c r="L99" i="29"/>
  <c r="D33" i="35"/>
  <c r="C97" i="35"/>
  <c r="N99" i="29"/>
  <c r="B99" i="29"/>
  <c r="F109" i="29"/>
  <c r="F99" i="29"/>
  <c r="F97" i="29" s="1"/>
  <c r="F104" i="4"/>
  <c r="F100" i="4" s="1"/>
  <c r="H104" i="4"/>
  <c r="H100" i="4" s="1"/>
  <c r="B109" i="29"/>
  <c r="D99" i="29"/>
  <c r="D97" i="29" s="1"/>
  <c r="D40" i="35"/>
  <c r="D60" i="35" s="1"/>
  <c r="D49" i="4"/>
  <c r="D109" i="29"/>
  <c r="L109" i="29"/>
  <c r="D21" i="29"/>
  <c r="L48" i="29"/>
  <c r="D12" i="41"/>
  <c r="L39" i="29"/>
  <c r="B41" i="29"/>
  <c r="D48" i="29"/>
  <c r="L64" i="29"/>
  <c r="D64" i="29"/>
  <c r="B43" i="29"/>
  <c r="E19" i="4"/>
  <c r="F24" i="29"/>
  <c r="D42" i="29"/>
  <c r="L28" i="29"/>
  <c r="L21" i="29"/>
  <c r="L14" i="29"/>
  <c r="L41" i="29"/>
  <c r="D72" i="29"/>
  <c r="D66" i="29"/>
  <c r="B35" i="29"/>
  <c r="L16" i="29"/>
  <c r="D18" i="29"/>
  <c r="L69" i="29"/>
  <c r="L62" i="29"/>
  <c r="D65" i="29"/>
  <c r="D15" i="29"/>
  <c r="D20" i="29"/>
  <c r="D71" i="29"/>
  <c r="L25" i="29"/>
  <c r="F65" i="29"/>
  <c r="B44" i="29"/>
  <c r="L15" i="29"/>
  <c r="L43" i="29"/>
  <c r="F49" i="29"/>
  <c r="D36" i="29"/>
  <c r="L67" i="29"/>
  <c r="D25" i="29"/>
  <c r="F38" i="29"/>
  <c r="E22" i="4"/>
  <c r="B22" i="4" s="1"/>
  <c r="L71" i="29"/>
  <c r="L18" i="29"/>
  <c r="L24" i="29"/>
  <c r="L38" i="29"/>
  <c r="L61" i="29"/>
  <c r="B65" i="29"/>
  <c r="L23" i="29"/>
  <c r="B49" i="29"/>
  <c r="F64" i="29"/>
  <c r="L47" i="29"/>
  <c r="L27" i="29"/>
  <c r="B38" i="29"/>
  <c r="D69" i="29"/>
  <c r="D28" i="29"/>
  <c r="L22" i="29"/>
  <c r="L49" i="29"/>
  <c r="L72" i="29"/>
  <c r="F36" i="29"/>
  <c r="B59" i="29"/>
  <c r="L68" i="29"/>
  <c r="L51" i="29"/>
  <c r="L37" i="29"/>
  <c r="L60" i="29"/>
  <c r="L46" i="29"/>
  <c r="L20" i="29"/>
  <c r="L17" i="29"/>
  <c r="L36" i="29"/>
  <c r="L59" i="29"/>
  <c r="F68" i="29"/>
  <c r="D17" i="29"/>
  <c r="F40" i="29"/>
  <c r="D52" i="29"/>
  <c r="E12" i="47"/>
  <c r="D40" i="29"/>
  <c r="L40" i="29"/>
  <c r="B61" i="29"/>
  <c r="L52" i="29"/>
  <c r="L65" i="29"/>
  <c r="L45" i="29"/>
  <c r="D67" i="29"/>
  <c r="D68" i="29"/>
  <c r="L35" i="29"/>
  <c r="L66" i="29"/>
  <c r="D16" i="29"/>
  <c r="D37" i="29"/>
  <c r="L44" i="29"/>
  <c r="L63" i="29"/>
  <c r="D45" i="29"/>
  <c r="L42" i="29"/>
  <c r="B17" i="29"/>
  <c r="J71" i="29"/>
  <c r="N52" i="29"/>
  <c r="N61" i="29"/>
  <c r="N66" i="29"/>
  <c r="N22" i="29"/>
  <c r="J47" i="29"/>
  <c r="N63" i="29"/>
  <c r="J49" i="29"/>
  <c r="N69" i="29"/>
  <c r="J46" i="29"/>
  <c r="J61" i="29"/>
  <c r="J15" i="29"/>
  <c r="N49" i="29"/>
  <c r="N59" i="29"/>
  <c r="J14" i="29"/>
  <c r="F52" i="29"/>
  <c r="N23" i="29"/>
  <c r="N41" i="29"/>
  <c r="J20" i="29"/>
  <c r="J65" i="29"/>
  <c r="J60" i="29"/>
  <c r="N15" i="29"/>
  <c r="N40" i="29"/>
  <c r="N42" i="29"/>
  <c r="J22" i="29"/>
  <c r="J16" i="29"/>
  <c r="N47" i="29"/>
  <c r="F28" i="29"/>
  <c r="B52" i="29"/>
  <c r="J43" i="29"/>
  <c r="B72" i="29"/>
  <c r="J35" i="29"/>
  <c r="J24" i="29"/>
  <c r="N44" i="29"/>
  <c r="N35" i="29"/>
  <c r="J68" i="29"/>
  <c r="B28" i="29"/>
  <c r="J37" i="29"/>
  <c r="J40" i="29"/>
  <c r="N16" i="29"/>
  <c r="J67" i="29"/>
  <c r="J48" i="29"/>
  <c r="N43" i="29"/>
  <c r="J27" i="29"/>
  <c r="J41" i="29"/>
  <c r="J23" i="29"/>
  <c r="C61" i="4"/>
  <c r="C59" i="4" s="1"/>
  <c r="N24" i="29"/>
  <c r="J72" i="29"/>
  <c r="J28" i="29"/>
  <c r="J18" i="29"/>
  <c r="J64" i="29"/>
  <c r="J109" i="29"/>
  <c r="N62" i="29"/>
  <c r="N72" i="29"/>
  <c r="N51" i="29"/>
  <c r="J25" i="29"/>
  <c r="N68" i="29"/>
  <c r="N25" i="29"/>
  <c r="J21" i="29"/>
  <c r="F72" i="29"/>
  <c r="N38" i="29"/>
  <c r="J59" i="29"/>
  <c r="N18" i="29"/>
  <c r="J63" i="29"/>
  <c r="N28" i="29"/>
  <c r="J42" i="29"/>
  <c r="J62" i="29"/>
  <c r="J52" i="29"/>
  <c r="J44" i="29"/>
  <c r="J51" i="29"/>
  <c r="J45" i="29"/>
  <c r="N60" i="29"/>
  <c r="N48" i="29"/>
  <c r="N21" i="29"/>
  <c r="N39" i="29"/>
  <c r="N20" i="29"/>
  <c r="N14" i="29"/>
  <c r="N109" i="29"/>
  <c r="J17" i="29"/>
  <c r="J66" i="29"/>
  <c r="N36" i="29"/>
  <c r="J69" i="29"/>
  <c r="N67" i="29"/>
  <c r="N46" i="29"/>
  <c r="N65" i="29"/>
  <c r="J38" i="29"/>
  <c r="J36" i="29"/>
  <c r="N37" i="29"/>
  <c r="J39" i="29"/>
  <c r="N27" i="29"/>
  <c r="N17" i="29"/>
  <c r="N71" i="29"/>
  <c r="N45" i="29"/>
  <c r="N64" i="29"/>
  <c r="F135" i="4"/>
  <c r="H135" i="4"/>
  <c r="D132" i="4"/>
  <c r="H48" i="34"/>
  <c r="L48" i="34"/>
  <c r="N49" i="34"/>
  <c r="F47" i="34"/>
  <c r="K49" i="34"/>
  <c r="M47" i="34"/>
  <c r="G47" i="34"/>
  <c r="I52" i="34"/>
  <c r="L52" i="34"/>
  <c r="C48" i="34"/>
  <c r="E52" i="34"/>
  <c r="I51" i="34"/>
  <c r="L51" i="34"/>
  <c r="G48" i="34"/>
  <c r="M52" i="34"/>
  <c r="J48" i="34"/>
  <c r="K52" i="34"/>
  <c r="C47" i="34"/>
  <c r="H52" i="34"/>
  <c r="D49" i="34"/>
  <c r="L47" i="34"/>
  <c r="D52" i="34"/>
  <c r="E47" i="34"/>
  <c r="C49" i="34"/>
  <c r="F49" i="34"/>
  <c r="I48" i="34"/>
  <c r="F51" i="34"/>
  <c r="E49" i="34"/>
  <c r="H47" i="34"/>
  <c r="H49" i="34"/>
  <c r="N51" i="34"/>
  <c r="E48" i="34"/>
  <c r="K48" i="34"/>
  <c r="I49" i="34"/>
  <c r="C52" i="34"/>
  <c r="H51" i="34"/>
  <c r="J49" i="34"/>
  <c r="N52" i="34"/>
  <c r="D47" i="34"/>
  <c r="N48" i="34"/>
  <c r="G52" i="34"/>
  <c r="G51" i="34"/>
  <c r="M49" i="34"/>
  <c r="G49" i="34"/>
  <c r="F48" i="34"/>
  <c r="J52" i="34"/>
  <c r="F52" i="34"/>
  <c r="J47" i="34"/>
  <c r="D48" i="34"/>
  <c r="K47" i="34"/>
  <c r="M51" i="34"/>
  <c r="N47" i="34"/>
  <c r="E51" i="34"/>
  <c r="J51" i="34"/>
  <c r="D51" i="34"/>
  <c r="C51" i="34"/>
  <c r="L49" i="34"/>
  <c r="M48" i="34"/>
  <c r="I47" i="34"/>
  <c r="K51" i="34"/>
  <c r="W3" i="13"/>
  <c r="E33" i="5" s="1"/>
  <c r="W3" i="46"/>
  <c r="AU3" i="12"/>
  <c r="BI3" i="16"/>
  <c r="BH3" i="16"/>
  <c r="AH3" i="46"/>
  <c r="P16" i="34"/>
  <c r="O18" i="34"/>
  <c r="BH3" i="12"/>
  <c r="CQ3" i="12"/>
  <c r="CP3" i="12"/>
  <c r="AN22" i="41" l="1"/>
  <c r="AP41" i="41"/>
  <c r="AN41" i="41"/>
  <c r="AN47" i="41"/>
  <c r="AN46" i="41"/>
  <c r="AQ12" i="41"/>
  <c r="AP38" i="41"/>
  <c r="AN44" i="41"/>
  <c r="AN39" i="41"/>
  <c r="AN40" i="41"/>
  <c r="AN29" i="41"/>
  <c r="AP44" i="41"/>
  <c r="AQ13" i="41"/>
  <c r="CD4" i="16"/>
  <c r="CD5" i="16"/>
  <c r="CB5" i="16"/>
  <c r="CB4" i="16"/>
  <c r="AR45" i="41"/>
  <c r="AN26" i="41"/>
  <c r="AN23" i="41"/>
  <c r="AR38" i="41"/>
  <c r="AP45" i="41"/>
  <c r="AN43" i="41"/>
  <c r="AR43" i="41"/>
  <c r="AP40" i="41"/>
  <c r="AP46" i="41"/>
  <c r="AN42" i="41"/>
  <c r="AR40" i="41"/>
  <c r="AN21" i="41"/>
  <c r="AR47" i="41"/>
  <c r="AN30" i="41"/>
  <c r="AK18" i="41"/>
  <c r="AR44" i="41"/>
  <c r="AN27" i="41"/>
  <c r="AN45" i="41"/>
  <c r="AK34" i="41"/>
  <c r="AN38" i="41"/>
  <c r="AP39" i="41"/>
  <c r="AR42" i="41"/>
  <c r="AN25" i="41"/>
  <c r="AP42" i="41"/>
  <c r="AR41" i="41"/>
  <c r="AN24" i="41"/>
  <c r="AR46" i="41"/>
  <c r="AP43" i="41"/>
  <c r="AN28" i="41"/>
  <c r="AP47" i="41"/>
  <c r="C147" i="35"/>
  <c r="C153" i="35" s="1"/>
  <c r="F32" i="41"/>
  <c r="U40" i="29"/>
  <c r="U44" i="29"/>
  <c r="U24" i="29"/>
  <c r="B70" i="34"/>
  <c r="F100" i="29"/>
  <c r="P67" i="34"/>
  <c r="E50" i="29"/>
  <c r="E53" i="29" s="1"/>
  <c r="M70" i="29"/>
  <c r="M73" i="29" s="1"/>
  <c r="U23" i="29"/>
  <c r="B124" i="4"/>
  <c r="D124" i="4"/>
  <c r="U20" i="29"/>
  <c r="U62" i="29"/>
  <c r="U65" i="29"/>
  <c r="U36" i="29"/>
  <c r="P62" i="34"/>
  <c r="B62" i="34"/>
  <c r="U68" i="29"/>
  <c r="U49" i="29"/>
  <c r="E100" i="29"/>
  <c r="Q94" i="34"/>
  <c r="E54" i="35"/>
  <c r="E53" i="35"/>
  <c r="E58" i="35"/>
  <c r="E45" i="35"/>
  <c r="E57" i="35"/>
  <c r="E47" i="35"/>
  <c r="E41" i="35"/>
  <c r="E51" i="35"/>
  <c r="E49" i="35"/>
  <c r="E59" i="35"/>
  <c r="E55" i="35"/>
  <c r="E42" i="35"/>
  <c r="E43" i="35"/>
  <c r="E46" i="35"/>
  <c r="E44" i="35"/>
  <c r="E48" i="35"/>
  <c r="E50" i="35"/>
  <c r="E56" i="35"/>
  <c r="E52" i="35"/>
  <c r="U59" i="29"/>
  <c r="U89" i="29"/>
  <c r="U46" i="29"/>
  <c r="U63" i="29"/>
  <c r="U67" i="29"/>
  <c r="U69" i="29"/>
  <c r="U37" i="29"/>
  <c r="E26" i="29"/>
  <c r="C90" i="35"/>
  <c r="U42" i="29"/>
  <c r="M50" i="29"/>
  <c r="M53" i="29" s="1"/>
  <c r="U48" i="29"/>
  <c r="U35" i="29"/>
  <c r="U47" i="29"/>
  <c r="U64" i="29"/>
  <c r="AR39" i="41"/>
  <c r="U72" i="29"/>
  <c r="U17" i="29"/>
  <c r="M26" i="29"/>
  <c r="M29" i="29" s="1"/>
  <c r="U51" i="29"/>
  <c r="U27" i="29"/>
  <c r="U28" i="29"/>
  <c r="U22" i="29"/>
  <c r="E70" i="29"/>
  <c r="E73" i="29" s="1"/>
  <c r="AQ49" i="41"/>
  <c r="U52" i="29"/>
  <c r="P81" i="34"/>
  <c r="B81" i="34"/>
  <c r="P76" i="34"/>
  <c r="B76" i="34"/>
  <c r="U39" i="29"/>
  <c r="U66" i="29"/>
  <c r="U15" i="29"/>
  <c r="U14" i="29"/>
  <c r="U16" i="29"/>
  <c r="U38" i="29"/>
  <c r="U61" i="29"/>
  <c r="U71" i="29"/>
  <c r="C15" i="5"/>
  <c r="D15" i="5" s="1"/>
  <c r="E58" i="29"/>
  <c r="D30" i="4"/>
  <c r="U21" i="29"/>
  <c r="U18" i="29"/>
  <c r="E13" i="29"/>
  <c r="M58" i="29"/>
  <c r="U45" i="29"/>
  <c r="U60" i="29"/>
  <c r="D38" i="4"/>
  <c r="U25" i="29"/>
  <c r="P18" i="34"/>
  <c r="U41" i="29"/>
  <c r="M34" i="29"/>
  <c r="M13" i="29"/>
  <c r="E34" i="29"/>
  <c r="AR57" i="41"/>
  <c r="AR66" i="41" s="1"/>
  <c r="AQ67" i="41"/>
  <c r="AQ66" i="41"/>
  <c r="C67" i="41"/>
  <c r="C66" i="41"/>
  <c r="C49" i="41"/>
  <c r="C48" i="41"/>
  <c r="E31" i="41"/>
  <c r="E32" i="41"/>
  <c r="F31" i="41"/>
  <c r="C31" i="41"/>
  <c r="C32" i="41"/>
  <c r="D57" i="41"/>
  <c r="D66" i="41" s="1"/>
  <c r="G57" i="41"/>
  <c r="D100" i="29"/>
  <c r="V89" i="29"/>
  <c r="F117" i="4"/>
  <c r="F124" i="4" s="1"/>
  <c r="T89" i="29"/>
  <c r="R89" i="29"/>
  <c r="L80" i="29"/>
  <c r="T80" i="29" s="1"/>
  <c r="H117" i="4"/>
  <c r="H124" i="4" s="1"/>
  <c r="B19" i="4"/>
  <c r="F19" i="4" s="1"/>
  <c r="N19" i="4" s="1"/>
  <c r="R8" i="41"/>
  <c r="F13" i="41"/>
  <c r="E15" i="5"/>
  <c r="F15" i="5" s="1"/>
  <c r="F36" i="5"/>
  <c r="CB3" i="16"/>
  <c r="Q69" i="5"/>
  <c r="P90" i="5"/>
  <c r="P69" i="5" s="1"/>
  <c r="C59" i="5"/>
  <c r="V48" i="29"/>
  <c r="F17" i="4"/>
  <c r="N21" i="4" s="1"/>
  <c r="F17" i="5"/>
  <c r="F21" i="5"/>
  <c r="F46" i="5"/>
  <c r="F14" i="5"/>
  <c r="E19" i="5"/>
  <c r="F19" i="5" s="1"/>
  <c r="E31" i="5"/>
  <c r="F31" i="5" s="1"/>
  <c r="N25" i="47"/>
  <c r="O25" i="47"/>
  <c r="L25" i="47"/>
  <c r="K25" i="47"/>
  <c r="G25" i="47"/>
  <c r="J25" i="47"/>
  <c r="M25" i="47"/>
  <c r="E25" i="47"/>
  <c r="C25" i="47"/>
  <c r="F25" i="47"/>
  <c r="N53" i="47"/>
  <c r="N49" i="47" s="1"/>
  <c r="N31" i="47" s="1"/>
  <c r="K53" i="47"/>
  <c r="K49" i="47" s="1"/>
  <c r="K31" i="47" s="1"/>
  <c r="G53" i="47"/>
  <c r="O53" i="47"/>
  <c r="O49" i="47" s="1"/>
  <c r="O31" i="47" s="1"/>
  <c r="M53" i="47"/>
  <c r="M49" i="47" s="1"/>
  <c r="M31" i="47" s="1"/>
  <c r="J53" i="47"/>
  <c r="J49" i="47" s="1"/>
  <c r="J31" i="47" s="1"/>
  <c r="L53" i="47"/>
  <c r="L49" i="47" s="1"/>
  <c r="L31" i="47" s="1"/>
  <c r="F53" i="47"/>
  <c r="C53" i="47"/>
  <c r="E53" i="47"/>
  <c r="G13" i="47"/>
  <c r="G14" i="47" s="1"/>
  <c r="E13" i="47"/>
  <c r="C13" i="47" s="1"/>
  <c r="H11" i="47" s="1"/>
  <c r="J17" i="47"/>
  <c r="G17" i="47"/>
  <c r="O17" i="47"/>
  <c r="M17" i="47"/>
  <c r="L17" i="47"/>
  <c r="K17" i="47"/>
  <c r="N17" i="47"/>
  <c r="F17" i="47"/>
  <c r="E17" i="47"/>
  <c r="C17" i="47"/>
  <c r="F50" i="29"/>
  <c r="F53" i="29" s="1"/>
  <c r="Q54" i="34"/>
  <c r="Q46" i="34"/>
  <c r="C85" i="4"/>
  <c r="C60" i="4" s="1"/>
  <c r="AO12" i="41"/>
  <c r="AO11" i="41"/>
  <c r="D26" i="29"/>
  <c r="D29" i="29" s="1"/>
  <c r="V41" i="29"/>
  <c r="D35" i="35"/>
  <c r="T24" i="29"/>
  <c r="V67" i="29"/>
  <c r="V17" i="29"/>
  <c r="D107" i="35"/>
  <c r="T23" i="29"/>
  <c r="V23" i="29"/>
  <c r="B85" i="4"/>
  <c r="B60" i="4" s="1"/>
  <c r="U80" i="29"/>
  <c r="V45" i="29"/>
  <c r="T66" i="29"/>
  <c r="F23" i="4"/>
  <c r="N15" i="4" s="1"/>
  <c r="R80" i="29"/>
  <c r="V80" i="29"/>
  <c r="T47" i="29"/>
  <c r="V119" i="29"/>
  <c r="N117" i="29"/>
  <c r="V117" i="29" s="1"/>
  <c r="T119" i="29"/>
  <c r="L117" i="29"/>
  <c r="T117" i="29" s="1"/>
  <c r="F26" i="29"/>
  <c r="F29" i="29" s="1"/>
  <c r="U119" i="29"/>
  <c r="M117" i="29"/>
  <c r="R119" i="29"/>
  <c r="J117" i="29"/>
  <c r="R117" i="29" s="1"/>
  <c r="V22" i="29"/>
  <c r="D90" i="35"/>
  <c r="V21" i="29"/>
  <c r="T41" i="29"/>
  <c r="V20" i="29"/>
  <c r="T42" i="29"/>
  <c r="V25" i="29"/>
  <c r="T64" i="29"/>
  <c r="T17" i="29"/>
  <c r="V46" i="29"/>
  <c r="T46" i="29"/>
  <c r="T49" i="29"/>
  <c r="V47" i="29"/>
  <c r="T40" i="29"/>
  <c r="T21" i="29"/>
  <c r="T22" i="29"/>
  <c r="V69" i="29"/>
  <c r="V42" i="29"/>
  <c r="D50" i="29"/>
  <c r="D53" i="29" s="1"/>
  <c r="T20" i="29"/>
  <c r="V49" i="29"/>
  <c r="V65" i="29"/>
  <c r="T67" i="29"/>
  <c r="V66" i="29"/>
  <c r="V40" i="29"/>
  <c r="T44" i="29"/>
  <c r="V60" i="29"/>
  <c r="F16" i="4"/>
  <c r="N22" i="4" s="1"/>
  <c r="T63" i="29"/>
  <c r="V39" i="29"/>
  <c r="T39" i="29"/>
  <c r="V18" i="29"/>
  <c r="V63" i="29"/>
  <c r="T60" i="29"/>
  <c r="T18" i="29"/>
  <c r="V16" i="29"/>
  <c r="V62" i="29"/>
  <c r="D70" i="29"/>
  <c r="D73" i="29" s="1"/>
  <c r="V44" i="29"/>
  <c r="V37" i="29"/>
  <c r="T38" i="29"/>
  <c r="V43" i="29"/>
  <c r="V38" i="29"/>
  <c r="T72" i="29"/>
  <c r="F70" i="29"/>
  <c r="F73" i="29" s="1"/>
  <c r="V15" i="29"/>
  <c r="V36" i="29"/>
  <c r="V68" i="29"/>
  <c r="T61" i="29"/>
  <c r="T62" i="29"/>
  <c r="V28" i="29"/>
  <c r="T43" i="29"/>
  <c r="V52" i="29"/>
  <c r="T15" i="29"/>
  <c r="F13" i="29"/>
  <c r="C20" i="35"/>
  <c r="C24" i="35" s="1"/>
  <c r="E106" i="29"/>
  <c r="U106" i="29" s="1"/>
  <c r="U109" i="29"/>
  <c r="E120" i="29"/>
  <c r="V61" i="29"/>
  <c r="U99" i="29"/>
  <c r="M97" i="29"/>
  <c r="D20" i="35"/>
  <c r="D24" i="35" s="1"/>
  <c r="T36" i="29"/>
  <c r="T37" i="29"/>
  <c r="T16" i="29"/>
  <c r="T52" i="29"/>
  <c r="N70" i="29"/>
  <c r="V71" i="29"/>
  <c r="R109" i="29"/>
  <c r="J106" i="29"/>
  <c r="V35" i="29"/>
  <c r="N34" i="29"/>
  <c r="L58" i="29"/>
  <c r="T59" i="29"/>
  <c r="B146" i="4"/>
  <c r="C132" i="4" s="1"/>
  <c r="R45" i="29"/>
  <c r="R64" i="29"/>
  <c r="D13" i="29"/>
  <c r="N26" i="29"/>
  <c r="V27" i="29"/>
  <c r="J50" i="29"/>
  <c r="R51" i="29"/>
  <c r="R18" i="29"/>
  <c r="J13" i="29"/>
  <c r="R14" i="29"/>
  <c r="T99" i="29"/>
  <c r="L97" i="29"/>
  <c r="B30" i="4"/>
  <c r="B38" i="4"/>
  <c r="C34" i="4" s="1"/>
  <c r="D146" i="4"/>
  <c r="R39" i="29"/>
  <c r="R44" i="29"/>
  <c r="R28" i="29"/>
  <c r="R24" i="29"/>
  <c r="N58" i="29"/>
  <c r="V59" i="29"/>
  <c r="D13" i="41"/>
  <c r="E12" i="41" s="1"/>
  <c r="J97" i="29"/>
  <c r="R99" i="29"/>
  <c r="R52" i="29"/>
  <c r="R72" i="29"/>
  <c r="J34" i="29"/>
  <c r="R35" i="29"/>
  <c r="T69" i="29"/>
  <c r="T48" i="29"/>
  <c r="R36" i="29"/>
  <c r="R62" i="29"/>
  <c r="V24" i="29"/>
  <c r="B70" i="29"/>
  <c r="B73" i="29" s="1"/>
  <c r="R15" i="29"/>
  <c r="L34" i="29"/>
  <c r="T35" i="29"/>
  <c r="R38" i="29"/>
  <c r="R42" i="29"/>
  <c r="R43" i="29"/>
  <c r="R61" i="29"/>
  <c r="T109" i="29"/>
  <c r="L106" i="29"/>
  <c r="R23" i="29"/>
  <c r="B50" i="29"/>
  <c r="B53" i="29" s="1"/>
  <c r="C35" i="29" s="1"/>
  <c r="R46" i="29"/>
  <c r="L50" i="29"/>
  <c r="T51" i="29"/>
  <c r="L70" i="29"/>
  <c r="T71" i="29"/>
  <c r="B34" i="29"/>
  <c r="D106" i="29"/>
  <c r="D120" i="29"/>
  <c r="C45" i="4"/>
  <c r="C48" i="4"/>
  <c r="C51" i="4"/>
  <c r="C47" i="4"/>
  <c r="C50" i="4"/>
  <c r="C46" i="4"/>
  <c r="R63" i="29"/>
  <c r="R41" i="29"/>
  <c r="T45" i="29"/>
  <c r="T68" i="29"/>
  <c r="F22" i="4"/>
  <c r="N16" i="4" s="1"/>
  <c r="D22" i="4"/>
  <c r="M16" i="4" s="1"/>
  <c r="D51" i="4"/>
  <c r="E49" i="4" s="1"/>
  <c r="J26" i="29"/>
  <c r="J29" i="29" s="1"/>
  <c r="K19" i="29" s="1"/>
  <c r="R27" i="29"/>
  <c r="R49" i="29"/>
  <c r="T65" i="29"/>
  <c r="B58" i="29"/>
  <c r="R69" i="29"/>
  <c r="J58" i="29"/>
  <c r="R59" i="29"/>
  <c r="R16" i="29"/>
  <c r="F34" i="29"/>
  <c r="R48" i="29"/>
  <c r="R22" i="29"/>
  <c r="R47" i="29"/>
  <c r="L13" i="29"/>
  <c r="T14" i="29"/>
  <c r="B106" i="29"/>
  <c r="B120" i="29"/>
  <c r="C109" i="29" s="1"/>
  <c r="F30" i="4"/>
  <c r="F38" i="4"/>
  <c r="R66" i="29"/>
  <c r="R67" i="29"/>
  <c r="F32" i="5"/>
  <c r="F30" i="5"/>
  <c r="F45" i="5"/>
  <c r="F33" i="5"/>
  <c r="F44" i="5"/>
  <c r="F41" i="5"/>
  <c r="F39" i="5"/>
  <c r="F18" i="5"/>
  <c r="F50" i="5"/>
  <c r="F27" i="5"/>
  <c r="F42" i="5"/>
  <c r="F52" i="5"/>
  <c r="F53" i="5"/>
  <c r="F51" i="5"/>
  <c r="F37" i="5"/>
  <c r="F20" i="5"/>
  <c r="F34" i="5"/>
  <c r="F29" i="5"/>
  <c r="F49" i="5"/>
  <c r="F47" i="5"/>
  <c r="F35" i="5"/>
  <c r="F23" i="5"/>
  <c r="F55" i="5"/>
  <c r="F24" i="5"/>
  <c r="F25" i="5"/>
  <c r="F26" i="5"/>
  <c r="F54" i="5"/>
  <c r="F40" i="5"/>
  <c r="D34" i="29"/>
  <c r="R17" i="29"/>
  <c r="R21" i="29"/>
  <c r="T28" i="29"/>
  <c r="V109" i="29"/>
  <c r="N106" i="29"/>
  <c r="V14" i="29"/>
  <c r="N13" i="29"/>
  <c r="R40" i="29"/>
  <c r="C12" i="47"/>
  <c r="F106" i="29"/>
  <c r="F120" i="29"/>
  <c r="H132" i="4"/>
  <c r="R25" i="29"/>
  <c r="R37" i="29"/>
  <c r="R60" i="29"/>
  <c r="J70" i="29"/>
  <c r="J73" i="29" s="1"/>
  <c r="R71" i="29"/>
  <c r="B97" i="29"/>
  <c r="F132" i="4"/>
  <c r="V51" i="29"/>
  <c r="N50" i="29"/>
  <c r="B26" i="29"/>
  <c r="R65" i="29"/>
  <c r="B13" i="29"/>
  <c r="T27" i="29"/>
  <c r="L26" i="29"/>
  <c r="V99" i="29"/>
  <c r="N97" i="29"/>
  <c r="V64" i="29"/>
  <c r="V72" i="29"/>
  <c r="R68" i="29"/>
  <c r="R20" i="29"/>
  <c r="T25" i="29"/>
  <c r="D58" i="29"/>
  <c r="C107" i="35"/>
  <c r="E97" i="35" s="1"/>
  <c r="F58" i="29"/>
  <c r="O51" i="34"/>
  <c r="O47" i="34"/>
  <c r="O52" i="34"/>
  <c r="O48" i="34"/>
  <c r="O49" i="34"/>
  <c r="CD3" i="16"/>
  <c r="AY5" i="16" l="1"/>
  <c r="AZ5" i="16" s="1"/>
  <c r="BE5" i="16"/>
  <c r="CE5" i="16"/>
  <c r="CG5" i="16" s="1"/>
  <c r="CE4" i="16"/>
  <c r="CG4" i="16" s="1"/>
  <c r="AY4" i="16"/>
  <c r="AZ4" i="16" s="1"/>
  <c r="BE4" i="16"/>
  <c r="AN31" i="41"/>
  <c r="AN48" i="41"/>
  <c r="AR48" i="41"/>
  <c r="AP48" i="41"/>
  <c r="U26" i="29"/>
  <c r="B65" i="4"/>
  <c r="C100" i="4"/>
  <c r="E97" i="4"/>
  <c r="C97" i="4"/>
  <c r="E87" i="35"/>
  <c r="E68" i="35"/>
  <c r="E72" i="35"/>
  <c r="E69" i="35"/>
  <c r="E71" i="35"/>
  <c r="E81" i="35"/>
  <c r="E79" i="35"/>
  <c r="E78" i="35"/>
  <c r="E83" i="35"/>
  <c r="E76" i="35"/>
  <c r="E70" i="35"/>
  <c r="E84" i="35"/>
  <c r="E82" i="35"/>
  <c r="E74" i="35"/>
  <c r="E75" i="35"/>
  <c r="E77" i="35"/>
  <c r="E88" i="35"/>
  <c r="E67" i="35"/>
  <c r="E73" i="35"/>
  <c r="E66" i="35"/>
  <c r="E80" i="35"/>
  <c r="E85" i="35"/>
  <c r="E86" i="35"/>
  <c r="E89" i="35"/>
  <c r="U50" i="29"/>
  <c r="E29" i="29"/>
  <c r="U29" i="29" s="1"/>
  <c r="U70" i="29"/>
  <c r="E102" i="4"/>
  <c r="C102" i="4"/>
  <c r="E108" i="4"/>
  <c r="C108" i="4"/>
  <c r="E107" i="4"/>
  <c r="C107" i="4"/>
  <c r="E96" i="4"/>
  <c r="C96" i="4"/>
  <c r="U58" i="29"/>
  <c r="U53" i="29"/>
  <c r="U13" i="29"/>
  <c r="U73" i="29"/>
  <c r="C60" i="5"/>
  <c r="U34" i="29"/>
  <c r="F39" i="41"/>
  <c r="F40" i="41"/>
  <c r="D40" i="41"/>
  <c r="H40" i="41"/>
  <c r="D39" i="41"/>
  <c r="H39" i="41"/>
  <c r="H57" i="41"/>
  <c r="H66" i="41" s="1"/>
  <c r="G67" i="41"/>
  <c r="G66" i="41"/>
  <c r="G49" i="41"/>
  <c r="G48" i="41"/>
  <c r="G12" i="41"/>
  <c r="D19" i="4"/>
  <c r="M19" i="4" s="1"/>
  <c r="D22" i="41"/>
  <c r="A18" i="41"/>
  <c r="H38" i="41"/>
  <c r="D38" i="41"/>
  <c r="A34" i="41"/>
  <c r="D30" i="41"/>
  <c r="D27" i="41"/>
  <c r="H41" i="41"/>
  <c r="H47" i="41"/>
  <c r="D26" i="41"/>
  <c r="D41" i="41"/>
  <c r="D24" i="41"/>
  <c r="D21" i="41"/>
  <c r="D46" i="41"/>
  <c r="D28" i="41"/>
  <c r="D44" i="41"/>
  <c r="F47" i="41"/>
  <c r="H43" i="41"/>
  <c r="F41" i="41"/>
  <c r="D23" i="41"/>
  <c r="D42" i="41"/>
  <c r="H46" i="41"/>
  <c r="G13" i="41"/>
  <c r="H44" i="41"/>
  <c r="F46" i="41"/>
  <c r="D43" i="41"/>
  <c r="F42" i="41"/>
  <c r="G11" i="41"/>
  <c r="H42" i="41"/>
  <c r="D29" i="41"/>
  <c r="H45" i="41"/>
  <c r="D45" i="41"/>
  <c r="D25" i="41"/>
  <c r="F38" i="41"/>
  <c r="F43" i="41"/>
  <c r="F44" i="41"/>
  <c r="D47" i="41"/>
  <c r="F45" i="41"/>
  <c r="C159" i="35"/>
  <c r="E59" i="5"/>
  <c r="E60" i="5" s="1"/>
  <c r="C65" i="4"/>
  <c r="C82" i="4"/>
  <c r="V50" i="29"/>
  <c r="D25" i="47"/>
  <c r="D17" i="47"/>
  <c r="D75" i="47"/>
  <c r="D74" i="47"/>
  <c r="D72" i="47"/>
  <c r="D70" i="47"/>
  <c r="D73" i="47"/>
  <c r="D71" i="47"/>
  <c r="D66" i="47"/>
  <c r="D64" i="47"/>
  <c r="D60" i="47"/>
  <c r="D68" i="47"/>
  <c r="D62" i="47"/>
  <c r="D61" i="47"/>
  <c r="D67" i="47"/>
  <c r="D63" i="47"/>
  <c r="D65" i="47"/>
  <c r="C49" i="47"/>
  <c r="C31" i="47" s="1"/>
  <c r="D53" i="47"/>
  <c r="D50" i="47"/>
  <c r="D58" i="47"/>
  <c r="D51" i="47"/>
  <c r="D54" i="47"/>
  <c r="D55" i="47"/>
  <c r="D52" i="47"/>
  <c r="D56" i="47"/>
  <c r="D57" i="47"/>
  <c r="D47" i="47"/>
  <c r="D44" i="47"/>
  <c r="D46" i="47"/>
  <c r="D48" i="47"/>
  <c r="D45" i="47"/>
  <c r="D33" i="47"/>
  <c r="D36" i="47"/>
  <c r="D37" i="47"/>
  <c r="D40" i="47"/>
  <c r="D41" i="47"/>
  <c r="D42" i="47"/>
  <c r="D39" i="47"/>
  <c r="D35" i="47"/>
  <c r="D38" i="47"/>
  <c r="D34" i="47"/>
  <c r="D22" i="47"/>
  <c r="D29" i="47"/>
  <c r="D20" i="47"/>
  <c r="D26" i="47"/>
  <c r="D23" i="47"/>
  <c r="D18" i="47"/>
  <c r="D24" i="47"/>
  <c r="D28" i="47"/>
  <c r="D27" i="47"/>
  <c r="D21" i="47"/>
  <c r="D19" i="47"/>
  <c r="C14" i="47"/>
  <c r="E14" i="47"/>
  <c r="T26" i="29"/>
  <c r="C16" i="47"/>
  <c r="E16" i="47"/>
  <c r="F16" i="47"/>
  <c r="L16" i="47"/>
  <c r="K16" i="47"/>
  <c r="G16" i="47"/>
  <c r="N16" i="47"/>
  <c r="J16" i="47"/>
  <c r="O16" i="47"/>
  <c r="M16" i="47"/>
  <c r="B82" i="4"/>
  <c r="N120" i="29"/>
  <c r="V120" i="29" s="1"/>
  <c r="L120" i="29"/>
  <c r="T120" i="29" s="1"/>
  <c r="U117" i="29"/>
  <c r="M120" i="29"/>
  <c r="U120" i="29" s="1"/>
  <c r="J120" i="29"/>
  <c r="K109" i="29" s="1"/>
  <c r="S109" i="29" s="1"/>
  <c r="V26" i="29"/>
  <c r="T50" i="29"/>
  <c r="G37" i="4"/>
  <c r="P31" i="4" s="1"/>
  <c r="C35" i="4"/>
  <c r="T70" i="29"/>
  <c r="V13" i="29"/>
  <c r="V70" i="29"/>
  <c r="N29" i="29"/>
  <c r="V29" i="29" s="1"/>
  <c r="T13" i="29"/>
  <c r="C32" i="4"/>
  <c r="G35" i="4"/>
  <c r="P33" i="4" s="1"/>
  <c r="C36" i="4"/>
  <c r="G36" i="4"/>
  <c r="P32" i="4" s="1"/>
  <c r="C106" i="29"/>
  <c r="G32" i="4"/>
  <c r="P36" i="4" s="1"/>
  <c r="C33" i="4"/>
  <c r="C44" i="29"/>
  <c r="C38" i="29"/>
  <c r="V106" i="29"/>
  <c r="K62" i="29"/>
  <c r="K65" i="29"/>
  <c r="K59" i="29"/>
  <c r="K60" i="29"/>
  <c r="K71" i="29"/>
  <c r="K68" i="29"/>
  <c r="K14" i="29"/>
  <c r="K17" i="29"/>
  <c r="K25" i="29"/>
  <c r="K16" i="29"/>
  <c r="K23" i="29"/>
  <c r="K20" i="29"/>
  <c r="N73" i="29"/>
  <c r="V73" i="29" s="1"/>
  <c r="V58" i="29"/>
  <c r="C43" i="29"/>
  <c r="C37" i="4"/>
  <c r="C31" i="4"/>
  <c r="U97" i="29"/>
  <c r="M100" i="29"/>
  <c r="U100" i="29" s="1"/>
  <c r="G31" i="4"/>
  <c r="P37" i="4" s="1"/>
  <c r="G38" i="4"/>
  <c r="P30" i="4" s="1"/>
  <c r="G33" i="4"/>
  <c r="P35" i="4" s="1"/>
  <c r="G30" i="4"/>
  <c r="P38" i="4" s="1"/>
  <c r="C70" i="29"/>
  <c r="C71" i="29"/>
  <c r="C66" i="29"/>
  <c r="C60" i="29"/>
  <c r="C67" i="29"/>
  <c r="C63" i="29"/>
  <c r="C64" i="29"/>
  <c r="C68" i="29"/>
  <c r="C62" i="29"/>
  <c r="C69" i="29"/>
  <c r="G56" i="29"/>
  <c r="C72" i="29"/>
  <c r="C61" i="29"/>
  <c r="C59" i="29"/>
  <c r="C65" i="29"/>
  <c r="V97" i="29"/>
  <c r="N100" i="29"/>
  <c r="V100" i="29" s="1"/>
  <c r="K66" i="29"/>
  <c r="K61" i="29"/>
  <c r="E11" i="41"/>
  <c r="E13" i="41"/>
  <c r="E45" i="4"/>
  <c r="E51" i="4"/>
  <c r="E48" i="4"/>
  <c r="E46" i="4"/>
  <c r="E50" i="4"/>
  <c r="E47" i="4"/>
  <c r="C50" i="29"/>
  <c r="C48" i="29"/>
  <c r="C40" i="29"/>
  <c r="G32" i="29"/>
  <c r="C47" i="29"/>
  <c r="C51" i="29"/>
  <c r="C45" i="29"/>
  <c r="C37" i="29"/>
  <c r="C39" i="29"/>
  <c r="C46" i="29"/>
  <c r="C42" i="29"/>
  <c r="C36" i="29"/>
  <c r="O11" i="29"/>
  <c r="C34" i="29"/>
  <c r="E145" i="4"/>
  <c r="E144" i="4"/>
  <c r="C143" i="4"/>
  <c r="C146" i="4" s="1"/>
  <c r="E141" i="4"/>
  <c r="E142" i="4"/>
  <c r="E138" i="4"/>
  <c r="C142" i="4"/>
  <c r="C137" i="4"/>
  <c r="E139" i="4"/>
  <c r="E140" i="4"/>
  <c r="E136" i="4"/>
  <c r="E137" i="4"/>
  <c r="C144" i="4"/>
  <c r="E133" i="4"/>
  <c r="C134" i="4"/>
  <c r="C136" i="4"/>
  <c r="E134" i="4"/>
  <c r="C138" i="4"/>
  <c r="C140" i="4"/>
  <c r="C141" i="4"/>
  <c r="C139" i="4"/>
  <c r="C133" i="4"/>
  <c r="C145" i="4"/>
  <c r="E143" i="4"/>
  <c r="E135" i="4"/>
  <c r="C135" i="4"/>
  <c r="R73" i="29"/>
  <c r="O56" i="29"/>
  <c r="R13" i="29"/>
  <c r="K13" i="29"/>
  <c r="K24" i="29"/>
  <c r="K18" i="29"/>
  <c r="R70" i="29"/>
  <c r="K70" i="29"/>
  <c r="C115" i="29"/>
  <c r="C116" i="29"/>
  <c r="C117" i="29"/>
  <c r="C108" i="29"/>
  <c r="C118" i="29"/>
  <c r="C113" i="29"/>
  <c r="C107" i="29"/>
  <c r="C110" i="29"/>
  <c r="C112" i="29"/>
  <c r="C114" i="29"/>
  <c r="C111" i="29"/>
  <c r="G104" i="29"/>
  <c r="C119" i="29"/>
  <c r="R58" i="29"/>
  <c r="K58" i="29"/>
  <c r="K69" i="29"/>
  <c r="K28" i="29"/>
  <c r="C49" i="29"/>
  <c r="L29" i="29"/>
  <c r="T29" i="29" s="1"/>
  <c r="L73" i="29"/>
  <c r="T73" i="29" s="1"/>
  <c r="E95" i="35"/>
  <c r="E102" i="35"/>
  <c r="E99" i="35"/>
  <c r="E106" i="35"/>
  <c r="E104" i="35"/>
  <c r="E103" i="35"/>
  <c r="E101" i="35"/>
  <c r="E100" i="35"/>
  <c r="E105" i="35"/>
  <c r="E98" i="35"/>
  <c r="E96" i="35"/>
  <c r="K63" i="29"/>
  <c r="J53" i="29"/>
  <c r="R50" i="29"/>
  <c r="B29" i="29"/>
  <c r="C52" i="29"/>
  <c r="T58" i="29"/>
  <c r="R34" i="29"/>
  <c r="N53" i="29"/>
  <c r="V53" i="29" s="1"/>
  <c r="C106" i="4"/>
  <c r="C124" i="4"/>
  <c r="E118" i="4"/>
  <c r="C111" i="4"/>
  <c r="E98" i="4"/>
  <c r="C123" i="4"/>
  <c r="C112" i="4"/>
  <c r="E111" i="4"/>
  <c r="E113" i="4"/>
  <c r="C93" i="4"/>
  <c r="C113" i="4"/>
  <c r="C121" i="4"/>
  <c r="E93" i="4"/>
  <c r="E94" i="4"/>
  <c r="C118" i="4"/>
  <c r="C109" i="4"/>
  <c r="C103" i="4"/>
  <c r="C95" i="4"/>
  <c r="C101" i="4"/>
  <c r="E119" i="4"/>
  <c r="E117" i="4"/>
  <c r="C92" i="4"/>
  <c r="C94" i="4"/>
  <c r="C117" i="4"/>
  <c r="E121" i="4"/>
  <c r="E116" i="4"/>
  <c r="E105" i="4"/>
  <c r="C120" i="4"/>
  <c r="E110" i="4"/>
  <c r="E103" i="4"/>
  <c r="C115" i="4"/>
  <c r="C105" i="4"/>
  <c r="C99" i="4"/>
  <c r="E106" i="4"/>
  <c r="C110" i="4"/>
  <c r="E122" i="4"/>
  <c r="E99" i="4"/>
  <c r="C119" i="4"/>
  <c r="E95" i="4"/>
  <c r="E101" i="4"/>
  <c r="E109" i="4"/>
  <c r="C98" i="4"/>
  <c r="E112" i="4"/>
  <c r="E114" i="4"/>
  <c r="E120" i="4"/>
  <c r="C114" i="4"/>
  <c r="E115" i="4"/>
  <c r="C116" i="4"/>
  <c r="E123" i="4"/>
  <c r="E92" i="4"/>
  <c r="C122" i="4"/>
  <c r="E104" i="4"/>
  <c r="C104" i="4"/>
  <c r="C58" i="29"/>
  <c r="K72" i="29"/>
  <c r="V34" i="29"/>
  <c r="E132" i="4"/>
  <c r="F146" i="4"/>
  <c r="G132" i="4" s="1"/>
  <c r="H146" i="4"/>
  <c r="K22" i="29"/>
  <c r="L53" i="29"/>
  <c r="T53" i="29" s="1"/>
  <c r="E100" i="4"/>
  <c r="E65" i="35"/>
  <c r="E124" i="4"/>
  <c r="K27" i="29"/>
  <c r="T34" i="29"/>
  <c r="E33" i="4"/>
  <c r="O35" i="4" s="1"/>
  <c r="E37" i="4"/>
  <c r="O31" i="4" s="1"/>
  <c r="E35" i="4"/>
  <c r="O33" i="4" s="1"/>
  <c r="C38" i="4"/>
  <c r="E36" i="4"/>
  <c r="O32" i="4" s="1"/>
  <c r="E32" i="4"/>
  <c r="O36" i="4" s="1"/>
  <c r="E38" i="4"/>
  <c r="O30" i="4" s="1"/>
  <c r="E31" i="4"/>
  <c r="O37" i="4" s="1"/>
  <c r="E30" i="4"/>
  <c r="O38" i="4" s="1"/>
  <c r="E34" i="4"/>
  <c r="O34" i="4" s="1"/>
  <c r="C41" i="29"/>
  <c r="R106" i="29"/>
  <c r="K15" i="29"/>
  <c r="C30" i="4"/>
  <c r="B100" i="29"/>
  <c r="C97" i="29" s="1"/>
  <c r="K21" i="29"/>
  <c r="K67" i="29"/>
  <c r="R26" i="29"/>
  <c r="K26" i="29"/>
  <c r="T106" i="29"/>
  <c r="T97" i="29"/>
  <c r="L100" i="29"/>
  <c r="T100" i="29" s="1"/>
  <c r="K64" i="29"/>
  <c r="G34" i="4"/>
  <c r="P34" i="4" s="1"/>
  <c r="R97" i="29"/>
  <c r="J100" i="29"/>
  <c r="K97" i="29" s="1"/>
  <c r="P48" i="34"/>
  <c r="B48" i="34"/>
  <c r="P52" i="34"/>
  <c r="B52" i="34"/>
  <c r="P49" i="34"/>
  <c r="B49" i="34"/>
  <c r="B47" i="34"/>
  <c r="P47" i="34"/>
  <c r="P51" i="34"/>
  <c r="B51" i="34"/>
  <c r="CE3" i="16"/>
  <c r="CG3" i="16" s="1"/>
  <c r="BE3" i="16"/>
  <c r="AY3" i="16"/>
  <c r="B207" i="4" l="1"/>
  <c r="D207" i="4"/>
  <c r="B223" i="4"/>
  <c r="I97" i="4"/>
  <c r="G97" i="4"/>
  <c r="C26" i="29"/>
  <c r="S26" i="29" s="1"/>
  <c r="C19" i="29"/>
  <c r="S19" i="29" s="1"/>
  <c r="I102" i="4"/>
  <c r="G102" i="4"/>
  <c r="G108" i="4"/>
  <c r="I108" i="4"/>
  <c r="I107" i="4"/>
  <c r="G107" i="4"/>
  <c r="G100" i="4"/>
  <c r="I96" i="4"/>
  <c r="G96" i="4"/>
  <c r="G93" i="34"/>
  <c r="G91" i="34" s="1"/>
  <c r="G53" i="34"/>
  <c r="L93" i="34"/>
  <c r="L91" i="34" s="1"/>
  <c r="L53" i="34"/>
  <c r="H93" i="34"/>
  <c r="H91" i="34" s="1"/>
  <c r="H53" i="34"/>
  <c r="I93" i="34"/>
  <c r="I91" i="34" s="1"/>
  <c r="I53" i="34"/>
  <c r="N93" i="34"/>
  <c r="N91" i="34" s="1"/>
  <c r="N53" i="34"/>
  <c r="K93" i="34"/>
  <c r="K91" i="34" s="1"/>
  <c r="K53" i="34"/>
  <c r="D93" i="34"/>
  <c r="D91" i="34" s="1"/>
  <c r="D53" i="34"/>
  <c r="C93" i="34"/>
  <c r="C53" i="34"/>
  <c r="F93" i="34"/>
  <c r="F91" i="34" s="1"/>
  <c r="F53" i="34"/>
  <c r="E93" i="34"/>
  <c r="E91" i="34" s="1"/>
  <c r="E53" i="34"/>
  <c r="J23" i="34"/>
  <c r="J93" i="34"/>
  <c r="J91" i="34" s="1"/>
  <c r="J53" i="34"/>
  <c r="M93" i="34"/>
  <c r="M91" i="34" s="1"/>
  <c r="M53" i="34"/>
  <c r="E49" i="41"/>
  <c r="E48" i="41"/>
  <c r="H48" i="41"/>
  <c r="F48" i="41"/>
  <c r="D48" i="41"/>
  <c r="D31" i="41"/>
  <c r="N23" i="34"/>
  <c r="N24" i="34"/>
  <c r="N89" i="34"/>
  <c r="N87" i="34" s="1"/>
  <c r="N50" i="34"/>
  <c r="K23" i="34"/>
  <c r="K24" i="34"/>
  <c r="K89" i="34"/>
  <c r="K87" i="34" s="1"/>
  <c r="K50" i="34"/>
  <c r="D23" i="34"/>
  <c r="D24" i="34"/>
  <c r="D89" i="34"/>
  <c r="D87" i="34" s="1"/>
  <c r="D50" i="34"/>
  <c r="C23" i="34"/>
  <c r="C24" i="34"/>
  <c r="C89" i="34"/>
  <c r="C50" i="34"/>
  <c r="F23" i="34"/>
  <c r="F24" i="34"/>
  <c r="F89" i="34"/>
  <c r="F87" i="34" s="1"/>
  <c r="F50" i="34"/>
  <c r="E23" i="34"/>
  <c r="E24" i="34"/>
  <c r="E89" i="34"/>
  <c r="E87" i="34" s="1"/>
  <c r="E50" i="34"/>
  <c r="J24" i="34"/>
  <c r="J89" i="34"/>
  <c r="J87" i="34" s="1"/>
  <c r="J50" i="34"/>
  <c r="M23" i="34"/>
  <c r="M24" i="34"/>
  <c r="M89" i="34"/>
  <c r="M87" i="34" s="1"/>
  <c r="M50" i="34"/>
  <c r="G23" i="34"/>
  <c r="G24" i="34"/>
  <c r="G89" i="34"/>
  <c r="G87" i="34" s="1"/>
  <c r="G50" i="34"/>
  <c r="L23" i="34"/>
  <c r="L24" i="34"/>
  <c r="L89" i="34"/>
  <c r="L87" i="34" s="1"/>
  <c r="L50" i="34"/>
  <c r="H23" i="34"/>
  <c r="H24" i="34"/>
  <c r="H89" i="34"/>
  <c r="H87" i="34" s="1"/>
  <c r="H50" i="34"/>
  <c r="I23" i="34"/>
  <c r="I24" i="34"/>
  <c r="I89" i="34"/>
  <c r="I87" i="34" s="1"/>
  <c r="I50" i="34"/>
  <c r="D162" i="35"/>
  <c r="C162" i="35"/>
  <c r="B159" i="4"/>
  <c r="B160" i="4"/>
  <c r="D160" i="4"/>
  <c r="B155" i="4"/>
  <c r="B208" i="4"/>
  <c r="B205" i="4"/>
  <c r="B204" i="4"/>
  <c r="B202" i="4"/>
  <c r="B201" i="4" s="1"/>
  <c r="C76" i="47"/>
  <c r="Q101" i="34"/>
  <c r="Q100" i="34" s="1"/>
  <c r="Q124" i="34"/>
  <c r="Q123" i="34"/>
  <c r="Q119" i="34"/>
  <c r="Q108" i="34"/>
  <c r="Q134" i="34"/>
  <c r="Q122" i="34"/>
  <c r="Q114" i="34"/>
  <c r="Q105" i="34"/>
  <c r="Q104" i="34"/>
  <c r="Q106" i="34"/>
  <c r="Q109" i="34"/>
  <c r="Q110" i="34"/>
  <c r="Q121" i="34"/>
  <c r="Q103" i="34"/>
  <c r="Q129" i="34"/>
  <c r="Q112" i="34"/>
  <c r="Q127" i="34"/>
  <c r="Q131" i="34"/>
  <c r="Q126" i="34"/>
  <c r="Q116" i="34"/>
  <c r="Q117" i="34"/>
  <c r="Q115" i="34"/>
  <c r="Q133" i="34"/>
  <c r="Q113" i="34"/>
  <c r="Q130" i="34"/>
  <c r="Q120" i="34"/>
  <c r="D226" i="4"/>
  <c r="B235" i="4"/>
  <c r="B224" i="4"/>
  <c r="B212" i="4"/>
  <c r="B216" i="4"/>
  <c r="D232" i="4"/>
  <c r="B214" i="4"/>
  <c r="D205" i="4"/>
  <c r="D225" i="4"/>
  <c r="B217" i="4"/>
  <c r="B211" i="4"/>
  <c r="B219" i="4"/>
  <c r="D218" i="4"/>
  <c r="B221" i="4"/>
  <c r="D211" i="4"/>
  <c r="B233" i="4"/>
  <c r="D224" i="4"/>
  <c r="D215" i="4"/>
  <c r="D222" i="4"/>
  <c r="D212" i="4"/>
  <c r="B226" i="4"/>
  <c r="B218" i="4"/>
  <c r="D202" i="4"/>
  <c r="D201" i="4" s="1"/>
  <c r="B228" i="4"/>
  <c r="B232" i="4"/>
  <c r="B206" i="4"/>
  <c r="B225" i="4"/>
  <c r="D204" i="4"/>
  <c r="D229" i="4"/>
  <c r="D216" i="4"/>
  <c r="B222" i="4"/>
  <c r="D223" i="4"/>
  <c r="B231" i="4"/>
  <c r="B236" i="4"/>
  <c r="D206" i="4"/>
  <c r="D233" i="4"/>
  <c r="D231" i="4"/>
  <c r="D210" i="4"/>
  <c r="D219" i="4"/>
  <c r="D235" i="4"/>
  <c r="B210" i="4"/>
  <c r="D208" i="4"/>
  <c r="D214" i="4"/>
  <c r="B215" i="4"/>
  <c r="D228" i="4"/>
  <c r="D217" i="4"/>
  <c r="B229" i="4"/>
  <c r="D236" i="4"/>
  <c r="D221" i="4"/>
  <c r="K111" i="29"/>
  <c r="S111" i="29" s="1"/>
  <c r="K114" i="29"/>
  <c r="S114" i="29" s="1"/>
  <c r="R120" i="29"/>
  <c r="K117" i="29"/>
  <c r="S117" i="29" s="1"/>
  <c r="K110" i="29"/>
  <c r="K113" i="29"/>
  <c r="S113" i="29" s="1"/>
  <c r="K106" i="29"/>
  <c r="S106" i="29" s="1"/>
  <c r="K115" i="29"/>
  <c r="S115" i="29" s="1"/>
  <c r="K107" i="29"/>
  <c r="S107" i="29" s="1"/>
  <c r="K108" i="29"/>
  <c r="S108" i="29" s="1"/>
  <c r="K112" i="29"/>
  <c r="S112" i="29" s="1"/>
  <c r="K118" i="29"/>
  <c r="S118" i="29" s="1"/>
  <c r="K119" i="29"/>
  <c r="S119" i="29" s="1"/>
  <c r="K116" i="29"/>
  <c r="S116" i="29" s="1"/>
  <c r="O104" i="29"/>
  <c r="S68" i="29"/>
  <c r="S67" i="29"/>
  <c r="S62" i="29"/>
  <c r="S60" i="29"/>
  <c r="S70" i="29"/>
  <c r="S97" i="29"/>
  <c r="S71" i="29"/>
  <c r="I132" i="4"/>
  <c r="E146" i="4"/>
  <c r="S65" i="29"/>
  <c r="S59" i="29"/>
  <c r="S63" i="29"/>
  <c r="I100" i="4"/>
  <c r="I124" i="4"/>
  <c r="K29" i="29"/>
  <c r="S72" i="29"/>
  <c r="AA37" i="29"/>
  <c r="C73" i="29"/>
  <c r="S61" i="29"/>
  <c r="S66" i="29"/>
  <c r="S64" i="29"/>
  <c r="AA47" i="29"/>
  <c r="O32" i="29"/>
  <c r="R53" i="29"/>
  <c r="K48" i="29"/>
  <c r="S48" i="29" s="1"/>
  <c r="K52" i="29"/>
  <c r="S52" i="29" s="1"/>
  <c r="K49" i="29"/>
  <c r="S49" i="29" s="1"/>
  <c r="K47" i="29"/>
  <c r="S47" i="29" s="1"/>
  <c r="K39" i="29"/>
  <c r="S39" i="29" s="1"/>
  <c r="K44" i="29"/>
  <c r="S44" i="29" s="1"/>
  <c r="K35" i="29"/>
  <c r="K38" i="29"/>
  <c r="S38" i="29" s="1"/>
  <c r="K37" i="29"/>
  <c r="S37" i="29" s="1"/>
  <c r="K46" i="29"/>
  <c r="S46" i="29" s="1"/>
  <c r="K51" i="29"/>
  <c r="S51" i="29" s="1"/>
  <c r="K42" i="29"/>
  <c r="S42" i="29" s="1"/>
  <c r="K41" i="29"/>
  <c r="S41" i="29" s="1"/>
  <c r="K36" i="29"/>
  <c r="S36" i="29" s="1"/>
  <c r="K43" i="29"/>
  <c r="S43" i="29" s="1"/>
  <c r="K40" i="29"/>
  <c r="S40" i="29" s="1"/>
  <c r="K45" i="29"/>
  <c r="S45" i="29" s="1"/>
  <c r="S58" i="29"/>
  <c r="K73" i="29"/>
  <c r="C53" i="29"/>
  <c r="C89" i="29"/>
  <c r="C87" i="29"/>
  <c r="C81" i="29"/>
  <c r="C86" i="29"/>
  <c r="C83" i="29"/>
  <c r="C95" i="29"/>
  <c r="C84" i="29"/>
  <c r="C85" i="29"/>
  <c r="C93" i="29"/>
  <c r="C88" i="29"/>
  <c r="G78" i="29"/>
  <c r="C91" i="29"/>
  <c r="C80" i="29"/>
  <c r="C94" i="29"/>
  <c r="C98" i="29"/>
  <c r="C96" i="29"/>
  <c r="C92" i="29"/>
  <c r="C90" i="29"/>
  <c r="C82" i="29"/>
  <c r="C99" i="29"/>
  <c r="I145" i="4"/>
  <c r="I144" i="4"/>
  <c r="G143" i="4"/>
  <c r="G146" i="4" s="1"/>
  <c r="I143" i="4"/>
  <c r="G139" i="4"/>
  <c r="G145" i="4"/>
  <c r="I139" i="4"/>
  <c r="I136" i="4"/>
  <c r="I133" i="4"/>
  <c r="G142" i="4"/>
  <c r="I142" i="4"/>
  <c r="I140" i="4"/>
  <c r="G136" i="4"/>
  <c r="G133" i="4"/>
  <c r="G141" i="4"/>
  <c r="I137" i="4"/>
  <c r="G144" i="4"/>
  <c r="G140" i="4"/>
  <c r="G134" i="4"/>
  <c r="I141" i="4"/>
  <c r="G138" i="4"/>
  <c r="G137" i="4"/>
  <c r="I138" i="4"/>
  <c r="I134" i="4"/>
  <c r="I135" i="4"/>
  <c r="G135" i="4"/>
  <c r="AA48" i="29"/>
  <c r="C120" i="29"/>
  <c r="AA39" i="29"/>
  <c r="AA51" i="29"/>
  <c r="AA46" i="29"/>
  <c r="K34" i="29"/>
  <c r="S34" i="29" s="1"/>
  <c r="AA44" i="29"/>
  <c r="D16" i="47"/>
  <c r="AA40" i="29"/>
  <c r="AA42" i="29"/>
  <c r="C181" i="35"/>
  <c r="D168" i="35"/>
  <c r="C182" i="35"/>
  <c r="C183" i="35"/>
  <c r="G164" i="35" s="1"/>
  <c r="D159" i="35"/>
  <c r="C180" i="35"/>
  <c r="AA161" i="35"/>
  <c r="D161" i="35" s="1"/>
  <c r="C179" i="35"/>
  <c r="C184" i="35"/>
  <c r="C178" i="35"/>
  <c r="D174" i="35"/>
  <c r="C160" i="35"/>
  <c r="C163" i="35"/>
  <c r="C172" i="35"/>
  <c r="C168" i="35"/>
  <c r="AA165" i="35"/>
  <c r="D165" i="35" s="1"/>
  <c r="D160" i="35"/>
  <c r="Z161" i="35"/>
  <c r="C161" i="35" s="1"/>
  <c r="D179" i="35"/>
  <c r="D177" i="35"/>
  <c r="D169" i="35"/>
  <c r="C174" i="35"/>
  <c r="C177" i="35"/>
  <c r="D172" i="35"/>
  <c r="C185" i="35"/>
  <c r="D167" i="35"/>
  <c r="Z165" i="35"/>
  <c r="C165" i="35" s="1"/>
  <c r="D166" i="35"/>
  <c r="C167" i="35"/>
  <c r="C166" i="35"/>
  <c r="C169" i="35"/>
  <c r="D185" i="35"/>
  <c r="C164" i="35"/>
  <c r="D175" i="35"/>
  <c r="C176" i="35"/>
  <c r="C175" i="35"/>
  <c r="D173" i="35"/>
  <c r="D176" i="35"/>
  <c r="D181" i="35"/>
  <c r="D171" i="35"/>
  <c r="D163" i="35"/>
  <c r="C170" i="35"/>
  <c r="D184" i="35"/>
  <c r="D180" i="35"/>
  <c r="C171" i="35"/>
  <c r="C173" i="35"/>
  <c r="D183" i="35"/>
  <c r="H164" i="35" s="1"/>
  <c r="D158" i="35"/>
  <c r="D164" i="35"/>
  <c r="D178" i="35"/>
  <c r="D182" i="35"/>
  <c r="D170" i="35"/>
  <c r="B178" i="4"/>
  <c r="D176" i="4"/>
  <c r="D159" i="4"/>
  <c r="D161" i="4"/>
  <c r="D172" i="4"/>
  <c r="B168" i="4"/>
  <c r="B164" i="4"/>
  <c r="D186" i="4"/>
  <c r="B185" i="4"/>
  <c r="B172" i="4"/>
  <c r="B182" i="4"/>
  <c r="B186" i="4"/>
  <c r="D181" i="4"/>
  <c r="D178" i="4"/>
  <c r="B184" i="4"/>
  <c r="B174" i="4"/>
  <c r="D168" i="4"/>
  <c r="D184" i="4"/>
  <c r="B176" i="4"/>
  <c r="B171" i="4"/>
  <c r="D185" i="4"/>
  <c r="D165" i="4"/>
  <c r="B157" i="4"/>
  <c r="B158" i="4"/>
  <c r="D167" i="4"/>
  <c r="D157" i="4"/>
  <c r="D179" i="4"/>
  <c r="B165" i="4"/>
  <c r="D171" i="4"/>
  <c r="D177" i="4"/>
  <c r="B170" i="4"/>
  <c r="B169" i="4"/>
  <c r="D182" i="4"/>
  <c r="B181" i="4"/>
  <c r="D164" i="4"/>
  <c r="B167" i="4"/>
  <c r="B189" i="4"/>
  <c r="D189" i="4"/>
  <c r="D174" i="4"/>
  <c r="D188" i="4"/>
  <c r="B188" i="4"/>
  <c r="B179" i="4"/>
  <c r="B177" i="4"/>
  <c r="D169" i="4"/>
  <c r="D158" i="4"/>
  <c r="D163" i="4"/>
  <c r="B163" i="4"/>
  <c r="B161" i="4"/>
  <c r="B175" i="4"/>
  <c r="D170" i="4"/>
  <c r="D175" i="4"/>
  <c r="D155" i="4"/>
  <c r="AA35" i="29"/>
  <c r="K93" i="29"/>
  <c r="K95" i="29"/>
  <c r="K85" i="29"/>
  <c r="R100" i="29"/>
  <c r="K89" i="29"/>
  <c r="K87" i="29"/>
  <c r="K86" i="29"/>
  <c r="K82" i="29"/>
  <c r="K94" i="29"/>
  <c r="K81" i="29"/>
  <c r="K83" i="29"/>
  <c r="K90" i="29"/>
  <c r="K98" i="29"/>
  <c r="K92" i="29"/>
  <c r="K88" i="29"/>
  <c r="K96" i="29"/>
  <c r="K80" i="29"/>
  <c r="K84" i="29"/>
  <c r="K91" i="29"/>
  <c r="O78" i="29"/>
  <c r="K99" i="29"/>
  <c r="AA45" i="29"/>
  <c r="G106" i="4"/>
  <c r="G103" i="4"/>
  <c r="G124" i="4"/>
  <c r="G101" i="4"/>
  <c r="I113" i="4"/>
  <c r="I98" i="4"/>
  <c r="G119" i="4"/>
  <c r="I111" i="4"/>
  <c r="I112" i="4"/>
  <c r="I116" i="4"/>
  <c r="I105" i="4"/>
  <c r="G105" i="4"/>
  <c r="G120" i="4"/>
  <c r="I123" i="4"/>
  <c r="G92" i="4"/>
  <c r="G94" i="4"/>
  <c r="I101" i="4"/>
  <c r="G93" i="4"/>
  <c r="I114" i="4"/>
  <c r="I93" i="4"/>
  <c r="I109" i="4"/>
  <c r="G113" i="4"/>
  <c r="I117" i="4"/>
  <c r="G118" i="4"/>
  <c r="G99" i="4"/>
  <c r="G122" i="4"/>
  <c r="G114" i="4"/>
  <c r="G115" i="4"/>
  <c r="G116" i="4"/>
  <c r="I121" i="4"/>
  <c r="G111" i="4"/>
  <c r="I92" i="4"/>
  <c r="I119" i="4"/>
  <c r="I106" i="4"/>
  <c r="G117" i="4"/>
  <c r="G121" i="4"/>
  <c r="G98" i="4"/>
  <c r="I122" i="4"/>
  <c r="I115" i="4"/>
  <c r="I95" i="4"/>
  <c r="I99" i="4"/>
  <c r="I118" i="4"/>
  <c r="G109" i="4"/>
  <c r="G123" i="4"/>
  <c r="G110" i="4"/>
  <c r="G95" i="4"/>
  <c r="I110" i="4"/>
  <c r="I103" i="4"/>
  <c r="G112" i="4"/>
  <c r="I120" i="4"/>
  <c r="I94" i="4"/>
  <c r="G104" i="4"/>
  <c r="I104" i="4"/>
  <c r="AA43" i="29"/>
  <c r="G11" i="29"/>
  <c r="C25" i="29"/>
  <c r="S25" i="29" s="1"/>
  <c r="C27" i="29"/>
  <c r="S27" i="29" s="1"/>
  <c r="C21" i="29"/>
  <c r="S21" i="29" s="1"/>
  <c r="C16" i="29"/>
  <c r="S16" i="29" s="1"/>
  <c r="C15" i="29"/>
  <c r="S15" i="29" s="1"/>
  <c r="C24" i="29"/>
  <c r="S24" i="29" s="1"/>
  <c r="C18" i="29"/>
  <c r="S18" i="29" s="1"/>
  <c r="C23" i="29"/>
  <c r="S23" i="29" s="1"/>
  <c r="C20" i="29"/>
  <c r="S20" i="29" s="1"/>
  <c r="C14" i="29"/>
  <c r="C22" i="29"/>
  <c r="S22" i="29" s="1"/>
  <c r="C28" i="29"/>
  <c r="S28" i="29" s="1"/>
  <c r="C17" i="29"/>
  <c r="S17" i="29" s="1"/>
  <c r="S69" i="29"/>
  <c r="C13" i="29"/>
  <c r="S13" i="29" s="1"/>
  <c r="R29" i="29"/>
  <c r="AA49" i="29"/>
  <c r="K50" i="29"/>
  <c r="S50" i="29" s="1"/>
  <c r="E101" i="34"/>
  <c r="E100" i="34" s="1"/>
  <c r="E103" i="34"/>
  <c r="N103" i="34"/>
  <c r="C103" i="34"/>
  <c r="F103" i="34"/>
  <c r="I103" i="34"/>
  <c r="K103" i="34"/>
  <c r="J103" i="34"/>
  <c r="M103" i="34"/>
  <c r="L103" i="34"/>
  <c r="D103" i="34"/>
  <c r="H103" i="34"/>
  <c r="G103" i="34"/>
  <c r="K123" i="34"/>
  <c r="M122" i="34"/>
  <c r="N115" i="34"/>
  <c r="E110" i="34"/>
  <c r="D119" i="34"/>
  <c r="G104" i="34"/>
  <c r="I115" i="34"/>
  <c r="C119" i="34"/>
  <c r="L116" i="34"/>
  <c r="F115" i="34"/>
  <c r="J104" i="34"/>
  <c r="H130" i="34"/>
  <c r="M112" i="34"/>
  <c r="K112" i="34"/>
  <c r="L112" i="34"/>
  <c r="G112" i="34"/>
  <c r="N112" i="34"/>
  <c r="I112" i="34"/>
  <c r="J112" i="34"/>
  <c r="E112" i="34"/>
  <c r="F112" i="34"/>
  <c r="H112" i="34"/>
  <c r="C112" i="34"/>
  <c r="D112" i="34"/>
  <c r="N124" i="34"/>
  <c r="F124" i="34"/>
  <c r="H124" i="34"/>
  <c r="K124" i="34"/>
  <c r="E124" i="34"/>
  <c r="I124" i="34"/>
  <c r="C124" i="34"/>
  <c r="J124" i="34"/>
  <c r="G124" i="34"/>
  <c r="M124" i="34"/>
  <c r="L124" i="34"/>
  <c r="D124" i="34"/>
  <c r="M113" i="34"/>
  <c r="I113" i="34"/>
  <c r="D113" i="34"/>
  <c r="C113" i="34"/>
  <c r="L113" i="34"/>
  <c r="F113" i="34"/>
  <c r="K113" i="34"/>
  <c r="G113" i="34"/>
  <c r="N113" i="34"/>
  <c r="J113" i="34"/>
  <c r="E113" i="34"/>
  <c r="H113" i="34"/>
  <c r="H108" i="34"/>
  <c r="J108" i="34"/>
  <c r="D108" i="34"/>
  <c r="E108" i="34"/>
  <c r="L108" i="34"/>
  <c r="K108" i="34"/>
  <c r="N108" i="34"/>
  <c r="F108" i="34"/>
  <c r="M108" i="34"/>
  <c r="I108" i="34"/>
  <c r="G108" i="34"/>
  <c r="C108" i="34"/>
  <c r="K117" i="34"/>
  <c r="F117" i="34"/>
  <c r="I117" i="34"/>
  <c r="G117" i="34"/>
  <c r="C117" i="34"/>
  <c r="D117" i="34"/>
  <c r="H117" i="34"/>
  <c r="E117" i="34"/>
  <c r="N117" i="34"/>
  <c r="J117" i="34"/>
  <c r="M117" i="34"/>
  <c r="L117" i="34"/>
  <c r="M101" i="34"/>
  <c r="M100" i="34" s="1"/>
  <c r="C101" i="34"/>
  <c r="I101" i="34"/>
  <c r="I100" i="34" s="1"/>
  <c r="F101" i="34"/>
  <c r="F100" i="34" s="1"/>
  <c r="D101" i="34"/>
  <c r="D100" i="34" s="1"/>
  <c r="J101" i="34"/>
  <c r="J100" i="34" s="1"/>
  <c r="K101" i="34"/>
  <c r="K100" i="34" s="1"/>
  <c r="G101" i="34"/>
  <c r="G100" i="34" s="1"/>
  <c r="L101" i="34"/>
  <c r="L100" i="34" s="1"/>
  <c r="N101" i="34"/>
  <c r="N100" i="34" s="1"/>
  <c r="H101" i="34"/>
  <c r="H100" i="34" s="1"/>
  <c r="AZ3" i="16"/>
  <c r="H105" i="34"/>
  <c r="C114" i="34"/>
  <c r="F116" i="34"/>
  <c r="I123" i="34"/>
  <c r="D121" i="34"/>
  <c r="K110" i="34"/>
  <c r="L106" i="34"/>
  <c r="G116" i="34"/>
  <c r="D115" i="34"/>
  <c r="I106" i="34"/>
  <c r="M120" i="34"/>
  <c r="G109" i="34"/>
  <c r="N130" i="34"/>
  <c r="G122" i="34"/>
  <c r="E119" i="34"/>
  <c r="D109" i="34"/>
  <c r="N110" i="34"/>
  <c r="H115" i="34"/>
  <c r="I129" i="34"/>
  <c r="H121" i="34"/>
  <c r="I120" i="34"/>
  <c r="D120" i="34"/>
  <c r="C120" i="34"/>
  <c r="M105" i="34"/>
  <c r="F127" i="34"/>
  <c r="C121" i="34"/>
  <c r="C123" i="34"/>
  <c r="C122" i="34"/>
  <c r="G106" i="34"/>
  <c r="H110" i="34"/>
  <c r="G115" i="34"/>
  <c r="C131" i="34"/>
  <c r="M115" i="34"/>
  <c r="F120" i="34"/>
  <c r="C109" i="34"/>
  <c r="J121" i="34"/>
  <c r="L109" i="34"/>
  <c r="G120" i="34"/>
  <c r="H120" i="34"/>
  <c r="M119" i="34"/>
  <c r="K121" i="34"/>
  <c r="M121" i="34"/>
  <c r="N106" i="34"/>
  <c r="E131" i="34"/>
  <c r="E130" i="34"/>
  <c r="J126" i="34"/>
  <c r="F130" i="34"/>
  <c r="D105" i="34"/>
  <c r="C127" i="34"/>
  <c r="L121" i="34"/>
  <c r="H116" i="34"/>
  <c r="C104" i="34"/>
  <c r="G119" i="34"/>
  <c r="J115" i="34"/>
  <c r="F121" i="34"/>
  <c r="N121" i="34"/>
  <c r="K129" i="34"/>
  <c r="H126" i="34"/>
  <c r="K109" i="34"/>
  <c r="K116" i="34"/>
  <c r="M126" i="34"/>
  <c r="K106" i="34"/>
  <c r="K131" i="34"/>
  <c r="M123" i="34"/>
  <c r="N120" i="34"/>
  <c r="I126" i="34"/>
  <c r="M130" i="34"/>
  <c r="M110" i="34"/>
  <c r="J120" i="34"/>
  <c r="H131" i="34"/>
  <c r="F105" i="34"/>
  <c r="N133" i="34"/>
  <c r="L115" i="34"/>
  <c r="M106" i="34"/>
  <c r="F122" i="34"/>
  <c r="I127" i="34"/>
  <c r="C106" i="34"/>
  <c r="K105" i="34"/>
  <c r="J133" i="34"/>
  <c r="D131" i="34"/>
  <c r="D122" i="34"/>
  <c r="H134" i="34"/>
  <c r="J114" i="34"/>
  <c r="H129" i="34"/>
  <c r="I104" i="34"/>
  <c r="L119" i="34"/>
  <c r="H106" i="34"/>
  <c r="G126" i="34"/>
  <c r="H109" i="34"/>
  <c r="F104" i="34"/>
  <c r="M109" i="34"/>
  <c r="F129" i="34"/>
  <c r="I131" i="34"/>
  <c r="D130" i="34"/>
  <c r="L130" i="34"/>
  <c r="L120" i="34"/>
  <c r="L126" i="34"/>
  <c r="C130" i="34"/>
  <c r="J131" i="34"/>
  <c r="C105" i="34"/>
  <c r="K114" i="34"/>
  <c r="J134" i="34"/>
  <c r="K104" i="34"/>
  <c r="C129" i="34"/>
  <c r="L114" i="34"/>
  <c r="F110" i="34"/>
  <c r="N109" i="34"/>
  <c r="D126" i="34"/>
  <c r="D110" i="34"/>
  <c r="L122" i="34"/>
  <c r="E115" i="34"/>
  <c r="E126" i="34"/>
  <c r="K130" i="34"/>
  <c r="N105" i="34"/>
  <c r="M127" i="34"/>
  <c r="N116" i="34"/>
  <c r="F131" i="34"/>
  <c r="C115" i="34"/>
  <c r="G114" i="34"/>
  <c r="L104" i="34"/>
  <c r="M114" i="34"/>
  <c r="J109" i="34"/>
  <c r="F106" i="34"/>
  <c r="N129" i="34"/>
  <c r="H123" i="34"/>
  <c r="D116" i="34"/>
  <c r="E105" i="34"/>
  <c r="M133" i="34"/>
  <c r="I119" i="34"/>
  <c r="F134" i="34"/>
  <c r="E129" i="34"/>
  <c r="M134" i="34"/>
  <c r="N114" i="34"/>
  <c r="G127" i="34"/>
  <c r="N119" i="34"/>
  <c r="I134" i="34"/>
  <c r="H104" i="34"/>
  <c r="K126" i="34"/>
  <c r="G130" i="34"/>
  <c r="K120" i="34"/>
  <c r="C126" i="34"/>
  <c r="J105" i="34"/>
  <c r="D127" i="34"/>
  <c r="K115" i="34"/>
  <c r="K119" i="34"/>
  <c r="G105" i="34"/>
  <c r="N127" i="34"/>
  <c r="I122" i="34"/>
  <c r="F119" i="34"/>
  <c r="G110" i="34"/>
  <c r="L105" i="34"/>
  <c r="F133" i="34"/>
  <c r="G131" i="34"/>
  <c r="J129" i="34"/>
  <c r="N122" i="34"/>
  <c r="I105" i="34"/>
  <c r="D133" i="34"/>
  <c r="E134" i="34"/>
  <c r="L129" i="34"/>
  <c r="G133" i="34"/>
  <c r="I116" i="34"/>
  <c r="N131" i="34"/>
  <c r="D114" i="34"/>
  <c r="E106" i="34"/>
  <c r="D106" i="34"/>
  <c r="H127" i="34"/>
  <c r="E133" i="34"/>
  <c r="M116" i="34"/>
  <c r="M131" i="34"/>
  <c r="N134" i="34"/>
  <c r="J122" i="34"/>
  <c r="L110" i="34"/>
  <c r="I114" i="34"/>
  <c r="F114" i="34"/>
  <c r="D129" i="34"/>
  <c r="E104" i="34"/>
  <c r="J116" i="34"/>
  <c r="G123" i="34"/>
  <c r="C133" i="34"/>
  <c r="K133" i="34"/>
  <c r="I121" i="34"/>
  <c r="K134" i="34"/>
  <c r="J106" i="34"/>
  <c r="E121" i="34"/>
  <c r="H122" i="34"/>
  <c r="G121" i="34"/>
  <c r="H133" i="34"/>
  <c r="E114" i="34"/>
  <c r="E116" i="34"/>
  <c r="E123" i="34"/>
  <c r="J127" i="34"/>
  <c r="E127" i="34"/>
  <c r="N104" i="34"/>
  <c r="C110" i="34"/>
  <c r="M104" i="34"/>
  <c r="G129" i="34"/>
  <c r="L127" i="34"/>
  <c r="C116" i="34"/>
  <c r="K127" i="34"/>
  <c r="N126" i="34"/>
  <c r="F109" i="34"/>
  <c r="I130" i="34"/>
  <c r="L123" i="34"/>
  <c r="D134" i="34"/>
  <c r="E120" i="34"/>
  <c r="E109" i="34"/>
  <c r="J130" i="34"/>
  <c r="H119" i="34"/>
  <c r="J110" i="34"/>
  <c r="E122" i="34"/>
  <c r="J123" i="34"/>
  <c r="I133" i="34"/>
  <c r="L134" i="34"/>
  <c r="K122" i="34"/>
  <c r="D123" i="34"/>
  <c r="D104" i="34"/>
  <c r="M129" i="34"/>
  <c r="I110" i="34"/>
  <c r="J119" i="34"/>
  <c r="H114" i="34"/>
  <c r="F126" i="34"/>
  <c r="I109" i="34"/>
  <c r="L133" i="34"/>
  <c r="F123" i="34"/>
  <c r="C134" i="34"/>
  <c r="N123" i="34"/>
  <c r="G134" i="34"/>
  <c r="L131" i="34"/>
  <c r="F94" i="34" l="1"/>
  <c r="L94" i="34"/>
  <c r="I94" i="34"/>
  <c r="E94" i="34"/>
  <c r="H94" i="34"/>
  <c r="M94" i="34"/>
  <c r="J94" i="34"/>
  <c r="D94" i="34"/>
  <c r="B173" i="4"/>
  <c r="K94" i="34"/>
  <c r="G94" i="34"/>
  <c r="N94" i="34"/>
  <c r="B203" i="4"/>
  <c r="J25" i="34"/>
  <c r="O53" i="34"/>
  <c r="C91" i="34"/>
  <c r="O93" i="34"/>
  <c r="D25" i="34"/>
  <c r="I25" i="34"/>
  <c r="E25" i="34"/>
  <c r="L54" i="34"/>
  <c r="L46" i="34"/>
  <c r="F25" i="34"/>
  <c r="L25" i="34"/>
  <c r="F46" i="34"/>
  <c r="F54" i="34"/>
  <c r="O50" i="34"/>
  <c r="C46" i="34"/>
  <c r="C54" i="34"/>
  <c r="G54" i="34"/>
  <c r="G46" i="34"/>
  <c r="O89" i="34"/>
  <c r="C87" i="34"/>
  <c r="O24" i="34"/>
  <c r="G25" i="34"/>
  <c r="O23" i="34"/>
  <c r="C25" i="34"/>
  <c r="D46" i="34"/>
  <c r="D54" i="34"/>
  <c r="M46" i="34"/>
  <c r="M54" i="34"/>
  <c r="M25" i="34"/>
  <c r="K46" i="34"/>
  <c r="K54" i="34"/>
  <c r="I46" i="34"/>
  <c r="I54" i="34"/>
  <c r="J54" i="34"/>
  <c r="J46" i="34"/>
  <c r="K25" i="34"/>
  <c r="E54" i="34"/>
  <c r="E46" i="34"/>
  <c r="N54" i="34"/>
  <c r="N46" i="34"/>
  <c r="H46" i="34"/>
  <c r="H54" i="34"/>
  <c r="N25" i="34"/>
  <c r="H25" i="34"/>
  <c r="G159" i="35"/>
  <c r="H159" i="35"/>
  <c r="Q132" i="34"/>
  <c r="Q102" i="34"/>
  <c r="Q111" i="34"/>
  <c r="Q128" i="34"/>
  <c r="Q107" i="34"/>
  <c r="Q118" i="34"/>
  <c r="Q125" i="34"/>
  <c r="B209" i="4"/>
  <c r="D209" i="4"/>
  <c r="D220" i="4"/>
  <c r="D227" i="4"/>
  <c r="B230" i="4"/>
  <c r="B220" i="4"/>
  <c r="D203" i="4"/>
  <c r="B213" i="4"/>
  <c r="D213" i="4"/>
  <c r="B227" i="4"/>
  <c r="D234" i="4"/>
  <c r="B234" i="4"/>
  <c r="D230" i="4"/>
  <c r="K120" i="29"/>
  <c r="S120" i="29" s="1"/>
  <c r="S110" i="29"/>
  <c r="S83" i="29"/>
  <c r="S99" i="29"/>
  <c r="S95" i="29"/>
  <c r="S85" i="29"/>
  <c r="S80" i="29"/>
  <c r="S90" i="29"/>
  <c r="S91" i="29"/>
  <c r="S87" i="29"/>
  <c r="S93" i="29"/>
  <c r="S92" i="29"/>
  <c r="S86" i="29"/>
  <c r="S89" i="29"/>
  <c r="I146" i="4"/>
  <c r="S94" i="29"/>
  <c r="S82" i="29"/>
  <c r="S96" i="29"/>
  <c r="S98" i="29"/>
  <c r="S84" i="29"/>
  <c r="H132" i="34"/>
  <c r="S88" i="29"/>
  <c r="G162" i="35"/>
  <c r="G163" i="35"/>
  <c r="S73" i="29"/>
  <c r="G170" i="35"/>
  <c r="E107" i="34"/>
  <c r="H171" i="35"/>
  <c r="D154" i="4"/>
  <c r="B180" i="4"/>
  <c r="H160" i="35"/>
  <c r="G161" i="35"/>
  <c r="B154" i="4"/>
  <c r="B183" i="4"/>
  <c r="H169" i="35"/>
  <c r="D186" i="35"/>
  <c r="G171" i="35"/>
  <c r="D180" i="4"/>
  <c r="H161" i="35"/>
  <c r="B162" i="4"/>
  <c r="K53" i="29"/>
  <c r="S53" i="29" s="1"/>
  <c r="S35" i="29"/>
  <c r="D162" i="4"/>
  <c r="C29" i="29"/>
  <c r="S29" i="29" s="1"/>
  <c r="S14" i="29"/>
  <c r="S81" i="29"/>
  <c r="K100" i="29"/>
  <c r="C100" i="29"/>
  <c r="D156" i="4"/>
  <c r="H170" i="35"/>
  <c r="G102" i="34"/>
  <c r="D166" i="4"/>
  <c r="H163" i="35"/>
  <c r="H162" i="35"/>
  <c r="H128" i="34"/>
  <c r="B187" i="4"/>
  <c r="B156" i="4"/>
  <c r="D187" i="4"/>
  <c r="D173" i="4"/>
  <c r="F125" i="34"/>
  <c r="G169" i="35"/>
  <c r="C186" i="35"/>
  <c r="G160" i="35"/>
  <c r="B166" i="4"/>
  <c r="D183" i="4"/>
  <c r="G111" i="34"/>
  <c r="K107" i="34"/>
  <c r="L132" i="34"/>
  <c r="K102" i="34"/>
  <c r="I132" i="34"/>
  <c r="F132" i="34"/>
  <c r="H107" i="34"/>
  <c r="H118" i="34"/>
  <c r="N107" i="34"/>
  <c r="L111" i="34"/>
  <c r="I107" i="34"/>
  <c r="D111" i="34"/>
  <c r="D102" i="34"/>
  <c r="M102" i="34"/>
  <c r="D128" i="34"/>
  <c r="O112" i="34"/>
  <c r="P112" i="34" s="1"/>
  <c r="H102" i="34"/>
  <c r="E128" i="34"/>
  <c r="M107" i="34"/>
  <c r="O103" i="34"/>
  <c r="F107" i="34"/>
  <c r="H111" i="34"/>
  <c r="F118" i="34"/>
  <c r="M132" i="34"/>
  <c r="G125" i="34"/>
  <c r="E132" i="34"/>
  <c r="I125" i="34"/>
  <c r="C100" i="34"/>
  <c r="O100" i="34" s="1"/>
  <c r="O101" i="34"/>
  <c r="J111" i="34"/>
  <c r="O124" i="34"/>
  <c r="O117" i="34"/>
  <c r="G128" i="34"/>
  <c r="F128" i="34"/>
  <c r="O108" i="34"/>
  <c r="O113" i="34"/>
  <c r="J118" i="34"/>
  <c r="C132" i="34"/>
  <c r="O133" i="34"/>
  <c r="L128" i="34"/>
  <c r="J132" i="34"/>
  <c r="I128" i="34"/>
  <c r="E111" i="34"/>
  <c r="O116" i="34"/>
  <c r="K125" i="34"/>
  <c r="O115" i="34"/>
  <c r="O130" i="34"/>
  <c r="H125" i="34"/>
  <c r="M128" i="34"/>
  <c r="D132" i="34"/>
  <c r="L125" i="34"/>
  <c r="O106" i="34"/>
  <c r="K128" i="34"/>
  <c r="L107" i="34"/>
  <c r="O134" i="34"/>
  <c r="E102" i="34"/>
  <c r="D107" i="34"/>
  <c r="N118" i="34"/>
  <c r="O109" i="34"/>
  <c r="C107" i="34"/>
  <c r="O119" i="34"/>
  <c r="E118" i="34"/>
  <c r="F111" i="34"/>
  <c r="J128" i="34"/>
  <c r="O110" i="34"/>
  <c r="N102" i="34"/>
  <c r="I111" i="34"/>
  <c r="N111" i="34"/>
  <c r="G118" i="34"/>
  <c r="E125" i="34"/>
  <c r="N132" i="34"/>
  <c r="O104" i="34"/>
  <c r="C102" i="34"/>
  <c r="O131" i="34"/>
  <c r="G107" i="34"/>
  <c r="F102" i="34"/>
  <c r="I118" i="34"/>
  <c r="O127" i="34"/>
  <c r="D125" i="34"/>
  <c r="O122" i="34"/>
  <c r="O123" i="34"/>
  <c r="L118" i="34"/>
  <c r="J125" i="34"/>
  <c r="O121" i="34"/>
  <c r="K118" i="34"/>
  <c r="I102" i="34"/>
  <c r="N128" i="34"/>
  <c r="O129" i="34"/>
  <c r="C128" i="34"/>
  <c r="J102" i="34"/>
  <c r="J107" i="34"/>
  <c r="D118" i="34"/>
  <c r="O114" i="34"/>
  <c r="C111" i="34"/>
  <c r="C125" i="34"/>
  <c r="O126" i="34"/>
  <c r="M111" i="34"/>
  <c r="K111" i="34"/>
  <c r="M125" i="34"/>
  <c r="O120" i="34"/>
  <c r="C118" i="34"/>
  <c r="N125" i="34"/>
  <c r="K132" i="34"/>
  <c r="G132" i="34"/>
  <c r="L102" i="34"/>
  <c r="O105" i="34"/>
  <c r="M118" i="34"/>
  <c r="O91" i="34" l="1"/>
  <c r="B91" i="34" s="1"/>
  <c r="C94" i="34"/>
  <c r="P93" i="34"/>
  <c r="B93" i="34"/>
  <c r="B53" i="34"/>
  <c r="P53" i="34"/>
  <c r="O25" i="34"/>
  <c r="B23" i="34"/>
  <c r="P23" i="34"/>
  <c r="B24" i="34"/>
  <c r="P24" i="34"/>
  <c r="O87" i="34"/>
  <c r="P89" i="34"/>
  <c r="B89" i="34"/>
  <c r="O54" i="34"/>
  <c r="O46" i="34"/>
  <c r="P50" i="34"/>
  <c r="B50" i="34"/>
  <c r="Q135" i="34"/>
  <c r="B237" i="4"/>
  <c r="D237" i="4"/>
  <c r="G165" i="35"/>
  <c r="H165" i="35"/>
  <c r="B190" i="4"/>
  <c r="S100" i="29"/>
  <c r="H172" i="35"/>
  <c r="G172" i="35"/>
  <c r="D190" i="4"/>
  <c r="H135" i="34"/>
  <c r="B103" i="34"/>
  <c r="P103" i="34"/>
  <c r="B112" i="34"/>
  <c r="O128" i="34"/>
  <c r="B128" i="34" s="1"/>
  <c r="I135" i="34"/>
  <c r="D135" i="34"/>
  <c r="P101" i="34"/>
  <c r="B101" i="34"/>
  <c r="B113" i="34"/>
  <c r="P113" i="34"/>
  <c r="G135" i="34"/>
  <c r="M135" i="34"/>
  <c r="J135" i="34"/>
  <c r="P117" i="34"/>
  <c r="B117" i="34"/>
  <c r="B100" i="34"/>
  <c r="P100" i="34"/>
  <c r="P108" i="34"/>
  <c r="B108" i="34"/>
  <c r="B124" i="34"/>
  <c r="P124" i="34"/>
  <c r="K135" i="34"/>
  <c r="B134" i="34"/>
  <c r="P134" i="34"/>
  <c r="B129" i="34"/>
  <c r="P129" i="34"/>
  <c r="L135" i="34"/>
  <c r="P110" i="34"/>
  <c r="B110" i="34"/>
  <c r="P115" i="34"/>
  <c r="B115" i="34"/>
  <c r="P116" i="34"/>
  <c r="B116" i="34"/>
  <c r="B121" i="34"/>
  <c r="P121" i="34"/>
  <c r="B130" i="34"/>
  <c r="P130" i="34"/>
  <c r="B123" i="34"/>
  <c r="P123" i="34"/>
  <c r="O125" i="34"/>
  <c r="N135" i="34"/>
  <c r="O118" i="34"/>
  <c r="B127" i="34"/>
  <c r="P127" i="34"/>
  <c r="B133" i="34"/>
  <c r="P133" i="34"/>
  <c r="P104" i="34"/>
  <c r="B104" i="34"/>
  <c r="P105" i="34"/>
  <c r="B105" i="34"/>
  <c r="B120" i="34"/>
  <c r="P120" i="34"/>
  <c r="P122" i="34"/>
  <c r="B122" i="34"/>
  <c r="O107" i="34"/>
  <c r="B126" i="34"/>
  <c r="P126" i="34"/>
  <c r="B109" i="34"/>
  <c r="P109" i="34"/>
  <c r="P114" i="34"/>
  <c r="B114" i="34"/>
  <c r="O132" i="34"/>
  <c r="B106" i="34"/>
  <c r="P106" i="34"/>
  <c r="P119" i="34"/>
  <c r="B119" i="34"/>
  <c r="F135" i="34"/>
  <c r="O111" i="34"/>
  <c r="P131" i="34"/>
  <c r="B131" i="34"/>
  <c r="O102" i="34"/>
  <c r="C135" i="34"/>
  <c r="E135" i="34"/>
  <c r="P91" i="34" l="1"/>
  <c r="O94" i="34"/>
  <c r="B94" i="34" s="1"/>
  <c r="P46" i="34"/>
  <c r="B46" i="34"/>
  <c r="B54" i="34"/>
  <c r="P54" i="34"/>
  <c r="P87" i="34"/>
  <c r="B87" i="34"/>
  <c r="P25" i="34"/>
  <c r="B25" i="34"/>
  <c r="C160" i="4"/>
  <c r="C207" i="4"/>
  <c r="E160" i="4"/>
  <c r="E207" i="4"/>
  <c r="C156" i="4"/>
  <c r="C228" i="4"/>
  <c r="C236" i="4"/>
  <c r="C229" i="4"/>
  <c r="C215" i="4"/>
  <c r="C218" i="4"/>
  <c r="C208" i="4"/>
  <c r="C210" i="4"/>
  <c r="C206" i="4"/>
  <c r="C221" i="4"/>
  <c r="C223" i="4"/>
  <c r="C226" i="4"/>
  <c r="C222" i="4"/>
  <c r="C231" i="4"/>
  <c r="C211" i="4"/>
  <c r="C202" i="4"/>
  <c r="C224" i="4"/>
  <c r="C232" i="4"/>
  <c r="C225" i="4"/>
  <c r="C205" i="4"/>
  <c r="C233" i="4"/>
  <c r="C219" i="4"/>
  <c r="C217" i="4"/>
  <c r="C214" i="4"/>
  <c r="C212" i="4"/>
  <c r="C216" i="4"/>
  <c r="C235" i="4"/>
  <c r="C204" i="4"/>
  <c r="C234" i="4"/>
  <c r="C213" i="4"/>
  <c r="C230" i="4"/>
  <c r="C201" i="4"/>
  <c r="C220" i="4"/>
  <c r="C209" i="4"/>
  <c r="C203" i="4"/>
  <c r="C227" i="4"/>
  <c r="C237" i="4"/>
  <c r="E217" i="4"/>
  <c r="E223" i="4"/>
  <c r="E212" i="4"/>
  <c r="E229" i="4"/>
  <c r="E208" i="4"/>
  <c r="E222" i="4"/>
  <c r="E219" i="4"/>
  <c r="E210" i="4"/>
  <c r="E224" i="4"/>
  <c r="E202" i="4"/>
  <c r="E233" i="4"/>
  <c r="E206" i="4"/>
  <c r="E204" i="4"/>
  <c r="E205" i="4"/>
  <c r="E216" i="4"/>
  <c r="E215" i="4"/>
  <c r="E211" i="4"/>
  <c r="E236" i="4"/>
  <c r="E218" i="4"/>
  <c r="E225" i="4"/>
  <c r="E228" i="4"/>
  <c r="E232" i="4"/>
  <c r="E214" i="4"/>
  <c r="E226" i="4"/>
  <c r="E235" i="4"/>
  <c r="E221" i="4"/>
  <c r="E231" i="4"/>
  <c r="E220" i="4"/>
  <c r="E234" i="4"/>
  <c r="E213" i="4"/>
  <c r="E227" i="4"/>
  <c r="E203" i="4"/>
  <c r="E201" i="4"/>
  <c r="E209" i="4"/>
  <c r="E230" i="4"/>
  <c r="E237" i="4"/>
  <c r="C166" i="4"/>
  <c r="C187" i="4"/>
  <c r="C180" i="4"/>
  <c r="C173" i="4"/>
  <c r="C162" i="4"/>
  <c r="E154" i="4"/>
  <c r="E190" i="4"/>
  <c r="E172" i="4"/>
  <c r="E159" i="4"/>
  <c r="E171" i="4"/>
  <c r="E155" i="4"/>
  <c r="E158" i="4"/>
  <c r="E189" i="4"/>
  <c r="E184" i="4"/>
  <c r="E181" i="4"/>
  <c r="E161" i="4"/>
  <c r="E179" i="4"/>
  <c r="E185" i="4"/>
  <c r="E186" i="4"/>
  <c r="E176" i="4"/>
  <c r="E174" i="4"/>
  <c r="E167" i="4"/>
  <c r="E169" i="4"/>
  <c r="E164" i="4"/>
  <c r="E165" i="4"/>
  <c r="E177" i="4"/>
  <c r="E157" i="4"/>
  <c r="E188" i="4"/>
  <c r="E168" i="4"/>
  <c r="E163" i="4"/>
  <c r="E178" i="4"/>
  <c r="E175" i="4"/>
  <c r="E182" i="4"/>
  <c r="E170" i="4"/>
  <c r="E180" i="4"/>
  <c r="E162" i="4"/>
  <c r="E156" i="4"/>
  <c r="E187" i="4"/>
  <c r="C154" i="4"/>
  <c r="C190" i="4"/>
  <c r="C169" i="4"/>
  <c r="C185" i="4"/>
  <c r="C170" i="4"/>
  <c r="C189" i="4"/>
  <c r="C176" i="4"/>
  <c r="C168" i="4"/>
  <c r="C177" i="4"/>
  <c r="C159" i="4"/>
  <c r="C164" i="4"/>
  <c r="C165" i="4"/>
  <c r="C179" i="4"/>
  <c r="C171" i="4"/>
  <c r="C188" i="4"/>
  <c r="C181" i="4"/>
  <c r="C175" i="4"/>
  <c r="C158" i="4"/>
  <c r="C157" i="4"/>
  <c r="C167" i="4"/>
  <c r="C174" i="4"/>
  <c r="C186" i="4"/>
  <c r="C163" i="4"/>
  <c r="C182" i="4"/>
  <c r="C161" i="4"/>
  <c r="C155" i="4"/>
  <c r="C184" i="4"/>
  <c r="C172" i="4"/>
  <c r="C178" i="4"/>
  <c r="E183" i="4"/>
  <c r="E166" i="4"/>
  <c r="E173" i="4"/>
  <c r="C183" i="4"/>
  <c r="P128" i="34"/>
  <c r="P132" i="34"/>
  <c r="B132" i="34"/>
  <c r="P118" i="34"/>
  <c r="B118" i="34"/>
  <c r="P102" i="34"/>
  <c r="B102" i="34"/>
  <c r="O135" i="34"/>
  <c r="B107" i="34"/>
  <c r="P107" i="34"/>
  <c r="B111" i="34"/>
  <c r="P111" i="34"/>
  <c r="B125" i="34"/>
  <c r="P125" i="34"/>
  <c r="P94" i="34" l="1"/>
  <c r="B135" i="34"/>
  <c r="P135" i="34"/>
  <c r="AM1" i="14" l="1"/>
  <c r="AL1" i="14" l="1"/>
  <c r="AK1" i="14" s="1"/>
  <c r="AJ1"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tc={7BC9CEA4-0293-434D-B96D-6D8BEDABB706}</author>
    <author>Nieminen Tuulikki (AVI)</author>
  </authors>
  <commentList>
    <comment ref="V7" authorId="0" shapeId="0" xr:uid="{7BC9CEA4-0293-434D-B96D-6D8BEDABB706}">
      <text>
        <t xml:space="preserve">[Kommenttiketju]
Excel-versiosi avulla voit lukea tämän kommenttiketjun, mutta siihen tehdyt muutokset poistetaan, jos tiedosto avataan uudemmassa Excel-versiossa. Lisätietoja: https://go.microsoft.com/fwlink/?linkid=870924
Kommentti:
    Jos haetaan jaksoista niin tämä on "tähti*, muuten haettu jakso
</t>
      </text>
    </comment>
    <comment ref="N10" authorId="1" shapeId="0" xr:uid="{CCBE4BE5-A62D-4D66-99BB-E7C167C0D33F}">
      <text>
        <r>
          <rPr>
            <b/>
            <sz val="9"/>
            <color indexed="81"/>
            <rFont val="Tahoma"/>
            <family val="2"/>
          </rPr>
          <t>Kuinka monta eri henkilöä pajalla on ollut? (Henkilö voi näkyä vain kerran)</t>
        </r>
        <r>
          <rPr>
            <sz val="9"/>
            <color indexed="81"/>
            <rFont val="Tahoma"/>
            <family val="2"/>
          </rPr>
          <t xml:space="preserve">
</t>
        </r>
      </text>
    </comment>
    <comment ref="O10" authorId="1" shapeId="0" xr:uid="{08D96689-81AB-471C-97F0-B43E89E3E3AB}">
      <text>
        <r>
          <rPr>
            <b/>
            <sz val="9"/>
            <color indexed="81"/>
            <rFont val="Tahoma"/>
            <family val="2"/>
          </rPr>
          <t>Kuinka monta henkilöä on ollut yksikön asiakkaana? (Henkilö voi näkyä useammassa yksikössä)</t>
        </r>
      </text>
    </comment>
    <comment ref="P10" authorId="1" shapeId="0" xr:uid="{CE44F3C8-E802-47A3-B6D5-C58AF006FAA5}">
      <text>
        <r>
          <rPr>
            <b/>
            <sz val="9"/>
            <color indexed="81"/>
            <rFont val="Tahoma"/>
            <family val="2"/>
          </rPr>
          <t>Kuinka monta sopimusjaksoa on tehty / yksikkö? (Henkilö voi näkyä useita kertoja ja useammassa yksikössä)</t>
        </r>
        <r>
          <rPr>
            <sz val="9"/>
            <color indexed="81"/>
            <rFont val="Tahoma"/>
            <family val="2"/>
          </rPr>
          <t xml:space="preserve">
</t>
        </r>
      </text>
    </comment>
    <comment ref="N44" authorId="1" shapeId="0" xr:uid="{A7969EF9-FDA2-4649-B6F0-75F43A96E534}">
      <text>
        <r>
          <rPr>
            <b/>
            <sz val="9"/>
            <color indexed="81"/>
            <rFont val="Tahoma"/>
            <family val="2"/>
          </rPr>
          <t>Kuinka monta eri henkilöä pajalla on ollut? (Henkilö voi näkyä vain kerran)</t>
        </r>
        <r>
          <rPr>
            <sz val="9"/>
            <color indexed="81"/>
            <rFont val="Tahoma"/>
            <family val="2"/>
          </rPr>
          <t xml:space="preserve">
</t>
        </r>
      </text>
    </comment>
    <comment ref="O44" authorId="1" shapeId="0" xr:uid="{8B6DD800-56C3-46F9-ACE5-1EDC30E1310D}">
      <text>
        <r>
          <rPr>
            <b/>
            <sz val="9"/>
            <color indexed="81"/>
            <rFont val="Tahoma"/>
            <family val="2"/>
          </rPr>
          <t>Kuinka monta henkilöä on ollut kunnan asiakkaana? (Henkilö voi näkyä useammassa kunnassa)</t>
        </r>
      </text>
    </comment>
    <comment ref="P44" authorId="1" shapeId="0" xr:uid="{BDDE2C74-2F79-4FC5-B794-74BDF683B067}">
      <text>
        <r>
          <rPr>
            <b/>
            <sz val="9"/>
            <color indexed="81"/>
            <rFont val="Tahoma"/>
            <family val="2"/>
          </rPr>
          <t>Kuinka monta sopimusjaksoa on tehty / kunta? (Henkilö voi näkyä useita kertoja ja useammassa kunnassa)</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Nieminen Tuulikki</author>
  </authors>
  <commentList>
    <comment ref="AT2" authorId="0" shapeId="0" xr:uid="{00000000-0006-0000-0800-000001000000}">
      <text>
        <r>
          <rPr>
            <b/>
            <sz val="9"/>
            <color indexed="81"/>
            <rFont val="Tahoma"/>
            <family val="2"/>
          </rPr>
          <t>Nieminen Tuulikki:</t>
        </r>
        <r>
          <rPr>
            <sz val="9"/>
            <color indexed="81"/>
            <rFont val="Tahoma"/>
            <family val="2"/>
          </rPr>
          <t xml:space="preserve">
Otetaanko eka jakso ikänä kuten nyt vai hakuajan eka ilmentymä? Entä jos tieto on tyhjä? Mutta aiemmin tieto löytyisi...</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Nieminen Tuulikki</author>
  </authors>
  <commentList>
    <comment ref="AD2" authorId="0" shapeId="0" xr:uid="{FAFDA4A2-FCED-48FC-B348-7425601BD579}">
      <text>
        <r>
          <rPr>
            <b/>
            <sz val="9"/>
            <color indexed="81"/>
            <rFont val="Tahoma"/>
            <family val="2"/>
          </rPr>
          <t>Nieminen Tuulikki:</t>
        </r>
        <r>
          <rPr>
            <sz val="9"/>
            <color indexed="81"/>
            <rFont val="Tahoma"/>
            <family val="2"/>
          </rPr>
          <t xml:space="preserve">
ja AF osuu kohdalle, eli joku jaksoista on voimassa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<sst xmlns="http://schemas.openxmlformats.org/spreadsheetml/2006/main" count="5623" uniqueCount="1874">
  <si>
    <t xml:space="preserve">Hakuarvot: </t>
  </si>
  <si>
    <t>Piilota</t>
  </si>
  <si>
    <t>&gt; Hakuaika, aloitus</t>
  </si>
  <si>
    <t>perustiedoista</t>
  </si>
  <si>
    <t>Kaikki</t>
  </si>
  <si>
    <t xml:space="preserve">KAIKKI: </t>
  </si>
  <si>
    <t>hakuarvo</t>
  </si>
  <si>
    <t>ComboBox_EtKun</t>
  </si>
  <si>
    <t>ComboBox_TyOma</t>
  </si>
  <si>
    <t>&gt; Hakuaika, päätös</t>
  </si>
  <si>
    <t>jaksoista</t>
  </si>
  <si>
    <t>Uudet</t>
  </si>
  <si>
    <t xml:space="preserve">UUDET: </t>
  </si>
  <si>
    <t>montako</t>
  </si>
  <si>
    <t>yksiköt</t>
  </si>
  <si>
    <t>kunnat</t>
  </si>
  <si>
    <t>Kaikki kunnat</t>
  </si>
  <si>
    <t>&gt; Kunta</t>
  </si>
  <si>
    <t>&gt; Hae valittu kunta perustiedoista tai jaksoista</t>
  </si>
  <si>
    <t>Uudet (ei vanhoja jaksoja)</t>
  </si>
  <si>
    <t>1. rivi</t>
  </si>
  <si>
    <t>hae seuraava rivi</t>
  </si>
  <si>
    <t>Kaikki yksiköt</t>
  </si>
  <si>
    <t>&gt; Yksikkö</t>
  </si>
  <si>
    <t>&gt; Hae valittu yksikkö perustiedoista tai jaksoista</t>
  </si>
  <si>
    <t>jaksoista kunta:</t>
  </si>
  <si>
    <t>*</t>
  </si>
  <si>
    <t>&gt; Asiakkuus</t>
  </si>
  <si>
    <t>jaksoista yksikkö:</t>
  </si>
  <si>
    <t>tyhja</t>
  </si>
  <si>
    <t>Ei kuntaluokkaa</t>
  </si>
  <si>
    <t>Ei yksiköitä</t>
  </si>
  <si>
    <t>&gt; Toimenpiteet</t>
  </si>
  <si>
    <t>kaikki yksikkö:</t>
  </si>
  <si>
    <t>OptionButton_EtNainen</t>
  </si>
  <si>
    <t>OptionButton_EtMies</t>
  </si>
  <si>
    <t>muut</t>
  </si>
  <si>
    <t>Muut kunnat</t>
  </si>
  <si>
    <t>Muut yksiköt</t>
  </si>
  <si>
    <t>kaikki kunnat:</t>
  </si>
  <si>
    <t>nuori</t>
  </si>
  <si>
    <t>ComboBox_EtKuntakoodi_00000001</t>
  </si>
  <si>
    <t>ComboBox_TyHlo_yksikko_00000001</t>
  </si>
  <si>
    <t>ComboBox_yksikko_00000001</t>
  </si>
  <si>
    <t>OK</t>
  </si>
  <si>
    <t>ComboBox_EtKuntakoodi_00000002</t>
  </si>
  <si>
    <t>ComboBox_TyHlo_yksikko_00000002</t>
  </si>
  <si>
    <t>ComboBox_yksikko_00000002</t>
  </si>
  <si>
    <t>Organisaation yksiköt</t>
  </si>
  <si>
    <t>Kaikki henkilöt</t>
  </si>
  <si>
    <t>Henkilöt / yksikkö</t>
  </si>
  <si>
    <t>Sopimus-jaksot /yksikkö</t>
  </si>
  <si>
    <t>ComboBox_EtKuntakoodi_00000003</t>
  </si>
  <si>
    <t>ComboBox_TyHlo_yksikko_00000003</t>
  </si>
  <si>
    <t>ComboBox_yksikko_00000003</t>
  </si>
  <si>
    <t>pp.kk.vvvv</t>
  </si>
  <si>
    <t xml:space="preserve">Kuva: </t>
  </si>
  <si>
    <t>ComboBox_EtKuntakoodi_00000004</t>
  </si>
  <si>
    <t>ComboBox_TyHlo_yksikko_00000004</t>
  </si>
  <si>
    <t>ComboBox_yksikko_00000004</t>
  </si>
  <si>
    <t>ComboBox_EtKuntakoodi_00000005</t>
  </si>
  <si>
    <t>ComboBox_TyHlo_yksikko_00000005</t>
  </si>
  <si>
    <t>ComboBox_yksikko_00000005</t>
  </si>
  <si>
    <t>ComboBox_EtKuntakoodi_00000006</t>
  </si>
  <si>
    <t>ComboBox_TyHlo_yksikko_00000006</t>
  </si>
  <si>
    <t>ComboBox_yksikko_00000006</t>
  </si>
  <si>
    <t>ComboBox_EtKuntakoodi_00000007</t>
  </si>
  <si>
    <t>ComboBox_TyHlo_yksikko_00000007</t>
  </si>
  <si>
    <t>ComboBox_yksikko_00000007</t>
  </si>
  <si>
    <t>kaikki</t>
  </si>
  <si>
    <t>joista naisia</t>
  </si>
  <si>
    <t>summa</t>
  </si>
  <si>
    <t>AS!$W:$W</t>
  </si>
  <si>
    <t>ComboBox_EtKuntakoodi_00000008</t>
  </si>
  <si>
    <t>ComboBox_TyHlo_yksikko_00000008</t>
  </si>
  <si>
    <t>ComboBox_yksikko_00000008</t>
  </si>
  <si>
    <t>Alle 17-vuotiaita</t>
  </si>
  <si>
    <t>osuuko henkilö &gt; jaksoilta haku</t>
  </si>
  <si>
    <t>;AS!$AB:$AB;"OK"</t>
  </si>
  <si>
    <t>alle 17</t>
  </si>
  <si>
    <t>ComboBox_EtKuntakoodi_00000009</t>
  </si>
  <si>
    <t>ComboBox_TyHlo_yksikko_00000009</t>
  </si>
  <si>
    <t>ComboBox_yksikko_00000009</t>
  </si>
  <si>
    <t>17-20-vuotiaita</t>
  </si>
  <si>
    <t>kunta</t>
  </si>
  <si>
    <t>;AS!$AW:$AW;Parkki!$Y$6</t>
  </si>
  <si>
    <t>17-20</t>
  </si>
  <si>
    <t>ComboBox_EtKuntakoodi_00000010</t>
  </si>
  <si>
    <t>ComboBox_TyHlo_yksikko_00000010</t>
  </si>
  <si>
    <t>ComboBox_yksikko_00000010</t>
  </si>
  <si>
    <t>21-24-vuotiaita</t>
  </si>
  <si>
    <t>uusi hlö</t>
  </si>
  <si>
    <t>;AS!$X:$X;Parkki!$Y$5</t>
  </si>
  <si>
    <t>21-24</t>
  </si>
  <si>
    <t>ComboBox_EtKuntakoodi_00000011</t>
  </si>
  <si>
    <t>ComboBox_TyHlo_yksikko_00000011</t>
  </si>
  <si>
    <t>ComboBox_yksikko_00000011</t>
  </si>
  <si>
    <t>25-28-vuotiaita</t>
  </si>
  <si>
    <t>uusia jaksoja</t>
  </si>
  <si>
    <t>;AS!$AV:$AV;Parkki!$Y$2</t>
  </si>
  <si>
    <t>25-28</t>
  </si>
  <si>
    <t>ComboBox_EtKuntakoodi_00000012</t>
  </si>
  <si>
    <t>ComboBox_TyHlo_yksikko_00000012</t>
  </si>
  <si>
    <t>ComboBox_yksikko_00000012</t>
  </si>
  <si>
    <t>Nuoria (-28)  yhteensä</t>
  </si>
  <si>
    <t>yksikkö perustiedot</t>
  </si>
  <si>
    <t>;AS!$K:$K;Parkki!$AC5)</t>
  </si>
  <si>
    <t>ComboBox_EtKuntakoodi_00000013</t>
  </si>
  <si>
    <t>ComboBox_TyHlo_yksikko_00000013</t>
  </si>
  <si>
    <t>ComboBox_yksikko_00000013</t>
  </si>
  <si>
    <t>29-49-vuotiaita</t>
  </si>
  <si>
    <t>29-49</t>
  </si>
  <si>
    <t>ComboBox_EtKuntakoodi_00000014</t>
  </si>
  <si>
    <t>ComboBox_TyHlo_yksikko_00000014</t>
  </si>
  <si>
    <t>ComboBox_yksikko_00000014</t>
  </si>
  <si>
    <t>50- tai yli -vuotiaita</t>
  </si>
  <si>
    <t>yli 50</t>
  </si>
  <si>
    <t>ComboBox_EtKuntakoodi_00000015</t>
  </si>
  <si>
    <t>ComboBox_TyHlo_yksikko_00000015</t>
  </si>
  <si>
    <t>ComboBox_yksikko_00000015</t>
  </si>
  <si>
    <t>Ikä ei rekisteröity</t>
  </si>
  <si>
    <t>JA!$Z:$Z;</t>
  </si>
  <si>
    <t>EI</t>
  </si>
  <si>
    <t>UUSIEN Valmentautujien määrä sukupuolen ja ikäryhmän mukaan (ei aikaisempia jaksoja!)</t>
  </si>
  <si>
    <t>ComboBox_EtKuntakoodi_00000016</t>
  </si>
  <si>
    <t>ComboBox_TyHlo_yksikko_00000016</t>
  </si>
  <si>
    <t>ComboBox_yksikko_00000016</t>
  </si>
  <si>
    <t>Työpajalla valmentautujia yhteensä</t>
  </si>
  <si>
    <t>osuuko henkilö</t>
  </si>
  <si>
    <t>JA!$AE:$AE;"OK"</t>
  </si>
  <si>
    <t>UUSILLA JAKSOILLA olevien valmentautujien määrä sukupuolen ja ikäryhmän mukaan (löytyy aikaisempia jaksoja, mutta henkilö voi esiintyä vain kerran!)</t>
  </si>
  <si>
    <t>ComboBox_EtKuntakoodi_00000017</t>
  </si>
  <si>
    <t>ComboBox_TyHlo_yksikko_00000017</t>
  </si>
  <si>
    <t>ComboBox_yksikko_00000017</t>
  </si>
  <si>
    <t>;JA!$AX:$AX;Parkki!$Y$6</t>
  </si>
  <si>
    <t xml:space="preserve">KAIKKIEN Valmentautujien määrä sukupuolen ja ikäryhmän mukaan </t>
  </si>
  <si>
    <t>ComboBox_EtKuntakoodi_00000018</t>
  </si>
  <si>
    <t>ComboBox_TyHlo_yksikko_00000018</t>
  </si>
  <si>
    <t>ComboBox_yksikko_00000018</t>
  </si>
  <si>
    <t>;JA!$BE:$BE;Parkki!$Y$5</t>
  </si>
  <si>
    <t>ComboBox_EtKuntakoodi_00000019</t>
  </si>
  <si>
    <t>ComboBox_TyHlo_yksikko_00000019</t>
  </si>
  <si>
    <t>ComboBox_yksikko_00000019</t>
  </si>
  <si>
    <t>uusi jakso</t>
  </si>
  <si>
    <t>;JA!$AI:$AI;Parkki!$Y$4</t>
  </si>
  <si>
    <t>ComboBox_EtKuntakoodi_00000020</t>
  </si>
  <si>
    <t>ComboBox_TyHlo_yksikko_00000020</t>
  </si>
  <si>
    <t>ComboBox_yksikko_00000020</t>
  </si>
  <si>
    <t>nuoria</t>
  </si>
  <si>
    <t>;JA!$AJ:$AJ;Parkki!$Y$2</t>
  </si>
  <si>
    <t>ComboBox_EtKuntakoodi_00000021</t>
  </si>
  <si>
    <t>ComboBox_TyHlo_yksikko_00000021</t>
  </si>
  <si>
    <t>ComboBox_yksikko_00000021</t>
  </si>
  <si>
    <t>Alle 2kk</t>
  </si>
  <si>
    <t>yksikkö jaksoilta</t>
  </si>
  <si>
    <t>;JA!$Y:$Y;$AC5</t>
  </si>
  <si>
    <t>alle 2kk</t>
  </si>
  <si>
    <t>ComboBox_EtKuntakoodi_00000022</t>
  </si>
  <si>
    <t>ComboBox_TyHlo_yksikko_00000022</t>
  </si>
  <si>
    <t>ComboBox_yksikko_00000022</t>
  </si>
  <si>
    <t>2- alle 3kk</t>
  </si>
  <si>
    <t>yksikkö jaksoilta, vain 1 hlö</t>
  </si>
  <si>
    <t>;JA!$CW:$CW;1)</t>
  </si>
  <si>
    <t>alle 3kk</t>
  </si>
  <si>
    <t>ComboBox_EtKuntakoodi_00000023</t>
  </si>
  <si>
    <t>ComboBox_TyHlo_yksikko_00000023</t>
  </si>
  <si>
    <t>ComboBox_yksikko_00000023</t>
  </si>
  <si>
    <t>3-alle 6kk</t>
  </si>
  <si>
    <t>alle 6kk</t>
  </si>
  <si>
    <t>ComboBox_EtKuntakoodi_00000024</t>
  </si>
  <si>
    <t>ComboBox_TyHlo_yksikko_00000024</t>
  </si>
  <si>
    <t>ComboBox_yksikko_00000024</t>
  </si>
  <si>
    <t>6kk- alle 1vuosi</t>
  </si>
  <si>
    <t>alle 1vuosi</t>
  </si>
  <si>
    <t>ComboBox_EtKuntakoodi_00000025</t>
  </si>
  <si>
    <t>ComboBox_TyHlo_yksikko_00000025</t>
  </si>
  <si>
    <t>ComboBox_yksikko_00000025</t>
  </si>
  <si>
    <t>1vuosi tai pitempi</t>
  </si>
  <si>
    <t>yli 1vuosi</t>
  </si>
  <si>
    <t>ComboBox_EtKuntakoodi_00000026</t>
  </si>
  <si>
    <t>ComboBox_TyHlo_yksikko_00000026</t>
  </si>
  <si>
    <t>ComboBox_yksikko_00000026</t>
  </si>
  <si>
    <t>Tietoa ei ole kirjattu</t>
  </si>
  <si>
    <t>ComboBox_EtKuntakoodi_00000027</t>
  </si>
  <si>
    <t>ComboBox_TyHlo_yksikko_00000027</t>
  </si>
  <si>
    <t>ComboBox_yksikko_00000027</t>
  </si>
  <si>
    <t>yhteensä</t>
  </si>
  <si>
    <t>ComboBox_EtKuntakoodi_00000028</t>
  </si>
  <si>
    <t>ComboBox_TyHlo_yksikko_00000028</t>
  </si>
  <si>
    <t>ComboBox_yksikko_00000028</t>
  </si>
  <si>
    <t>ComboBox_EtKuntakoodi_00000029</t>
  </si>
  <si>
    <t>ComboBox_TyHlo_yksikko_00000029</t>
  </si>
  <si>
    <t>ComboBox_yksikko_00000029</t>
  </si>
  <si>
    <t>ComboBox_EtKuntakoodi_00000030</t>
  </si>
  <si>
    <t>ComboBox_TyHlo_yksikko_00000030</t>
  </si>
  <si>
    <t>ComboBox_yksikko_00000030</t>
  </si>
  <si>
    <t>Äidinkieli</t>
  </si>
  <si>
    <t>Kotimaiset kielet</t>
  </si>
  <si>
    <t>Suomi</t>
  </si>
  <si>
    <t>ComboBox_EtKieli#suomi</t>
  </si>
  <si>
    <t>ComboBox_EtKieli#</t>
  </si>
  <si>
    <t>Ruotsi</t>
  </si>
  <si>
    <t>ComboBox_EtKieli#ruotsi</t>
  </si>
  <si>
    <t>Saame</t>
  </si>
  <si>
    <t>ComboBox_EtKieli#saame</t>
  </si>
  <si>
    <t>Vierasperäiset kielet</t>
  </si>
  <si>
    <t>Albania</t>
  </si>
  <si>
    <t>ComboBox_EtKieli#albania</t>
  </si>
  <si>
    <t>Arabia</t>
  </si>
  <si>
    <t>Organisaation kunnat</t>
  </si>
  <si>
    <t>Henkilöt / kunta</t>
  </si>
  <si>
    <t>Sopimus-jaksot /kunta</t>
  </si>
  <si>
    <t>ComboBox_EtKieli#arabia</t>
  </si>
  <si>
    <t>Dari</t>
  </si>
  <si>
    <t>ComboBox_EtKieli#dari</t>
  </si>
  <si>
    <t>ComboBox_EtKieli#eesti</t>
  </si>
  <si>
    <t>Eesti</t>
  </si>
  <si>
    <t>ComboBox_EtKieli#englanti</t>
  </si>
  <si>
    <t>Englanti</t>
  </si>
  <si>
    <t>ComboBox_EtKieli#ranska</t>
  </si>
  <si>
    <t>Kurdi</t>
  </si>
  <si>
    <t>ComboBox_EtKieli#kurdi</t>
  </si>
  <si>
    <t>Ranska</t>
  </si>
  <si>
    <t>Saksa</t>
  </si>
  <si>
    <t>ComboBox_EtKieli#saksa</t>
  </si>
  <si>
    <t>Somali</t>
  </si>
  <si>
    <t>ComboBox_EtKieli#somali</t>
  </si>
  <si>
    <t>Swahili</t>
  </si>
  <si>
    <t>ComboBox_EtKieli#swahili</t>
  </si>
  <si>
    <t>ComboBox_EtKieli#thai</t>
  </si>
  <si>
    <t>Thai</t>
  </si>
  <si>
    <t>ComboBox_EtKieli#venäjä</t>
  </si>
  <si>
    <t>Ukraina</t>
  </si>
  <si>
    <t>ComboBox_EtKieli#ukraina</t>
  </si>
  <si>
    <t>Venäjä</t>
  </si>
  <si>
    <t>Vietnam</t>
  </si>
  <si>
    <t>ComboBox_EtKieli#vietnam</t>
  </si>
  <si>
    <t>Muut äidinkielet</t>
  </si>
  <si>
    <t>ComboBox_EtKieli#muu kieli</t>
  </si>
  <si>
    <t>Ei tietoa</t>
  </si>
  <si>
    <t>ComboBox_EtKieli#ei tietoa</t>
  </si>
  <si>
    <t>Ei kirjattu</t>
  </si>
  <si>
    <t>ei kirjattu</t>
  </si>
  <si>
    <t>Yhteensä</t>
  </si>
  <si>
    <t>Saapuminen</t>
  </si>
  <si>
    <t>ComboBox_TySaapunut#</t>
  </si>
  <si>
    <t>Oppilaitos</t>
  </si>
  <si>
    <t>Peruskoulu</t>
  </si>
  <si>
    <t>ComboBox_TySaapunut#peruskoulu</t>
  </si>
  <si>
    <t>2. asteen oppilaitos</t>
  </si>
  <si>
    <t>ComboBox_TySaapunut#toisen asteen oppilaitos</t>
  </si>
  <si>
    <t>Muu oppilaitos</t>
  </si>
  <si>
    <t>ComboBox_TySaapunut#muu oppilaitos</t>
  </si>
  <si>
    <t>Oppivelvollisuuden ohjaus ja valvonta</t>
  </si>
  <si>
    <t>ComboBox_TySaapunut#oppivelvollisuuden ohjaus ja valvonta</t>
  </si>
  <si>
    <t>Nuorisopalvelut</t>
  </si>
  <si>
    <t>Etsivä nuorisotyö</t>
  </si>
  <si>
    <t>ComboBox_TySaapunut#etsivä nuorisotyö</t>
  </si>
  <si>
    <t>Nuorisotoimen palvelut</t>
  </si>
  <si>
    <t>ComboBox_TySaapunut#nuorisotoimi</t>
  </si>
  <si>
    <t>ComboBox_TySaapunut#nuorisotoimen palvelut</t>
  </si>
  <si>
    <t>ComboBox_TySaapunut#muu nuorisotoimi</t>
  </si>
  <si>
    <t>Työllisyyspalvelut</t>
  </si>
  <si>
    <t>Ohjaamo</t>
  </si>
  <si>
    <t>ComboBox_TySaapunut#ohjaamo</t>
  </si>
  <si>
    <t>ComboBox_TySaapunut#työvoiman palvelukeskus</t>
  </si>
  <si>
    <t>ComboBox_TySaapunut#kunnan työllisyyspalvelut</t>
  </si>
  <si>
    <t>ComboBox_TySaapunut#työllisyyspalvelut</t>
  </si>
  <si>
    <t>TYM-yhteistoimintamalli (ent. TYP)</t>
  </si>
  <si>
    <t>ComboBox_TySaapunut#työvoiman palvelukeskus (TYP)</t>
  </si>
  <si>
    <t>ComboBox_TySaapunut#TYM-yhteistoimintamalli (ent. TYP)</t>
  </si>
  <si>
    <t>TE-palvelut (ennen vuotta 2025)</t>
  </si>
  <si>
    <t>ComboBox_TySaapunut#TE-toimisto</t>
  </si>
  <si>
    <t>ComboBox_TySaapunut#TE-palvelut</t>
  </si>
  <si>
    <t>Työllisyyden kuntakokeilu (ennen vuotta 2025)</t>
  </si>
  <si>
    <t>ComboBox_TySaapunut#työllisyyden kuntakokeilu</t>
  </si>
  <si>
    <t>Hyvinvointialueen palvelut</t>
  </si>
  <si>
    <t>Sosiaalipalvelut</t>
  </si>
  <si>
    <t>ComboBox_TySaapunut#sosiaalipalvelut</t>
  </si>
  <si>
    <t>Terveyspalvelut</t>
  </si>
  <si>
    <t>ComboBox_TySaapunut#terveyspalvelut</t>
  </si>
  <si>
    <t>Mielenterveyspalvelut</t>
  </si>
  <si>
    <t>ComboBox_TySaapunut#mielenterveyspalvelu</t>
  </si>
  <si>
    <t>Sosiaali- ja terveyspalvelut (ennen vuotta 2025)</t>
  </si>
  <si>
    <t>ComboBox_TySaapunut#sosiaali- ja terveystoimi</t>
  </si>
  <si>
    <t>ComboBox_TySaapunut#sosiaali- ja terveyspalvelut</t>
  </si>
  <si>
    <t>Muut julkiset palvelut</t>
  </si>
  <si>
    <t>KELA</t>
  </si>
  <si>
    <t>ComboBox_TySaapunut#KELA</t>
  </si>
  <si>
    <t>Työeläkelaitos / vakuutusyhtiö</t>
  </si>
  <si>
    <t>ComboBox_TySaapunut#työeläkelaitos / vakuutusyhtiö</t>
  </si>
  <si>
    <t>Kriminaalihuolto</t>
  </si>
  <si>
    <t>ComboBox_TySaapunut#kriminaalihuolto</t>
  </si>
  <si>
    <t>Armeija / Aikalisä</t>
  </si>
  <si>
    <t>ComboBox_TySaapunut#armeija/ Time out</t>
  </si>
  <si>
    <t>ComboBox_TySaapunut#armeija/ Aikalisä</t>
  </si>
  <si>
    <t>Siviilipalvelu</t>
  </si>
  <si>
    <t>ComboBox_TySaapunut#siviilipalvelu</t>
  </si>
  <si>
    <t>Muut</t>
  </si>
  <si>
    <t>Suoraan työpajalle</t>
  </si>
  <si>
    <t>ComboBox_TySaapunut#suoraan työpajalle</t>
  </si>
  <si>
    <t>3. sektori</t>
  </si>
  <si>
    <t>ComboBox_TySaapunut#3. sektori</t>
  </si>
  <si>
    <t>Muu taho</t>
  </si>
  <si>
    <t>ComboBox_TySaapunut#muu taho</t>
  </si>
  <si>
    <t>ComboBox_TySaapunut#ei tietoa</t>
  </si>
  <si>
    <t>eri kaav""</t>
  </si>
  <si>
    <t>NUORET yhteensä</t>
  </si>
  <si>
    <t>Koulutustausta</t>
  </si>
  <si>
    <t>Edelleen peruskoulussa</t>
  </si>
  <si>
    <t>ComboBox_EtKoulutustausta_alku#edelleen peruskoulussa</t>
  </si>
  <si>
    <t>edelleen peruskoulussa</t>
  </si>
  <si>
    <t>Peruskoulu keskeytynyt</t>
  </si>
  <si>
    <t>ComboBox_EtKoulutustausta_alku#peruskoulu keskeytynyt</t>
  </si>
  <si>
    <t>peruskoulu keskeytynyt</t>
  </si>
  <si>
    <t xml:space="preserve">Peruskoulu suoritettu </t>
  </si>
  <si>
    <t>toimenpide</t>
  </si>
  <si>
    <t>;JA!$AT:$AT;Parkki!$X106</t>
  </si>
  <si>
    <t>ComboBox_EtKoulutustausta_alku#peruskoulu suoritettu</t>
  </si>
  <si>
    <t>peruskoulu suoritettu</t>
  </si>
  <si>
    <t>Toinen aste</t>
  </si>
  <si>
    <t>Lukion oppimäärä</t>
  </si>
  <si>
    <t>ComboBox_EtKoulutustausta_alku#lukion oppimäärä</t>
  </si>
  <si>
    <t>lukion oppimäärä</t>
  </si>
  <si>
    <t>Ylioppilas</t>
  </si>
  <si>
    <t>yksikkö perustiedoista</t>
  </si>
  <si>
    <t>;JA!$CI:$CI;$W$7;</t>
  </si>
  <si>
    <t>ComboBox_EtKoulutustausta_alku#ylioppilas</t>
  </si>
  <si>
    <t>ylioppilas</t>
  </si>
  <si>
    <t>2. asteen ammatillinen tutkinto suoritettu</t>
  </si>
  <si>
    <t>uudet henkilöt (ei aika)</t>
  </si>
  <si>
    <t>JA!$BE:$BE;Parkki!$Y$5</t>
  </si>
  <si>
    <t>ComboBox_EtKoulutustausta_alku#2. asteen ammatillinen tutkinto</t>
  </si>
  <si>
    <t>ComboBox_TyToimenpide#vajaakuntoisten ammatillisessa koulutuksessa</t>
  </si>
  <si>
    <t>2. asteen ammatillinen tutkinto</t>
  </si>
  <si>
    <t>Korkeakoulu</t>
  </si>
  <si>
    <t>Ammattikorkeakoulututkinto</t>
  </si>
  <si>
    <t>;JA!$AI:$AI;Parkki!$Y$4;</t>
  </si>
  <si>
    <t>ComboBox_EtKoulutustausta_alku#ammattikorkeakoulututkinto</t>
  </si>
  <si>
    <t>ComboBox_TyToimenpide#avomuotoisessa työhönvalmennuksessa</t>
  </si>
  <si>
    <t>ammattikorkeakoulututkinto</t>
  </si>
  <si>
    <t>Yliopistotutkinto</t>
  </si>
  <si>
    <t>vain yksi toimenpide</t>
  </si>
  <si>
    <t>JA!CT:CT;1</t>
  </si>
  <si>
    <t>ComboBox_EtKoulutustausta_alku#yliopistotutkinto</t>
  </si>
  <si>
    <t>ComboBox_TyToimenpide#mielenterveyskuntoutujien työhönvalmennuksessa</t>
  </si>
  <si>
    <t>yliopistotutkinto</t>
  </si>
  <si>
    <t>Muu</t>
  </si>
  <si>
    <t>Ulkomailla suoritettu tutkinto</t>
  </si>
  <si>
    <t>yksikkö</t>
  </si>
  <si>
    <t>;JA!$Y:$Y;Parkki!$W$6</t>
  </si>
  <si>
    <t>ComboBox_EtKoulutustausta_alku#ulkomailla suoritettu tutkinto</t>
  </si>
  <si>
    <t>ComboBox_TyToimenpide#vajaakuntoisten työhönvalmennuksessa</t>
  </si>
  <si>
    <t>ulkomailla suoritettu tutkinto</t>
  </si>
  <si>
    <t>uusdet henkilöt</t>
  </si>
  <si>
    <t>JA!$AJ:$AJ;Parkki!$Y$2)</t>
  </si>
  <si>
    <t>ComboBox_EtKoulutustausta_alku#muu tutkinto</t>
  </si>
  <si>
    <t>ComboBox_TyToimenpide#ammatillinen kuntoutusselvitys</t>
  </si>
  <si>
    <t>muu tutkinto</t>
  </si>
  <si>
    <t>missä uusi asiakas (jakso), eikä uusin ikinä</t>
  </si>
  <si>
    <t>ComboBox_EtKoulutustausta_alku#ei tietoa</t>
  </si>
  <si>
    <t>ComboBox_TyToimenpide#ammatillinen kuntoutus</t>
  </si>
  <si>
    <t>ei tietoa</t>
  </si>
  <si>
    <t>eri kaav ""</t>
  </si>
  <si>
    <t>ComboBox_TyToimenpide#ammatillinen kuntoutuskurssi</t>
  </si>
  <si>
    <t>Toimenpiteet</t>
  </si>
  <si>
    <t>Työpajasopimukseen perustuvat toimenpiteet</t>
  </si>
  <si>
    <t>Starttivalmennus tai muu matalan kynnyksen palvelu</t>
  </si>
  <si>
    <t>ComboBox_TyToimenpide#starttivalmennus tai muu matalan kynnyksen palvelu</t>
  </si>
  <si>
    <t>Työelämävalmennus</t>
  </si>
  <si>
    <t>ComboBox_TyToimenpide#työelämävalmennus</t>
  </si>
  <si>
    <t>Opiskeluun valmennus</t>
  </si>
  <si>
    <t>ComboBox_TyToimenpide#opiskeluun valmennus</t>
  </si>
  <si>
    <t>Opinnollistava nuorten valmennus koulutuksen ulkopuolella olevalle nuorelle</t>
  </si>
  <si>
    <t>ComboBox_TyToimenpide#opinnollistava nuorten valmennus koulutuksen ulkopuolella olevalle nuorelle</t>
  </si>
  <si>
    <t>Muu työpajavalmennus sopimuksella</t>
  </si>
  <si>
    <t>ComboBox_TyToimenpide#muu työpajavalmennus sopimuksella</t>
  </si>
  <si>
    <t>ComboBox_TyToimenpide#kunnan oma sopimus</t>
  </si>
  <si>
    <t>ComboBox_TyToimenpide#toimenpide sopimuksella</t>
  </si>
  <si>
    <t>ComboBox_TyToimenpide#työpajasopimus</t>
  </si>
  <si>
    <t>(Muut) Valtionapukelpoiset palvelut</t>
  </si>
  <si>
    <t>Vain alkukartoitus / palveluohjaus</t>
  </si>
  <si>
    <t>ComboBox_TyToimenpide#vain alkukartoitus / palveluohjaus</t>
  </si>
  <si>
    <t>ComboBox_TyToimenpide#palveluohjauksessa</t>
  </si>
  <si>
    <t>Starttijakso</t>
  </si>
  <si>
    <t>ComboBox_TyToimenpide#starttijakso</t>
  </si>
  <si>
    <t>Työkokeilu  (sisältää valmennusta)</t>
  </si>
  <si>
    <t>ComboBox_TyToimenpide#työkokeilu</t>
  </si>
  <si>
    <t>ComboBox_TyToimenpide#työkokeilussa</t>
  </si>
  <si>
    <t>Koulutussopimus</t>
  </si>
  <si>
    <t>ComboBox_TyToimenpide#koulutussopimus</t>
  </si>
  <si>
    <t>ComboBox_TyToimenpide#työssäoppimisjaksolla</t>
  </si>
  <si>
    <t>TET-opiskelijat</t>
  </si>
  <si>
    <t>ComboBox_TyToimenpide#TET-opiskelijat</t>
  </si>
  <si>
    <t>(Nuorten-) kesätyö</t>
  </si>
  <si>
    <t>ComboBox_TyToimenpide#(nuorten-) kesätyö</t>
  </si>
  <si>
    <t>ComboBox_TyToimenpide#(nuorten-) kesätyössä</t>
  </si>
  <si>
    <t>ComboBox_TyToimenpide#(nuorten.) kesätyö</t>
  </si>
  <si>
    <t>Palkkatyö</t>
  </si>
  <si>
    <t>ComboBox_TyToimenpide#palkkatyö</t>
  </si>
  <si>
    <t>Palkkatuettu työ</t>
  </si>
  <si>
    <t>ComboBox_TyToimenpide#palkkatuettu työ</t>
  </si>
  <si>
    <t>ComboBox_TyToimenpide#töissä palkkatuella/työsuhteessa</t>
  </si>
  <si>
    <t>Muu palvelu ilman mitään sopimusta</t>
  </si>
  <si>
    <t>ComboBox_TyToimenpide#muu palvelu ilman mitään sopimusta</t>
  </si>
  <si>
    <t>ComboBox_TyToimenpide#toimenpide ilman lähettävän tahon sopimusta</t>
  </si>
  <si>
    <t>ComboBox_TyToimenpide#palvelu ilman mitään sopimusta</t>
  </si>
  <si>
    <t>Koulutuspalvelut</t>
  </si>
  <si>
    <t>Peruskoulu / pajakoulu</t>
  </si>
  <si>
    <t>ComboBox_TyToimenpide#peruskoulu / pajakoulu</t>
  </si>
  <si>
    <t>ComboBox_TyToimenpide#pajakoulussa</t>
  </si>
  <si>
    <t>ComboBox_TyToimenpide#suorittamassa oppivelvollisuutta työpajalla</t>
  </si>
  <si>
    <t>ComboBox_TyToimenpide#peruskoulussa + joustava perusopetus</t>
  </si>
  <si>
    <t>TUVA-koulutus</t>
  </si>
  <si>
    <t>ComboBox_TyToimenpide#TUVA-koulutus</t>
  </si>
  <si>
    <t>TELMA-koulutus</t>
  </si>
  <si>
    <t>ComboBox_TyToimenpide#TELMA-koulutus</t>
  </si>
  <si>
    <t>ComboBox_TyToimenpide#ammatillinen erityisopetus</t>
  </si>
  <si>
    <t>ComboBox_TyToimenpide#ammatillinen erityisopetus (TELMA)</t>
  </si>
  <si>
    <t>ComboBox_TyToimenpide#ammatillisessa erityisopetuksessa</t>
  </si>
  <si>
    <t>Oppimisen tuki</t>
  </si>
  <si>
    <t>ComboBox_TyToimenpide#oppimisen tuki</t>
  </si>
  <si>
    <t>ComboBox_TyToimenpide#ammatillinen koulutus</t>
  </si>
  <si>
    <t>ComboBox_TyToimenpide#ammatillinen koulutus (ilman sopimusta)</t>
  </si>
  <si>
    <t>ComboBox_TyToimenpide#ammatillinen koulutus / ammatillisen koulutuksen tukijakso</t>
  </si>
  <si>
    <t>ComboBox_TyToimenpide#lukio</t>
  </si>
  <si>
    <t>Motivointijakso</t>
  </si>
  <si>
    <t>ComboBox_TyToimenpide#motivointijakso</t>
  </si>
  <si>
    <t>Oppisopimus / tuettu oppisopimus</t>
  </si>
  <si>
    <t>ComboBox_TyToimenpide#oppisopimus / tuettu oppisopimus</t>
  </si>
  <si>
    <t>ComboBox_TyToimenpide#tuetussa oppisopimuskoulutuksessa</t>
  </si>
  <si>
    <t>ComboBox_TyToimenpide#oppisopimuskoulutuksessa</t>
  </si>
  <si>
    <t>ComboBox_TyToimenpide#oppisopimus . tuettu oppisopimus</t>
  </si>
  <si>
    <t>Työllisyysalueen ja kunnan palvelut</t>
  </si>
  <si>
    <t>Työhönvalmennus</t>
  </si>
  <si>
    <t>ComboBox_TyToimenpide#työhönvalmennus</t>
  </si>
  <si>
    <t>ComboBox_TyToimenpide#työhönvalmennuksessa</t>
  </si>
  <si>
    <t>Uravalmennus</t>
  </si>
  <si>
    <t>ComboBox_TyToimenpide#uravalmennus</t>
  </si>
  <si>
    <t>Työnhakuvalmennus</t>
  </si>
  <si>
    <t>ComboBox_TyToimenpide#työnhakuvalmennus</t>
  </si>
  <si>
    <t>Työvoimakoulutus</t>
  </si>
  <si>
    <t>ComboBox_TyToimenpide#työvoimakoulutus</t>
  </si>
  <si>
    <t>ComboBox_TyToimenpide#työvoimapoliittisessa koulutuksessa</t>
  </si>
  <si>
    <t>ComboBox_TyToimenpide#arbetsmarknadsutbildning</t>
  </si>
  <si>
    <t>Maahanmuuttajan kotoutumistoimenpide</t>
  </si>
  <si>
    <t>ComboBox_TyToimenpide#maahanmuuttajan kotoutumistoimenpide</t>
  </si>
  <si>
    <t>ComboBox_TyToimenpide#maahanmuuttajan kotoutumistoimenpiteessä</t>
  </si>
  <si>
    <t>55 vuotta täyttäneiden työllistämistuki</t>
  </si>
  <si>
    <t>ComboBox_TyToimenpide#55 vuotta täyttäneiden työllistämistuki</t>
  </si>
  <si>
    <t>Jokin muu kunnan palvelu</t>
  </si>
  <si>
    <t>ComboBox_TyToimenpide#jokin muu kunnan palvelu</t>
  </si>
  <si>
    <t>Hyvinvointialueiden palvelut</t>
  </si>
  <si>
    <t>Kuntouttava työtoiminta</t>
  </si>
  <si>
    <t>ComboBox_TyToimenpide#kuntouttava työtoiminta</t>
  </si>
  <si>
    <t>ComboBox_TyToimenpide#kuntouttavassa työtoiminnassa</t>
  </si>
  <si>
    <t>Sosiaalihuoltolain mukainen sosiaalinen kuntoutus</t>
  </si>
  <si>
    <t>ComboBox_TyToimenpide#sosiaalinen kuntoutus</t>
  </si>
  <si>
    <t>ComboBox_TyToimenpide#sosiaalihuoltolain mukainen sosiaalinen kuntoutus</t>
  </si>
  <si>
    <t>Kehitysvammaisten työ- ja päivätoiminta</t>
  </si>
  <si>
    <t>ComboBox_TyToimenpide#kehitysvammaisten työ- ja päivätoiminta</t>
  </si>
  <si>
    <t>ComboBox_TyToimenpide#kehitysvammaisten päivätoiminta</t>
  </si>
  <si>
    <t>ComboBox_TyToimenpide#kehitysvammaisten päivätoiminnassa</t>
  </si>
  <si>
    <t>Muu sosiaalihuollon ennaltaehkäisevä tukitoimi</t>
  </si>
  <si>
    <t>ComboBox_TyToimenpide#muu sosiaalihuollon ennaltaehkäisevä tukitoimi</t>
  </si>
  <si>
    <t>ComboBox_TyToimenpide#muu sosiaalitoimen ennaltaehkäisevä tukitoimi</t>
  </si>
  <si>
    <t>ComboBox_TyToimenpide#muussa sosiaalitoimen ennaltaehkäisevässä tukitoimessa</t>
  </si>
  <si>
    <t>Nuotti-valmennus</t>
  </si>
  <si>
    <t>ComboBox_TyToimenpide#Nuotti-valmennus</t>
  </si>
  <si>
    <t>Ammatillinen kuntoutus: Työkokeilu</t>
  </si>
  <si>
    <t>ComboBox_TyToimenpide#Ammatillinen kuntoutus: Työkokeilu</t>
  </si>
  <si>
    <t>Ammatillinen kuntoutus: Työhönvalmennus</t>
  </si>
  <si>
    <t>ComboBox_TyToimenpide#Ammatillinen kuntoutus: Työhönvalmennus</t>
  </si>
  <si>
    <t>Oma väylä-kuntoutus</t>
  </si>
  <si>
    <t>ComboBox_TyToimenpide#oma väylä-kuntoutus</t>
  </si>
  <si>
    <t>Jokin muu Kelan kuntoutus</t>
  </si>
  <si>
    <t>ComboBox_TyToimenpide#jokin muu Kelan kuntoutus</t>
  </si>
  <si>
    <t>ComboBox_TyToimenpide#muu ammatillinen kuntoutus</t>
  </si>
  <si>
    <t>YHTEENSÄ</t>
  </si>
  <si>
    <t>ComboBox_TyToimenpide#työllistämistä edistävä ammatillinen kuntoutus TEAK</t>
  </si>
  <si>
    <t>Muut tahot</t>
  </si>
  <si>
    <t>Työ- ja toimintakyvyn arviointi</t>
  </si>
  <si>
    <t>ComboBox_TyToimenpide#työ- ja toimintakyvyn arviointi</t>
  </si>
  <si>
    <t>Siviilipalvelus (valtio)</t>
  </si>
  <si>
    <t>ComboBox_TyToimenpide#siviilipalvelus</t>
  </si>
  <si>
    <t>Jossakin muussa toimenpiteessä</t>
  </si>
  <si>
    <t>ComboBox_TyToimenpide#jokin muu</t>
  </si>
  <si>
    <t>ComboBox_TyToimenpide#jossakin muussa toimenpiteessä</t>
  </si>
  <si>
    <t>ComboBox_TyToimenpide#tuotantokoulu</t>
  </si>
  <si>
    <t>ComboBox_TyToimenpide#velvoitetyöllistetty (yli 57-vuotiaille)</t>
  </si>
  <si>
    <t xml:space="preserve">Ei tietoa </t>
  </si>
  <si>
    <t>Ei tietoa (Jaksolle ei ole kirjattu toimenpidettä)</t>
  </si>
  <si>
    <t>ComboBox_TyToimenpide#ei tietoa</t>
  </si>
  <si>
    <t>Ei tietoa (Jaksoa ei ole kirjattu lainkaan)</t>
  </si>
  <si>
    <t>eri kaava ERI SIVULTA</t>
  </si>
  <si>
    <t>Nämä luvut sijoittumisesta työpajajakson jälkeen julkistetaan ja visualisoidaan nuorisotilastot.fi sivuille otsikkotasolla:</t>
  </si>
  <si>
    <t>Sijoittuminen</t>
  </si>
  <si>
    <t>Edelleen työpajalla</t>
  </si>
  <si>
    <t>ComboBox_TySijoittuminen#edelleen työpajalla</t>
  </si>
  <si>
    <t>Koulutukseen</t>
  </si>
  <si>
    <t>Koulutukseen -tutkintotavoite</t>
  </si>
  <si>
    <t>ComboBox_TySijoittuminen#koulutukseen -tutkintotavoite</t>
  </si>
  <si>
    <t>ComboBox_TySijoittuminen#</t>
  </si>
  <si>
    <t>Työelämään</t>
  </si>
  <si>
    <t>ComboBox_TySijoittuminen#TUVA-koulutus</t>
  </si>
  <si>
    <t>ComboBox_TySijoittuminen#ei aloittanut</t>
  </si>
  <si>
    <t>Koulutukseen -kurssit/osatutkinnot</t>
  </si>
  <si>
    <t>Muuhun ohjattuun toimenpiteeseen</t>
  </si>
  <si>
    <t>ComboBox_TySijoittuminen#koulutukseen -kurssit/osatutkinnot</t>
  </si>
  <si>
    <t>ComboBox_TySijoittuminen#koulutukseen -kurssi</t>
  </si>
  <si>
    <t>Oppisopimus</t>
  </si>
  <si>
    <t>Muualle</t>
  </si>
  <si>
    <t>ComboBox_TySijoittuminen#oppisopimus</t>
  </si>
  <si>
    <t>Työttömäksi</t>
  </si>
  <si>
    <t>koulutukseen</t>
  </si>
  <si>
    <t>*****Koulutus*****</t>
  </si>
  <si>
    <t>Työelämään -avoimille</t>
  </si>
  <si>
    <t>Muutto toiselle paikkakunnalle</t>
  </si>
  <si>
    <t>ComboBox_TySijoittuminen#työelämään -avoimille</t>
  </si>
  <si>
    <t>Työelämään palkkatuella</t>
  </si>
  <si>
    <t>ComboBox_TySijoittuminen#työelämään palkkatuella</t>
  </si>
  <si>
    <t>ComboBox_TySijoittuminen#työelämään -tuettu</t>
  </si>
  <si>
    <t>työelämään</t>
  </si>
  <si>
    <t>ComboBox_TySijoittuminen#*****Työelämään*****</t>
  </si>
  <si>
    <t>Työkokeilu</t>
  </si>
  <si>
    <t>ComboBox_TySijoittuminen#työkokeilu</t>
  </si>
  <si>
    <t>ComboBox_TySijoittuminen#kuntouttava työtoiminta</t>
  </si>
  <si>
    <t>Kuntoutuspalvelut</t>
  </si>
  <si>
    <t>ComboBox_TySijoittuminen#kuntoutuspalvelut</t>
  </si>
  <si>
    <t>*****Muuhun ohjattuun toimenpiteeseen*****</t>
  </si>
  <si>
    <t>Ei aloittanut tai keskeytynyt</t>
  </si>
  <si>
    <t>ComboBox_TySijoittuminen#mielenterveyspalvelut</t>
  </si>
  <si>
    <t>Päihdekuntoutus</t>
  </si>
  <si>
    <t>ComboBox_TySijoittuminen#päihdekuntoutus</t>
  </si>
  <si>
    <t>ComboBox_TySijoittuminen#muuhun ohjattuun toimenpiteeseen</t>
  </si>
  <si>
    <t>Perhevapaa</t>
  </si>
  <si>
    <t>ComboBox_TySijoittuminen#perhevapaa</t>
  </si>
  <si>
    <t>Sairausloma</t>
  </si>
  <si>
    <t>ComboBox_TySijoittuminen#sairausloma</t>
  </si>
  <si>
    <t>Eläke</t>
  </si>
  <si>
    <t>ComboBox_TySijoittuminen#eläke</t>
  </si>
  <si>
    <t>Armeija</t>
  </si>
  <si>
    <t>ComboBox_TySijoittuminen#armeija</t>
  </si>
  <si>
    <t>*****Muualle*****</t>
  </si>
  <si>
    <t>Siviilipalvelus</t>
  </si>
  <si>
    <t>ComboBox_TySijoittuminen#siviilipalvelus</t>
  </si>
  <si>
    <t>ComboBox_TySijoittuminen#muualle</t>
  </si>
  <si>
    <t>ComboBox_TySijoittuminen#työttömäksi</t>
  </si>
  <si>
    <t>ComboBox_TySijoittuminen#työllisyyden kuntakokeilu</t>
  </si>
  <si>
    <t>Muu syy</t>
  </si>
  <si>
    <t>Ei aloittanut</t>
  </si>
  <si>
    <t>Keskeytynyt ilman lisätietoa</t>
  </si>
  <si>
    <t>ComboBox_TySijoittuminen#keskeytynyt ilman lisätietoa</t>
  </si>
  <si>
    <t>ComboBox_TySijoittuminen#muutto toiselle paikkakunnalle</t>
  </si>
  <si>
    <t>ComboBox_TySijoittuminen#ei tietoa</t>
  </si>
  <si>
    <t>*****Työttömäksi*****</t>
  </si>
  <si>
    <t>Ei seurata</t>
  </si>
  <si>
    <t>ComboBox_TySijoittuminen#ei seurata</t>
  </si>
  <si>
    <t>*****Ei tietoa*****</t>
  </si>
  <si>
    <t>ComboBox_TySeuranta#</t>
  </si>
  <si>
    <t>ComboBox_TySeuranta#koulutuksessa</t>
  </si>
  <si>
    <t>ComboBox_TySeuranta#työelämässä</t>
  </si>
  <si>
    <t>ComboBox_TySeuranta#työttömänä</t>
  </si>
  <si>
    <t>ComboBox_TySeuranta#edelleen työpajalla</t>
  </si>
  <si>
    <t>ComboBox_TySeuranta#muualla</t>
  </si>
  <si>
    <t>ComboBox_TySeuranta#ei saatu yhteyttä</t>
  </si>
  <si>
    <t>ComboBox_TySeuranta#ei tietoa</t>
  </si>
  <si>
    <t>ComboBox_TySeuranta#ei seurata</t>
  </si>
  <si>
    <t>Sivun alkuun</t>
  </si>
  <si>
    <t>Kyllä, tarkistettu ja siirretään eteenpäin</t>
  </si>
  <si>
    <t>Ei tarkistettu, ei siirretä</t>
  </si>
  <si>
    <t>Yhteydenottopyyntö</t>
  </si>
  <si>
    <t>ComboBox_EtStatus#yhteydenottopyyntö</t>
  </si>
  <si>
    <t>Valitsematta</t>
  </si>
  <si>
    <t>Kontakti</t>
  </si>
  <si>
    <t>ComboBox_EtStatus#kontakti</t>
  </si>
  <si>
    <t xml:space="preserve">Tiedot tarkistettu? </t>
  </si>
  <si>
    <t>Tavoitettu</t>
  </si>
  <si>
    <t>ComboBox_EtStatus#tavoitettu</t>
  </si>
  <si>
    <t>OptionButton_TyHlo_N</t>
  </si>
  <si>
    <t>OptionButton_TyHlo_M</t>
  </si>
  <si>
    <t>vanha</t>
  </si>
  <si>
    <t>PAR-järjestelmän organisaatio-lehdellä ilmoitetut henkilöstöluvut:</t>
  </si>
  <si>
    <t>HTV</t>
  </si>
  <si>
    <t>HLÖ</t>
  </si>
  <si>
    <t>*tietojen tulisi täsmätä henkilöstö-sivun kanssa</t>
  </si>
  <si>
    <t>Henkilöstön määrä</t>
  </si>
  <si>
    <t>Henkilöstön koulutustausta ja sukupuoli</t>
  </si>
  <si>
    <t>Työsuhde</t>
  </si>
  <si>
    <t>ComboBox_TyHlo_tyosuhde#vakituinen</t>
  </si>
  <si>
    <t>ComboBox_TyHlo_koulutus#yliopistotutkinto</t>
  </si>
  <si>
    <t>ComboBox_TyHlo_tyosuhde#muu määräaikaisuus</t>
  </si>
  <si>
    <t>ComboBox_TyHlo_tyosuhde#vakituisluonteinen</t>
  </si>
  <si>
    <t>ComboBox_TyHlo_koulutus#ylempi AMK-tutkinto</t>
  </si>
  <si>
    <t>Vakituisia</t>
  </si>
  <si>
    <t>ComboBox_TyHlo_tyosuhde#projektirahoituksella palkattu määräaikainen</t>
  </si>
  <si>
    <t>ComboBox_TyHlo_tyosuhde#muulla projektirahoituksella palkattu</t>
  </si>
  <si>
    <t>ComboBox_TyHlo_koulutus#AMK-tutkinto</t>
  </si>
  <si>
    <t>Projektirahoituksella palkattu määräaikainen</t>
  </si>
  <si>
    <t>ComboBox_TyHlo_tyosuhde#palkkatuella työllistetty</t>
  </si>
  <si>
    <t>ComboBox_TyHlo_koulutus#2. asteen tutkinto</t>
  </si>
  <si>
    <t>Muu määräaikaisuus (aikaisemmin vakituisluonteinen)</t>
  </si>
  <si>
    <t>ComboBox_TyHlo_tyosuhde#muu</t>
  </si>
  <si>
    <t>ComboBox_TyHlo_koulutus#muu ammattitutkinto</t>
  </si>
  <si>
    <t>Palkkatuella työllistettyjä</t>
  </si>
  <si>
    <t>ComboBox_TyHlo_tyosuhde#ei tietoa</t>
  </si>
  <si>
    <t>ComboBox_TyHlo_koulutus#ei ammatillista koulutusta</t>
  </si>
  <si>
    <t>ComboBox_TyHlo_koulutus#muu koulutus</t>
  </si>
  <si>
    <t>ComboBox_TyHlo_koulutus#ei tietoa</t>
  </si>
  <si>
    <t>Työtehtävä</t>
  </si>
  <si>
    <r>
      <t xml:space="preserve">HTV </t>
    </r>
    <r>
      <rPr>
        <sz val="11"/>
        <rFont val="Calibri"/>
        <family val="2"/>
        <scheme val="minor"/>
      </rPr>
      <t>(arvio kohdistuen työhön alle 29-vuotiaiden nuorten kanssa)</t>
    </r>
  </si>
  <si>
    <t>ComboBox_TyHlo_tyoteht#</t>
  </si>
  <si>
    <t>Millaisissa tehtävissä henkilöstö toimi?</t>
  </si>
  <si>
    <t>Henkilöstön koulutustausta ja tehtävä</t>
  </si>
  <si>
    <t>ComboBox_TyHlo_tyoteht#työvalmentajana</t>
  </si>
  <si>
    <t>Työvalmentajina</t>
  </si>
  <si>
    <t>ComboBox_TyHlo_tyoteht#työ-/työhönvalmentajana</t>
  </si>
  <si>
    <t>ComboBox_TyHlo_tyoteht#työhönvalmentajana</t>
  </si>
  <si>
    <t>Yksilövalmentajina</t>
  </si>
  <si>
    <t>ComboBox_TyHlo_tyoteht#yksilövalmentajana</t>
  </si>
  <si>
    <t>Työhönvalmentajina</t>
  </si>
  <si>
    <t>ComboBox_TyHlo_tyoteht#etsivän nuorisotyöntekijänä</t>
  </si>
  <si>
    <t>Etsivän nuorisotyötekijöinä</t>
  </si>
  <si>
    <t>ComboBox_TyHlo_tyoteht#johtotehtävissä</t>
  </si>
  <si>
    <t>Johtotehtävissä</t>
  </si>
  <si>
    <t>ComboBox_TyHlo_tyoteht#kehittämis- ja suunnittelutehtävissä</t>
  </si>
  <si>
    <t>Kehittämis- ja suunnittelutehtävissä</t>
  </si>
  <si>
    <t>ComboBox_TyHlo_tyoteht#muissa hallinnon työtehtävissä</t>
  </si>
  <si>
    <t>Muissa hallinnon työtehtävissä</t>
  </si>
  <si>
    <t>ComboBox_TyHlo_tyoteht#muissa tehtävissä</t>
  </si>
  <si>
    <t>Muissa tehtävissä</t>
  </si>
  <si>
    <t>ComboBox_TyHlo_tyoteht#ei tietoa</t>
  </si>
  <si>
    <t>Koulutus</t>
  </si>
  <si>
    <t>Henkilöstön kielitaito</t>
  </si>
  <si>
    <t>Etsivien ammattinimike</t>
  </si>
  <si>
    <t>Yliopisto</t>
  </si>
  <si>
    <t>ComboBox_TyHlo_tutkinto#kuntoutuksen ohjaaja</t>
  </si>
  <si>
    <t>Ylempi ammattikorkeakoulu</t>
  </si>
  <si>
    <t>ComboBox_TyHlo_tutkinto#lasten ja nuorten erityisohjaaja</t>
  </si>
  <si>
    <t>Ammattikorkeakoulu</t>
  </si>
  <si>
    <t>ComboBox_TyHlo_tutkinto#liikunnanohjaaja</t>
  </si>
  <si>
    <t>2. asteen tutkinto</t>
  </si>
  <si>
    <t>ComboBox_TyHlo_tutkinto#lähihoitaja</t>
  </si>
  <si>
    <t>Muu ammattitutkinto</t>
  </si>
  <si>
    <t>ComboBox_TyHlo_tutkinto#nuoriso- ja vapaa-ajan ohjaaja</t>
  </si>
  <si>
    <t>Ei ammattillista tutkintoa</t>
  </si>
  <si>
    <t>ComboBox_TyHlo_tutkinto#nuorisosihteeri</t>
  </si>
  <si>
    <t>ComboBox_TyHlo_tutkinto#sairaanhoitaja</t>
  </si>
  <si>
    <t>ComboBox_TyHlo_tutkinto#sosionomi</t>
  </si>
  <si>
    <t>Yhteensä (henkilömäärä):</t>
  </si>
  <si>
    <t>ComboBox_TyHlo_tutkinto#yhteisöpedagogi</t>
  </si>
  <si>
    <t>ComboBox_TyHlo_tutkinto#muu</t>
  </si>
  <si>
    <t>ComboBox_TyHlo_tutkinto#ei tietoa</t>
  </si>
  <si>
    <t>Työntehtävä</t>
  </si>
  <si>
    <t>Ylempi Ammatti- korkeakoulu</t>
  </si>
  <si>
    <t>Ammatti-korkeakoulu</t>
  </si>
  <si>
    <t>Muu, erittele alla</t>
  </si>
  <si>
    <t>Kieli</t>
  </si>
  <si>
    <t>%</t>
  </si>
  <si>
    <t>Työvalmentajat</t>
  </si>
  <si>
    <t>Yksilövalmentajat</t>
  </si>
  <si>
    <t>Työhönvalmentajat</t>
  </si>
  <si>
    <t>Johto</t>
  </si>
  <si>
    <t>Kehittäminen ja suunnittelu</t>
  </si>
  <si>
    <t>Muu hallinto</t>
  </si>
  <si>
    <t>Tutkinto</t>
  </si>
  <si>
    <t>kuntoutuksen ohjaaja</t>
  </si>
  <si>
    <t>lasten ja nuorten erityisohjaaja</t>
  </si>
  <si>
    <t>liikunnanohjaaja</t>
  </si>
  <si>
    <t>lähihoitaja</t>
  </si>
  <si>
    <t>nuoriso- ja vapaa-ajan ohjaaja</t>
  </si>
  <si>
    <t>nuorisosihteeri</t>
  </si>
  <si>
    <t>sairaanhoitaja</t>
  </si>
  <si>
    <t>sosionomi</t>
  </si>
  <si>
    <t>yhteisöpedagogi</t>
  </si>
  <si>
    <t>muu</t>
  </si>
  <si>
    <t>Voit tarkistaa yhden työntekijän henkilötyövuodet HTV-laskurilla</t>
  </si>
  <si>
    <t>Tällä laskurilla lasketaan yhden työntekijän henkilövuodet yhden vuoden aikana</t>
  </si>
  <si>
    <t>HTV-laskuri</t>
  </si>
  <si>
    <t>Esimerkki</t>
  </si>
  <si>
    <t>Nimi</t>
  </si>
  <si>
    <t>Työ alkanut 
(1 vuoden aikana)</t>
  </si>
  <si>
    <t>Työ loppunut 
(1 vuoden aikana)</t>
  </si>
  <si>
    <t>Päiviä</t>
  </si>
  <si>
    <t>Laskettu htv</t>
  </si>
  <si>
    <t>Työaika-prosentti</t>
  </si>
  <si>
    <t>Essi Esimerkki</t>
  </si>
  <si>
    <t>Summa</t>
  </si>
  <si>
    <t xml:space="preserve">OHJE: Merkitse halutessasi työntekijän nimi. 
Merkitse yhdelle riville aikaväli, jolloin työntekijä on ollut töissä ja määritä kyseiselle ajalle työaikaprosentti. 
Ota laskurissa huomioon yli 10 päivän yhtämittaiset työsuhteenkatkot.
Voit tehdä aina uuden rivin työsuhteenkatkon jälkeen toteutuneelle työsuhdejaksolle. 
Laskuriin merkitään työajat vain yhden vuoden ajalta, jolloin 100% työsuhde koko vuodelta on 1HTV. Työsuhteenkatkot tai pienempi kuin 100 % työaika vähentävät henkilötyövuosia. 
Laskuri laskee toteutuneet palvelussuhdepäivät ja HTV:n työntekijälle merkittyjen työaikarivien perusteella.
</t>
  </si>
  <si>
    <t>Ohjevideon löydät osoitteesta:</t>
  </si>
  <si>
    <t>https://www.youtube.com/watch?v=3sJG_xIwlWU</t>
  </si>
  <si>
    <t>ok</t>
  </si>
  <si>
    <t>Sukupuoli</t>
  </si>
  <si>
    <t xml:space="preserve">Uusia </t>
  </si>
  <si>
    <t>Tammikuu</t>
  </si>
  <si>
    <t>Helmikuu</t>
  </si>
  <si>
    <t>Maaliskuu</t>
  </si>
  <si>
    <t>Huhtikuu</t>
  </si>
  <si>
    <t>Toukokuu</t>
  </si>
  <si>
    <t>Kesäkuu</t>
  </si>
  <si>
    <t>Heinäkuu</t>
  </si>
  <si>
    <t>Elokuu</t>
  </si>
  <si>
    <t>Syyskuu</t>
  </si>
  <si>
    <t>Lokakuu</t>
  </si>
  <si>
    <t>Marraskuu</t>
  </si>
  <si>
    <t>Joulukuu</t>
  </si>
  <si>
    <t>kaikista %</t>
  </si>
  <si>
    <t>Miehet</t>
  </si>
  <si>
    <t>Naiset</t>
  </si>
  <si>
    <t>jatkavat</t>
  </si>
  <si>
    <t>Uudet jaksot</t>
  </si>
  <si>
    <t>Uusia jaksoja</t>
  </si>
  <si>
    <t>Kaikki jaksot</t>
  </si>
  <si>
    <t>Jaksojen</t>
  </si>
  <si>
    <t>kertymä yht.</t>
  </si>
  <si>
    <t>Ikäryhmä</t>
  </si>
  <si>
    <t>Nuoret yhteensä</t>
  </si>
  <si>
    <t>Alle 17 vuotta</t>
  </si>
  <si>
    <t>17-20 vuotta</t>
  </si>
  <si>
    <t>21-24 vuotta</t>
  </si>
  <si>
    <t>25-28 vuotta</t>
  </si>
  <si>
    <t>29-49 vuotta</t>
  </si>
  <si>
    <t>Yli 50 vuotta</t>
  </si>
  <si>
    <t xml:space="preserve">Valmentautujien ohjautuminen työpajatoimintaan ohjaavan tahon mukaan - </t>
  </si>
  <si>
    <t>Ohjautuminen</t>
  </si>
  <si>
    <t>Toisen asteen oppilaitos</t>
  </si>
  <si>
    <t>Nuorisopalvelut yhteensä</t>
  </si>
  <si>
    <t>Hyvinvointialueen palvelut yhteensä</t>
  </si>
  <si>
    <t>Mielenterveyspalvelu</t>
  </si>
  <si>
    <t>Otettu käyttöön vain korjattu arvo</t>
  </si>
  <si>
    <t>NUORET Yhteensä</t>
  </si>
  <si>
    <t>järjestys</t>
  </si>
  <si>
    <t>Sjoittuminen</t>
  </si>
  <si>
    <t xml:space="preserve">Työpajalla olleiden valmentautujien sijoittuminen työpajajakson aikana tai sen jälkeen </t>
  </si>
  <si>
    <t>Koulutukseen**</t>
  </si>
  <si>
    <t>Työelämään**</t>
  </si>
  <si>
    <t>Työllisyyden kuntakokeilu</t>
  </si>
  <si>
    <t>Työpajalla valmentautujia</t>
  </si>
  <si>
    <t>**kirjaustapa ennen vuotta 2018</t>
  </si>
  <si>
    <t xml:space="preserve">&gt; Asiakkuudet
</t>
  </si>
  <si>
    <t>Yhteensä määrä</t>
  </si>
  <si>
    <t>Kaikkien valmentautujien määrä</t>
  </si>
  <si>
    <t>määrä</t>
  </si>
  <si>
    <t>osuus %</t>
  </si>
  <si>
    <t>Kaikki yhteensä</t>
  </si>
  <si>
    <t>UUSIEN Valmentautujien määrä (ei aikaisempia jaksoja)</t>
  </si>
  <si>
    <t>UUSIEN valmentautujien määrä (löytyy jaksoja edellisiltä vuosilta)</t>
  </si>
  <si>
    <t xml:space="preserve">KAIKKIEN Valmentautujien määrä </t>
  </si>
  <si>
    <t>piilota:</t>
  </si>
  <si>
    <t>Valmennuksen kesto: 
Kaikki valmentautujat, osuus (%)</t>
  </si>
  <si>
    <t>Työpajajaksojen kokonaiskesto, jonka valmentautuja on ollut pajalla kuukausina</t>
  </si>
  <si>
    <t>Jaksojen kesto</t>
  </si>
  <si>
    <t>Kaikki valmentautujat</t>
  </si>
  <si>
    <t>Nuoret valmentautujat</t>
  </si>
  <si>
    <t>osuus (%)</t>
  </si>
  <si>
    <t>Alle 2 kk</t>
  </si>
  <si>
    <t>2-3 kk</t>
  </si>
  <si>
    <t>3-6 kk</t>
  </si>
  <si>
    <t>6 kk - 1 v.</t>
  </si>
  <si>
    <t>Yli 1 v.</t>
  </si>
  <si>
    <t>Valmennuksen kesto: 
Nuoret valmentautujat, osuus (%)</t>
  </si>
  <si>
    <t>Kuva: Äidinkieli %</t>
  </si>
  <si>
    <t>Työpajalla olleiden valmentautujien äidinkieli</t>
  </si>
  <si>
    <t>määrä (%)</t>
  </si>
  <si>
    <t>piilota</t>
  </si>
  <si>
    <t>Valmentautujien ohjautuminen työpajatoimintaan ohjaavan tahon mukaan</t>
  </si>
  <si>
    <t xml:space="preserve"> Kaikki valmentautujat</t>
  </si>
  <si>
    <t>Kaikki naiset</t>
  </si>
  <si>
    <t>Nuoret naiset</t>
  </si>
  <si>
    <t>Oppilaitos yhteensä</t>
  </si>
  <si>
    <t>Työllisyyspalvelut yhteensä</t>
  </si>
  <si>
    <t>Muut julkiset palvelut yhteensä</t>
  </si>
  <si>
    <t>Muut yhteensä</t>
  </si>
  <si>
    <t>Ei rek. tietoa</t>
  </si>
  <si>
    <t>ERI KAAVA ""</t>
  </si>
  <si>
    <t>Valmentautujien koulutustaustat</t>
  </si>
  <si>
    <t>osuus kaikista (%)</t>
  </si>
  <si>
    <t>osuus nuorista(%)</t>
  </si>
  <si>
    <t>Työpajalla olleiden valmentautujien sijoittuminen työpajajakson aikana tai sen jälkeen</t>
  </si>
  <si>
    <t>edelleen työpajalla</t>
  </si>
  <si>
    <t>koulutukseen -tutkintotavoite</t>
  </si>
  <si>
    <t>koulutukseen -kurssit/osatutkinnot</t>
  </si>
  <si>
    <t>oppisopimus</t>
  </si>
  <si>
    <t>koulutukseen*</t>
  </si>
  <si>
    <t>työelämään -avoimille</t>
  </si>
  <si>
    <t>työelämään palkkatuella</t>
  </si>
  <si>
    <t>työelämään*</t>
  </si>
  <si>
    <t>työkokeilu</t>
  </si>
  <si>
    <t>kuntouttava työtoiminta</t>
  </si>
  <si>
    <t>kuntoutuspalvelut</t>
  </si>
  <si>
    <t>mielenterveyspalvelut</t>
  </si>
  <si>
    <t>päihdekuntoutus</t>
  </si>
  <si>
    <t>muuhun ohjattuun toimenpiteeseen</t>
  </si>
  <si>
    <t>perhevapaa</t>
  </si>
  <si>
    <t>sairausloma</t>
  </si>
  <si>
    <t>eläke</t>
  </si>
  <si>
    <t>armeija</t>
  </si>
  <si>
    <t>siviilipalvelus</t>
  </si>
  <si>
    <t>muualle</t>
  </si>
  <si>
    <t>työttömäksi</t>
  </si>
  <si>
    <t>ei aloittanut</t>
  </si>
  <si>
    <t>keskeytynyt ilman lisätietoa</t>
  </si>
  <si>
    <t>muutto toiselle paikkakunnalle</t>
  </si>
  <si>
    <t>ei seurata</t>
  </si>
  <si>
    <t>*kirjaustapa ennen vuotta 2018</t>
  </si>
  <si>
    <t>Edellisen vuoden aikana työpajalla olleiden valmentautujien sijoittuminen työpajajakson aikana tai sen jälkeen</t>
  </si>
  <si>
    <t>ComboBox_TySijoittuminen#koulutukseen</t>
  </si>
  <si>
    <t>ComboBox_TySijoittuminen#työelämään</t>
  </si>
  <si>
    <t>työllisyyden kuntakokeilu</t>
  </si>
  <si>
    <t>Vain yksi</t>
  </si>
  <si>
    <t>&gt; Asiakkuudet</t>
  </si>
  <si>
    <t>&gt; Kaikki toimenpiteet / Vain 1 toimenpide (yksi esiintymä/toimenpide/henkilö)</t>
  </si>
  <si>
    <t>Valmentautujien toimenpiteet sopimusjaksottain</t>
  </si>
  <si>
    <t>Toimenpide</t>
  </si>
  <si>
    <t>=SUMMA.JOS.JOUKKO(JA!$Z:$Z;JA!$AE:$AE;"OK";JA!$AT:$AT;Toimenpiteet!$AE50;JA!$AX:$AX;Toimenpiteet!$Y$6;JA!$CI:$CI;Toimenpiteet!$Y$1;JA!$BE:$BE;Toimenpiteet!$Y$5;JA!$AI:$AI;Toimenpiteet!$Y$4;JA!$AJ:$AJ;Toimenpiteet!$Y$2;JA!CT:CT;$AF$4)</t>
  </si>
  <si>
    <t>Valmentautujat (N)</t>
  </si>
  <si>
    <t>=SUMMA.JOS.JOUKKO(JA!$Z:$Z;JA!$AE:$AE;"OK";JA!$AT:$AT;'Toimenpiteet vanha'!$AL61;JA!$AX:$AX;'Toimenpiteet vanha'!$Y$6;JA!$CI:$CI;'Toimenpiteet vanha'!$Y$1;JA!$BE:$BE;'Toimenpiteet vanha'!$Y$5;JA!$AI:$AI;'Toimenpiteet vanha'!$Y$4;JA!$AJ:$AJ;'Toimenpiteet vanha'!$Y$2;JA!CW:CW;$AF$4)</t>
  </si>
  <si>
    <t>Asiakasjaksot</t>
  </si>
  <si>
    <t>Kaikilla valmentautujilla</t>
  </si>
  <si>
    <t>Nuorilla valmentautujilla</t>
  </si>
  <si>
    <t>Asiakasjaksojen määrä hakuajalla</t>
  </si>
  <si>
    <t>Asiakasjaksoja / valmentautuja ka.</t>
  </si>
  <si>
    <t>Toimenpiteet uusilta jaksoilta / aloituskuukausi</t>
  </si>
  <si>
    <t xml:space="preserve">KAIKKIEN Valmentautujien toimenpiteet vuonna </t>
  </si>
  <si>
    <t>Toimenpiteiden määrä yhteensä</t>
  </si>
  <si>
    <t>mihin viitataan plussalla?</t>
  </si>
  <si>
    <t>Käynnissä olevat toimenpiteet kaikilta jaksoilta / kk</t>
  </si>
  <si>
    <t>Kertymä</t>
  </si>
  <si>
    <t xml:space="preserve">KAIKKIEN Valmentautujien toimenpiteet KAIKILTA jaksoilta vuonna </t>
  </si>
  <si>
    <t>OptionButton_EtToimenpiteet_oma</t>
  </si>
  <si>
    <t>OptionButton_EtToimenpiteet_muu</t>
  </si>
  <si>
    <t>OptionButton_EtTP_suunnittelu</t>
  </si>
  <si>
    <t>OptionButton_EtTP_kielto</t>
  </si>
  <si>
    <t>&gt; Palvelut</t>
  </si>
  <si>
    <t>OptionButton_EtTP_aloitettu</t>
  </si>
  <si>
    <t>OptionButton_EtTP_keskeytys</t>
  </si>
  <si>
    <t xml:space="preserve">Toimintamenetelmät ja valmennuspalvelut </t>
  </si>
  <si>
    <t>Työpajat#toimintamenetelmät</t>
  </si>
  <si>
    <t>Valmentautujat</t>
  </si>
  <si>
    <t>Valmentautujat, joille on kirjattu palveluita</t>
  </si>
  <si>
    <t>ComboBox_Ty_pop_palvelu#*****Valmennuspalvelut / Menetelmät</t>
  </si>
  <si>
    <t>ComboBox_Ty_pop_palvelu#</t>
  </si>
  <si>
    <t>Valmennuspalvelut / Menetelmät</t>
  </si>
  <si>
    <t>yksilövalmennus</t>
  </si>
  <si>
    <t>ComboBox_Ty_pop_palvelu#yksilövalmennus</t>
  </si>
  <si>
    <t>*****Valmennuspalvelut / Menetelmät*****</t>
  </si>
  <si>
    <t>työvalmennus</t>
  </si>
  <si>
    <t>ComboBox_Ty_pop_palvelu#työvalmennus</t>
  </si>
  <si>
    <t>ryhmävalmennus</t>
  </si>
  <si>
    <t>ComboBox_Ty_pop_palvelu#ryhmävalmennus</t>
  </si>
  <si>
    <t>työhönvalmennus</t>
  </si>
  <si>
    <t>ComboBox_Ty_pop_palvelu#työhönvalmennus</t>
  </si>
  <si>
    <t>kuntouttava valmennus</t>
  </si>
  <si>
    <t>ComboBox_Ty_pop_palvelu#kuntouttava valmennus</t>
  </si>
  <si>
    <t>ComboBox_Ty_pop_palvelu#*****Työpajan matalan kynnyksen palvelut ja pajajakson aloituksen liittyvät toimintamuodot</t>
  </si>
  <si>
    <t>Työpajan matalan kynnyksen palvelut ja pajajakson aloituksen liittyvät toimintamuodot</t>
  </si>
  <si>
    <t>etsivä nuorisotyö (työpajan palveluna)</t>
  </si>
  <si>
    <t>ComboBox_Ty_pop_palvelu#etsivä nuorisotyö (työpajan palveluna)</t>
  </si>
  <si>
    <t>*****Työpajan matalan kynnyksen palvelut ja pajajakson aloituksen liittyvät toimintamuodot*****</t>
  </si>
  <si>
    <t>työ- ja toimintakyvyn/kuntoutustarpeen arviointi</t>
  </si>
  <si>
    <t>ComboBox_Ty_pop_palvelu#työ- ja toimintakyvyn/kuntoutustarpeen arviointi</t>
  </si>
  <si>
    <t>starttivalmennus (matalan kynnyksen palveluna)</t>
  </si>
  <si>
    <t>ComboBox_Ty_pop_palvelu#starttivalmennus (matalan kynnyksen palveluna)</t>
  </si>
  <si>
    <t>starttijakso (kartoittava starttivalmennusta lyhempi pajan aloitusjakso)</t>
  </si>
  <si>
    <t>ComboBox_Ty_pop_palvelu#starttijakso</t>
  </si>
  <si>
    <t>maahanmuuttajien kotouttaminen</t>
  </si>
  <si>
    <t>ComboBox_Ty_pop_palvelu#maahanmuuttajien kotouttaminen</t>
  </si>
  <si>
    <t>ComboBox_Ty_pop_palvelu#*****Yksilölliset suunnitelmat ja arvioinnit</t>
  </si>
  <si>
    <t>Yksilölliset suunnitelmat ja arvioinnit</t>
  </si>
  <si>
    <t xml:space="preserve">henkilökohtainen suunnitelma työpajajaksolle </t>
  </si>
  <si>
    <t>ComboBox_Ty_pop_palvelu#henkilökohtainen suunnitelma työpajajaksolle</t>
  </si>
  <si>
    <t>*****Yksilölliset suunnitelmat ja arvioinnit*****</t>
  </si>
  <si>
    <t xml:space="preserve">osallistuminen oman työpajajakson suunnitteluun </t>
  </si>
  <si>
    <t>ComboBox_Ty_pop_palvelu#osallistuminen oman työpajajakson suunnitteluun</t>
  </si>
  <si>
    <t>osallistuminen oman työpajajakson arviointiin</t>
  </si>
  <si>
    <t>ComboBox_Ty_pop_palvelu#osallistuminen oman työpajajakson arviointiin</t>
  </si>
  <si>
    <t xml:space="preserve">henkilökohtainen jatkosuunnitelma työpajajakson jälkeen </t>
  </si>
  <si>
    <t>ComboBox_Ty_pop_palvelu#henkilökohtainen jatkosuunnitelma työpajajakson jälkeen</t>
  </si>
  <si>
    <t>valmennuspäiväkirja/portfolio/työmaapäiväkirja</t>
  </si>
  <si>
    <t>ComboBox_Ty_pop_palvelu#valmennuspäiväkirja/portfolio</t>
  </si>
  <si>
    <t>sovari teetetty</t>
  </si>
  <si>
    <t>ComboBox_Ty_pop_palvelu#sovari teetetty</t>
  </si>
  <si>
    <t>ComboBox_Ty_pop_palvelu#sovari-kysely toimitettu nuorelle</t>
  </si>
  <si>
    <t>osaaja plus</t>
  </si>
  <si>
    <t>ComboBox_Ty_pop_palvelu#osaaja plus</t>
  </si>
  <si>
    <t>tutkinnon osien suorittaminen</t>
  </si>
  <si>
    <t>ComboBox_Ty_pop_palvelu#tutkinnon osien suorittaminen</t>
  </si>
  <si>
    <t>osaamistodistus</t>
  </si>
  <si>
    <t>ComboBox_Ty_pop_palvelu#osaamistodistus</t>
  </si>
  <si>
    <t>ComboBox_Ty_pop_palvelu#*****Yhteistyö oppilaitosten ja yritysten kanssa</t>
  </si>
  <si>
    <t>Yhteistyö oppilaitosten ja yritysten kanssa</t>
  </si>
  <si>
    <t>työpaikkatutustumiset ja yritysvierailut</t>
  </si>
  <si>
    <t>ComboBox_Ty_pop_palvelu#työpaikkatutustumiset ja yritysvierailut</t>
  </si>
  <si>
    <t>seinätön valmennus</t>
  </si>
  <si>
    <t>ComboBox_Ty_pop_palvelu#seinätön valmennus</t>
  </si>
  <si>
    <t>tutustumiset oppilaitoksiin</t>
  </si>
  <si>
    <t>ComboBox_Ty_pop_palvelu#tutustumiset oppilaitoksiin</t>
  </si>
  <si>
    <t>osallistujien sijoittaminen työpajan ulkopuolisiin työpaikkoihin (työpajajakson aikana)</t>
  </si>
  <si>
    <t>ComboBox_Ty_pop_palvelu#osallistujien sijoittaminen työpajan ulkopuolisiin työpaikkoihin (työpajajakson aikana)</t>
  </si>
  <si>
    <t>*****Yhteistyö oppilaitosten ja yritysten kanssa*****</t>
  </si>
  <si>
    <t xml:space="preserve">ComboBox_Ty_pop_palvelu#*****Hyvinvointi ja terveys </t>
  </si>
  <si>
    <t xml:space="preserve">Hyvinvointi ja terveys </t>
  </si>
  <si>
    <t>terveys-, ravinto- ja liikuntakasvatus</t>
  </si>
  <si>
    <t>ComboBox_Ty_pop_palvelu#terveys-, ravinto- ja liikuntakasvatus</t>
  </si>
  <si>
    <t>ehkäisevä päihdetyö</t>
  </si>
  <si>
    <t>ComboBox_Ty_pop_palvelu#ehkäisevä päihdetyö</t>
  </si>
  <si>
    <t>mielen hyvinvoinnin edistäminen</t>
  </si>
  <si>
    <t>ComboBox_Ty_pop_palvelu#mielen hyvinvoinnin edistäminen</t>
  </si>
  <si>
    <t>muut (esim. terveyshoitajan päivystysaika työpajalla)</t>
  </si>
  <si>
    <t>ComboBox_Ty_pop_palvelu#muut (esim. terveyshoitajan päivystysaika työpajalla)</t>
  </si>
  <si>
    <t>ComboBox_Ty_pop_palvelu#*****Erilliset tukipalvelut</t>
  </si>
  <si>
    <t>*****Hyvinvointi ja terveys*****</t>
  </si>
  <si>
    <t>Erilliset tukipalvelut</t>
  </si>
  <si>
    <t>korttikurssit (esim. hygieniapassi, tulityökurssi, tieturva)</t>
  </si>
  <si>
    <t>ComboBox_Ty_pop_palvelu#korttikurssit (esim. hygieniapassi, tulityökurssi, tieturva)</t>
  </si>
  <si>
    <t>tietotekniikan opetus</t>
  </si>
  <si>
    <t>ComboBox_Ty_pop_palvelu#tietotekniikan opetus</t>
  </si>
  <si>
    <t xml:space="preserve">muut erilliset kurssit ja koulutukset </t>
  </si>
  <si>
    <t>ComboBox_Ty_pop_palvelu#muut erilliset kurssit ja koulutukset</t>
  </si>
  <si>
    <t>tuettu asuminen</t>
  </si>
  <si>
    <t>ComboBox_Ty_pop_palvelu#tuettu asuminen</t>
  </si>
  <si>
    <t>*****Erilliset tukipalvelut*****</t>
  </si>
  <si>
    <t>nuotta-valmennus</t>
  </si>
  <si>
    <t>ComboBox_Ty_pop_palvelu#nuotta-valmennus</t>
  </si>
  <si>
    <t>työpajanuorten vapaa-ajantoiminta</t>
  </si>
  <si>
    <t>ComboBox_Ty_pop_palvelu#työpajanuorten vapaa-ajantoiminta</t>
  </si>
  <si>
    <t>ComboBox_Ty_pop_palvelu#muut</t>
  </si>
  <si>
    <t>Palvelut / toimintamenetelmät</t>
  </si>
  <si>
    <t>Palveluiden määrä hakuajalla</t>
  </si>
  <si>
    <t>Palveluiden määrä</t>
  </si>
  <si>
    <t>Palveluiden määrä / valmentautuja ka.</t>
  </si>
  <si>
    <t>Palveluiden määrä/valmentautuja ka.</t>
  </si>
  <si>
    <t>Toimintamenetelmät</t>
  </si>
  <si>
    <t>Uudet toimintamenetelmät / aloituskuukausi</t>
  </si>
  <si>
    <t xml:space="preserve">Kaikki asiakkaat: Toimintamenetelmät ja valmennuspalvelut vuonna </t>
  </si>
  <si>
    <t>Käynnissä olevat toimintamenetelmät kaikilta jaksoilta / kk</t>
  </si>
  <si>
    <t xml:space="preserve">Kaikki asiakkaat: Kaikki toimintamenetelmät ja valmennuspalvelut vuonna </t>
  </si>
  <si>
    <r>
      <t xml:space="preserve">INFO: Tämän välilehden tilastot saa käyttöön PAR-järjestelmän "Kokeellisista toiminnoista", </t>
    </r>
    <r>
      <rPr>
        <sz val="10"/>
        <color theme="1" tint="4.9989318521683403E-2"/>
        <rFont val="Calibri"/>
        <family val="2"/>
        <scheme val="minor"/>
      </rPr>
      <t>jotka löytyvät Organisaation tietojen yhteydestä.</t>
    </r>
    <r>
      <rPr>
        <b/>
        <sz val="10"/>
        <color theme="1" tint="4.9989318521683403E-2"/>
        <rFont val="Calibri"/>
        <family val="2"/>
        <scheme val="minor"/>
      </rPr>
      <t xml:space="preserve">
Ohjaukset lasketaan VAIN nille määriteltyjen päivämäärien perusteella. Mittari perustuu etsivän nuorisotyön toimenpiteisiin.</t>
    </r>
  </si>
  <si>
    <t>y2</t>
  </si>
  <si>
    <t>AI =uusi jakso</t>
  </si>
  <si>
    <t>z= tärkein 1</t>
  </si>
  <si>
    <t>x9</t>
  </si>
  <si>
    <t>R = Kaikki</t>
  </si>
  <si>
    <t>O=olemassa z3</t>
  </si>
  <si>
    <t>t-sarake</t>
  </si>
  <si>
    <t>U = toimenpiteen nimi</t>
  </si>
  <si>
    <t>K=kieltäytynyt z6</t>
  </si>
  <si>
    <t>x8</t>
  </si>
  <si>
    <t>W= nuori</t>
  </si>
  <si>
    <t>K=alloitettu z7</t>
  </si>
  <si>
    <t>y1</t>
  </si>
  <si>
    <t>X = yksiköt</t>
  </si>
  <si>
    <t>K keskeyttänyt z8</t>
  </si>
  <si>
    <t>AD = aktiivinen</t>
  </si>
  <si>
    <t>K suunnitteilla z5</t>
  </si>
  <si>
    <t>y6</t>
  </si>
  <si>
    <t>AF=kunnat</t>
  </si>
  <si>
    <t>y4</t>
  </si>
  <si>
    <t>Q=kaikki uudet tp</t>
  </si>
  <si>
    <t>a</t>
  </si>
  <si>
    <t>Nuoret valmentautujat ohjatuissa toimenpiteissä</t>
  </si>
  <si>
    <t>Naisia</t>
  </si>
  <si>
    <t>Miehiä</t>
  </si>
  <si>
    <t>tiedoksi: 
29 v. ja vanhempi</t>
  </si>
  <si>
    <t>Tärkein toimenpide</t>
  </si>
  <si>
    <t>Olemassa oleva  tp</t>
  </si>
  <si>
    <t>Kieltäytynyt</t>
  </si>
  <si>
    <t>Aloitettu</t>
  </si>
  <si>
    <t>Keskeytetty</t>
  </si>
  <si>
    <t>Suunnitteilla</t>
  </si>
  <si>
    <t>y5</t>
  </si>
  <si>
    <t>AG=asiakkuudet</t>
  </si>
  <si>
    <t>af4</t>
  </si>
  <si>
    <t>AL= vain kerran</t>
  </si>
  <si>
    <t>Toimenpiteissä olevat valmentautujat</t>
  </si>
  <si>
    <t>Valmentautujat, joille ei ole kirjattuja toimenpiteitä</t>
  </si>
  <si>
    <t>ComboBox_EtToimenpide_yla#</t>
  </si>
  <si>
    <t>Etsivän nuorisotyön asiakkuuteen liittyvät toimenpiteet</t>
  </si>
  <si>
    <t>Toimenpiteiden määrä</t>
  </si>
  <si>
    <t>Mihin erilaisiin palveluihin / toimenpiteisiin / toimintoihin tavoitettuja nuoria on ohjattu prosessin aikana?</t>
  </si>
  <si>
    <t>tiedoksi: 29 v. ja vanhempi</t>
  </si>
  <si>
    <t>Etsivän nuorisotyön asiakkuus</t>
  </si>
  <si>
    <t>Asiakkuuteen liittyvät toimenpiteet ja ohjaukset</t>
  </si>
  <si>
    <t>Etsivien tuki ja rinnalla kulkeminen</t>
  </si>
  <si>
    <t>ComboBox_EtToimenpide_yla#etsivien tuki ja rinnalla kulkeminen</t>
  </si>
  <si>
    <t>ComboBox_EtToimenpide_yla#etsivien tuki ja tsemppaus</t>
  </si>
  <si>
    <t>Muutos</t>
  </si>
  <si>
    <t>etsivien tuki ja rinnalla kulkeminen</t>
  </si>
  <si>
    <t>etsivien tuki ja tsemppaus</t>
  </si>
  <si>
    <t>Menetelmällinen työskentely nuoren kanssa</t>
  </si>
  <si>
    <t>ComboBox_EtToimenpide_yla#menetelmällinen työskentely nuoren kanssa</t>
  </si>
  <si>
    <t>ComboBox_EtToimenpide_yla#tulevaisuustyöskentely</t>
  </si>
  <si>
    <t>menetelmällinen työskentely nuoren kanssa</t>
  </si>
  <si>
    <t>Ryhmämuotoinen toiminta</t>
  </si>
  <si>
    <t>ComboBox_EtToimenpide_yla#ryhmämuotoinen toiminta</t>
  </si>
  <si>
    <t>ComboBox_EtToimenpide_yla#ohjaaminen ryhmätoimintaan</t>
  </si>
  <si>
    <t>ryhmämuotoinen toiminta</t>
  </si>
  <si>
    <t>Pois 2023</t>
  </si>
  <si>
    <t>ohjaaminen ryhmätoimintaan</t>
  </si>
  <si>
    <t>Monialainen verkostoyhteistyö</t>
  </si>
  <si>
    <t>ComboBox_EtToimenpide_yla#monialainen verkostoyhteistyö</t>
  </si>
  <si>
    <t>ComboBox_EtToimenpide_yla#viranomaisverkon luominen</t>
  </si>
  <si>
    <t>monialainen verkostoyhteistyö</t>
  </si>
  <si>
    <t>viranomaisverkon luominen</t>
  </si>
  <si>
    <t>Nuotta-valmennus</t>
  </si>
  <si>
    <t>ComboBox_EtToimenpide_yla#nuotta-valmennus</t>
  </si>
  <si>
    <t>Palveluihin ohjaaminen</t>
  </si>
  <si>
    <t>ComboBox_EtToimenpide_yla#palveluihin ohjaaminen</t>
  </si>
  <si>
    <t>ComboBox_EtToimenpide_yla#palveluohjaus</t>
  </si>
  <si>
    <t>palveluihin ohjaaminen</t>
  </si>
  <si>
    <t>palveluohjaus</t>
  </si>
  <si>
    <t>Tuki viranomaisasioiden hoitamiseen</t>
  </si>
  <si>
    <t>ComboBox_EtToimenpide_yla#tuki viranomaisasioiden hoitamiseen</t>
  </si>
  <si>
    <t>tuki viranomaisasioiden hoitamiseen</t>
  </si>
  <si>
    <t>Ohjattu opiskelupaikan haussa</t>
  </si>
  <si>
    <t>ComboBox_EtToimenpide_yla#ohjattu opiskelupaikan haussa</t>
  </si>
  <si>
    <t>ComboBox_EtToimenpide_yla#hakenut opiskelemaan / ohjattu koulupaikan haussa</t>
  </si>
  <si>
    <t>ohjattu opiskelupaikan haussa</t>
  </si>
  <si>
    <t>hakenut opiskelemaan / ohjattu koulupaikan haussa</t>
  </si>
  <si>
    <t>Asumiseen liittyvä tuki</t>
  </si>
  <si>
    <t>ComboBox_EtToimenpide_yla#asumiseen liittyvä tuki</t>
  </si>
  <si>
    <t>ComboBox_EtToimenpide_yla#asumiseen liittyvät palvelut</t>
  </si>
  <si>
    <t>asumiseen liittyvä tuki</t>
  </si>
  <si>
    <t>asumiseen liittyvät palvelut</t>
  </si>
  <si>
    <t>Työnhaun ohjaus ja neuvonta</t>
  </si>
  <si>
    <t>ComboBox_EtToimenpide_yla#työnhaun ohjaus ja neuvonta</t>
  </si>
  <si>
    <t>työnhaun ohjaus ja neuvonta</t>
  </si>
  <si>
    <t>Yhteiset tutustumiskäynnit</t>
  </si>
  <si>
    <t>ComboBox_EtToimenpide_yla#yhteiset tutustumiskäynnit</t>
  </si>
  <si>
    <t>ComboBox_EtToimenpide_yla#tutustumistoiminta</t>
  </si>
  <si>
    <t>yhteiset tutustumiskäynnit</t>
  </si>
  <si>
    <t>tutustumistoiminta</t>
  </si>
  <si>
    <t>Ohjaus toisille etsiville</t>
  </si>
  <si>
    <t>ComboBox_EtToimenpide_yla#ohjaus toisille etsiville</t>
  </si>
  <si>
    <t>ohjaus toisille etsiville</t>
  </si>
  <si>
    <t>Sovari-kysely toimitettu nuorelle</t>
  </si>
  <si>
    <t>ComboBox_EtToimenpide_yla#sovari-kysely toimitettu nuorelle</t>
  </si>
  <si>
    <t>ComboBox_EtToimenpide_yla#sovari teetetty</t>
  </si>
  <si>
    <t>sovari-kysely toimitettu nuorelle</t>
  </si>
  <si>
    <t>Ohjattu muihin palveluihin / toimenpiteisiin</t>
  </si>
  <si>
    <t>Sosiaalityö ja terveydenhuolto</t>
  </si>
  <si>
    <t>Sosiaali- ja terveystoimen palvelut</t>
  </si>
  <si>
    <t>Mielenterveyden hoito</t>
  </si>
  <si>
    <t>ComboBox_EtToimenpide_yla#mielenterveyden hoito</t>
  </si>
  <si>
    <t>ComboBox_EtToimenpide_yla#mielenterveyspalvelut</t>
  </si>
  <si>
    <t>ComboBox_EtToimenpide_yla#mielenterveystoimiston palvelut</t>
  </si>
  <si>
    <t>mielenterveyden hoito</t>
  </si>
  <si>
    <t>Päihde- ja riippuvuushoito</t>
  </si>
  <si>
    <t>ComboBox_EtToimenpide_yla#päihde- ja riippuvuushoito</t>
  </si>
  <si>
    <t>ComboBox_EtToimenpide_yla#päihdepalvelut - ja kuntoutus</t>
  </si>
  <si>
    <t>ComboBox_EtToimenpide_yla#päihdekuntoutus</t>
  </si>
  <si>
    <t>päihde- ja riippuvuushoito</t>
  </si>
  <si>
    <t>päihdepalvelut - ja kuntoutus</t>
  </si>
  <si>
    <t>Matalan kynnyksen apu mielenterveyteen ja/tai päihdeongelmiin</t>
  </si>
  <si>
    <t>ComboBox_EtToimenpide_yla#matalan kynnyksen apu mielenterveyteen ja/tai päihdeongelmiin</t>
  </si>
  <si>
    <t>Uusi</t>
  </si>
  <si>
    <t>matalan kynnyksen apu mielenterveyteen ja/tai päihdeongelmiin</t>
  </si>
  <si>
    <t>Muut terveyteen liittyvät palvelut</t>
  </si>
  <si>
    <t>ComboBox_EtToimenpide_yla#muut terveyteen liittyvät palvelut</t>
  </si>
  <si>
    <t>ComboBox_EtToimenpide_yla#muu terveyskeskuspalvelu</t>
  </si>
  <si>
    <t>muut terveyteen liittyvät palvelut</t>
  </si>
  <si>
    <t>Toimeentuloon liittyvät palvelut</t>
  </si>
  <si>
    <t>ComboBox_EtToimenpide_yla#toimeentuloon liittyvät palvelut</t>
  </si>
  <si>
    <t>toimeentuloon liittyvät palvelut</t>
  </si>
  <si>
    <t>Velkaneuvonta ja muu talouteen liittyvä neuvonta</t>
  </si>
  <si>
    <t>ComboBox_EtToimenpide_yla#velkaneuvonta ja muu talouteen liittyvä neuvonta</t>
  </si>
  <si>
    <t>ComboBox_EtToimenpide_yla#velkaneuvonta</t>
  </si>
  <si>
    <t>velkaneuvonta ja muu talouteen liittyvä neuvonta</t>
  </si>
  <si>
    <t>Lastensuojelu ja jälkihuolto</t>
  </si>
  <si>
    <t>ComboBox_EtToimenpide_yla#lastensuojelu ja jälkihuolto</t>
  </si>
  <si>
    <t>ComboBox_EtToimenpide_yla#lastensuojelutoimenpide</t>
  </si>
  <si>
    <t>lastensuojelu ja jälkihuolto</t>
  </si>
  <si>
    <t>lastensuojelutoimenpide</t>
  </si>
  <si>
    <t>Muu sosiaalityön palvelu</t>
  </si>
  <si>
    <t>ComboBox_EtToimenpide_yla#muu sosiaalityön palvelu</t>
  </si>
  <si>
    <t>ComboBox_EtToimenpide_yla#muu sosiaalitoimen palvelu</t>
  </si>
  <si>
    <t>muu sosiaalityön palvelu</t>
  </si>
  <si>
    <t>muu sosiaalitoimen palvelu</t>
  </si>
  <si>
    <t>Kelan ammatillinen kuntoutus</t>
  </si>
  <si>
    <t>ComboBox_EtToimenpide_yla#Kelan ammatillinen kuntoutus</t>
  </si>
  <si>
    <t>ComboBox_EtToimenpide_yla#Kelan ammatillinen kuntoutusselvitys</t>
  </si>
  <si>
    <t>ComboBox_EtToimenpide_yla#Kelan ammatillinen kuntoutuskurssi</t>
  </si>
  <si>
    <t>Pois 2023, yhdistetään arvoon "Kelan ammatilinen kuntoutus"</t>
  </si>
  <si>
    <t>Kelan ammatillinen kuntoutusselvitys</t>
  </si>
  <si>
    <t>Kelan ammatillinen kuntoutuskurssi</t>
  </si>
  <si>
    <t>Muu kuntoutus</t>
  </si>
  <si>
    <t>ComboBox_EtToimenpide_yla#muu kuntoutus</t>
  </si>
  <si>
    <t>muu kuntoutus</t>
  </si>
  <si>
    <t>Nuoriso- ja vapaa-ajantoiminta ja 3.sektori</t>
  </si>
  <si>
    <t>Liikunta, nuoriso ja vapaa-ajan palvelut</t>
  </si>
  <si>
    <t>ComboBox_EtToimenpide_yla#nuorisotoimen palvelut</t>
  </si>
  <si>
    <t>nuorisotoimen palvelut</t>
  </si>
  <si>
    <t>Kulttuuri- ja taidetoiminta</t>
  </si>
  <si>
    <t>ComboBox_EtToimenpide_yla#kulttuuri- ja taidetoiminta</t>
  </si>
  <si>
    <t>kulttuuri- ja taidetoiminta</t>
  </si>
  <si>
    <t>Liikunta- ja ulkoilutoiminta</t>
  </si>
  <si>
    <t>ComboBox_EtToimenpide_yla#liikunta- ja ulkoilutoiminta</t>
  </si>
  <si>
    <t>ComboBox_EtToimenpide_yla#liikuntatoimen palvelut</t>
  </si>
  <si>
    <t>liikunta- ja ulkoilutoiminta</t>
  </si>
  <si>
    <t>liikuntatoimen palvelut</t>
  </si>
  <si>
    <t>Järjestöjen toiminta</t>
  </si>
  <si>
    <t>ComboBox_EtToimenpide_yla#järjestöjen toiminta</t>
  </si>
  <si>
    <t>ComboBox_EtToimenpide_yla#järjestöjen palvelut</t>
  </si>
  <si>
    <t>järjestöjen toiminta</t>
  </si>
  <si>
    <t>järjestöjen palvelut</t>
  </si>
  <si>
    <t>Muu vapaa-ajan toiminta</t>
  </si>
  <si>
    <t>ComboBox_EtToimenpide_yla#muu vapaa-ajan toiminta</t>
  </si>
  <si>
    <t>ComboBox_EtToimenpide_yla#muut vapaa-ajan palvelut</t>
  </si>
  <si>
    <t>muu vapaa-ajan toiminta</t>
  </si>
  <si>
    <t>muut vapaa-ajan palvelut</t>
  </si>
  <si>
    <t>Opinnot</t>
  </si>
  <si>
    <t>ComboBox_EtToimenpide_yla#Opinnot</t>
  </si>
  <si>
    <t>Peruskoulun opinnot</t>
  </si>
  <si>
    <t>ComboBox_EtToimenpide_yla#peruskoulun opinnot</t>
  </si>
  <si>
    <t>peruskoulun opinnot</t>
  </si>
  <si>
    <t>ComboBox_EtToimenpide_yla#TUVA-koulutus</t>
  </si>
  <si>
    <t>ComboBox_EtToimenpide_yla#ohjaava ja valmistava ammatillinen koulutus</t>
  </si>
  <si>
    <t>ComboBox_EtToimenpide_yla#muut nivelvaiheen opinnot</t>
  </si>
  <si>
    <t>ohjaava ja valmistava ammatillinen koulutus</t>
  </si>
  <si>
    <t>muut nivelvaiheen opinnot</t>
  </si>
  <si>
    <t>Lukion opinnot</t>
  </si>
  <si>
    <t>ComboBox_EtToimenpide_yla#lukion opinnot</t>
  </si>
  <si>
    <t>lukion opinnot</t>
  </si>
  <si>
    <t>Ammatilliset perusopinnot</t>
  </si>
  <si>
    <t>ComboBox_EtToimenpide_yla#ammatilliset perusopinnot</t>
  </si>
  <si>
    <t>ComboBox_EtToimenpide_yla#aloittanut ammatilliset perusopinnot</t>
  </si>
  <si>
    <t>ComboBox_EtToimenpide_yla#jatkanut ammatillisia perusopintoja</t>
  </si>
  <si>
    <t>ammatilliset perusopinnot</t>
  </si>
  <si>
    <t>aloittanut ammatilliset perusopinnot</t>
  </si>
  <si>
    <t>Pois 2023, yhdistetään arvoon "Ammatilliset perusopinnot"</t>
  </si>
  <si>
    <t>jatkanut ammatillisia perusopintoja</t>
  </si>
  <si>
    <t>Muut ammatilliset opinnot</t>
  </si>
  <si>
    <t>ComboBox_EtToimenpide_yla#muut ammatilliset opinnot</t>
  </si>
  <si>
    <t>muut ammatilliset opinnot</t>
  </si>
  <si>
    <t>Oppisopimuskoulutus</t>
  </si>
  <si>
    <t>ComboBox_EtToimenpide_yla#oppisopimuskoulutus</t>
  </si>
  <si>
    <t>oppisopimuskoulutus</t>
  </si>
  <si>
    <t>Korkeakouluopinnot</t>
  </si>
  <si>
    <t>ComboBox_EtToimenpide_yla#korkeakouluopinnot</t>
  </si>
  <si>
    <t>korkeakouluopinnot</t>
  </si>
  <si>
    <t>Kansanopiston opinnot</t>
  </si>
  <si>
    <t>ComboBox_EtToimenpide_yla#kansanopiston opinnot</t>
  </si>
  <si>
    <t>kansanopiston opinnot</t>
  </si>
  <si>
    <t>Muu opiskelu</t>
  </si>
  <si>
    <t>ComboBox_EtToimenpide_yla#muu opiskelu</t>
  </si>
  <si>
    <t>muu opiskelu</t>
  </si>
  <si>
    <t>Työllistymistä tukeva toiminta</t>
  </si>
  <si>
    <t>Työhön liittyvät toimenpiteet</t>
  </si>
  <si>
    <t>ComboBox_EtToimenpide_yla#Työllistymistä tukeva toiminta</t>
  </si>
  <si>
    <t>Ilmoittautuminen työttömäksi työnhakijaksi</t>
  </si>
  <si>
    <t>ComboBox_EtToimenpide_yla#ilmoittautuminen työttömäksi työnhakijaksi</t>
  </si>
  <si>
    <t>ilmoittautuminen työttömäksi työnhakijaksi</t>
  </si>
  <si>
    <t>Kuntouttava työtoiminta (muualle kuin työpajaan)</t>
  </si>
  <si>
    <t>ComboBox_EtToimenpide_yla#kuntouttava työtoiminta (muualle kuin työpajaan)</t>
  </si>
  <si>
    <t>ComboBox_EtToimenpide_yla#kuntouttava työtoiminta</t>
  </si>
  <si>
    <t>kuntouttava työtoiminta (muualle kuin työpajaan)</t>
  </si>
  <si>
    <t>Työkokeilu (muualle kuin työpajaan)</t>
  </si>
  <si>
    <t>ComboBox_EtToimenpide_yla#työkokeilu (muualle kuin työpajaan)</t>
  </si>
  <si>
    <t>ComboBox_EtToimenpide_yla#TE-toimiston työkokeilu</t>
  </si>
  <si>
    <t>työkokeilu (muualle kuin työpajaan)</t>
  </si>
  <si>
    <t>Starttivalmennus</t>
  </si>
  <si>
    <t>ComboBox_EtToimenpide_yla#starttivalmennus</t>
  </si>
  <si>
    <t>starttivalmennus</t>
  </si>
  <si>
    <t>Nuorten työpajatoiminta</t>
  </si>
  <si>
    <t>ComboBox_EtToimenpide_yla#nuorten työpajatoiminta</t>
  </si>
  <si>
    <t>ComboBox_EtToimenpide_yla#työpajaan</t>
  </si>
  <si>
    <t>nuorten työpajatoiminta</t>
  </si>
  <si>
    <t>työpajaan</t>
  </si>
  <si>
    <t>Ammatinvalinta- ja uraohjaus</t>
  </si>
  <si>
    <t>ComboBox_EtToimenpide_yla#Ammatinvalinta- ja uraohjaus</t>
  </si>
  <si>
    <t>ComboBox_EtToimenpide_yla#TE-palveluiden ammatinvalinnanohjaus</t>
  </si>
  <si>
    <t>ComboBox_EtToimenpide_yla#TE-toimiston ammatinvalinnanohjaus</t>
  </si>
  <si>
    <t>TE-palveluiden ammatinvalinnanohjaus</t>
  </si>
  <si>
    <t>Kuntakokeilu</t>
  </si>
  <si>
    <t>ComboBox_EtToimenpide_yla#kuntakokeilu</t>
  </si>
  <si>
    <t>kuntakokeilu</t>
  </si>
  <si>
    <t>Muut työelämään liittyvät palvelut</t>
  </si>
  <si>
    <t>ComboBox_EtToimenpide_yla#muut työelämään liittyvät palvelut</t>
  </si>
  <si>
    <t>ComboBox_EtToimenpide_yla#julkiset työelämään liittyvät palvelut</t>
  </si>
  <si>
    <t>ComboBox_EtToimenpide_yla#TE-toimiston muu palvelu</t>
  </si>
  <si>
    <t>muut työelämään liittyvät palvelut</t>
  </si>
  <si>
    <t>julkiset työelämään liittyvät palvelut</t>
  </si>
  <si>
    <t>Työhön avoimille työmarkkinoille</t>
  </si>
  <si>
    <t>ComboBox_EtToimenpide_yla#työhön avoimille työmarkkinoille</t>
  </si>
  <si>
    <t>ComboBox_EtToimenpide_yla#työhön</t>
  </si>
  <si>
    <t>työhön avoimille työmarkkinoille</t>
  </si>
  <si>
    <t>Muut toimenpiteet</t>
  </si>
  <si>
    <t>ComboBox_EtToimenpide_yla#Muut toimenpiteet</t>
  </si>
  <si>
    <t>ComboBox_EtToimenpide_yla#ohjaamo</t>
  </si>
  <si>
    <t>ohjaamo</t>
  </si>
  <si>
    <t>Ohjaaminen kotouttamistoimenpiteisiin</t>
  </si>
  <si>
    <t>ComboBox_EtToimenpide_yla#ohjaaminen kotouttamistoimenpiteisiin</t>
  </si>
  <si>
    <t>ohjaaminen kotouttamistoimenpiteisiin</t>
  </si>
  <si>
    <t>Varusmiespalvelu</t>
  </si>
  <si>
    <t>ComboBox_EtToimenpide_yla#varusmiespalvelu</t>
  </si>
  <si>
    <t>varusmiespalvelu</t>
  </si>
  <si>
    <t>ComboBox_EtToimenpide_yla#siviilipalvelu</t>
  </si>
  <si>
    <t>siviilipalvelu</t>
  </si>
  <si>
    <t>Poliisi</t>
  </si>
  <si>
    <t>ComboBox_EtToimenpide_yla#poliisi</t>
  </si>
  <si>
    <t>poliisi</t>
  </si>
  <si>
    <t>ComboBox_EtToimenpide_yla#muut toimenpiteet</t>
  </si>
  <si>
    <t>muut toimenpiteet</t>
  </si>
  <si>
    <t>Nuoret alle 29v</t>
  </si>
  <si>
    <t>29v ja vanhemmat</t>
  </si>
  <si>
    <t>&gt; Hakuaika, aloitus (muutetaan asiakastilastot-sivulta)</t>
  </si>
  <si>
    <t>&gt; Hakuaika, päätös (muutetaan asiakastilastot-sivulta)</t>
  </si>
  <si>
    <t>ALOITUSTILANNE</t>
  </si>
  <si>
    <t>UUSIN TILANNE</t>
  </si>
  <si>
    <t>MUUTOS</t>
  </si>
  <si>
    <t>Toiminta</t>
  </si>
  <si>
    <t>osuus</t>
  </si>
  <si>
    <t>Nuoren pääasiallinen toiminta hakuajan alussa (lähin arvo)</t>
  </si>
  <si>
    <t>Nuoren pääasiallinen toiminta - muutos</t>
  </si>
  <si>
    <t>Peruskoulussa</t>
  </si>
  <si>
    <t>ComboBox_EtPaaToiminta_alku#peruskoulussa</t>
  </si>
  <si>
    <t>Työssä käyvä</t>
  </si>
  <si>
    <t>ComboBox_EtPaaToiminta_alku#työssä käyvä</t>
  </si>
  <si>
    <t>Työttömäksi ilmoittautunut työnhakija</t>
  </si>
  <si>
    <t>ComboBox_EtPaaToiminta_alku#työttömäksi ilmoittautunut työnhakija</t>
  </si>
  <si>
    <t>Työtön, ei työttömäksi ilmoittautunut</t>
  </si>
  <si>
    <t>ComboBox_EtPaaToiminta_alku#työtön, ei työttömäksi ilmoittautunut</t>
  </si>
  <si>
    <t>Opiskelija</t>
  </si>
  <si>
    <t>ComboBox_EtPaaToiminta_alku#opiskelija</t>
  </si>
  <si>
    <t>Kuntoutuksessa</t>
  </si>
  <si>
    <t>ComboBox_EtPaaToiminta_alku#kuntoutuksessa</t>
  </si>
  <si>
    <t>Sairaana</t>
  </si>
  <si>
    <t>ComboBox_EtPaaToiminta_alku#sairaana</t>
  </si>
  <si>
    <t>Eläkkeellä</t>
  </si>
  <si>
    <t>ComboBox_EtPaaToiminta_alku#eläkkeellä</t>
  </si>
  <si>
    <t>Asevelvollisuus</t>
  </si>
  <si>
    <t>ComboBox_EtPaaToiminta_alku#asevelvollisuus</t>
  </si>
  <si>
    <t>Perhevapaalla kotona (lastenhoito)</t>
  </si>
  <si>
    <t>ComboBox_EtPaaToiminta_alku#perhevapaalla kotona (lastenhoito)</t>
  </si>
  <si>
    <t>Kotoutumistoimeenpiteessä</t>
  </si>
  <si>
    <t>ComboBox_EtPaaToiminta_alku#kotoutumistoimenpiteessä</t>
  </si>
  <si>
    <t>ComboBox_EtPaaToiminta_alku#muu</t>
  </si>
  <si>
    <t>ComboBox_EtPaaToiminta_alku#ei tietoa</t>
  </si>
  <si>
    <t>Toimeentulo</t>
  </si>
  <si>
    <t>Nuoren pääasiallinen toimeentulo hakuajan alussa (lähin arvo)</t>
  </si>
  <si>
    <t>Nuoren pääasiallinen toimeentulo - muutos</t>
  </si>
  <si>
    <t>Palkka</t>
  </si>
  <si>
    <t>ComboBox_EtPaaTulo_alku#palkka</t>
  </si>
  <si>
    <t>Palkkatuki</t>
  </si>
  <si>
    <t>ComboBox_EtPaaTulo_alku#palkkatuki</t>
  </si>
  <si>
    <t>Työttömyysturva</t>
  </si>
  <si>
    <t>ComboBox_EtPaaTulo_alku#työttömyysturva</t>
  </si>
  <si>
    <t>Työmarkkinatuki</t>
  </si>
  <si>
    <t>ComboBox_EtPaaTulo_alku#työmarkkinatuki</t>
  </si>
  <si>
    <t xml:space="preserve">Toimeentulotuki </t>
  </si>
  <si>
    <t>ComboBox_EtPaaTulo_alku#toimeentulotuki</t>
  </si>
  <si>
    <t>Pitkäaikainen toimeentulotuki</t>
  </si>
  <si>
    <t>ComboBox_EtPaaTulo_alku#pitkäaikainen toimeentulotuki</t>
  </si>
  <si>
    <t>Kuntoutusraha</t>
  </si>
  <si>
    <t>ComboBox_EtPaaTulo_alku#kuntoutusraha</t>
  </si>
  <si>
    <t>Kuntoutustuki</t>
  </si>
  <si>
    <t>ComboBox_EtPaaTulo_alku#kuntoutustuki</t>
  </si>
  <si>
    <t>Opintotuki</t>
  </si>
  <si>
    <t>ComboBox_EtPaaTulo_alku#opintotuki</t>
  </si>
  <si>
    <t>Vanhempien tuki</t>
  </si>
  <si>
    <t>ComboBox_EtPaaTulo_alku#vanhempien tuki</t>
  </si>
  <si>
    <t>Sairauspäiväraha</t>
  </si>
  <si>
    <t>ComboBox_EtPaaTulo_alku#sairauspäiväraha</t>
  </si>
  <si>
    <t>ComboBox_EtPaaTulo_alku#eläke</t>
  </si>
  <si>
    <t>Vanhempainetuudet</t>
  </si>
  <si>
    <t>ComboBox_EtPaaTulo_alku#vanhempainetuudet</t>
  </si>
  <si>
    <t>Kotoutumistuki</t>
  </si>
  <si>
    <t>ComboBox_EtPaaTulo_alku#kotoutumistuki</t>
  </si>
  <si>
    <t>ComboBox_EtPaaTulo_alku#muu</t>
  </si>
  <si>
    <t>ComboBox_EtPaaTulo_alku#ei tietoa</t>
  </si>
  <si>
    <t>Asumismuoto</t>
  </si>
  <si>
    <t>Nuoren pääasiallinen asumismuoto hakuajan alussa (lähin arvo)</t>
  </si>
  <si>
    <t>Vanhempien asunnossa</t>
  </si>
  <si>
    <t>ComboBox_EtPaaAsuminen_alku#vanhempien asunnossa</t>
  </si>
  <si>
    <t>Omassa vuokra-asunnossa</t>
  </si>
  <si>
    <t>ComboBox_EtPaaAsuminen_alku#omassa vuokra-asunnossa</t>
  </si>
  <si>
    <t>Omassa omistusasunnossa</t>
  </si>
  <si>
    <t>ComboBox_EtPaaAsuminen_alku#omassa omistusasunnossa</t>
  </si>
  <si>
    <t>Sukulaisten luona</t>
  </si>
  <si>
    <t>ComboBox_EtPaaAsuminen_alku#sukulaisten luona</t>
  </si>
  <si>
    <t>Kavereiden luona</t>
  </si>
  <si>
    <t>ComboBox_EtPaaAsuminen_alku#kaverien luona</t>
  </si>
  <si>
    <t>Opiskelija-asunnossa / asuntolassa</t>
  </si>
  <si>
    <t>ComboBox_EtPaaAsuminen_alku#opiskelija-asunnossa, asuntolassa</t>
  </si>
  <si>
    <t>Asunnoton</t>
  </si>
  <si>
    <t>ComboBox_EtPaaAsuminen_alku#asunnoton</t>
  </si>
  <si>
    <t>Tukiasunnossa</t>
  </si>
  <si>
    <t>ComboBox_EtPaaAsuminen_alku#tukiasunnossa</t>
  </si>
  <si>
    <t>Laitoksessa</t>
  </si>
  <si>
    <t>ComboBox_EtPaaAsuminen_alku#laitoksessa</t>
  </si>
  <si>
    <t>Vastaanottokeskuksessa</t>
  </si>
  <si>
    <t>ComboBox_EtPaaAsuminen_alku#vastaanottokeskuksessa</t>
  </si>
  <si>
    <t>ComboBox_EtPaaAsuminen_alku#muu</t>
  </si>
  <si>
    <t>ComboBox_EtPaaAsuminen_alku#ei tietoa</t>
  </si>
  <si>
    <t>Koulutustilanne</t>
  </si>
  <si>
    <t>Nuoren koulutustilanne hakuajan alussa (lähin arvo)</t>
  </si>
  <si>
    <t>Nuoren koulutustilanne - muutos</t>
  </si>
  <si>
    <t>ComboBox_EtKoulutustausta_muu_alku#edelleen peruskoulussa</t>
  </si>
  <si>
    <t>ComboBox_EtKoulutustausta_muu_alku#peruskoulu keskeytynyt</t>
  </si>
  <si>
    <r>
      <t>Peruskoulu suoritettu</t>
    </r>
    <r>
      <rPr>
        <sz val="10"/>
        <color rgb="FFFF8C00"/>
        <rFont val="Calibri"/>
        <family val="2"/>
        <scheme val="minor"/>
      </rPr>
      <t xml:space="preserve"> </t>
    </r>
  </si>
  <si>
    <t>ComboBox_EtKoulutustausta_muu_alku#peruskoulu suoritettu</t>
  </si>
  <si>
    <t>Suorittamassa lukiota</t>
  </si>
  <si>
    <t>ComboBox_EtKoulutustausta_muu_alku#suorittamassa lukiota</t>
  </si>
  <si>
    <t>Lukio keskeytynyt</t>
  </si>
  <si>
    <t>ComboBox_EtKoulutustausta_muu_alku#lukio keskeytynyt</t>
  </si>
  <si>
    <t>ComboBox_EtKoulutustausta_muu_alku#lukion oppimäärä</t>
  </si>
  <si>
    <t>ComboBox_EtKoulutustausta_muu_alku#ylioppilas</t>
  </si>
  <si>
    <t>Suorittamassa 2. asteen ammatillista tutkintoa</t>
  </si>
  <si>
    <t>ComboBox_EtKoulutustausta_muu_alku#suorittamassa 2. asteen ammatillista tutkintoa</t>
  </si>
  <si>
    <t>Keskeytynyt 2. asteen ammatillinen tutkinto</t>
  </si>
  <si>
    <t>ComboBox_EtKoulutustausta_muu_alku#keskeytynyt 2. asteen ammatillinen tutkinto</t>
  </si>
  <si>
    <t>ComboBox_EtKoulutustausta_muu_alku#2. asteen ammatillinen tutkinto suoritettu</t>
  </si>
  <si>
    <t>Suorittamassa korkeakoulututkintoa</t>
  </si>
  <si>
    <t>ComboBox_EtKoulutustausta_muu_alku#suorittamassa korkeakoulututkintoa</t>
  </si>
  <si>
    <t xml:space="preserve">Keskeytynyt korkeakoulututkinto </t>
  </si>
  <si>
    <t>ComboBox_EtKoulutustausta_muu_alku#keskeytynyt korkeakoulututkinto</t>
  </si>
  <si>
    <t>Korkeakoulututkinto suoritettu</t>
  </si>
  <si>
    <t>ComboBox_EtKoulutustausta_muu_alku#korkeakoulututkinto suoritettu</t>
  </si>
  <si>
    <t>ComboBox_EtKoulutustausta_muu_alku#TUVA-koulutus</t>
  </si>
  <si>
    <t>ComboBox_EtKoulutustausta_muu_alku#ulkomailla suoritettu tutkinto</t>
  </si>
  <si>
    <t>ComboBox_EtKoulutustausta_muu_alku#muu tutkinto</t>
  </si>
  <si>
    <t>Ei tietoa, yhteensä</t>
  </si>
  <si>
    <t>ComboBox_EtKoulutustausta_muu_alku#ei tietoa</t>
  </si>
  <si>
    <t>Nuoren ylin suoritettu tutkinto hakuajan alussa (lähin arvo)</t>
  </si>
  <si>
    <t>Nuoren ylin suoritettu tutkinto -muutos</t>
  </si>
  <si>
    <t>Kuinka monta tavoiteriviä</t>
  </si>
  <si>
    <t>Nuoret</t>
  </si>
  <si>
    <t>Tavotteiden ka</t>
  </si>
  <si>
    <t>NUORET VALMENTAUTUJAT</t>
  </si>
  <si>
    <t>Mies/ka</t>
  </si>
  <si>
    <t>KAIKKI VALMENTAUTUJAT</t>
  </si>
  <si>
    <t>Nainen/ka</t>
  </si>
  <si>
    <t>Kaikki nuoret</t>
  </si>
  <si>
    <t>Nuoret, joille on asetettu tavoitteet</t>
  </si>
  <si>
    <t>valmentautujat, joille on asetettu tavoitteet</t>
  </si>
  <si>
    <t>Kuinka monta tavoitetta/hlö /sukupuoli</t>
  </si>
  <si>
    <t>Mies</t>
  </si>
  <si>
    <t>Kuinka monta "työskennellään tavoiteitteen kanssa" on yhtä aikaa / nuori</t>
  </si>
  <si>
    <t>Nainen</t>
  </si>
  <si>
    <t>Yhden asiakkaan kaikki tavoitteet</t>
  </si>
  <si>
    <t xml:space="preserve">Kuinka monelle nuorelle on asetettu tavoitteita? </t>
  </si>
  <si>
    <t xml:space="preserve">Kuinka monelle valmentautujalle on asetettu tavoitteita? </t>
  </si>
  <si>
    <t>TA_ID</t>
  </si>
  <si>
    <t xml:space="preserve">Kuinka monta nuorta on tavoitettu? </t>
  </si>
  <si>
    <t>TA_AIKALEIMA</t>
  </si>
  <si>
    <t>TA_ASNO</t>
  </si>
  <si>
    <t>TA_TAVOITE_PVM</t>
  </si>
  <si>
    <t>TA_LOPPUARVIO</t>
  </si>
  <si>
    <t xml:space="preserve">Alkutilanne, tavoitteen kanssa työskennellään - </t>
  </si>
  <si>
    <t>Tavoite</t>
  </si>
  <si>
    <t>tyoskennellaan</t>
  </si>
  <si>
    <t>F</t>
  </si>
  <si>
    <t>TA_TAVOITTEEN_TILA_11</t>
  </si>
  <si>
    <t>saavutettu</t>
  </si>
  <si>
    <t>Sosiaalisten taitojen vahvistuminen</t>
  </si>
  <si>
    <t>H</t>
  </si>
  <si>
    <t>TA_TAVOITTEEN_TILA_12</t>
  </si>
  <si>
    <t>Itsetuntemuksen vahvistuminen</t>
  </si>
  <si>
    <t>J</t>
  </si>
  <si>
    <t>TA_TAVOITTEEN_TILA_13</t>
  </si>
  <si>
    <t>Arjenhallinnan parantuminen</t>
  </si>
  <si>
    <t>Y</t>
  </si>
  <si>
    <t>TAP_TAVOITTEEN_TILA_14</t>
  </si>
  <si>
    <t>Terveellisen elämän edistäminen</t>
  </si>
  <si>
    <t>L</t>
  </si>
  <si>
    <t>TA_TAVOITTEEN_TILA_21</t>
  </si>
  <si>
    <t>Lähiyhteisöjen vahvistuminen</t>
  </si>
  <si>
    <t>N</t>
  </si>
  <si>
    <t>TA_TAVOITTEEN_TILA_22</t>
  </si>
  <si>
    <t>Osallisuuden lisääminen omassa elämässä</t>
  </si>
  <si>
    <t>P</t>
  </si>
  <si>
    <t>TA_TAVOITTEEN_TILA_23</t>
  </si>
  <si>
    <t>Osallistumisen lisääminen vaikuttamisen prosesseihin</t>
  </si>
  <si>
    <t>S</t>
  </si>
  <si>
    <t>TA_TAVOITTEEN_TILA_32</t>
  </si>
  <si>
    <t>Pääsy tarpeellisiin palveluihin</t>
  </si>
  <si>
    <t>T</t>
  </si>
  <si>
    <t>TA_TAVOITTEEN_TILA_33</t>
  </si>
  <si>
    <t>Siirtyminen koulutukseen</t>
  </si>
  <si>
    <t>U</t>
  </si>
  <si>
    <t>TA_TAVOITTEEN_TILA_34</t>
  </si>
  <si>
    <t>Siirtyminen avoimille työmarkkinoille</t>
  </si>
  <si>
    <t>Kuinka monta tavoitetta on asetettu keskimäärin</t>
  </si>
  <si>
    <t>Nuorelle voidaan merkitä useita tavoitteita</t>
  </si>
  <si>
    <t>Valmentautujalle voidaan merkitä useita tavoitteita</t>
  </si>
  <si>
    <t>Asetettuja tavoitteita yhteensä</t>
  </si>
  <si>
    <t xml:space="preserve">Viimeisin tilanne, tavoiteen kanssa työskennellään tai tavoite saavutettu - </t>
  </si>
  <si>
    <t>Työskennellään</t>
  </si>
  <si>
    <t>Saavutettu</t>
  </si>
  <si>
    <t>Työskennellään ja saavutettu yhteensä</t>
  </si>
  <si>
    <t>TA_LISATIETOJA</t>
  </si>
  <si>
    <t>Määrä</t>
  </si>
  <si>
    <t>TA_MUUTOSAIKA</t>
  </si>
  <si>
    <t>TA_TALLETUSAIKA</t>
  </si>
  <si>
    <t>TA_TAVOITTEEN_ARVIO_11</t>
  </si>
  <si>
    <t>TA_TAVOITTEEN_ARVIO_12</t>
  </si>
  <si>
    <t>TA_TAVOITTEEN_ARVIO_13</t>
  </si>
  <si>
    <t>TA_TAVOITTEEN_ARVIO_21</t>
  </si>
  <si>
    <t>TA_TAVOITTEEN_ARVIO_22</t>
  </si>
  <si>
    <t>Tavoite voi olla tilassa tavoitteen kanssa työskennellään tai tavoite saavutettu</t>
  </si>
  <si>
    <t>viimeisin on ok ja true</t>
  </si>
  <si>
    <t xml:space="preserve">Loppuarviointi, tavoiteen kanssa työskennellään tai tavoite saavutettu - </t>
  </si>
  <si>
    <t>nuoret</t>
  </si>
  <si>
    <t xml:space="preserve">UUSIEN Valmentautujien määrä sukupuolen ja ikäryhmän mukaan (ei aikaisempia jaksoja!) </t>
  </si>
  <si>
    <t>Tässä lasketaan valmentautujan ensimmäinen jakso työpajalla. Valmentautujalle ei siis ole koskaan aikaisemmin ollut asiakkuutta pajalla. Laskenta on erilainen kuin PARty 5:ssä, jossa tilastoon "uusi" haettiin uudet alkaneet jaksot hakuajalla - ei uusia asiakkuuksia kuten tässä.</t>
  </si>
  <si>
    <t>KAIKKIEN Valmentautujien määrä sukupuolen ja ikäryhmän mukaan</t>
  </si>
  <si>
    <t>Tässä lasketaan kaikki valmentautujat, joiden jokin jakso ulottuu hakuajalle.</t>
  </si>
  <si>
    <t>Valmentautujan ikä</t>
  </si>
  <si>
    <r>
      <t xml:space="preserve">Valmentautujien ikä lasketaan syntymäajan perusteella. </t>
    </r>
    <r>
      <rPr>
        <b/>
        <sz val="11"/>
        <color theme="1"/>
        <rFont val="Calibri"/>
        <family val="2"/>
        <scheme val="minor"/>
      </rPr>
      <t xml:space="preserve">Laskentaan tulee ikä </t>
    </r>
    <r>
      <rPr>
        <b/>
        <i/>
        <sz val="11"/>
        <color theme="1"/>
        <rFont val="Calibri"/>
        <family val="2"/>
        <scheme val="minor"/>
      </rPr>
      <t>hakuajan alussa</t>
    </r>
    <r>
      <rPr>
        <b/>
        <sz val="11"/>
        <color theme="1"/>
        <rFont val="Calibri"/>
        <family val="2"/>
        <scheme val="minor"/>
      </rPr>
      <t xml:space="preserve">, mikäli ikä on silloin suurempi kuin </t>
    </r>
    <r>
      <rPr>
        <b/>
        <i/>
        <sz val="11"/>
        <color theme="1"/>
        <rFont val="Calibri"/>
        <family val="2"/>
        <scheme val="minor"/>
      </rPr>
      <t>asiakkuuden alussa</t>
    </r>
    <r>
      <rPr>
        <b/>
        <sz val="11"/>
        <color theme="1"/>
        <rFont val="Calibri"/>
        <family val="2"/>
        <scheme val="minor"/>
      </rPr>
      <t>.</t>
    </r>
    <r>
      <rPr>
        <sz val="11"/>
        <color theme="1"/>
        <rFont val="Calibri"/>
        <family val="2"/>
        <scheme val="minor"/>
      </rPr>
      <t xml:space="preserve"> Asiakkuuden alku voi osua useiden vuosien taakse. Tällöin nähdään pitkien asiakkuuksien suhteen, minkä ikäisiä valmentautujat ovat olleet erilaisilla hakuajoilla. 
HUOM! Ikä laskettiin erilaillla PAR 5.0 versiossa, jossa ikä laskettiin hakuajan alussa, mikäli ikä oli silloin suurempi kuin viimeisimmän jakson aloituspäivä.</t>
    </r>
  </si>
  <si>
    <t xml:space="preserve">Työpajajaksojen kokonaiskesto, jonka valmentautuja on ollut pajalla kuukausina </t>
  </si>
  <si>
    <t>Kaikkien niiden jaksojen kesto, jotka osuvat hakuajalle, lasketaan tässä kysymyksessä yhteen. 
Työpajajaksot "ei tietoa" tulee valmentautujista, joille ei ole merkitty jaksoja lainkaan. Valmentautujat ovat vain kirjattu järjestelmään, mutta aloituspäivää ei ole virallisesti kirjattu. Nämä valmentautujat poimitaan laskuriin asiakkuuden tallennuspäivän perusteella.</t>
  </si>
  <si>
    <t>Data_TYasiakas</t>
  </si>
  <si>
    <t>Data_Toimenpiteet</t>
  </si>
  <si>
    <t>Data_TYtilanne</t>
  </si>
  <si>
    <t>Data_TYjaksot</t>
  </si>
  <si>
    <t>Data_Tpajapalvelu</t>
  </si>
  <si>
    <t>ComboBox_TySaapunut</t>
  </si>
  <si>
    <t>ComboBox_TyTilaaja</t>
  </si>
  <si>
    <t>ComboBox_TyPalvelu</t>
  </si>
  <si>
    <t>ComboBox_TyPalvelu_oma</t>
  </si>
  <si>
    <t>TP_LUOKKA</t>
  </si>
  <si>
    <t>TP_TOIMENPIDE</t>
  </si>
  <si>
    <t>TILANNE_ComboBox_EtKoulutustausta_alku</t>
  </si>
  <si>
    <t>TILANNE_ComboBox_EtKoulutustausta_muu_alku</t>
  </si>
  <si>
    <t>TILANNE_ComboBox_EtPaaToiminta_alku</t>
  </si>
  <si>
    <t>TILANNE_ComboBox_EtPaaTulo_alku</t>
  </si>
  <si>
    <t>TILANNE_ComboBox_EtPaaAsuminen_alku</t>
  </si>
  <si>
    <t>TYJAKSOT_ComboBox_TyOmakoodi</t>
  </si>
  <si>
    <t>TYJAKSOT_ComboBox_TyPaatosSyy</t>
  </si>
  <si>
    <t>TYJAKSOT_ComboBox_TyPalvelu</t>
  </si>
  <si>
    <t>TYJAKSOT_ComboBox_TyPalvelu_oma</t>
  </si>
  <si>
    <t>TYJAKSOT_ComboBox_TySaapunut</t>
  </si>
  <si>
    <t>TYJAKSOT_ComboBox_TySeuranta</t>
  </si>
  <si>
    <t>TYJAKSOT_ComboBox_TySijoittuminen</t>
  </si>
  <si>
    <t>TYJAKSOT_ComboBox_TyTilaaja</t>
  </si>
  <si>
    <t>TPAJATOIMENPIDE_ComboBox_Ty_pop_palvelu</t>
  </si>
  <si>
    <t>TPAJATOIMENPIDE_ComboBox_TyToiminta_oma</t>
  </si>
  <si>
    <t>arvo</t>
  </si>
  <si>
    <t>OptionButton_EtMuu</t>
  </si>
  <si>
    <t>MUUTOS 2023</t>
  </si>
  <si>
    <t>K</t>
  </si>
  <si>
    <t>ei voi vielä luottaa</t>
  </si>
  <si>
    <t>aloitus</t>
  </si>
  <si>
    <t>viimeinen</t>
  </si>
  <si>
    <t>ei käytössä</t>
  </si>
  <si>
    <t>ComboBox_TyAsiakastila#päättynyt</t>
  </si>
  <si>
    <t>vanhin jakso</t>
  </si>
  <si>
    <t>uudet asiakkaat &gt;&gt; uusi ikinä</t>
  </si>
  <si>
    <t>viimeisin päättymispäivä</t>
  </si>
  <si>
    <t>uudet asiakkaat &gt;&gt; uusi tänä vuonna</t>
  </si>
  <si>
    <t>tästä koko dokkarin toiminta</t>
  </si>
  <si>
    <t>ASNO_ASNO</t>
  </si>
  <si>
    <t>ASNO_AIKALEIMA</t>
  </si>
  <si>
    <t>ASNOComboBox_EtKuntakoodi</t>
  </si>
  <si>
    <t>ASNOTextBox_EtSaika</t>
  </si>
  <si>
    <t>ASNOCheckBox_EtSaikavirhe</t>
  </si>
  <si>
    <t>ASNO_Group_OptionButton_ET_sukupuoli</t>
  </si>
  <si>
    <t>ASNOComboBox_EtKieli</t>
  </si>
  <si>
    <t>ASNO_TEKOAIKA</t>
  </si>
  <si>
    <t>ASNO_MUUTOSAIKA</t>
  </si>
  <si>
    <t xml:space="preserve">ASNO_CheckBox_EtSukupuoli_muu   </t>
  </si>
  <si>
    <t>ASNO_YKSIKKÖ</t>
  </si>
  <si>
    <t>ASNO_TextBox_Asiakas_kannassa</t>
  </si>
  <si>
    <t>ComboBox_TyAsiakastila</t>
  </si>
  <si>
    <t>TextBox_TyIlmoituspvm</t>
  </si>
  <si>
    <t>TextBox_TyAloitusPvm</t>
  </si>
  <si>
    <t>TextBox_TyPaatospvm</t>
  </si>
  <si>
    <t>P/Y</t>
  </si>
  <si>
    <t>NRO 1</t>
  </si>
  <si>
    <t>UUSI HLÖ</t>
  </si>
  <si>
    <t>EDELLINEN VUOSI</t>
  </si>
  <si>
    <t>hakuajalle</t>
  </si>
  <si>
    <t>KAIKKIEN LASKENTA: E/P/ ilman jaksoa</t>
  </si>
  <si>
    <t>aloituspäivä(jos ei aloitusta, niin ilmoitus, jos ei sitäkään, niin tallennuspäivä)</t>
  </si>
  <si>
    <t>syntymäaika</t>
  </si>
  <si>
    <t>ikä aloittaessa</t>
  </si>
  <si>
    <t>ikä hakuaijan / jakson alussa</t>
  </si>
  <si>
    <t>ikäluokka</t>
  </si>
  <si>
    <t>Nuori</t>
  </si>
  <si>
    <t>kieli</t>
  </si>
  <si>
    <t>koulu</t>
  </si>
  <si>
    <t>koulutilanne</t>
  </si>
  <si>
    <t>toiminta</t>
  </si>
  <si>
    <t>Toimeentulotuki</t>
  </si>
  <si>
    <t>asuminen</t>
  </si>
  <si>
    <t>saapuminen sarakkeesata ax</t>
  </si>
  <si>
    <t>toimenpidettä?</t>
  </si>
  <si>
    <t>KUNTA</t>
  </si>
  <si>
    <t>saapuminen apu ID, hakuajan eka</t>
  </si>
  <si>
    <t>päättynyt OK - otetaan uusin ilmentymä jaksoista, ne joilla isompi aloituspäivä kuin hakuaiak ovat jatkavia!</t>
  </si>
  <si>
    <t>tila (apu)</t>
  </si>
  <si>
    <t>tila OK</t>
  </si>
  <si>
    <t>jaksojen kesto hakuajalla</t>
  </si>
  <si>
    <t>VUODEN JÄLKEEN</t>
  </si>
  <si>
    <t>jaksot</t>
  </si>
  <si>
    <t>nuoren ikä vuosiseuranta</t>
  </si>
  <si>
    <t>eka esiintymä</t>
  </si>
  <si>
    <t>rivi jonka arvo pienin</t>
  </si>
  <si>
    <t>arvo ko riviltä</t>
  </si>
  <si>
    <t>pienin arvo - haettu ekalle riville</t>
  </si>
  <si>
    <t>tarkastus: Avain</t>
  </si>
  <si>
    <t>voimassa oleva palvelu</t>
  </si>
  <si>
    <t>rivi jonka arvo surin</t>
  </si>
  <si>
    <t>suurin arvo - haettu ekalle riville</t>
  </si>
  <si>
    <t>jakso voimassa vuoden aikana</t>
  </si>
  <si>
    <t>uusi jakso vuoden aikana</t>
  </si>
  <si>
    <t>estitään hakuvuoden aloituspäivä</t>
  </si>
  <si>
    <t>ikä hakuajan ekalla jaksolla</t>
  </si>
  <si>
    <t>etsi haluttu yksikkö jaksoilta</t>
  </si>
  <si>
    <t>Etsi haluttu kunta Jaksoilta</t>
  </si>
  <si>
    <t>haetaan edellinen arvo, jos omalla rivillä on tyhjä</t>
  </si>
  <si>
    <t>TILANNE_ID</t>
  </si>
  <si>
    <t>TILANNE_AIKALEIMA</t>
  </si>
  <si>
    <t>TILANNE_KAYTTIS</t>
  </si>
  <si>
    <t>erotus kirjaamisesta ja hakuajasta</t>
  </si>
  <si>
    <t>lähin arvo hakuajan alkuun</t>
  </si>
  <si>
    <t>laskennallinen aika</t>
  </si>
  <si>
    <t>tilanne tallennusaika</t>
  </si>
  <si>
    <t>TILANNE_TALLETUSAIKA</t>
  </si>
  <si>
    <t>TILANNE_MUUTOSAIKA</t>
  </si>
  <si>
    <t>NRO1</t>
  </si>
  <si>
    <t>RIVI</t>
  </si>
  <si>
    <t>kuinka monta esiintymää (monesko esiintymä)</t>
  </si>
  <si>
    <t>esiintymiä yhteensä /hlö</t>
  </si>
  <si>
    <t>1 rivi</t>
  </si>
  <si>
    <t>vika rivi</t>
  </si>
  <si>
    <t>hakuaikaa lähin rivi (nro)</t>
  </si>
  <si>
    <t>TILANNE_CheckBox_EtKeskOpinnot_alku</t>
  </si>
  <si>
    <t>TILANNE_CheckBox_EtErityisoppilaitos_alku</t>
  </si>
  <si>
    <t>TILANNE_CheckBox_EtVelkaantuminen_alku</t>
  </si>
  <si>
    <t>TILANNE_CheckBox_EtLuottotiedot_alku</t>
  </si>
  <si>
    <t>koulu, viimeisin</t>
  </si>
  <si>
    <t>koulutilanne, viimeisin</t>
  </si>
  <si>
    <t>toiminta, viimeisin</t>
  </si>
  <si>
    <t>Toimeentulotuki, viimeisin</t>
  </si>
  <si>
    <t>asuminen, viimeisin</t>
  </si>
  <si>
    <t>koulutus1</t>
  </si>
  <si>
    <t>koulutus2</t>
  </si>
  <si>
    <t>ero</t>
  </si>
  <si>
    <t>k tilanne1</t>
  </si>
  <si>
    <t>k tilanne2</t>
  </si>
  <si>
    <t>?????</t>
  </si>
  <si>
    <t>talletus</t>
  </si>
  <si>
    <t>Hakuaika</t>
  </si>
  <si>
    <t>KELVOLLISUUS SuHTEESSA HAKUAIKAAN</t>
  </si>
  <si>
    <t>edellinen vuosi</t>
  </si>
  <si>
    <t>aloituksen perusteella</t>
  </si>
  <si>
    <t>Be korvaa</t>
  </si>
  <si>
    <t>asiakkuudet</t>
  </si>
  <si>
    <t>lopetuksen perusteella</t>
  </si>
  <si>
    <t>kaikki jaksot</t>
  </si>
  <si>
    <t>uudet jaksot</t>
  </si>
  <si>
    <t>JOS(ONPUUTTUU(AZ3);AY3;JOS(EPÄSUORA("ba"&amp;AZ3)&lt;AY3;EPÄSUORA("ba"&amp;AZ3);AY3))</t>
  </si>
  <si>
    <t>JOS(ONPUUTTUU(AZ3);RIVI();JOS(EPÄSUORA("ay"&amp;EPÄSUORA("bb"&amp;AZ3))&lt;AY3;EPÄSUORA("bb"&amp;AZ3);RIVI()))</t>
  </si>
  <si>
    <t>aloittaminen</t>
  </si>
  <si>
    <t>09_2023</t>
  </si>
  <si>
    <t>TYJAKSOT_ID</t>
  </si>
  <si>
    <t>TYJAKSOT_AIKALEIMA</t>
  </si>
  <si>
    <t>TYJAKSOT_ASIAKASTUN</t>
  </si>
  <si>
    <t>apu ID</t>
  </si>
  <si>
    <t>TYJAKSOT_CheckBox_TyKeskeytys</t>
  </si>
  <si>
    <t>TYJAKSOT_CheckBox_TySeinaton</t>
  </si>
  <si>
    <t>TYJAKSOT_CheckBox_TyStartti</t>
  </si>
  <si>
    <t>TYJAKSOT_ComboBox_TySeuranta_oma</t>
  </si>
  <si>
    <t>TYJAKSOT_Group_OptionButton_Jatkopaikka</t>
  </si>
  <si>
    <t>TYJAKSOT_Group_OptionButton_Paattyminen</t>
  </si>
  <si>
    <t>TYJAKSOT_TextBox_aikaleimat_talletus_jaksot</t>
  </si>
  <si>
    <t>TYJAKSOT_TextBox_aikaleimat_muutos_jaksot</t>
  </si>
  <si>
    <t>TYJAKSOT_TextBox_TyAloitusPvm</t>
  </si>
  <si>
    <t>TYJAKSOT_TextBox_TyIlmoituspvm</t>
  </si>
  <si>
    <t>TYJAKSOT_TextBox_TyPaatospvm</t>
  </si>
  <si>
    <t>jakson kunta, jos tyhjä haetaan perustiedoista</t>
  </si>
  <si>
    <t>jakson yksikkö, jos tyhjä haetaan perustiedoista</t>
  </si>
  <si>
    <t>rivi</t>
  </si>
  <si>
    <t>aloitus (ilmoitus jos ei aloitusta ja tallennus jos ei ilmoitusta)</t>
  </si>
  <si>
    <t>lopetus</t>
  </si>
  <si>
    <t>jakson kesto</t>
  </si>
  <si>
    <t>J &gt; osuuko jakso hakuajalle</t>
  </si>
  <si>
    <t>ID &gt; osuuko hlö hakuajalle (min 1 ok)</t>
  </si>
  <si>
    <t>uusi jakso /HLÖ</t>
  </si>
  <si>
    <t>kuinka monta jaksoa/hlö (monesko esiintymä)</t>
  </si>
  <si>
    <t>jaksoja yhteensä /hlö</t>
  </si>
  <si>
    <t>jaksojen kesto hakuajalla (sama joka rivillä)</t>
  </si>
  <si>
    <t>jaksojen kesto kaikki</t>
  </si>
  <si>
    <t>saapuminen</t>
  </si>
  <si>
    <t>päätös</t>
  </si>
  <si>
    <t>suurin lopetus rivi</t>
  </si>
  <si>
    <t>TOIMENPIDE</t>
  </si>
  <si>
    <t>NUORI</t>
  </si>
  <si>
    <t>seuranta</t>
  </si>
  <si>
    <t>seuranta uusin</t>
  </si>
  <si>
    <t>arvo, tästä etsitään pienin päivämäärä</t>
  </si>
  <si>
    <t>seuraava rivi samasta asiakkaasta</t>
  </si>
  <si>
    <t>pienin arvo nousee ylimmäksi, haetaan indeksillä as-lhedelle</t>
  </si>
  <si>
    <t>pienimmän rivi nousee ylimmäksi</t>
  </si>
  <si>
    <t>UUSI Poimitaan henkilötasolle</t>
  </si>
  <si>
    <t>tarkistuksia</t>
  </si>
  <si>
    <t>UUDET HLÖT</t>
  </si>
  <si>
    <t>arvo, päätös</t>
  </si>
  <si>
    <t>suurin arvo nousee ylimmäksi, haetaan indeksillä as-lhedelle</t>
  </si>
  <si>
    <t>suurin rivi nousee ylimmäksi</t>
  </si>
  <si>
    <t>sukupuoli</t>
  </si>
  <si>
    <t>E/P/D</t>
  </si>
  <si>
    <t>J &gt; osuuko jakso hakuajalle VUOSI</t>
  </si>
  <si>
    <t xml:space="preserve">ID &gt; osuuko hlö hakuajalle VUOSI (min 1 ok) </t>
  </si>
  <si>
    <t>etsitään halutun vuoden alkoituspäivä</t>
  </si>
  <si>
    <t>samat toimenpiteet</t>
  </si>
  <si>
    <t>valitse toimenpiteet, joiden luku 1 (tp saa näkyä parkissa vain kerran)</t>
  </si>
  <si>
    <t>apusolu</t>
  </si>
  <si>
    <t>vain kerran henkilö/jaksona/yksikössä</t>
  </si>
  <si>
    <t>vain kerran henkilö/jaksona/kunnassa</t>
  </si>
  <si>
    <t>työvoimapoliittiset toimenpiteet</t>
  </si>
  <si>
    <t>aloittanut opinnot</t>
  </si>
  <si>
    <t>jatkanut opinnot</t>
  </si>
  <si>
    <t>kuinka monta eri nuorta</t>
  </si>
  <si>
    <t>TP_ID</t>
  </si>
  <si>
    <t>TP_AIKALEIMA</t>
  </si>
  <si>
    <t>TP_ASNO</t>
  </si>
  <si>
    <t>TP_MUU_TP</t>
  </si>
  <si>
    <t>TP_ALOITUSPVM</t>
  </si>
  <si>
    <t>TP_PAATTYMISPVM</t>
  </si>
  <si>
    <t>TP_STATUS_KIELTO</t>
  </si>
  <si>
    <t>TP_TÄRKEIN_TPIDE</t>
  </si>
  <si>
    <t>TP_Group_OptionButton_EtTP</t>
  </si>
  <si>
    <t>tp_toimenpide_muu</t>
  </si>
  <si>
    <t>TP_TEKOAIKA</t>
  </si>
  <si>
    <t>TP_MUUTOSAIKA</t>
  </si>
  <si>
    <t>Oma /ohjattu</t>
  </si>
  <si>
    <t>yksi</t>
  </si>
  <si>
    <t>OK, UUDET? Hakuaika aloituspäivän perusteella</t>
  </si>
  <si>
    <t>ok, KAIKKI?  &gt;  (ei rajoitusta 2019 alkaen &gt; aloitus ei voi olla yli 1v vanha suhteessa hakuaikaan)</t>
  </si>
  <si>
    <t>aloitus (jos tyhjä, niin tallennus)</t>
  </si>
  <si>
    <t>lopetus( jos tyhjä niin hakuloppu pvm)</t>
  </si>
  <si>
    <t>TP (muutetaan arvoja kuten yllä)</t>
  </si>
  <si>
    <t>nuori/vanha</t>
  </si>
  <si>
    <t>eka ilmentymä</t>
  </si>
  <si>
    <t>tärkein</t>
  </si>
  <si>
    <t>kielto</t>
  </si>
  <si>
    <t>aktiivinen nuori; eli jakso voimassa (KAIKKI)</t>
  </si>
  <si>
    <t>ikä</t>
  </si>
  <si>
    <t>samat tp</t>
  </si>
  <si>
    <t>lopetusåpäivä</t>
  </si>
  <si>
    <t>Puoli P /E</t>
  </si>
  <si>
    <t>E?</t>
  </si>
  <si>
    <t>kesken</t>
  </si>
  <si>
    <t>kuinka monta palvelua/nuori</t>
  </si>
  <si>
    <t>voisi lisätä jaksojen lopetuspäivän tarkistukseen!</t>
  </si>
  <si>
    <t>TPAJATOIMENPIDE_ID</t>
  </si>
  <si>
    <t>TPAJATOIMENPIDE_AIKALEIMA</t>
  </si>
  <si>
    <t>TPAJATOIMENPIDE_ASTUN</t>
  </si>
  <si>
    <t>TPAJATOIMENPIDE_TextBox_EtOrg_nimi</t>
  </si>
  <si>
    <t>TPAJATOIMENPIDE_Group_OptionButton_EtTP</t>
  </si>
  <si>
    <t>TPAJATOIMENPIDE_TextBox_aikaleimat_muutos_tpide</t>
  </si>
  <si>
    <t>TPAJATOIMENPIDE_TextBox_aikaleimat_talletus_tpide</t>
  </si>
  <si>
    <t>TPAJATOIMENPIDE_TextBox_EtToimenpide_muu</t>
  </si>
  <si>
    <t>TPAJATOIMENPIDE_TextBox_Toimenpide</t>
  </si>
  <si>
    <t>TPAJATOIMENPIDE_TextBox_TyToiminta_aloituspvm</t>
  </si>
  <si>
    <t>TPAJATOIMENPIDE_TextBox_TyToiminta_paatospvm</t>
  </si>
  <si>
    <t>ok, KAIKKI?  &gt; Lopetuspäivän perusteella, aloitus ei voi olla yli 1v vanha suhteessa hakuaikaan</t>
  </si>
  <si>
    <t>TP</t>
  </si>
  <si>
    <t>aktiivinen nuori; eli jakso voimassa</t>
  </si>
  <si>
    <t>voimassa oleva palvelu, esiintymät</t>
  </si>
  <si>
    <t>päätöspäivä</t>
  </si>
  <si>
    <t>APU: POISTA</t>
  </si>
  <si>
    <t xml:space="preserve">ComboBox_TyToimenpide#jossakin muussa toimenpiteessä </t>
  </si>
  <si>
    <t>pois</t>
  </si>
  <si>
    <t>kuinka monta eri asiakasta</t>
  </si>
  <si>
    <t>asiakkaiden määrä</t>
  </si>
  <si>
    <t>ensimmäinen esiintyminen</t>
  </si>
  <si>
    <t>järjestyskuku</t>
  </si>
  <si>
    <t>viimeisin</t>
  </si>
  <si>
    <t>nuori vai vanha</t>
  </si>
  <si>
    <t>kuntakoodi</t>
  </si>
  <si>
    <t>asiakas OK?</t>
  </si>
  <si>
    <t>uusi henkilö</t>
  </si>
  <si>
    <t>6.11.0</t>
  </si>
  <si>
    <t>KAYT_KAYT</t>
  </si>
  <si>
    <t>KAYT_AIKALEIMA</t>
  </si>
  <si>
    <t>KAYT_GROUP_SUKUPUOLI</t>
  </si>
  <si>
    <t>KAYT_SYNTYMAAIKA</t>
  </si>
  <si>
    <t>KAYT_TYOKOKEMUS</t>
  </si>
  <si>
    <t>KAYT_KOULUTUS</t>
  </si>
  <si>
    <t>KAYT_AMMATTINIMIKE</t>
  </si>
  <si>
    <t>KAYT_MUU_KIELI</t>
  </si>
  <si>
    <t>KAYT_SUOMI</t>
  </si>
  <si>
    <t>KAYT_RUOTSI</t>
  </si>
  <si>
    <t>KAYT_ENGLANTI</t>
  </si>
  <si>
    <t>KAYT_SAKSA</t>
  </si>
  <si>
    <t>KAYT_RANSKA</t>
  </si>
  <si>
    <t>KAYT_EESTI</t>
  </si>
  <si>
    <t>KAYT_VENAJA</t>
  </si>
  <si>
    <t>KAYT_SOMALI</t>
  </si>
  <si>
    <t>KAYT_ SAAME</t>
  </si>
  <si>
    <t>HTV alle 29v KAYT_MUU_KIELITAITO</t>
  </si>
  <si>
    <t>KAYT_TextBox_TyHlo_aloituspvm</t>
  </si>
  <si>
    <t>KAYT_TextBox_TyHlo_paatospvm</t>
  </si>
  <si>
    <t>KAYT_ComboBox_TyHlo_org</t>
  </si>
  <si>
    <t>KAYT_ComboBox_TyHlo_yksikko</t>
  </si>
  <si>
    <t>KAYT_ComboBox_TyHlo_tyosuhde</t>
  </si>
  <si>
    <t>KAYT_TyHlo_tyoteht</t>
  </si>
  <si>
    <t>KAYT_TyHlo_htv</t>
  </si>
  <si>
    <t>KAYT_TALLETUSAIKA</t>
  </si>
  <si>
    <t>KAYT_MUUTOSAIKA</t>
  </si>
  <si>
    <t>KAYT_TYOPAJA_TUTKINTO</t>
  </si>
  <si>
    <t>KAYT_CheckBox_TyHlo_1tyovalmentaja</t>
  </si>
  <si>
    <t>KAYT_CheckBox_TyHlo_2yksilovalmentaja</t>
  </si>
  <si>
    <t>KAYT_CheckBox_TyHlo_3etsiva</t>
  </si>
  <si>
    <t>KAYT_CheckBox_TyHlo_4johto</t>
  </si>
  <si>
    <t>KAYT_CheckBox_TyHlo_5kehitys</t>
  </si>
  <si>
    <t>KAYT_CheckBox_TyHlo_6hallinto</t>
  </si>
  <si>
    <t>KAYT_CheckBox_TyHlo_7muu</t>
  </si>
  <si>
    <t>KAYT_TextBox_TyHlo_1tyovalmentaja</t>
  </si>
  <si>
    <t>KAYT_TextBox_TyHlo_2yksilovalmentaja</t>
  </si>
  <si>
    <t>KAYT_TextBox_TyHlo_3etsiva</t>
  </si>
  <si>
    <t>KAYT_TextBox_TyHlo_4johto</t>
  </si>
  <si>
    <t>KAYT_TextBox_TyHlo_5kehitys</t>
  </si>
  <si>
    <t>KAYT_TextBox_TyHlo_6hallinto</t>
  </si>
  <si>
    <t>KAYT_TextBox_TyHlo_7muu</t>
  </si>
  <si>
    <t>KAYT_CheckBox_AikalisaOhjaaja</t>
  </si>
  <si>
    <t>poistettu</t>
  </si>
  <si>
    <t>ei  tilastoida</t>
  </si>
  <si>
    <t>arvo1</t>
  </si>
  <si>
    <t>OK?</t>
  </si>
  <si>
    <t>HTV arvo</t>
  </si>
  <si>
    <t>HTV 29</t>
  </si>
  <si>
    <t>HTV arvo 29</t>
  </si>
  <si>
    <t>mistä tietää että etsivä!!</t>
  </si>
  <si>
    <t>1</t>
  </si>
  <si>
    <t>2</t>
  </si>
  <si>
    <t>3</t>
  </si>
  <si>
    <t>TAP_ID</t>
  </si>
  <si>
    <t>TAP_AIKALEIMA</t>
  </si>
  <si>
    <t>TAP_ASNO</t>
  </si>
  <si>
    <t>TAP_TAVOITE_PVM</t>
  </si>
  <si>
    <t>TAP_LOPPUARVIO</t>
  </si>
  <si>
    <t>TATAVOITTEENTILA11</t>
  </si>
  <si>
    <t>TAP_TAVOITTEEN_ARVIO_11</t>
  </si>
  <si>
    <t>TATAVOITTEENTILA12</t>
  </si>
  <si>
    <t>TAP_TAVOITTEEN_ARVIO_12</t>
  </si>
  <si>
    <t>TATAVOITTEENTILA13</t>
  </si>
  <si>
    <t>TAP_TAVOITTEEN_ARVIO_13</t>
  </si>
  <si>
    <t>TATAVOITTEENTILA21</t>
  </si>
  <si>
    <t>TAP_TAVOITTEEN_ARVIO_21</t>
  </si>
  <si>
    <t>TATAVOITTEENTILA22</t>
  </si>
  <si>
    <t>TAP_TAVOITTEEN_ARVIO_22</t>
  </si>
  <si>
    <t>TATAVOITTEENTILA23</t>
  </si>
  <si>
    <t>TAP_TAVOITTEEN_ARVIO_23</t>
  </si>
  <si>
    <t>TATAVOITTEENTILA31</t>
  </si>
  <si>
    <t>TATAVOITTEENTILA32</t>
  </si>
  <si>
    <t>TATAVOITTEENTILA33</t>
  </si>
  <si>
    <t>TATAVOITTEENTILA34</t>
  </si>
  <si>
    <t>TAP_MUUTOSAIKA</t>
  </si>
  <si>
    <t>TAP_TALLETUSAIKA</t>
  </si>
  <si>
    <t>TAP_KIRJAAJA_LOCK_NAME</t>
  </si>
  <si>
    <t>TAP_TAVOITTEEN_ARVIO_14</t>
  </si>
  <si>
    <t>TAP_JARJESTYS</t>
  </si>
  <si>
    <t>TYJAKSOT_CheckBox_TyHaastateltu</t>
  </si>
  <si>
    <t>TYJAKSOT_TextBox_TySeuranta_pvm</t>
  </si>
  <si>
    <t>OptionButton_ToimenpiteenMuoto_Yksilo</t>
  </si>
  <si>
    <t>Kunta</t>
  </si>
  <si>
    <t>ORG_NO</t>
  </si>
  <si>
    <t>ORG_AIKALEIMA</t>
  </si>
  <si>
    <t>ORG_TextBox_EtOrg_nimi</t>
  </si>
  <si>
    <t>ORG_TextBox_EtOrg_hanke</t>
  </si>
  <si>
    <t>ORG_TextBox_EtOrg_osoite</t>
  </si>
  <si>
    <t>ORG_TextBox_EtOrg_postinro</t>
  </si>
  <si>
    <t>ORG_TextBox_EtOrg_postitmp</t>
  </si>
  <si>
    <t>ORG_ComboBox_EtOrg_avi</t>
  </si>
  <si>
    <t>ORG_ComboBox_EtOrg_maakunta</t>
  </si>
  <si>
    <t>ORG_ComboBox_EtOrg_seutukunta</t>
  </si>
  <si>
    <t>ORG_ComboBox_EtOrg_kunta</t>
  </si>
  <si>
    <t>ORG_TextBox_EtOrg_ytunnus</t>
  </si>
  <si>
    <t>ORG_TextBox_EtOrg_reknum</t>
  </si>
  <si>
    <t>ORG_TextBox_EtOrg_alkupvm</t>
  </si>
  <si>
    <t>ORG_TextBox_EtOrg_loppupvm</t>
  </si>
  <si>
    <t>ORG_TextBox_EtOrg_Diaari</t>
  </si>
  <si>
    <t>ORG_TextBox_EtOrg_Diaarialku</t>
  </si>
  <si>
    <t>ORG_TextBox_EtOrg_Diaariloppu</t>
  </si>
  <si>
    <t>ORG_Henkilöstö</t>
  </si>
  <si>
    <t>ORG_henkilöstö_naisia</t>
  </si>
  <si>
    <t>ORG_työntekijat</t>
  </si>
  <si>
    <t>ORG_työntekijat_naisia</t>
  </si>
  <si>
    <t>ORG_TextBox_EtOrg_kunta1</t>
  </si>
  <si>
    <t>ORG_TextBox_EtOrg_kunta2</t>
  </si>
  <si>
    <t>ORG_TextBox_EtOrg_kunta3</t>
  </si>
  <si>
    <t>ORG_TextBox_EtOrg_kunta4</t>
  </si>
  <si>
    <t>ORG_TextBox_EtOrg_kunta5</t>
  </si>
  <si>
    <t>ORG_TextBox_EtOrg_kunta6</t>
  </si>
  <si>
    <t>ORG_TextBox_EtOrg_kunta_lisaa</t>
  </si>
  <si>
    <t>ORG_Kunta_lkm</t>
  </si>
  <si>
    <t>ORG_kumppanit_lkm</t>
  </si>
  <si>
    <t>ORG_osoitteet_www</t>
  </si>
  <si>
    <t>ORG_osoitteet_face</t>
  </si>
  <si>
    <t>ORG_osoitteet_some</t>
  </si>
  <si>
    <t>ORG_TextBox_ETorg_logo</t>
  </si>
  <si>
    <t>ORG_TextBox_TyOrg_hallinnoija_nimi</t>
  </si>
  <si>
    <t>ORG_TextBox_TyOrg_hallinnoija_osoite</t>
  </si>
  <si>
    <t>ORG_TextBox_TyOrg_hallinnoija_postinro</t>
  </si>
  <si>
    <t>ORG_TextBox_TyOrg_hallinnoija_postitmp</t>
  </si>
  <si>
    <t>ORG_ComboBox_TyOrg_hallinnoija_valikko</t>
  </si>
  <si>
    <t>ORG_ComboBox_TyOrg_hallinnoija_hallintokunta</t>
  </si>
  <si>
    <t>ORG_TextBox_TyOrg_valmennus</t>
  </si>
  <si>
    <t>ORG_muutosaika</t>
  </si>
  <si>
    <t>ORG_TEKOAIKA</t>
  </si>
  <si>
    <t/>
  </si>
  <si>
    <t>OmaCombo_id</t>
  </si>
  <si>
    <t>Aikaleima</t>
  </si>
  <si>
    <t>Org_id</t>
  </si>
  <si>
    <t>Combo_name</t>
  </si>
  <si>
    <t>fin</t>
  </si>
  <si>
    <t>swe</t>
  </si>
  <si>
    <t>eng</t>
  </si>
  <si>
    <t>Poistokoodi</t>
  </si>
  <si>
    <t>vasen</t>
  </si>
  <si>
    <t>esiintymät</t>
  </si>
  <si>
    <t>puoli</t>
  </si>
  <si>
    <t>MUISTIO_ID</t>
  </si>
  <si>
    <t>MUISTIO_AIKALEIMA</t>
  </si>
  <si>
    <t>MUISTIO_KAID</t>
  </si>
  <si>
    <t>MUISTIO_ALKUPVM</t>
  </si>
  <si>
    <t>MUISTIO_LOPPUPVM</t>
  </si>
  <si>
    <t>MUISTIO_AAIKA</t>
  </si>
  <si>
    <t>MUISTIO_LAIKA</t>
  </si>
  <si>
    <t>MUISTIO_OTSIKKO</t>
  </si>
  <si>
    <t>MUISTIO_TYYPPI</t>
  </si>
  <si>
    <t>MUISTIO_PAIKKA</t>
  </si>
  <si>
    <t>MUISTIO_KAIKKI</t>
  </si>
  <si>
    <t>MUISTIO_NAISIA</t>
  </si>
  <si>
    <t>MUISTIO_KESKEN</t>
  </si>
  <si>
    <t>MUISTIO_HUOMIO</t>
  </si>
  <si>
    <t>MUISTIO_PUOLI</t>
  </si>
  <si>
    <t>MUISTIO_TTYYPPI</t>
  </si>
  <si>
    <t>MUISTIO_TEKOAIKA</t>
  </si>
  <si>
    <t>MUISTIO_MUUTOSAIKA</t>
  </si>
  <si>
    <t>MUISTIO_YHTEISMUISTIO</t>
  </si>
  <si>
    <t>MUISTIO_ASIAKKAAKSI_SIIR</t>
  </si>
  <si>
    <t>MUISTIO_ASIAKKAAKSI_SIIR_NAISIA</t>
  </si>
  <si>
    <t>MUISTIO_OMAKOODI</t>
  </si>
  <si>
    <t>MUISTIO_KERTAOHJAUS</t>
  </si>
  <si>
    <t>MUISTIO_KERTAOHJAUS_NAISIA</t>
  </si>
  <si>
    <t>MUISTIO_SIS_HENKTIETOJA</t>
  </si>
  <si>
    <t>MUISTIO_TILATYYPPI</t>
  </si>
  <si>
    <t>MUISTIO_MIEHIA</t>
  </si>
  <si>
    <t>MUISTIO_MUITA</t>
  </si>
  <si>
    <t>MUISTIO_MIEHIA_SIIR</t>
  </si>
  <si>
    <t>MUISTIO_MUITA_SIIR</t>
  </si>
  <si>
    <t>MUISTIO_KERTAOHJAUS_MIEHIA</t>
  </si>
  <si>
    <t>MUISTIO_KERTAOHJAUS_MUITA</t>
  </si>
  <si>
    <t>MUISTIO_NUODO</t>
  </si>
  <si>
    <t>MUISTIO_TMUOTO</t>
  </si>
  <si>
    <t>MUISTIO_PALVELU</t>
  </si>
  <si>
    <t>MUISTIO_NUODO_SISALTO</t>
  </si>
  <si>
    <t>MUISTIO_NUODO_MENETELMA</t>
  </si>
  <si>
    <t>MUISTIO_NUODO_MUUTOSAIKA</t>
  </si>
  <si>
    <t>MUISTIO_NUODO_VIEJA</t>
  </si>
  <si>
    <t>MUISTIO_YKSIKKO</t>
  </si>
  <si>
    <t>MUISTIO_KUNTAKOODI</t>
  </si>
  <si>
    <t>MUISTIO_EITIETOA</t>
  </si>
  <si>
    <t>MUISTIO_EITIETOA_SIIR</t>
  </si>
  <si>
    <t>MUISTIO_KERTAOHJAUS_EITIETOA</t>
  </si>
  <si>
    <t>MUISTIO_IKAR_ALLE16</t>
  </si>
  <si>
    <t>MUISTIO_IKAR_1617</t>
  </si>
  <si>
    <t>MUISTIO_IKAR_1820</t>
  </si>
  <si>
    <t>MUISTIO_IKAR_2125</t>
  </si>
  <si>
    <t>MUISTIO_IKAR_2628</t>
  </si>
  <si>
    <t>MUISTIO_IKAR_yli28</t>
  </si>
  <si>
    <t>MUISTIO_IKAR_EITIETOA</t>
  </si>
  <si>
    <t>MUISTIO_NUODO_ORGANISAATIO</t>
  </si>
  <si>
    <t>MUISTIO_NUODO_KUNTA</t>
  </si>
  <si>
    <t>MUISTIO_POSTINUMERO</t>
  </si>
  <si>
    <t>MUISTIO_NUODOSIJAINTI</t>
  </si>
  <si>
    <t>ComboBox_TyToimenpide#työkokeilu (sisältää valmennusta)</t>
  </si>
  <si>
    <t>Työkokeilu (sisältää valmennusta)</t>
  </si>
  <si>
    <t>Päivitys 11.8.2026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</si>
</sst>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164" formatCode="#,##0.0;\-#,##0.0;\ \-\ "/>
    <numFmt numFmtId="165" formatCode="#,##0.00;[Red]\-#,##0.00;\ \-\ "/>
    <numFmt numFmtId="166" formatCode="#,##0;\-#,##0;\ \-\ "/>
    <numFmt numFmtId="167" formatCode="#,##0;[Red]\-#,##0;\ \-\ "/>
    <numFmt numFmtId="168" formatCode="#,##0;\ \-\ #,##0;\ \-\ "/>
    <numFmt numFmtId="169" formatCode="#,##0;\ \-#,##0;\ \-"/>
    <numFmt numFmtId="170" formatCode="#,##0;\ \-#,##0;\ \-\ "/>
    <numFmt numFmtId="171" formatCode="#,##0\ %;\ \-##,#00\ %.0;\ \-"/>
    <numFmt numFmtId="172" formatCode="#,##0.0\ %;\ \-#,##0.0\ %.0;\ \-"/>
    <numFmt numFmtId="173" formatCode="#,##0\ %;\ \-#,##0.\ %.0;\ \-"/>
    <numFmt numFmtId="174" formatCode="#,##0;\-#,##0;\ "/>
    <numFmt numFmtId="175" formatCode="0.0\ %"/>
    <numFmt numFmtId="176" formatCode="#,##0.0%;\ \-#,##0.0%;\ \-\ "/>
    <numFmt numFmtId="177" formatCode="dd/mm/yyyy"/>
    <numFmt numFmtId="178" formatCode="0.00_ ;[Red]\-0.00\ "/>
    <numFmt numFmtId="179" formatCode="#,##0.0_ ;\-#,##0.0\ "/>
    <numFmt numFmtId="180" formatCode="_-* #,##0\ &quot;kr&quot;_-;\-* #,##0\ &quot;kr&quot;_-;_-* &quot;-&quot;\ &quot;kr&quot;_-;_-@_-"/>
    <numFmt numFmtId="181" formatCode="_-* #,##0\ _k_r_-;\-* #,##0\ _k_r_-;_-* &quot;-&quot;\ _k_r_-;_-@_-"/>
    <numFmt numFmtId="182" formatCode="_-* #,##0.00\ &quot;kr&quot;_-;\-* #,##0.00\ &quot;kr&quot;_-;_-* &quot;-&quot;??\ &quot;kr&quot;_-;_-@_-"/>
    <numFmt numFmtId="183" formatCode="_-* #,##0.00\ _k_r_-;\-* #,##0.00\ _k_r_-;_-* &quot;-&quot;??\ _k_r_-;_-@_-"/>
    <numFmt numFmtId="184" formatCode="0.0\ %;\ \-\ ;\ \-"/>
    <numFmt numFmtId="185" formatCode="General;\ \-;\ \-"/>
    <numFmt numFmtId="186" formatCode="#,##0.00;\ \-#,##0.00;\ \-\ "/>
    <numFmt numFmtId="187" formatCode="#,##0.00_ ;\-#,##0.00\ "/>
    <numFmt numFmtId="188" formatCode="#,##0.00;\-#,##0.00;\ \-\ "/>
    <numFmt numFmtId="189" formatCode="0.00\ %;\-;\-"/>
    <numFmt numFmtId="190" formatCode="dd/mm/yyyy\ hh:mm:ss"/>
    <numFmt numFmtId="191" formatCode="#,##0%;\ \-#,##0%;\ \-\ "/>
    <numFmt numFmtId="192" formatCode="_-* #,##0.00\ _€_-;\-* #,##0.00\ _€_-;_-* &quot;-&quot;??\ _€_-;_-@_-"/>
    <numFmt numFmtId="193" formatCode="0.00;[Red]0.00"/>
  </numFmts>
  <fonts count="92" x14ac:knownFonts="1">
    <font>
      <sz val="11"/>
      <color theme="1"/>
      <name val="Calibri"/>
      <family val="2"/>
      <scheme val="minor"/>
    </font>
    <font>
      <b/>
      <sz val="11"/>
      <color theme="1"/>
      <name val="Calibri"/>
      <family val="2"/>
      <scheme val="minor"/>
    </font>
    <font>
      <sz val="11"/>
      <color theme="0"/>
      <name val="Calibri"/>
      <family val="2"/>
      <scheme val="minor"/>
    </font>
    <font>
      <b/>
      <sz val="11"/>
      <color theme="0"/>
      <name val="Calibri"/>
      <family val="2"/>
      <scheme val="minor"/>
    </font>
    <font>
      <sz val="11"/>
      <color theme="1"/>
      <name val="Calibri"/>
      <family val="2"/>
      <scheme val="minor"/>
    </font>
    <font>
      <sz val="11"/>
      <color rgb="FF3F3F76"/>
      <name val="Calibri"/>
      <family val="2"/>
      <scheme val="minor"/>
    </font>
    <font>
      <b/>
      <sz val="9"/>
      <name val="Calibri"/>
      <family val="2"/>
      <scheme val="minor"/>
    </font>
    <font>
      <b/>
      <i/>
      <sz val="11"/>
      <color theme="1"/>
      <name val="Calibri"/>
      <family val="2"/>
      <scheme val="minor"/>
    </font>
    <font>
      <sz val="11"/>
      <name val="Calibri"/>
      <family val="2"/>
      <scheme val="minor"/>
    </font>
    <font>
      <b/>
      <sz val="11"/>
      <name val="Calibri"/>
      <family val="2"/>
    </font>
    <font>
      <sz val="11"/>
      <color indexed="8"/>
      <name val="Calibri"/>
      <family val="2"/>
    </font>
    <font>
      <sz val="9"/>
      <color theme="1"/>
      <name val="Calibri"/>
      <family val="2"/>
      <scheme val="minor"/>
    </font>
    <font>
      <sz val="11"/>
      <color rgb="FF9C6500"/>
      <name val="Calibri"/>
      <family val="2"/>
      <scheme val="minor"/>
    </font>
    <font>
      <sz val="11"/>
      <color rgb="FF7030A0"/>
      <name val="Calibri"/>
      <family val="2"/>
      <scheme val="minor"/>
    </font>
    <font>
      <sz val="11"/>
      <color rgb="FF006100"/>
      <name val="Calibri"/>
      <family val="2"/>
      <scheme val="minor"/>
    </font>
    <font>
      <sz val="11"/>
      <color rgb="FF9C0006"/>
      <name val="Calibri"/>
      <family val="2"/>
      <scheme val="minor"/>
    </font>
    <font>
      <u/>
      <sz val="11"/>
      <color theme="10"/>
      <name val="Calibri"/>
      <family val="2"/>
      <scheme val="minor"/>
    </font>
    <font>
      <sz val="10"/>
      <color theme="1"/>
      <name val="Calibri"/>
      <family val="2"/>
      <scheme val="minor"/>
    </font>
    <font>
      <sz val="10"/>
      <name val="Calibri"/>
      <family val="2"/>
      <scheme val="minor"/>
    </font>
    <font>
      <sz val="10"/>
      <name val="Calibri"/>
      <family val="2"/>
    </font>
    <font>
      <b/>
      <sz val="10"/>
      <color theme="0"/>
      <name val="Calibri"/>
      <family val="2"/>
      <scheme val="minor"/>
    </font>
    <font>
      <b/>
      <sz val="11"/>
      <color rgb="FFFF0000"/>
      <name val="Calibri"/>
      <family val="2"/>
      <scheme val="minor"/>
    </font>
    <font>
      <sz val="18"/>
      <color theme="1"/>
      <name val="Calibri"/>
      <family val="2"/>
      <scheme val="minor"/>
    </font>
    <font>
      <sz val="18"/>
      <name val="Calibri"/>
      <family val="2"/>
      <scheme val="minor"/>
    </font>
    <font>
      <b/>
      <sz val="10"/>
      <name val="Calibri"/>
      <family val="2"/>
      <scheme val="minor"/>
    </font>
    <font>
      <b/>
      <sz val="10"/>
      <color theme="1"/>
      <name val="Calibri"/>
      <family val="2"/>
      <scheme val="minor"/>
    </font>
    <font>
      <sz val="10"/>
      <color rgb="FFFF8C00"/>
      <name val="Calibri"/>
      <family val="2"/>
      <scheme val="minor"/>
    </font>
    <font>
      <sz val="10"/>
      <color rgb="FFFF0000"/>
      <name val="Calibri"/>
      <family val="2"/>
      <scheme val="minor"/>
    </font>
    <font>
      <b/>
      <sz val="9"/>
      <color theme="1"/>
      <name val="Calibri"/>
      <family val="2"/>
      <scheme val="minor"/>
    </font>
    <font>
      <sz val="12"/>
      <color theme="0" tint="-0.34998626667073579"/>
      <name val="Arial"/>
      <family val="2"/>
    </font>
    <font>
      <sz val="9"/>
      <name val="Calibri"/>
      <family val="2"/>
      <scheme val="minor"/>
    </font>
    <font>
      <sz val="11"/>
      <color rgb="FFFF0000"/>
      <name val="Calibri"/>
      <family val="2"/>
      <scheme val="minor"/>
    </font>
    <font>
      <b/>
      <sz val="11"/>
      <name val="Calibri"/>
      <family val="2"/>
      <scheme val="minor"/>
    </font>
    <font>
      <sz val="9"/>
      <color indexed="81"/>
      <name val="Tahoma"/>
      <family val="2"/>
    </font>
    <font>
      <b/>
      <sz val="9"/>
      <color indexed="81"/>
      <name val="Tahoma"/>
      <family val="2"/>
    </font>
    <font>
      <sz val="11"/>
      <color theme="0" tint="-0.34998626667073579"/>
      <name val="Calibri"/>
      <family val="2"/>
      <scheme val="minor"/>
    </font>
    <font>
      <b/>
      <sz val="9"/>
      <color theme="0"/>
      <name val="Calibri"/>
      <family val="2"/>
      <scheme val="minor"/>
    </font>
    <font>
      <i/>
      <sz val="10"/>
      <color theme="1"/>
      <name val="Calibri"/>
      <family val="2"/>
      <scheme val="minor"/>
    </font>
    <font>
      <sz val="11"/>
      <color theme="0" tint="-0.14999847407452621"/>
      <name val="Calibri"/>
      <family val="2"/>
      <scheme val="minor"/>
    </font>
    <font>
      <sz val="9"/>
      <color theme="0" tint="-0.14999847407452621"/>
      <name val="Calibri"/>
      <family val="2"/>
      <scheme val="minor"/>
    </font>
    <font>
      <b/>
      <sz val="11"/>
      <color theme="0" tint="-0.14999847407452621"/>
      <name val="Calibri"/>
      <family val="2"/>
      <scheme val="minor"/>
    </font>
    <font>
      <i/>
      <sz val="10"/>
      <name val="Calibri"/>
      <family val="2"/>
      <scheme val="minor"/>
    </font>
    <font>
      <sz val="11"/>
      <color rgb="FF00B050"/>
      <name val="Calibri"/>
      <family val="2"/>
      <scheme val="minor"/>
    </font>
    <font>
      <b/>
      <sz val="9"/>
      <color rgb="FF00B050"/>
      <name val="Calibri"/>
      <family val="2"/>
      <scheme val="minor"/>
    </font>
    <font>
      <sz val="9"/>
      <color rgb="FFFF0000"/>
      <name val="Calibri"/>
      <family val="2"/>
      <scheme val="minor"/>
    </font>
    <font>
      <sz val="11"/>
      <name val="Calibri"/>
      <family val="2"/>
    </font>
    <font>
      <sz val="8"/>
      <color theme="1"/>
      <name val="Calibri"/>
      <family val="2"/>
      <scheme val="minor"/>
    </font>
    <font>
      <b/>
      <sz val="8"/>
      <color theme="1"/>
      <name val="Calibri"/>
      <family val="2"/>
      <scheme val="minor"/>
    </font>
    <font>
      <sz val="9"/>
      <name val="Calibri"/>
      <family val="2"/>
    </font>
    <font>
      <b/>
      <sz val="11"/>
      <color theme="1"/>
      <name val="Calibri"/>
      <family val="2"/>
    </font>
    <font>
      <i/>
      <sz val="11"/>
      <name val="Calibri"/>
      <family val="2"/>
      <scheme val="minor"/>
    </font>
    <font>
      <i/>
      <sz val="11"/>
      <color theme="1"/>
      <name val="Calibri"/>
      <family val="2"/>
      <scheme val="minor"/>
    </font>
    <font>
      <u/>
      <sz val="11"/>
      <color indexed="12"/>
      <name val="Calibri"/>
      <family val="2"/>
    </font>
    <font>
      <sz val="11"/>
      <color rgb="FF000000"/>
      <name val="Calibri"/>
      <family val="2"/>
      <scheme val="minor"/>
    </font>
    <font>
      <sz val="10"/>
      <name val="Arial"/>
      <family val="2"/>
    </font>
    <font>
      <sz val="10"/>
      <name val="Georgia"/>
      <family val="1"/>
    </font>
    <font>
      <b/>
      <sz val="10"/>
      <color indexed="9"/>
      <name val="Arial"/>
      <family val="2"/>
    </font>
    <font>
      <b/>
      <sz val="11"/>
      <color rgb="FF00B050"/>
      <name val="Calibri"/>
      <family val="2"/>
      <scheme val="minor"/>
    </font>
    <font>
      <sz val="11"/>
      <color theme="6"/>
      <name val="Calibri"/>
      <family val="2"/>
      <scheme val="minor"/>
    </font>
    <font>
      <sz val="12"/>
      <color theme="1"/>
      <name val="Calibri"/>
      <family val="2"/>
      <scheme val="minor"/>
    </font>
    <font>
      <b/>
      <i/>
      <sz val="10"/>
      <color theme="1"/>
      <name val="Calibri"/>
      <family val="2"/>
      <scheme val="minor"/>
    </font>
    <font>
      <b/>
      <sz val="14"/>
      <color theme="1"/>
      <name val="Calibri"/>
      <family val="2"/>
      <scheme val="minor"/>
    </font>
    <font>
      <sz val="14"/>
      <color rgb="FFFF0000"/>
      <name val="Calibri"/>
      <family val="2"/>
      <scheme val="minor"/>
    </font>
    <font>
      <sz val="8"/>
      <name val="Calibri"/>
      <family val="2"/>
      <scheme val="minor"/>
    </font>
    <font>
      <sz val="9"/>
      <color theme="0" tint="-0.34998626667073579"/>
      <name val="Calibri"/>
      <family val="2"/>
    </font>
    <font>
      <u/>
      <sz val="10"/>
      <color theme="10"/>
      <name val="Calibri"/>
      <family val="2"/>
      <scheme val="minor"/>
    </font>
    <font>
      <sz val="10"/>
      <color theme="1" tint="0.34998626667073579"/>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5700"/>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0"/>
      <color rgb="FF000000"/>
      <name val="Arial"/>
      <family val="2"/>
    </font>
    <font>
      <u/>
      <sz val="10"/>
      <color theme="10"/>
      <name val="Arial"/>
      <family val="2"/>
    </font>
    <font>
      <sz val="11"/>
      <color rgb="FF000000"/>
      <name val="Calibri"/>
      <family val="2"/>
    </font>
    <font>
      <sz val="10"/>
      <color theme="1"/>
      <name val="Arial"/>
      <family val="2"/>
    </font>
    <font>
      <sz val="9"/>
      <color indexed="8"/>
      <name val="Calibri"/>
      <family val="2"/>
      <scheme val="minor"/>
    </font>
    <font>
      <sz val="9"/>
      <color rgb="FF9C0006"/>
      <name val="Calibri"/>
      <family val="2"/>
      <scheme val="minor"/>
    </font>
    <font>
      <sz val="9"/>
      <color rgb="FF006100"/>
      <name val="Calibri"/>
      <family val="2"/>
      <scheme val="minor"/>
    </font>
    <font>
      <i/>
      <sz val="8"/>
      <name val="Calibri"/>
      <family val="2"/>
      <scheme val="minor"/>
    </font>
    <font>
      <sz val="11"/>
      <color rgb="FF000000"/>
      <name val="Courier New"/>
      <family val="3"/>
    </font>
    <font>
      <b/>
      <sz val="10"/>
      <color theme="1" tint="4.9989318521683403E-2"/>
      <name val="Calibri"/>
      <family val="2"/>
      <scheme val="minor"/>
    </font>
    <font>
      <sz val="10"/>
      <color theme="1" tint="4.9989318521683403E-2"/>
      <name val="Calibri"/>
      <family val="2"/>
      <scheme val="minor"/>
    </font>
    <font>
      <sz val="11"/>
      <color theme="6" tint="-0.249977111117893"/>
      <name val="Calibri"/>
      <family val="2"/>
      <scheme val="minor"/>
    </font>
    <font>
      <sz val="9"/>
      <color theme="0" tint="-0.499984740745262"/>
      <name val="Calibri"/>
      <family val="2"/>
    </font>
    <font>
      <sz val="11"/>
      <color theme="0" tint="-0.499984740745262"/>
      <name val="Calibri"/>
      <family val="2"/>
    </font>
    <font>
      <b/>
      <sz val="11"/>
      <color theme="1"/>
      <name val="Calibri Light"/>
      <family val="2"/>
      <scheme val="major"/>
    </font>
    <font>
      <sz val="11"/>
      <color theme="1"/>
      <name val="Calibri Light"/>
      <family val="1"/>
      <scheme val="major"/>
    </font>
  </fonts>
  <fills count="6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bgColor indexed="64"/>
      </patternFill>
    </fill>
    <fill>
      <patternFill patternType="solid">
        <fgColor theme="3"/>
        <bgColor theme="4" tint="0.79998168889431442"/>
      </patternFill>
    </fill>
    <fill>
      <patternFill patternType="solid">
        <fgColor rgb="FFFFCC99"/>
      </patternFill>
    </fill>
    <fill>
      <patternFill patternType="solid">
        <fgColor rgb="FFF2F2F2"/>
      </patternFill>
    </fill>
    <fill>
      <patternFill patternType="solid">
        <fgColor rgb="FFFFFFCC"/>
      </patternFill>
    </fill>
    <fill>
      <patternFill patternType="solid">
        <fgColor theme="7" tint="-0.249977111117893"/>
        <bgColor indexed="64"/>
      </patternFill>
    </fill>
    <fill>
      <patternFill patternType="solid">
        <fgColor rgb="FF81F0FF"/>
        <bgColor indexed="64"/>
      </patternFill>
    </fill>
    <fill>
      <patternFill patternType="solid">
        <fgColor rgb="FFB97FD3"/>
        <bgColor indexed="64"/>
      </patternFill>
    </fill>
    <fill>
      <patternFill patternType="solid">
        <fgColor rgb="FFFFEB9C"/>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theme="7" tint="0.39997558519241921"/>
        <bgColor indexed="65"/>
      </patternFill>
    </fill>
    <fill>
      <patternFill patternType="solid">
        <fgColor theme="9" tint="0.79998168889431442"/>
        <bgColor indexed="64"/>
      </patternFill>
    </fill>
    <fill>
      <patternFill patternType="solid">
        <fgColor theme="6" tint="0.59999389629810485"/>
        <bgColor indexed="64"/>
      </patternFill>
    </fill>
    <fill>
      <patternFill patternType="solid">
        <fgColor rgb="FF92D050"/>
        <bgColor indexed="64"/>
      </patternFill>
    </fill>
    <fill>
      <patternFill patternType="solid">
        <fgColor rgb="FF00B05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8"/>
      </patternFill>
    </fill>
    <fill>
      <patternFill patternType="solid">
        <fgColor indexed="58"/>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6" tint="0.59999389629810485"/>
        <bgColor theme="4" tint="0.79998168889431442"/>
      </patternFill>
    </fill>
    <fill>
      <patternFill patternType="solid">
        <fgColor theme="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rgb="FF00B0F0"/>
        <bgColor indexed="64"/>
      </patternFill>
    </fill>
  </fills>
  <borders count="13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theme="4" tint="0.39994506668294322"/>
      </bottom>
      <diagonal/>
    </border>
    <border>
      <left/>
      <right style="thin">
        <color indexed="64"/>
      </right>
      <top style="thin">
        <color indexed="64"/>
      </top>
      <bottom style="thin">
        <color theme="4" tint="0.39994506668294322"/>
      </bottom>
      <diagonal/>
    </border>
    <border>
      <left/>
      <right/>
      <top style="thin">
        <color indexed="64"/>
      </top>
      <bottom style="thin">
        <color theme="4" tint="0.39994506668294322"/>
      </bottom>
      <diagonal/>
    </border>
    <border>
      <left style="thin">
        <color indexed="64"/>
      </left>
      <right/>
      <top style="thin">
        <color theme="4" tint="0.39994506668294322"/>
      </top>
      <bottom style="thin">
        <color theme="4" tint="0.39994506668294322"/>
      </bottom>
      <diagonal/>
    </border>
    <border>
      <left/>
      <right style="thin">
        <color indexed="64"/>
      </right>
      <top style="thin">
        <color theme="4" tint="0.39994506668294322"/>
      </top>
      <bottom style="thin">
        <color theme="4" tint="0.39994506668294322"/>
      </bottom>
      <diagonal/>
    </border>
    <border>
      <left/>
      <right/>
      <top style="thin">
        <color theme="4" tint="0.39994506668294322"/>
      </top>
      <bottom style="thin">
        <color theme="4" tint="0.39994506668294322"/>
      </bottom>
      <diagonal/>
    </border>
    <border>
      <left style="thin">
        <color indexed="64"/>
      </left>
      <right/>
      <top style="thin">
        <color theme="4" tint="0.39994506668294322"/>
      </top>
      <bottom style="thin">
        <color indexed="64"/>
      </bottom>
      <diagonal/>
    </border>
    <border>
      <left/>
      <right style="thin">
        <color indexed="64"/>
      </right>
      <top style="thin">
        <color theme="4" tint="0.39994506668294322"/>
      </top>
      <bottom style="thin">
        <color indexed="64"/>
      </bottom>
      <diagonal/>
    </border>
    <border>
      <left/>
      <right/>
      <top style="thin">
        <color theme="4" tint="0.39994506668294322"/>
      </top>
      <bottom style="thin">
        <color indexed="64"/>
      </bottom>
      <diagonal/>
    </border>
    <border>
      <left style="thin">
        <color indexed="64"/>
      </left>
      <right style="thin">
        <color indexed="64"/>
      </right>
      <top style="thin">
        <color theme="4" tint="0.39994506668294322"/>
      </top>
      <bottom style="thin">
        <color theme="4" tint="0.39994506668294322"/>
      </bottom>
      <diagonal/>
    </border>
    <border>
      <left style="thin">
        <color indexed="64"/>
      </left>
      <right style="thin">
        <color indexed="64"/>
      </right>
      <top style="thin">
        <color indexed="64"/>
      </top>
      <bottom style="thin">
        <color theme="4" tint="0.39994506668294322"/>
      </bottom>
      <diagonal/>
    </border>
    <border>
      <left style="thin">
        <color indexed="64"/>
      </left>
      <right style="thin">
        <color indexed="64"/>
      </right>
      <top style="thin">
        <color theme="4" tint="0.39994506668294322"/>
      </top>
      <bottom style="thin">
        <color indexed="64"/>
      </bottom>
      <diagonal/>
    </border>
    <border>
      <left/>
      <right/>
      <top style="thin">
        <color theme="4" tint="0.39994506668294322"/>
      </top>
      <bottom/>
      <diagonal/>
    </border>
    <border>
      <left/>
      <right style="thin">
        <color auto="1"/>
      </right>
      <top style="thin">
        <color theme="4" tint="0.39994506668294322"/>
      </top>
      <bottom/>
      <diagonal/>
    </border>
    <border>
      <left style="thin">
        <color indexed="64"/>
      </left>
      <right/>
      <top style="thin">
        <color theme="4" tint="0.39994506668294322"/>
      </top>
      <bottom/>
      <diagonal/>
    </border>
    <border>
      <left style="thin">
        <color indexed="64"/>
      </left>
      <right/>
      <top/>
      <bottom style="thin">
        <color theme="4" tint="0.39994506668294322"/>
      </bottom>
      <diagonal/>
    </border>
    <border>
      <left/>
      <right/>
      <top/>
      <bottom style="thin">
        <color theme="4" tint="0.39994506668294322"/>
      </bottom>
      <diagonal/>
    </border>
    <border>
      <left/>
      <right style="thin">
        <color indexed="64"/>
      </right>
      <top/>
      <bottom style="thin">
        <color theme="4" tint="0.3999450666829432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theme="4" tint="0.39994506668294322"/>
      </bottom>
      <diagonal/>
    </border>
    <border>
      <left style="thin">
        <color rgb="FFB2B2B2"/>
      </left>
      <right style="thin">
        <color rgb="FFB2B2B2"/>
      </right>
      <top style="thin">
        <color rgb="FFB2B2B2"/>
      </top>
      <bottom/>
      <diagonal/>
    </border>
    <border>
      <left style="medium">
        <color indexed="64"/>
      </left>
      <right style="thin">
        <color rgb="FFB2B2B2"/>
      </right>
      <top style="medium">
        <color indexed="64"/>
      </top>
      <bottom style="thin">
        <color rgb="FFB2B2B2"/>
      </bottom>
      <diagonal/>
    </border>
    <border>
      <left style="thin">
        <color rgb="FFB2B2B2"/>
      </left>
      <right style="medium">
        <color indexed="64"/>
      </right>
      <top style="medium">
        <color indexed="64"/>
      </top>
      <bottom style="thin">
        <color rgb="FFB2B2B2"/>
      </bottom>
      <diagonal/>
    </border>
    <border>
      <left/>
      <right style="thin">
        <color rgb="FFB2B2B2"/>
      </right>
      <top style="thin">
        <color rgb="FFB2B2B2"/>
      </top>
      <bottom style="thin">
        <color rgb="FFB2B2B2"/>
      </bottom>
      <diagonal/>
    </border>
    <border>
      <left style="medium">
        <color indexed="64"/>
      </left>
      <right style="thin">
        <color rgb="FFB2B2B2"/>
      </right>
      <top style="thin">
        <color rgb="FFB2B2B2"/>
      </top>
      <bottom style="thin">
        <color rgb="FFB2B2B2"/>
      </bottom>
      <diagonal/>
    </border>
    <border>
      <left style="thin">
        <color rgb="FFB2B2B2"/>
      </left>
      <right style="medium">
        <color indexed="64"/>
      </right>
      <top style="thin">
        <color rgb="FFB2B2B2"/>
      </top>
      <bottom style="thin">
        <color rgb="FFB2B2B2"/>
      </bottom>
      <diagonal/>
    </border>
    <border>
      <left style="medium">
        <color indexed="64"/>
      </left>
      <right style="thin">
        <color rgb="FFB2B2B2"/>
      </right>
      <top style="thin">
        <color rgb="FFB2B2B2"/>
      </top>
      <bottom style="medium">
        <color indexed="64"/>
      </bottom>
      <diagonal/>
    </border>
    <border>
      <left style="thin">
        <color rgb="FFB2B2B2"/>
      </left>
      <right style="medium">
        <color indexed="64"/>
      </right>
      <top style="thin">
        <color rgb="FFB2B2B2"/>
      </top>
      <bottom style="medium">
        <color indexed="64"/>
      </bottom>
      <diagonal/>
    </border>
    <border>
      <left style="thin">
        <color rgb="FFB2B2B2"/>
      </left>
      <right style="thin">
        <color rgb="FFB2B2B2"/>
      </right>
      <top/>
      <bottom style="thin">
        <color rgb="FFB2B2B2"/>
      </bottom>
      <diagonal/>
    </border>
    <border>
      <left style="thin">
        <color theme="1" tint="0.499984740745262"/>
      </left>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0"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B2B2B2"/>
      </left>
      <right style="thin">
        <color rgb="FFB2B2B2"/>
      </right>
      <top/>
      <bottom/>
      <diagonal/>
    </border>
    <border>
      <left style="thin">
        <color theme="1" tint="0.499984740745262"/>
      </left>
      <right/>
      <top style="thin">
        <color theme="1" tint="0.499984740745262"/>
      </top>
      <bottom style="thin">
        <color theme="1"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1" tint="0.499984740745262"/>
      </top>
      <bottom style="thin">
        <color theme="1"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theme="1" tint="0.499984740745262"/>
      </top>
      <bottom style="thin">
        <color theme="0" tint="-0.499984740745262"/>
      </bottom>
      <diagonal/>
    </border>
    <border>
      <left style="thin">
        <color rgb="FFB2B2B2"/>
      </left>
      <right/>
      <top/>
      <bottom/>
      <diagonal/>
    </border>
    <border>
      <left style="thin">
        <color indexed="64"/>
      </left>
      <right style="thin">
        <color indexed="64"/>
      </right>
      <top style="thin">
        <color theme="4" tint="0.39994506668294322"/>
      </top>
      <bottom/>
      <diagonal/>
    </border>
    <border>
      <left/>
      <right/>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499984740745262"/>
      </bottom>
      <diagonal/>
    </border>
    <border>
      <left style="thin">
        <color theme="0" tint="-0.14996795556505021"/>
      </left>
      <right/>
      <top/>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1" tint="0.499984740745262"/>
      </right>
      <top/>
      <bottom style="thin">
        <color theme="1" tint="0.499984740745262"/>
      </bottom>
      <diagonal/>
    </border>
    <border>
      <left style="thin">
        <color indexed="64"/>
      </left>
      <right/>
      <top style="thin">
        <color theme="0" tint="-0.499984740745262"/>
      </top>
      <bottom/>
      <diagonal/>
    </border>
    <border>
      <left/>
      <right/>
      <top style="thin">
        <color theme="0" tint="-0.499984740745262"/>
      </top>
      <bottom/>
      <diagonal/>
    </border>
    <border>
      <left/>
      <right style="thin">
        <color theme="0" tint="-0.499984740745262"/>
      </right>
      <top/>
      <bottom/>
      <diagonal/>
    </border>
    <border>
      <left/>
      <right style="thin">
        <color theme="0" tint="-0.499984740745262"/>
      </right>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1" tint="0.499984740745262"/>
      </left>
      <right/>
      <top/>
      <bottom style="thin">
        <color theme="1" tint="0.499984740745262"/>
      </bottom>
      <diagonal/>
    </border>
    <border>
      <left style="thin">
        <color theme="0" tint="-0.499984740745262"/>
      </left>
      <right style="thin">
        <color theme="1" tint="0.499984740745262"/>
      </right>
      <top style="thin">
        <color theme="0" tint="-0.499984740745262"/>
      </top>
      <bottom style="thin">
        <color theme="1" tint="0.499984740745262"/>
      </bottom>
      <diagonal/>
    </border>
    <border>
      <left style="thin">
        <color theme="1" tint="0.499984740745262"/>
      </left>
      <right style="thin">
        <color theme="0" tint="-0.499984740745262"/>
      </right>
      <top style="thin">
        <color theme="0" tint="-0.499984740745262"/>
      </top>
      <bottom style="thin">
        <color theme="1" tint="0.499984740745262"/>
      </bottom>
      <diagonal/>
    </border>
    <border>
      <left style="thin">
        <color theme="0"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0" tint="-0.499984740745262"/>
      </right>
      <top style="thin">
        <color theme="1" tint="0.499984740745262"/>
      </top>
      <bottom style="thin">
        <color theme="1" tint="0.499984740745262"/>
      </bottom>
      <diagonal/>
    </border>
    <border>
      <left style="thin">
        <color theme="0" tint="-0.499984740745262"/>
      </left>
      <right style="thin">
        <color theme="1" tint="0.499984740745262"/>
      </right>
      <top/>
      <bottom style="thin">
        <color theme="1" tint="0.4999847407452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rgb="FF7F7F7F"/>
      </right>
      <top style="thin">
        <color theme="0" tint="-0.499984740745262"/>
      </top>
      <bottom/>
      <diagonal/>
    </border>
    <border>
      <left style="thin">
        <color rgb="FF7F7F7F"/>
      </left>
      <right style="thin">
        <color theme="0" tint="-0.499984740745262"/>
      </right>
      <top style="thin">
        <color theme="0" tint="-0.499984740745262"/>
      </top>
      <bottom style="thin">
        <color rgb="FF7F7F7F"/>
      </bottom>
      <diagonal/>
    </border>
    <border>
      <left style="thin">
        <color theme="0" tint="-0.499984740745262"/>
      </left>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indexed="64"/>
      </left>
      <right style="thin">
        <color rgb="FF7F7F7F"/>
      </right>
      <top/>
      <bottom/>
      <diagonal/>
    </border>
    <border>
      <left style="thin">
        <color rgb="FF7F7F7F"/>
      </left>
      <right style="thin">
        <color rgb="FF7F7F7F"/>
      </right>
      <top style="thin">
        <color theme="0" tint="-0.499984740745262"/>
      </top>
      <bottom style="thin">
        <color rgb="FF7F7F7F"/>
      </bottom>
      <diagonal/>
    </border>
    <border>
      <left style="thin">
        <color rgb="FF7F7F7F"/>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top/>
      <bottom style="thin">
        <color theme="0" tint="-0.499984740745262"/>
      </bottom>
      <diagonal/>
    </border>
    <border>
      <left style="thin">
        <color indexed="64"/>
      </left>
      <right style="thin">
        <color indexed="64"/>
      </right>
      <top/>
      <bottom style="thin">
        <color theme="0" tint="-0.499984740745262"/>
      </bottom>
      <diagonal/>
    </border>
    <border>
      <left/>
      <right style="thin">
        <color indexed="64"/>
      </right>
      <top style="thin">
        <color theme="0" tint="-0.499984740745262"/>
      </top>
      <bottom/>
      <diagonal/>
    </border>
    <border>
      <left style="thin">
        <color indexed="64"/>
      </left>
      <right/>
      <top style="thin">
        <color rgb="FF7F7F7F"/>
      </top>
      <bottom/>
      <diagonal/>
    </border>
    <border>
      <left/>
      <right style="thin">
        <color rgb="FFB2B2B2"/>
      </right>
      <top style="thin">
        <color theme="0" tint="-0.499984740745262"/>
      </top>
      <bottom style="thin">
        <color rgb="FFB2B2B2"/>
      </bottom>
      <diagonal/>
    </border>
    <border>
      <left style="thin">
        <color rgb="FFB2B2B2"/>
      </left>
      <right style="thin">
        <color rgb="FFB2B2B2"/>
      </right>
      <top style="thin">
        <color theme="0" tint="-0.499984740745262"/>
      </top>
      <bottom style="thin">
        <color rgb="FFB2B2B2"/>
      </bottom>
      <diagonal/>
    </border>
    <border>
      <left style="thin">
        <color indexed="64"/>
      </left>
      <right/>
      <top style="thin">
        <color rgb="FFB2B2B2"/>
      </top>
      <bottom style="thin">
        <color rgb="FFB2B2B2"/>
      </bottom>
      <diagonal/>
    </border>
    <border>
      <left/>
      <right style="thin">
        <color indexed="64"/>
      </right>
      <top style="thin">
        <color rgb="FFB2B2B2"/>
      </top>
      <bottom style="thin">
        <color rgb="FFB2B2B2"/>
      </bottom>
      <diagonal/>
    </border>
    <border>
      <left style="thin">
        <color indexed="64"/>
      </left>
      <right style="thin">
        <color rgb="FFB2B2B2"/>
      </right>
      <top style="thin">
        <color theme="0" tint="-0.499984740745262"/>
      </top>
      <bottom style="thin">
        <color rgb="FFB2B2B2"/>
      </bottom>
      <diagonal/>
    </border>
    <border>
      <left style="thin">
        <color indexed="64"/>
      </left>
      <right/>
      <top/>
      <bottom style="thin">
        <color rgb="FF7F7F7F"/>
      </bottom>
      <diagonal/>
    </border>
    <border>
      <left style="thin">
        <color indexed="64"/>
      </left>
      <right/>
      <top style="thin">
        <color rgb="FFB2B2B2"/>
      </top>
      <bottom/>
      <diagonal/>
    </border>
    <border>
      <left/>
      <right style="thin">
        <color indexed="64"/>
      </right>
      <top style="thin">
        <color rgb="FFB2B2B2"/>
      </top>
      <bottom/>
      <diagonal/>
    </border>
    <border>
      <left style="thin">
        <color indexed="64"/>
      </left>
      <right/>
      <top/>
      <bottom style="thin">
        <color rgb="FFB2B2B2"/>
      </bottom>
      <diagonal/>
    </border>
    <border>
      <left/>
      <right style="thin">
        <color indexed="64"/>
      </right>
      <top/>
      <bottom style="thin">
        <color rgb="FFB2B2B2"/>
      </bottom>
      <diagonal/>
    </border>
    <border>
      <left style="thin">
        <color indexed="64"/>
      </left>
      <right style="thin">
        <color rgb="FF7F7F7F"/>
      </right>
      <top/>
      <bottom style="thin">
        <color rgb="FF7F7F7F"/>
      </bottom>
      <diagonal/>
    </border>
    <border>
      <left style="thin">
        <color indexed="64"/>
      </left>
      <right style="thin">
        <color rgb="FF7F7F7F"/>
      </right>
      <top style="thin">
        <color rgb="FF7F7F7F"/>
      </top>
      <bottom/>
      <diagonal/>
    </border>
    <border>
      <left style="thin">
        <color indexed="64"/>
      </left>
      <right style="thin">
        <color rgb="FF7F7F7F"/>
      </right>
      <top/>
      <bottom style="thin">
        <color theme="0" tint="-0.499984740745262"/>
      </bottom>
      <diagonal/>
    </border>
    <border>
      <left style="thin">
        <color indexed="64"/>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223">
    <xf numFmtId="0" fontId="0" fillId="0" borderId="0"/>
    <xf numFmtId="9" fontId="4" fillId="0" borderId="0" applyFont="0" applyFill="0" applyBorder="0" applyAlignment="0" applyProtection="0"/>
    <xf numFmtId="0" fontId="5" fillId="7" borderId="34" applyNumberFormat="0" applyAlignment="0" applyProtection="0"/>
    <xf numFmtId="0" fontId="6" fillId="8" borderId="34" applyAlignment="0" applyProtection="0"/>
    <xf numFmtId="0" fontId="10" fillId="9" borderId="35" applyNumberFormat="0" applyFont="0" applyAlignment="0" applyProtection="0"/>
    <xf numFmtId="0" fontId="10" fillId="9" borderId="35" applyNumberFormat="0" applyFont="0" applyAlignment="0" applyProtection="0"/>
    <xf numFmtId="0" fontId="11" fillId="11" borderId="37"/>
    <xf numFmtId="0" fontId="4" fillId="0" borderId="0"/>
    <xf numFmtId="0" fontId="11" fillId="12" borderId="37"/>
    <xf numFmtId="0" fontId="12" fillId="13" borderId="0" applyNumberFormat="0" applyBorder="0" applyAlignment="0" applyProtection="0"/>
    <xf numFmtId="0" fontId="14" fillId="17" borderId="0" applyNumberFormat="0" applyBorder="0" applyAlignment="0" applyProtection="0"/>
    <xf numFmtId="0" fontId="15" fillId="18" borderId="0" applyNumberFormat="0" applyBorder="0" applyAlignment="0" applyProtection="0"/>
    <xf numFmtId="0" fontId="4" fillId="9" borderId="35" applyNumberFormat="0" applyFont="0" applyAlignment="0" applyProtection="0"/>
    <xf numFmtId="0" fontId="4" fillId="19" borderId="0" applyNumberFormat="0" applyBorder="0" applyAlignment="0" applyProtection="0"/>
    <xf numFmtId="0" fontId="16" fillId="0" borderId="0" applyNumberFormat="0" applyFill="0" applyBorder="0" applyAlignment="0" applyProtection="0"/>
    <xf numFmtId="0" fontId="4" fillId="0" borderId="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52" fillId="0" borderId="0" applyNumberFormat="0" applyFill="0" applyBorder="0" applyAlignment="0" applyProtection="0">
      <alignment vertical="top"/>
      <protection locked="0"/>
    </xf>
    <xf numFmtId="0" fontId="53" fillId="0" borderId="0"/>
    <xf numFmtId="182" fontId="55" fillId="0" borderId="0" applyFont="0" applyFill="0" applyBorder="0" applyAlignment="0" applyProtection="0"/>
    <xf numFmtId="183" fontId="55" fillId="0" borderId="0" applyFont="0" applyFill="0" applyBorder="0" applyAlignment="0" applyProtection="0"/>
    <xf numFmtId="183" fontId="55" fillId="0" borderId="0" applyFont="0" applyFill="0" applyBorder="0" applyAlignment="0" applyProtection="0"/>
    <xf numFmtId="181" fontId="55" fillId="0" borderId="0" applyFont="0" applyFill="0" applyBorder="0" applyAlignment="0" applyProtection="0"/>
    <xf numFmtId="182" fontId="55" fillId="0" borderId="0" applyFont="0" applyFill="0" applyBorder="0" applyAlignment="0" applyProtection="0"/>
    <xf numFmtId="180" fontId="55" fillId="0" borderId="0" applyFont="0" applyFill="0" applyBorder="0" applyAlignment="0" applyProtection="0"/>
    <xf numFmtId="9" fontId="55" fillId="0" borderId="0" applyFont="0" applyFill="0" applyBorder="0" applyAlignment="0" applyProtection="0"/>
    <xf numFmtId="0" fontId="54" fillId="39" borderId="12"/>
    <xf numFmtId="0" fontId="56" fillId="39" borderId="0"/>
    <xf numFmtId="0" fontId="54" fillId="40" borderId="0"/>
    <xf numFmtId="0" fontId="4" fillId="0" borderId="0"/>
    <xf numFmtId="0" fontId="59" fillId="0" borderId="0"/>
    <xf numFmtId="0" fontId="12" fillId="13" borderId="0" applyNumberFormat="0" applyBorder="0" applyAlignment="0" applyProtection="0"/>
    <xf numFmtId="0" fontId="4" fillId="0" borderId="0"/>
    <xf numFmtId="0" fontId="10" fillId="9" borderId="35" applyNumberFormat="0" applyFont="0" applyAlignment="0" applyProtection="0"/>
    <xf numFmtId="0" fontId="67" fillId="0" borderId="0" applyNumberFormat="0" applyFill="0" applyBorder="0" applyAlignment="0" applyProtection="0"/>
    <xf numFmtId="0" fontId="68" fillId="0" borderId="85" applyNumberFormat="0" applyFill="0" applyAlignment="0" applyProtection="0"/>
    <xf numFmtId="0" fontId="69" fillId="0" borderId="86" applyNumberFormat="0" applyFill="0" applyAlignment="0" applyProtection="0"/>
    <xf numFmtId="0" fontId="70" fillId="0" borderId="87" applyNumberFormat="0" applyFill="0" applyAlignment="0" applyProtection="0"/>
    <xf numFmtId="0" fontId="70" fillId="0" borderId="0" applyNumberFormat="0" applyFill="0" applyBorder="0" applyAlignment="0" applyProtection="0"/>
    <xf numFmtId="0" fontId="71" fillId="13" borderId="0" applyNumberFormat="0" applyBorder="0" applyAlignment="0" applyProtection="0"/>
    <xf numFmtId="0" fontId="72" fillId="8" borderId="88" applyNumberFormat="0" applyAlignment="0" applyProtection="0"/>
    <xf numFmtId="0" fontId="73" fillId="8" borderId="34" applyNumberFormat="0" applyAlignment="0" applyProtection="0"/>
    <xf numFmtId="0" fontId="74" fillId="0" borderId="89" applyNumberFormat="0" applyFill="0" applyAlignment="0" applyProtection="0"/>
    <xf numFmtId="0" fontId="3" fillId="45" borderId="90" applyNumberFormat="0" applyAlignment="0" applyProtection="0"/>
    <xf numFmtId="0" fontId="31" fillId="0" borderId="0" applyNumberFormat="0" applyFill="0" applyBorder="0" applyAlignment="0" applyProtection="0"/>
    <xf numFmtId="0" fontId="75" fillId="0" borderId="0" applyNumberFormat="0" applyFill="0" applyBorder="0" applyAlignment="0" applyProtection="0"/>
    <xf numFmtId="0" fontId="1" fillId="0" borderId="91" applyNumberFormat="0" applyFill="0" applyAlignment="0" applyProtection="0"/>
    <xf numFmtId="0" fontId="2" fillId="46" borderId="0" applyNumberFormat="0" applyBorder="0" applyAlignment="0" applyProtection="0"/>
    <xf numFmtId="0" fontId="4" fillId="47" borderId="0" applyNumberFormat="0" applyBorder="0" applyAlignment="0" applyProtection="0"/>
    <xf numFmtId="0" fontId="2" fillId="48" borderId="0" applyNumberFormat="0" applyBorder="0" applyAlignment="0" applyProtection="0"/>
    <xf numFmtId="0" fontId="4" fillId="49" borderId="0" applyNumberFormat="0" applyBorder="0" applyAlignment="0" applyProtection="0"/>
    <xf numFmtId="0" fontId="2" fillId="50"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4" fillId="54" borderId="0" applyNumberFormat="0" applyBorder="0" applyAlignment="0" applyProtection="0"/>
    <xf numFmtId="0" fontId="2" fillId="55" borderId="0" applyNumberFormat="0" applyBorder="0" applyAlignment="0" applyProtection="0"/>
    <xf numFmtId="0" fontId="4" fillId="56" borderId="0" applyNumberFormat="0" applyBorder="0" applyAlignment="0" applyProtection="0"/>
    <xf numFmtId="0" fontId="59" fillId="0" borderId="0"/>
    <xf numFmtId="0" fontId="4" fillId="0" borderId="0"/>
    <xf numFmtId="0" fontId="4" fillId="0" borderId="0"/>
    <xf numFmtId="0" fontId="4" fillId="9" borderId="35" applyNumberFormat="0" applyFont="0" applyAlignment="0" applyProtection="0"/>
    <xf numFmtId="0" fontId="76" fillId="0" borderId="0"/>
    <xf numFmtId="0" fontId="4" fillId="0" borderId="0"/>
    <xf numFmtId="0" fontId="4" fillId="0" borderId="0"/>
    <xf numFmtId="0" fontId="16" fillId="0" borderId="0" applyNumberFormat="0" applyFill="0" applyBorder="0" applyAlignment="0" applyProtection="0"/>
    <xf numFmtId="9" fontId="76" fillId="0" borderId="0" applyFont="0" applyFill="0" applyBorder="0" applyAlignment="0" applyProtection="0"/>
    <xf numFmtId="0" fontId="4" fillId="30" borderId="0" applyNumberFormat="0" applyBorder="0" applyAlignment="0" applyProtection="0"/>
    <xf numFmtId="0" fontId="17" fillId="0" borderId="0"/>
    <xf numFmtId="0" fontId="17" fillId="0" borderId="0"/>
    <xf numFmtId="0" fontId="54" fillId="0" borderId="0">
      <alignment vertical="center"/>
    </xf>
    <xf numFmtId="0" fontId="54" fillId="9" borderId="35" applyNumberFormat="0" applyFont="0" applyAlignment="0" applyProtection="0"/>
    <xf numFmtId="0" fontId="4" fillId="9" borderId="35" applyNumberFormat="0" applyFont="0" applyAlignment="0" applyProtection="0"/>
    <xf numFmtId="0" fontId="4" fillId="33" borderId="0" applyNumberFormat="0" applyBorder="0" applyAlignment="0" applyProtection="0"/>
    <xf numFmtId="0" fontId="4" fillId="30" borderId="0" applyNumberFormat="0" applyBorder="0" applyAlignment="0" applyProtection="0"/>
    <xf numFmtId="0" fontId="4" fillId="0" borderId="0"/>
    <xf numFmtId="0" fontId="65" fillId="0" borderId="0" applyNumberFormat="0" applyFill="0" applyBorder="0" applyAlignment="0" applyProtection="0"/>
    <xf numFmtId="0" fontId="16" fillId="0" borderId="0" applyNumberFormat="0" applyFill="0" applyBorder="0" applyAlignment="0" applyProtection="0"/>
    <xf numFmtId="0" fontId="4" fillId="0" borderId="0"/>
    <xf numFmtId="0" fontId="76" fillId="0" borderId="0"/>
    <xf numFmtId="192" fontId="4" fillId="0" borderId="0" applyFont="0" applyFill="0" applyBorder="0" applyAlignment="0" applyProtection="0"/>
    <xf numFmtId="0" fontId="4" fillId="0" borderId="0"/>
    <xf numFmtId="0" fontId="4" fillId="0" borderId="0"/>
    <xf numFmtId="0" fontId="4" fillId="9" borderId="35" applyNumberFormat="0" applyFont="0" applyAlignment="0" applyProtection="0"/>
    <xf numFmtId="0" fontId="4" fillId="0" borderId="0"/>
    <xf numFmtId="0" fontId="4" fillId="19" borderId="0" applyNumberFormat="0" applyBorder="0" applyAlignment="0" applyProtection="0"/>
    <xf numFmtId="0" fontId="4" fillId="9" borderId="35" applyNumberFormat="0" applyFont="0" applyAlignment="0" applyProtection="0"/>
    <xf numFmtId="0" fontId="77" fillId="0" borderId="0" applyNumberFormat="0" applyFill="0" applyBorder="0" applyAlignment="0" applyProtection="0"/>
    <xf numFmtId="0" fontId="4" fillId="0" borderId="0"/>
    <xf numFmtId="0" fontId="4" fillId="51" borderId="0" applyNumberFormat="0" applyBorder="0" applyAlignment="0" applyProtection="0"/>
    <xf numFmtId="0" fontId="4" fillId="0" borderId="0"/>
    <xf numFmtId="0" fontId="4" fillId="51" borderId="0" applyNumberFormat="0" applyBorder="0" applyAlignment="0" applyProtection="0"/>
    <xf numFmtId="0" fontId="16" fillId="0" borderId="0" applyNumberFormat="0" applyFill="0" applyBorder="0" applyAlignment="0" applyProtection="0"/>
    <xf numFmtId="0" fontId="4" fillId="0" borderId="0"/>
    <xf numFmtId="192" fontId="4" fillId="0" borderId="0" applyFont="0" applyFill="0" applyBorder="0" applyAlignment="0" applyProtection="0"/>
    <xf numFmtId="0" fontId="4" fillId="0" borderId="0"/>
    <xf numFmtId="0" fontId="76" fillId="0" borderId="0"/>
    <xf numFmtId="0" fontId="4" fillId="0" borderId="0"/>
    <xf numFmtId="0" fontId="76" fillId="0" borderId="0"/>
    <xf numFmtId="0" fontId="77" fillId="0" borderId="0" applyNumberFormat="0" applyFill="0" applyBorder="0" applyAlignment="0" applyProtection="0"/>
    <xf numFmtId="0" fontId="78" fillId="0" borderId="0" applyNumberFormat="0" applyBorder="0" applyAlignment="0"/>
    <xf numFmtId="0" fontId="4" fillId="9" borderId="35" applyNumberFormat="0" applyFont="0" applyAlignment="0" applyProtection="0"/>
    <xf numFmtId="0" fontId="4" fillId="19" borderId="0" applyNumberFormat="0" applyBorder="0" applyAlignment="0" applyProtection="0"/>
    <xf numFmtId="0" fontId="79" fillId="0" borderId="0"/>
    <xf numFmtId="0" fontId="4" fillId="0" borderId="0"/>
    <xf numFmtId="0" fontId="4" fillId="0" borderId="0"/>
    <xf numFmtId="0" fontId="4" fillId="0" borderId="0"/>
    <xf numFmtId="0" fontId="4" fillId="27" borderId="0" applyNumberFormat="0" applyBorder="0" applyAlignment="0" applyProtection="0"/>
    <xf numFmtId="0" fontId="4" fillId="28" borderId="0" applyNumberFormat="0" applyBorder="0" applyAlignment="0" applyProtection="0"/>
    <xf numFmtId="0" fontId="4" fillId="47"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49"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5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56" borderId="0" applyNumberFormat="0" applyBorder="0" applyAlignment="0" applyProtection="0"/>
    <xf numFmtId="0" fontId="76" fillId="0" borderId="0"/>
    <xf numFmtId="0" fontId="4" fillId="30" borderId="0" applyNumberFormat="0" applyBorder="0" applyAlignment="0" applyProtection="0"/>
    <xf numFmtId="0" fontId="4" fillId="0" borderId="0"/>
    <xf numFmtId="0" fontId="4" fillId="9" borderId="35" applyNumberFormat="0" applyFont="0" applyAlignment="0" applyProtection="0"/>
    <xf numFmtId="0" fontId="4" fillId="33" borderId="0" applyNumberFormat="0" applyBorder="0" applyAlignment="0" applyProtection="0"/>
    <xf numFmtId="0" fontId="4" fillId="30"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192" fontId="4" fillId="0" borderId="0" applyFont="0" applyFill="0" applyBorder="0" applyAlignment="0" applyProtection="0"/>
    <xf numFmtId="0" fontId="4" fillId="0" borderId="0"/>
    <xf numFmtId="0" fontId="4" fillId="0" borderId="0"/>
    <xf numFmtId="0" fontId="4" fillId="9" borderId="35" applyNumberFormat="0" applyFont="0" applyAlignment="0" applyProtection="0"/>
    <xf numFmtId="0" fontId="4" fillId="0" borderId="0"/>
    <xf numFmtId="0" fontId="4" fillId="19" borderId="0" applyNumberFormat="0" applyBorder="0" applyAlignment="0" applyProtection="0"/>
    <xf numFmtId="0" fontId="4" fillId="9" borderId="35" applyNumberFormat="0" applyFont="0" applyAlignment="0" applyProtection="0"/>
    <xf numFmtId="0" fontId="4" fillId="0" borderId="0"/>
    <xf numFmtId="0" fontId="4" fillId="51" borderId="0" applyNumberFormat="0" applyBorder="0" applyAlignment="0" applyProtection="0"/>
    <xf numFmtId="0" fontId="4" fillId="0" borderId="0"/>
    <xf numFmtId="0" fontId="4" fillId="51" borderId="0" applyNumberFormat="0" applyBorder="0" applyAlignment="0" applyProtection="0"/>
    <xf numFmtId="0" fontId="4" fillId="0" borderId="0"/>
    <xf numFmtId="192" fontId="4" fillId="0" borderId="0" applyFont="0" applyFill="0" applyBorder="0" applyAlignment="0" applyProtection="0"/>
    <xf numFmtId="0" fontId="4" fillId="0" borderId="0"/>
    <xf numFmtId="0" fontId="4" fillId="0" borderId="0"/>
    <xf numFmtId="0" fontId="4" fillId="9" borderId="35" applyNumberFormat="0" applyFont="0" applyAlignment="0" applyProtection="0"/>
    <xf numFmtId="0" fontId="4" fillId="19" borderId="0" applyNumberFormat="0" applyBorder="0" applyAlignment="0" applyProtection="0"/>
    <xf numFmtId="0" fontId="4" fillId="30" borderId="0" applyNumberFormat="0" applyBorder="0" applyAlignment="0" applyProtection="0"/>
    <xf numFmtId="0" fontId="4" fillId="0" borderId="0"/>
    <xf numFmtId="0" fontId="4" fillId="9" borderId="35" applyNumberFormat="0" applyFont="0" applyAlignment="0" applyProtection="0"/>
    <xf numFmtId="0" fontId="4" fillId="33" borderId="0" applyNumberFormat="0" applyBorder="0" applyAlignment="0" applyProtection="0"/>
    <xf numFmtId="0" fontId="4" fillId="30"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192" fontId="4" fillId="0" borderId="0" applyFont="0" applyFill="0" applyBorder="0" applyAlignment="0" applyProtection="0"/>
    <xf numFmtId="0" fontId="4" fillId="0" borderId="0"/>
    <xf numFmtId="0" fontId="4" fillId="0" borderId="0"/>
    <xf numFmtId="0" fontId="4" fillId="9" borderId="35" applyNumberFormat="0" applyFont="0" applyAlignment="0" applyProtection="0"/>
    <xf numFmtId="0" fontId="4" fillId="0" borderId="0"/>
    <xf numFmtId="0" fontId="4" fillId="19" borderId="0" applyNumberFormat="0" applyBorder="0" applyAlignment="0" applyProtection="0"/>
    <xf numFmtId="0" fontId="4" fillId="9" borderId="35" applyNumberFormat="0" applyFont="0" applyAlignment="0" applyProtection="0"/>
    <xf numFmtId="0" fontId="4" fillId="0" borderId="0"/>
    <xf numFmtId="0" fontId="4" fillId="51"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47"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49"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54"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56" borderId="0" applyNumberFormat="0" applyBorder="0" applyAlignment="0" applyProtection="0"/>
    <xf numFmtId="0" fontId="4" fillId="0" borderId="0"/>
    <xf numFmtId="0" fontId="4" fillId="51" borderId="0" applyNumberFormat="0" applyBorder="0" applyAlignment="0" applyProtection="0"/>
    <xf numFmtId="0" fontId="4" fillId="0" borderId="0"/>
    <xf numFmtId="192" fontId="4" fillId="0" borderId="0" applyFont="0" applyFill="0" applyBorder="0" applyAlignment="0" applyProtection="0"/>
    <xf numFmtId="0" fontId="4" fillId="0" borderId="0"/>
    <xf numFmtId="0" fontId="4" fillId="0" borderId="0"/>
    <xf numFmtId="0" fontId="4" fillId="9" borderId="35" applyNumberFormat="0" applyFont="0" applyAlignment="0" applyProtection="0"/>
    <xf numFmtId="0" fontId="4" fillId="19" borderId="0" applyNumberFormat="0" applyBorder="0" applyAlignment="0" applyProtection="0"/>
    <xf numFmtId="0" fontId="4" fillId="0" borderId="0"/>
    <xf numFmtId="0" fontId="4" fillId="0" borderId="0"/>
    <xf numFmtId="0" fontId="4" fillId="0" borderId="0"/>
    <xf numFmtId="192" fontId="4" fillId="0" borderId="0" applyFont="0" applyFill="0" applyBorder="0" applyAlignment="0" applyProtection="0"/>
    <xf numFmtId="0" fontId="54" fillId="9" borderId="35" applyNumberFormat="0" applyFont="0" applyAlignment="0" applyProtection="0"/>
    <xf numFmtId="0" fontId="4" fillId="0" borderId="0"/>
    <xf numFmtId="0" fontId="4" fillId="19" borderId="0" applyNumberFormat="0" applyBorder="0" applyAlignment="0" applyProtection="0"/>
    <xf numFmtId="0" fontId="4" fillId="9" borderId="35" applyNumberFormat="0" applyFont="0" applyAlignment="0" applyProtection="0"/>
    <xf numFmtId="0" fontId="10" fillId="9" borderId="35" applyNumberFormat="0" applyFont="0" applyAlignment="0" applyProtection="0"/>
    <xf numFmtId="0" fontId="16" fillId="0" borderId="0" applyNumberFormat="0" applyFill="0" applyBorder="0" applyAlignment="0" applyProtection="0"/>
    <xf numFmtId="0" fontId="54" fillId="9" borderId="35" applyNumberFormat="0" applyFont="0" applyAlignment="0" applyProtection="0"/>
    <xf numFmtId="0" fontId="12" fillId="13" borderId="0" applyNumberFormat="0" applyBorder="0" applyAlignment="0" applyProtection="0"/>
    <xf numFmtId="0" fontId="4" fillId="0" borderId="0"/>
    <xf numFmtId="0" fontId="4" fillId="0" borderId="0"/>
    <xf numFmtId="0" fontId="4" fillId="0" borderId="0"/>
    <xf numFmtId="0" fontId="76" fillId="0" borderId="0"/>
    <xf numFmtId="0" fontId="4" fillId="9" borderId="35" applyNumberFormat="0" applyFont="0" applyAlignment="0" applyProtection="0"/>
    <xf numFmtId="0" fontId="4" fillId="19" borderId="0" applyNumberFormat="0" applyBorder="0" applyAlignment="0" applyProtection="0"/>
    <xf numFmtId="0" fontId="4" fillId="0" borderId="0"/>
  </cellStyleXfs>
  <cellXfs count="1159">
    <xf numFmtId="0" fontId="0" fillId="0" borderId="0" xfId="0"/>
    <xf numFmtId="165" fontId="0" fillId="0" borderId="0" xfId="0" applyNumberFormat="1"/>
    <xf numFmtId="167" fontId="2" fillId="0" borderId="0" xfId="0" applyNumberFormat="1" applyFont="1" applyAlignment="1">
      <alignment vertical="center" wrapText="1"/>
    </xf>
    <xf numFmtId="166" fontId="0" fillId="0" borderId="0" xfId="0" applyNumberFormat="1"/>
    <xf numFmtId="0" fontId="0" fillId="0" borderId="6" xfId="0" applyBorder="1"/>
    <xf numFmtId="168" fontId="0" fillId="4" borderId="1" xfId="0" applyNumberFormat="1" applyFill="1" applyBorder="1"/>
    <xf numFmtId="0" fontId="0" fillId="2" borderId="0" xfId="0" applyFill="1"/>
    <xf numFmtId="168" fontId="1" fillId="4" borderId="6" xfId="0" applyNumberFormat="1" applyFont="1" applyFill="1" applyBorder="1" applyAlignment="1">
      <alignment vertical="center"/>
    </xf>
    <xf numFmtId="168" fontId="1" fillId="4" borderId="5" xfId="0" applyNumberFormat="1" applyFont="1" applyFill="1" applyBorder="1" applyAlignment="1">
      <alignment vertical="center"/>
    </xf>
    <xf numFmtId="169" fontId="3" fillId="5" borderId="1" xfId="0" applyNumberFormat="1" applyFont="1" applyFill="1" applyBorder="1" applyAlignment="1">
      <alignment horizontal="right" vertical="center"/>
    </xf>
    <xf numFmtId="0" fontId="3" fillId="5" borderId="1" xfId="0" applyFont="1" applyFill="1" applyBorder="1" applyAlignment="1">
      <alignment vertical="center" wrapText="1"/>
    </xf>
    <xf numFmtId="170" fontId="0" fillId="4" borderId="16" xfId="0" applyNumberFormat="1" applyFill="1" applyBorder="1"/>
    <xf numFmtId="170" fontId="0" fillId="4" borderId="18" xfId="0" applyNumberFormat="1" applyFill="1" applyBorder="1"/>
    <xf numFmtId="0" fontId="0" fillId="2" borderId="6" xfId="0" applyFill="1" applyBorder="1"/>
    <xf numFmtId="0" fontId="0" fillId="2" borderId="9" xfId="0" applyFill="1" applyBorder="1"/>
    <xf numFmtId="0" fontId="0" fillId="2" borderId="11" xfId="0" applyFill="1" applyBorder="1"/>
    <xf numFmtId="170" fontId="0" fillId="4" borderId="17" xfId="0" applyNumberFormat="1" applyFill="1" applyBorder="1"/>
    <xf numFmtId="0" fontId="0" fillId="0" borderId="7" xfId="0" applyBorder="1"/>
    <xf numFmtId="0" fontId="0" fillId="0" borderId="12" xfId="0" applyBorder="1"/>
    <xf numFmtId="0" fontId="0" fillId="2" borderId="7" xfId="0" applyFill="1" applyBorder="1"/>
    <xf numFmtId="0" fontId="0" fillId="2" borderId="12" xfId="0" applyFill="1" applyBorder="1"/>
    <xf numFmtId="173" fontId="3" fillId="5" borderId="3" xfId="0" applyNumberFormat="1" applyFont="1" applyFill="1" applyBorder="1" applyAlignment="1">
      <alignment horizontal="right" vertical="center"/>
    </xf>
    <xf numFmtId="0" fontId="0" fillId="2" borderId="8" xfId="0" applyFill="1" applyBorder="1"/>
    <xf numFmtId="0" fontId="0" fillId="2" borderId="13" xfId="0" applyFill="1" applyBorder="1"/>
    <xf numFmtId="0" fontId="0" fillId="2" borderId="10" xfId="0" applyFill="1" applyBorder="1"/>
    <xf numFmtId="0" fontId="0" fillId="4" borderId="16" xfId="0" applyFill="1" applyBorder="1" applyAlignment="1">
      <alignment vertical="center" wrapText="1"/>
    </xf>
    <xf numFmtId="169" fontId="0" fillId="4" borderId="16" xfId="0" applyNumberFormat="1" applyFill="1" applyBorder="1" applyAlignment="1">
      <alignment horizontal="right" vertical="center"/>
    </xf>
    <xf numFmtId="0" fontId="0" fillId="4" borderId="11" xfId="0" applyFill="1" applyBorder="1" applyAlignment="1">
      <alignment vertical="center" wrapText="1"/>
    </xf>
    <xf numFmtId="169" fontId="0" fillId="4" borderId="11" xfId="0" applyNumberFormat="1" applyFill="1" applyBorder="1" applyAlignment="1">
      <alignment horizontal="right" vertical="center"/>
    </xf>
    <xf numFmtId="168" fontId="3" fillId="5" borderId="1" xfId="0" applyNumberFormat="1" applyFont="1" applyFill="1" applyBorder="1" applyAlignment="1">
      <alignment vertical="center"/>
    </xf>
    <xf numFmtId="0" fontId="3" fillId="5" borderId="1" xfId="0" applyFont="1" applyFill="1" applyBorder="1"/>
    <xf numFmtId="168" fontId="3" fillId="5" borderId="1" xfId="0" applyNumberFormat="1" applyFont="1" applyFill="1" applyBorder="1"/>
    <xf numFmtId="172" fontId="3" fillId="5" borderId="3" xfId="1" applyNumberFormat="1" applyFont="1" applyFill="1" applyBorder="1"/>
    <xf numFmtId="0" fontId="3" fillId="6" borderId="2" xfId="0" applyFont="1" applyFill="1" applyBorder="1"/>
    <xf numFmtId="172" fontId="0" fillId="4" borderId="11" xfId="0" applyNumberFormat="1" applyFill="1" applyBorder="1" applyAlignment="1">
      <alignment vertical="center"/>
    </xf>
    <xf numFmtId="172" fontId="0" fillId="4" borderId="15" xfId="0" applyNumberFormat="1" applyFill="1" applyBorder="1" applyAlignment="1">
      <alignment vertical="center"/>
    </xf>
    <xf numFmtId="168" fontId="0" fillId="4" borderId="16" xfId="0" applyNumberFormat="1" applyFill="1" applyBorder="1"/>
    <xf numFmtId="168" fontId="0" fillId="4" borderId="19" xfId="0" applyNumberFormat="1" applyFill="1" applyBorder="1"/>
    <xf numFmtId="168" fontId="0" fillId="4" borderId="22" xfId="0" applyNumberFormat="1" applyFill="1" applyBorder="1"/>
    <xf numFmtId="168" fontId="0" fillId="4" borderId="24" xfId="0" applyNumberFormat="1" applyFill="1" applyBorder="1"/>
    <xf numFmtId="0" fontId="0" fillId="0" borderId="8" xfId="0" applyBorder="1"/>
    <xf numFmtId="0" fontId="0" fillId="0" borderId="10" xfId="0" applyBorder="1"/>
    <xf numFmtId="0" fontId="0" fillId="4" borderId="16" xfId="0" applyFill="1" applyBorder="1" applyAlignment="1">
      <alignment horizontal="left" vertical="center" wrapText="1"/>
    </xf>
    <xf numFmtId="0" fontId="0" fillId="4" borderId="19" xfId="0" applyFill="1" applyBorder="1" applyAlignment="1">
      <alignment horizontal="left" vertical="center" wrapText="1"/>
    </xf>
    <xf numFmtId="0" fontId="0" fillId="4" borderId="22" xfId="0" applyFill="1" applyBorder="1" applyAlignment="1">
      <alignment horizontal="left" vertical="center" wrapText="1"/>
    </xf>
    <xf numFmtId="0" fontId="0" fillId="0" borderId="13" xfId="0" applyBorder="1"/>
    <xf numFmtId="168" fontId="0" fillId="4" borderId="18" xfId="0" applyNumberFormat="1" applyFill="1" applyBorder="1"/>
    <xf numFmtId="168" fontId="0" fillId="4" borderId="21" xfId="0" applyNumberFormat="1" applyFill="1" applyBorder="1"/>
    <xf numFmtId="168" fontId="0" fillId="4" borderId="17" xfId="0" applyNumberFormat="1" applyFill="1" applyBorder="1"/>
    <xf numFmtId="168" fontId="0" fillId="4" borderId="20" xfId="0" applyNumberFormat="1" applyFill="1" applyBorder="1"/>
    <xf numFmtId="174" fontId="0" fillId="0" borderId="12" xfId="0" applyNumberFormat="1" applyBorder="1"/>
    <xf numFmtId="172" fontId="3" fillId="5" borderId="13" xfId="0" applyNumberFormat="1" applyFont="1" applyFill="1" applyBorder="1"/>
    <xf numFmtId="0" fontId="0" fillId="0" borderId="9" xfId="0" applyBorder="1"/>
    <xf numFmtId="172" fontId="0" fillId="4" borderId="17" xfId="0" applyNumberFormat="1" applyFill="1" applyBorder="1" applyAlignment="1">
      <alignment horizontal="right" vertical="center"/>
    </xf>
    <xf numFmtId="0" fontId="3" fillId="6" borderId="3" xfId="0" applyFont="1" applyFill="1" applyBorder="1"/>
    <xf numFmtId="0" fontId="0" fillId="0" borderId="11" xfId="0" applyBorder="1"/>
    <xf numFmtId="172" fontId="0" fillId="4" borderId="13" xfId="0" applyNumberFormat="1" applyFill="1" applyBorder="1" applyAlignment="1">
      <alignment horizontal="right" vertical="center"/>
    </xf>
    <xf numFmtId="0" fontId="1" fillId="0" borderId="0" xfId="0" applyFont="1" applyAlignment="1">
      <alignment vertical="center" wrapText="1"/>
    </xf>
    <xf numFmtId="0" fontId="0" fillId="0" borderId="4" xfId="0" applyBorder="1" applyAlignment="1">
      <alignment horizontal="center" vertical="center"/>
    </xf>
    <xf numFmtId="0" fontId="3" fillId="5" borderId="1" xfId="0" applyFont="1" applyFill="1" applyBorder="1" applyAlignment="1">
      <alignment horizontal="left"/>
    </xf>
    <xf numFmtId="168" fontId="0" fillId="4" borderId="23" xfId="0" applyNumberFormat="1" applyFill="1" applyBorder="1"/>
    <xf numFmtId="172" fontId="0" fillId="4" borderId="16" xfId="0" applyNumberFormat="1" applyFill="1" applyBorder="1" applyAlignment="1">
      <alignment horizontal="right" vertical="center"/>
    </xf>
    <xf numFmtId="172" fontId="0" fillId="4" borderId="18" xfId="0" applyNumberFormat="1" applyFill="1" applyBorder="1" applyAlignment="1">
      <alignment horizontal="right" vertical="center"/>
    </xf>
    <xf numFmtId="172" fontId="0" fillId="4" borderId="11" xfId="0" applyNumberFormat="1" applyFill="1" applyBorder="1" applyAlignment="1">
      <alignment horizontal="right" vertical="center"/>
    </xf>
    <xf numFmtId="172" fontId="0" fillId="4" borderId="12" xfId="0" applyNumberFormat="1" applyFill="1" applyBorder="1" applyAlignment="1">
      <alignment horizontal="right" vertical="center"/>
    </xf>
    <xf numFmtId="0" fontId="1" fillId="0" borderId="0" xfId="0" applyFont="1" applyAlignment="1">
      <alignment vertical="top"/>
    </xf>
    <xf numFmtId="0" fontId="1" fillId="0" borderId="0" xfId="0" applyFont="1"/>
    <xf numFmtId="0" fontId="1" fillId="0" borderId="0" xfId="0" applyFont="1" applyAlignment="1">
      <alignment vertical="center"/>
    </xf>
    <xf numFmtId="0" fontId="3" fillId="5" borderId="4" xfId="0" applyFont="1" applyFill="1" applyBorder="1" applyAlignment="1">
      <alignment horizontal="left" vertical="center"/>
    </xf>
    <xf numFmtId="170" fontId="0" fillId="4" borderId="18" xfId="0" applyNumberFormat="1" applyFill="1" applyBorder="1" applyAlignment="1">
      <alignment horizontal="right"/>
    </xf>
    <xf numFmtId="0" fontId="3" fillId="5" borderId="15" xfId="0" applyFont="1" applyFill="1" applyBorder="1" applyAlignment="1">
      <alignment horizontal="left" vertical="center"/>
    </xf>
    <xf numFmtId="0" fontId="0" fillId="0" borderId="0" xfId="0" applyAlignment="1">
      <alignment wrapText="1"/>
    </xf>
    <xf numFmtId="170" fontId="0" fillId="0" borderId="6" xfId="0" applyNumberFormat="1" applyBorder="1"/>
    <xf numFmtId="170" fontId="0" fillId="0" borderId="7" xfId="0" applyNumberFormat="1" applyBorder="1"/>
    <xf numFmtId="170" fontId="0" fillId="0" borderId="8" xfId="0" applyNumberFormat="1" applyBorder="1"/>
    <xf numFmtId="0" fontId="0" fillId="0" borderId="0" xfId="0" applyAlignment="1">
      <alignment horizontal="center"/>
    </xf>
    <xf numFmtId="170" fontId="3" fillId="0" borderId="7" xfId="0" applyNumberFormat="1" applyFont="1" applyBorder="1" applyAlignment="1">
      <alignment horizontal="right" vertical="center" wrapText="1"/>
    </xf>
    <xf numFmtId="175" fontId="3" fillId="0" borderId="7" xfId="0" applyNumberFormat="1" applyFont="1" applyBorder="1" applyAlignment="1">
      <alignment horizontal="right" vertical="center" wrapText="1"/>
    </xf>
    <xf numFmtId="49" fontId="0" fillId="0" borderId="0" xfId="0" applyNumberFormat="1"/>
    <xf numFmtId="49" fontId="1" fillId="0" borderId="0" xfId="0" applyNumberFormat="1" applyFont="1"/>
    <xf numFmtId="14" fontId="0" fillId="0" borderId="0" xfId="0" applyNumberFormat="1"/>
    <xf numFmtId="0" fontId="13" fillId="0" borderId="0" xfId="0" applyFont="1"/>
    <xf numFmtId="49" fontId="0" fillId="16" borderId="0" xfId="0" applyNumberFormat="1" applyFill="1"/>
    <xf numFmtId="14" fontId="1" fillId="0" borderId="0" xfId="0" applyNumberFormat="1" applyFont="1"/>
    <xf numFmtId="177" fontId="0" fillId="0" borderId="0" xfId="0" applyNumberFormat="1"/>
    <xf numFmtId="0" fontId="0" fillId="16" borderId="0" xfId="0" applyFill="1"/>
    <xf numFmtId="0" fontId="0" fillId="14" borderId="0" xfId="0" applyFill="1"/>
    <xf numFmtId="49" fontId="1" fillId="14" borderId="0" xfId="0" applyNumberFormat="1" applyFont="1" applyFill="1"/>
    <xf numFmtId="49" fontId="1" fillId="16" borderId="0" xfId="0" applyNumberFormat="1" applyFont="1" applyFill="1"/>
    <xf numFmtId="168" fontId="3" fillId="6" borderId="1" xfId="0" applyNumberFormat="1" applyFont="1" applyFill="1" applyBorder="1"/>
    <xf numFmtId="49" fontId="0" fillId="14" borderId="0" xfId="0" applyNumberFormat="1" applyFill="1"/>
    <xf numFmtId="0" fontId="0" fillId="20" borderId="39" xfId="4" applyFont="1" applyFill="1" applyBorder="1" applyProtection="1"/>
    <xf numFmtId="0" fontId="0" fillId="20" borderId="35" xfId="4" applyFont="1" applyFill="1" applyProtection="1"/>
    <xf numFmtId="0" fontId="0" fillId="9" borderId="40" xfId="4" applyFont="1" applyBorder="1" applyProtection="1"/>
    <xf numFmtId="0" fontId="0" fillId="9" borderId="41" xfId="4" applyFont="1" applyBorder="1" applyProtection="1"/>
    <xf numFmtId="0" fontId="0" fillId="9" borderId="42" xfId="4" applyFont="1" applyBorder="1" applyProtection="1"/>
    <xf numFmtId="0" fontId="0" fillId="9" borderId="43" xfId="4" applyFont="1" applyBorder="1" applyProtection="1"/>
    <xf numFmtId="49" fontId="8" fillId="9" borderId="44" xfId="4" applyNumberFormat="1" applyFont="1" applyBorder="1" applyProtection="1"/>
    <xf numFmtId="0" fontId="0" fillId="9" borderId="45" xfId="4" applyFont="1" applyBorder="1" applyProtection="1"/>
    <xf numFmtId="49" fontId="8" fillId="9" borderId="46" xfId="4" applyNumberFormat="1" applyFont="1" applyBorder="1" applyProtection="1"/>
    <xf numFmtId="0" fontId="14" fillId="17" borderId="47" xfId="10" applyBorder="1" applyProtection="1"/>
    <xf numFmtId="0" fontId="17" fillId="0" borderId="0" xfId="0" applyFont="1"/>
    <xf numFmtId="0" fontId="0" fillId="9" borderId="35" xfId="4" applyFont="1"/>
    <xf numFmtId="0" fontId="0" fillId="9" borderId="35" xfId="4" applyFont="1" applyAlignment="1"/>
    <xf numFmtId="0" fontId="0" fillId="9" borderId="35" xfId="4" applyFont="1" applyProtection="1"/>
    <xf numFmtId="0" fontId="14" fillId="9" borderId="35" xfId="12" applyFont="1" applyProtection="1"/>
    <xf numFmtId="0" fontId="4" fillId="19" borderId="37" xfId="13" applyBorder="1"/>
    <xf numFmtId="0" fontId="0" fillId="19" borderId="37" xfId="13" applyFont="1" applyBorder="1"/>
    <xf numFmtId="0" fontId="18" fillId="0" borderId="49" xfId="3" applyFont="1" applyFill="1" applyBorder="1" applyAlignment="1" applyProtection="1">
      <alignment horizontal="center" vertical="center" wrapText="1"/>
    </xf>
    <xf numFmtId="0" fontId="4" fillId="19" borderId="37" xfId="13" applyBorder="1" applyAlignment="1"/>
    <xf numFmtId="170" fontId="19" fillId="0" borderId="51" xfId="4" applyNumberFormat="1" applyFont="1" applyFill="1" applyBorder="1" applyAlignment="1" applyProtection="1">
      <alignment wrapText="1"/>
    </xf>
    <xf numFmtId="165" fontId="0" fillId="9" borderId="35" xfId="4" applyNumberFormat="1" applyFont="1"/>
    <xf numFmtId="49" fontId="8" fillId="9" borderId="35" xfId="4" applyNumberFormat="1" applyFont="1"/>
    <xf numFmtId="0" fontId="20" fillId="5" borderId="1" xfId="0" applyFont="1" applyFill="1" applyBorder="1"/>
    <xf numFmtId="0" fontId="18" fillId="0" borderId="51" xfId="3" applyFont="1" applyFill="1" applyBorder="1" applyAlignment="1" applyProtection="1">
      <alignment horizontal="center" vertical="center" wrapText="1"/>
    </xf>
    <xf numFmtId="175" fontId="19" fillId="0" borderId="51" xfId="4" applyNumberFormat="1" applyFont="1" applyFill="1" applyBorder="1" applyAlignment="1" applyProtection="1">
      <alignment wrapText="1"/>
    </xf>
    <xf numFmtId="49" fontId="8" fillId="9" borderId="35" xfId="4" applyNumberFormat="1" applyFont="1" applyAlignment="1"/>
    <xf numFmtId="10" fontId="1" fillId="0" borderId="0" xfId="0" applyNumberFormat="1" applyFont="1"/>
    <xf numFmtId="170" fontId="20" fillId="10" borderId="51" xfId="2" applyNumberFormat="1" applyFont="1" applyFill="1" applyBorder="1" applyAlignment="1" applyProtection="1">
      <alignment wrapText="1"/>
    </xf>
    <xf numFmtId="49" fontId="8" fillId="0" borderId="0" xfId="0" applyNumberFormat="1" applyFont="1"/>
    <xf numFmtId="177" fontId="14" fillId="9" borderId="35" xfId="4" applyNumberFormat="1" applyFont="1"/>
    <xf numFmtId="2" fontId="0" fillId="0" borderId="0" xfId="0" applyNumberFormat="1"/>
    <xf numFmtId="49" fontId="0" fillId="9" borderId="35" xfId="4" applyNumberFormat="1" applyFont="1"/>
    <xf numFmtId="0" fontId="1" fillId="0" borderId="0" xfId="0" applyFont="1" applyAlignment="1">
      <alignment wrapText="1"/>
    </xf>
    <xf numFmtId="49" fontId="1" fillId="0" borderId="0" xfId="0" applyNumberFormat="1" applyFont="1" applyAlignment="1">
      <alignment wrapText="1"/>
    </xf>
    <xf numFmtId="49" fontId="1" fillId="16" borderId="0" xfId="0" applyNumberFormat="1" applyFont="1" applyFill="1" applyAlignment="1">
      <alignment wrapText="1"/>
    </xf>
    <xf numFmtId="177" fontId="1" fillId="16" borderId="0" xfId="0" applyNumberFormat="1" applyFont="1" applyFill="1" applyAlignment="1">
      <alignment wrapText="1"/>
    </xf>
    <xf numFmtId="2" fontId="21" fillId="16" borderId="0" xfId="0" applyNumberFormat="1" applyFont="1" applyFill="1" applyAlignment="1">
      <alignment wrapText="1"/>
    </xf>
    <xf numFmtId="49" fontId="1" fillId="9" borderId="35" xfId="4" applyNumberFormat="1" applyFont="1" applyAlignment="1">
      <alignment wrapText="1"/>
    </xf>
    <xf numFmtId="49" fontId="1" fillId="15" borderId="0" xfId="0" applyNumberFormat="1" applyFont="1" applyFill="1" applyAlignment="1">
      <alignment wrapText="1"/>
    </xf>
    <xf numFmtId="0" fontId="0" fillId="0" borderId="16" xfId="0" applyBorder="1" applyAlignment="1">
      <alignment horizontal="left" vertical="center" wrapText="1"/>
    </xf>
    <xf numFmtId="168" fontId="0" fillId="0" borderId="16" xfId="0" applyNumberFormat="1" applyBorder="1"/>
    <xf numFmtId="168" fontId="0" fillId="0" borderId="18" xfId="0" applyNumberFormat="1" applyBorder="1"/>
    <xf numFmtId="168" fontId="0" fillId="0" borderId="17" xfId="0" applyNumberFormat="1" applyBorder="1"/>
    <xf numFmtId="0" fontId="0" fillId="0" borderId="19" xfId="0" applyBorder="1" applyAlignment="1">
      <alignment horizontal="left" vertical="center" wrapText="1"/>
    </xf>
    <xf numFmtId="168" fontId="0" fillId="0" borderId="19" xfId="0" applyNumberFormat="1" applyBorder="1"/>
    <xf numFmtId="168" fontId="0" fillId="0" borderId="21" xfId="0" applyNumberFormat="1" applyBorder="1"/>
    <xf numFmtId="168" fontId="0" fillId="0" borderId="20" xfId="0" applyNumberFormat="1" applyBorder="1"/>
    <xf numFmtId="0" fontId="0" fillId="0" borderId="22" xfId="0" applyBorder="1" applyAlignment="1">
      <alignment horizontal="left" vertical="center" wrapText="1"/>
    </xf>
    <xf numFmtId="168" fontId="0" fillId="0" borderId="22" xfId="0" applyNumberFormat="1" applyBorder="1"/>
    <xf numFmtId="168" fontId="0" fillId="0" borderId="24" xfId="0" applyNumberFormat="1" applyBorder="1"/>
    <xf numFmtId="168" fontId="0" fillId="0" borderId="23" xfId="0" applyNumberFormat="1" applyBorder="1"/>
    <xf numFmtId="0" fontId="0" fillId="0" borderId="26" xfId="0" applyBorder="1" applyAlignment="1">
      <alignment horizontal="left" vertical="center"/>
    </xf>
    <xf numFmtId="168" fontId="0" fillId="0" borderId="16" xfId="0" applyNumberFormat="1" applyBorder="1" applyAlignment="1">
      <alignment vertical="center"/>
    </xf>
    <xf numFmtId="0" fontId="0" fillId="0" borderId="25" xfId="0" applyBorder="1" applyAlignment="1">
      <alignment horizontal="left" vertical="center"/>
    </xf>
    <xf numFmtId="168" fontId="0" fillId="0" borderId="19" xfId="0" applyNumberFormat="1" applyBorder="1" applyAlignment="1">
      <alignment vertical="center"/>
    </xf>
    <xf numFmtId="0" fontId="0" fillId="0" borderId="27" xfId="0" applyBorder="1" applyAlignment="1">
      <alignment horizontal="left" vertical="center" wrapText="1"/>
    </xf>
    <xf numFmtId="168" fontId="0" fillId="0" borderId="22" xfId="0" applyNumberFormat="1" applyBorder="1" applyAlignment="1">
      <alignment vertical="center"/>
    </xf>
    <xf numFmtId="0" fontId="0" fillId="0" borderId="16" xfId="0" applyBorder="1" applyAlignment="1">
      <alignment horizontal="left" vertical="center"/>
    </xf>
    <xf numFmtId="168" fontId="0" fillId="0" borderId="26" xfId="0" applyNumberFormat="1" applyBorder="1" applyAlignment="1">
      <alignment vertical="center"/>
    </xf>
    <xf numFmtId="0" fontId="0" fillId="0" borderId="19" xfId="0" applyBorder="1" applyAlignment="1">
      <alignment horizontal="left" vertical="center"/>
    </xf>
    <xf numFmtId="168" fontId="0" fillId="0" borderId="25" xfId="0" applyNumberFormat="1" applyBorder="1" applyAlignment="1">
      <alignment vertical="center"/>
    </xf>
    <xf numFmtId="0" fontId="0" fillId="0" borderId="22" xfId="0" applyBorder="1" applyAlignment="1">
      <alignment horizontal="left" vertical="center"/>
    </xf>
    <xf numFmtId="168" fontId="0" fillId="0" borderId="27" xfId="0" applyNumberFormat="1" applyBorder="1" applyAlignment="1">
      <alignment vertical="center"/>
    </xf>
    <xf numFmtId="0" fontId="0" fillId="15" borderId="0" xfId="0" applyFill="1"/>
    <xf numFmtId="0" fontId="0" fillId="0" borderId="19" xfId="0" applyBorder="1" applyAlignment="1">
      <alignment vertical="center" wrapText="1"/>
    </xf>
    <xf numFmtId="169" fontId="0" fillId="0" borderId="19" xfId="0" applyNumberFormat="1" applyBorder="1" applyAlignment="1">
      <alignment horizontal="right" vertical="center"/>
    </xf>
    <xf numFmtId="172" fontId="0" fillId="0" borderId="20" xfId="0" applyNumberFormat="1" applyBorder="1" applyAlignment="1">
      <alignment horizontal="right" vertical="center"/>
    </xf>
    <xf numFmtId="172" fontId="0" fillId="0" borderId="19" xfId="0" applyNumberFormat="1" applyBorder="1" applyAlignment="1">
      <alignment horizontal="right" vertical="center"/>
    </xf>
    <xf numFmtId="172" fontId="0" fillId="0" borderId="21" xfId="0" applyNumberFormat="1" applyBorder="1" applyAlignment="1">
      <alignment horizontal="right" vertical="center"/>
    </xf>
    <xf numFmtId="0" fontId="0" fillId="0" borderId="22" xfId="0" applyBorder="1" applyAlignment="1">
      <alignment vertical="center" wrapText="1"/>
    </xf>
    <xf numFmtId="169" fontId="0" fillId="0" borderId="22" xfId="0" applyNumberFormat="1" applyBorder="1" applyAlignment="1">
      <alignment horizontal="right" vertical="center"/>
    </xf>
    <xf numFmtId="172" fontId="0" fillId="0" borderId="23" xfId="0" applyNumberFormat="1" applyBorder="1" applyAlignment="1">
      <alignment horizontal="right" vertical="center"/>
    </xf>
    <xf numFmtId="172" fontId="0" fillId="0" borderId="22" xfId="0" applyNumberFormat="1" applyBorder="1" applyAlignment="1">
      <alignment horizontal="right" vertical="center"/>
    </xf>
    <xf numFmtId="172" fontId="0" fillId="0" borderId="24" xfId="0" applyNumberFormat="1" applyBorder="1" applyAlignment="1">
      <alignment horizontal="right" vertical="center"/>
    </xf>
    <xf numFmtId="0" fontId="0" fillId="0" borderId="25" xfId="0" applyBorder="1" applyAlignment="1">
      <alignment vertical="top" wrapText="1"/>
    </xf>
    <xf numFmtId="0" fontId="0" fillId="0" borderId="19" xfId="0" applyBorder="1" applyAlignment="1">
      <alignment vertical="top" wrapText="1"/>
    </xf>
    <xf numFmtId="171" fontId="3" fillId="5" borderId="2" xfId="0" applyNumberFormat="1" applyFont="1" applyFill="1" applyBorder="1" applyAlignment="1">
      <alignment horizontal="right" vertical="center"/>
    </xf>
    <xf numFmtId="0" fontId="0" fillId="21" borderId="0" xfId="0" applyFill="1"/>
    <xf numFmtId="0" fontId="14" fillId="17" borderId="35" xfId="10" applyBorder="1" applyProtection="1"/>
    <xf numFmtId="0" fontId="14" fillId="17" borderId="52" xfId="10" applyBorder="1" applyProtection="1"/>
    <xf numFmtId="0" fontId="17" fillId="9" borderId="35" xfId="4" applyFont="1" applyProtection="1"/>
    <xf numFmtId="0" fontId="22" fillId="0" borderId="0" xfId="0" applyFont="1"/>
    <xf numFmtId="0" fontId="18" fillId="0" borderId="0" xfId="0" applyFont="1"/>
    <xf numFmtId="176" fontId="17" fillId="0" borderId="0" xfId="0" applyNumberFormat="1" applyFont="1"/>
    <xf numFmtId="0" fontId="23" fillId="0" borderId="0" xfId="0" applyFont="1"/>
    <xf numFmtId="0" fontId="8" fillId="21" borderId="35" xfId="4" applyFont="1" applyFill="1" applyProtection="1"/>
    <xf numFmtId="0" fontId="8" fillId="0" borderId="0" xfId="0" applyFont="1"/>
    <xf numFmtId="0" fontId="8" fillId="0" borderId="0" xfId="0" applyFont="1" applyAlignment="1">
      <alignment wrapText="1"/>
    </xf>
    <xf numFmtId="0" fontId="9" fillId="0" borderId="0" xfId="0" applyFont="1"/>
    <xf numFmtId="176" fontId="18" fillId="0" borderId="0" xfId="0" applyNumberFormat="1" applyFont="1" applyAlignment="1">
      <alignment wrapText="1"/>
    </xf>
    <xf numFmtId="0" fontId="4" fillId="19" borderId="37" xfId="13" applyBorder="1" applyProtection="1"/>
    <xf numFmtId="0" fontId="18" fillId="0" borderId="53" xfId="3" applyFont="1" applyFill="1" applyBorder="1" applyAlignment="1" applyProtection="1">
      <alignment horizontal="center" vertical="center" wrapText="1"/>
    </xf>
    <xf numFmtId="0" fontId="0" fillId="0" borderId="0" xfId="0" applyAlignment="1">
      <alignment horizontal="center" vertical="center"/>
    </xf>
    <xf numFmtId="0" fontId="0" fillId="19" borderId="37" xfId="13" applyFont="1" applyBorder="1" applyProtection="1"/>
    <xf numFmtId="176" fontId="18" fillId="0" borderId="51" xfId="3" applyNumberFormat="1" applyFont="1" applyFill="1" applyBorder="1" applyAlignment="1" applyProtection="1">
      <alignment horizontal="center" vertical="center" wrapText="1"/>
    </xf>
    <xf numFmtId="0" fontId="0" fillId="0" borderId="59" xfId="0" applyBorder="1"/>
    <xf numFmtId="0" fontId="4" fillId="19" borderId="0" xfId="13" applyAlignment="1" applyProtection="1">
      <alignment vertical="center"/>
    </xf>
    <xf numFmtId="0" fontId="4" fillId="19" borderId="0" xfId="13" applyAlignment="1" applyProtection="1"/>
    <xf numFmtId="0" fontId="18" fillId="0" borderId="51" xfId="3" applyFont="1" applyFill="1" applyBorder="1" applyAlignment="1" applyProtection="1"/>
    <xf numFmtId="170" fontId="19" fillId="0" borderId="53" xfId="4" applyNumberFormat="1" applyFont="1" applyFill="1" applyBorder="1" applyAlignment="1" applyProtection="1">
      <alignment wrapText="1"/>
    </xf>
    <xf numFmtId="0" fontId="18" fillId="0" borderId="58" xfId="3" applyFont="1" applyFill="1" applyBorder="1" applyAlignment="1" applyProtection="1"/>
    <xf numFmtId="170" fontId="19" fillId="0" borderId="56" xfId="4" applyNumberFormat="1" applyFont="1" applyFill="1" applyBorder="1" applyAlignment="1" applyProtection="1">
      <alignment wrapText="1"/>
    </xf>
    <xf numFmtId="170" fontId="18" fillId="0" borderId="51" xfId="0" applyNumberFormat="1" applyFont="1" applyBorder="1"/>
    <xf numFmtId="176" fontId="18" fillId="0" borderId="51" xfId="0" applyNumberFormat="1" applyFont="1" applyBorder="1"/>
    <xf numFmtId="49" fontId="8" fillId="9" borderId="35" xfId="4" applyNumberFormat="1" applyFont="1" applyProtection="1"/>
    <xf numFmtId="0" fontId="0" fillId="0" borderId="57" xfId="0" applyBorder="1"/>
    <xf numFmtId="176" fontId="17" fillId="0" borderId="0" xfId="0" applyNumberFormat="1" applyFont="1" applyAlignment="1">
      <alignment wrapText="1"/>
    </xf>
    <xf numFmtId="10" fontId="8" fillId="0" borderId="0" xfId="0" applyNumberFormat="1" applyFont="1"/>
    <xf numFmtId="0" fontId="17" fillId="0" borderId="58" xfId="0" applyFont="1" applyBorder="1" applyAlignment="1">
      <alignment vertical="center"/>
    </xf>
    <xf numFmtId="170" fontId="18" fillId="2" borderId="56" xfId="4" applyNumberFormat="1" applyFont="1" applyFill="1" applyBorder="1" applyAlignment="1" applyProtection="1">
      <alignment wrapText="1"/>
    </xf>
    <xf numFmtId="170" fontId="18" fillId="0" borderId="51" xfId="4" applyNumberFormat="1" applyFont="1" applyFill="1" applyBorder="1" applyAlignment="1" applyProtection="1">
      <alignment wrapText="1"/>
    </xf>
    <xf numFmtId="170" fontId="18" fillId="2" borderId="51" xfId="4" applyNumberFormat="1" applyFont="1" applyFill="1" applyBorder="1" applyAlignment="1" applyProtection="1">
      <alignment wrapText="1"/>
    </xf>
    <xf numFmtId="0" fontId="17" fillId="0" borderId="0" xfId="0" applyFont="1" applyAlignment="1">
      <alignment wrapText="1"/>
    </xf>
    <xf numFmtId="0" fontId="18" fillId="0" borderId="0" xfId="0" applyFont="1" applyAlignment="1">
      <alignment wrapText="1"/>
    </xf>
    <xf numFmtId="0" fontId="25" fillId="0" borderId="0" xfId="0" applyFont="1"/>
    <xf numFmtId="0" fontId="17" fillId="0" borderId="51" xfId="0" applyFont="1" applyBorder="1" applyAlignment="1">
      <alignment vertical="center"/>
    </xf>
    <xf numFmtId="176" fontId="18" fillId="0" borderId="51" xfId="1" applyNumberFormat="1" applyFont="1" applyFill="1" applyBorder="1" applyAlignment="1" applyProtection="1">
      <alignment wrapText="1"/>
    </xf>
    <xf numFmtId="170" fontId="18" fillId="0" borderId="51" xfId="4" applyNumberFormat="1" applyFont="1" applyFill="1" applyBorder="1" applyAlignment="1" applyProtection="1"/>
    <xf numFmtId="170" fontId="18" fillId="0" borderId="53" xfId="4" applyNumberFormat="1" applyFont="1" applyFill="1" applyBorder="1" applyAlignment="1" applyProtection="1"/>
    <xf numFmtId="0" fontId="17" fillId="9" borderId="35" xfId="4" applyFont="1" applyAlignment="1" applyProtection="1"/>
    <xf numFmtId="170" fontId="18" fillId="2" borderId="53" xfId="4" applyNumberFormat="1" applyFont="1" applyFill="1" applyBorder="1" applyAlignment="1" applyProtection="1">
      <alignment wrapText="1"/>
    </xf>
    <xf numFmtId="0" fontId="17" fillId="0" borderId="59" xfId="0" applyFont="1" applyBorder="1"/>
    <xf numFmtId="0" fontId="27" fillId="0" borderId="0" xfId="0" applyFont="1"/>
    <xf numFmtId="177" fontId="0" fillId="16" borderId="0" xfId="0" applyNumberFormat="1" applyFill="1"/>
    <xf numFmtId="177" fontId="0" fillId="15" borderId="0" xfId="0" applyNumberFormat="1" applyFill="1"/>
    <xf numFmtId="0" fontId="11" fillId="16" borderId="37" xfId="8" applyFill="1"/>
    <xf numFmtId="0" fontId="11" fillId="12" borderId="37" xfId="8"/>
    <xf numFmtId="0" fontId="28" fillId="16" borderId="37" xfId="8" applyFont="1" applyFill="1"/>
    <xf numFmtId="177" fontId="28" fillId="16" borderId="37" xfId="8" applyNumberFormat="1" applyFont="1" applyFill="1"/>
    <xf numFmtId="178" fontId="11" fillId="12" borderId="37" xfId="8" applyNumberFormat="1"/>
    <xf numFmtId="178" fontId="28" fillId="16" borderId="37" xfId="8" applyNumberFormat="1" applyFont="1" applyFill="1"/>
    <xf numFmtId="178" fontId="29" fillId="0" borderId="0" xfId="0" applyNumberFormat="1" applyFont="1"/>
    <xf numFmtId="178" fontId="0" fillId="0" borderId="0" xfId="0" applyNumberFormat="1"/>
    <xf numFmtId="49" fontId="1" fillId="15" borderId="0" xfId="0" applyNumberFormat="1" applyFont="1" applyFill="1"/>
    <xf numFmtId="49" fontId="15" fillId="18" borderId="35" xfId="11" applyNumberFormat="1" applyBorder="1"/>
    <xf numFmtId="0" fontId="8" fillId="9" borderId="35" xfId="4" applyNumberFormat="1" applyFont="1"/>
    <xf numFmtId="0" fontId="30" fillId="16" borderId="37" xfId="8" applyFont="1" applyFill="1"/>
    <xf numFmtId="0" fontId="31" fillId="0" borderId="0" xfId="0" applyFont="1"/>
    <xf numFmtId="177" fontId="32" fillId="16" borderId="0" xfId="0" applyNumberFormat="1" applyFont="1" applyFill="1"/>
    <xf numFmtId="177" fontId="1" fillId="16" borderId="0" xfId="0" applyNumberFormat="1" applyFont="1" applyFill="1"/>
    <xf numFmtId="0" fontId="29" fillId="0" borderId="0" xfId="0" applyFont="1"/>
    <xf numFmtId="0" fontId="11" fillId="9" borderId="35" xfId="4" applyFont="1"/>
    <xf numFmtId="49" fontId="8" fillId="9" borderId="61" xfId="4" applyNumberFormat="1" applyFont="1" applyBorder="1" applyProtection="1"/>
    <xf numFmtId="170" fontId="0" fillId="0" borderId="21" xfId="0" applyNumberFormat="1" applyBorder="1"/>
    <xf numFmtId="175" fontId="4" fillId="0" borderId="20" xfId="1" applyNumberFormat="1" applyFont="1" applyFill="1" applyBorder="1"/>
    <xf numFmtId="175" fontId="4" fillId="0" borderId="21" xfId="1" applyNumberFormat="1" applyFont="1" applyFill="1" applyBorder="1"/>
    <xf numFmtId="170" fontId="0" fillId="0" borderId="19" xfId="0" applyNumberFormat="1" applyBorder="1"/>
    <xf numFmtId="170" fontId="0" fillId="0" borderId="20" xfId="0" applyNumberFormat="1" applyBorder="1"/>
    <xf numFmtId="174" fontId="0" fillId="2" borderId="21" xfId="0" applyNumberFormat="1" applyFill="1" applyBorder="1"/>
    <xf numFmtId="172" fontId="0" fillId="2" borderId="20" xfId="0" applyNumberFormat="1" applyFill="1" applyBorder="1"/>
    <xf numFmtId="174" fontId="0" fillId="2" borderId="19" xfId="0" applyNumberFormat="1" applyFill="1" applyBorder="1"/>
    <xf numFmtId="174" fontId="0" fillId="2" borderId="20" xfId="0" applyNumberFormat="1" applyFill="1" applyBorder="1"/>
    <xf numFmtId="0" fontId="0" fillId="2" borderId="62" xfId="0" applyFill="1" applyBorder="1" applyAlignment="1">
      <alignment horizontal="left" vertical="center"/>
    </xf>
    <xf numFmtId="174" fontId="0" fillId="2" borderId="28" xfId="0" applyNumberFormat="1" applyFill="1" applyBorder="1"/>
    <xf numFmtId="172" fontId="0" fillId="2" borderId="29" xfId="0" applyNumberFormat="1" applyFill="1" applyBorder="1"/>
    <xf numFmtId="174" fontId="0" fillId="2" borderId="30" xfId="0" applyNumberFormat="1" applyFill="1" applyBorder="1"/>
    <xf numFmtId="174" fontId="0" fillId="2" borderId="29" xfId="0" applyNumberFormat="1" applyFill="1" applyBorder="1"/>
    <xf numFmtId="0" fontId="0" fillId="2" borderId="27" xfId="0" applyFill="1" applyBorder="1" applyAlignment="1">
      <alignment horizontal="left" vertical="center"/>
    </xf>
    <xf numFmtId="174" fontId="0" fillId="2" borderId="24" xfId="0" applyNumberFormat="1" applyFill="1" applyBorder="1"/>
    <xf numFmtId="172" fontId="0" fillId="2" borderId="23" xfId="0" applyNumberFormat="1" applyFill="1" applyBorder="1"/>
    <xf numFmtId="174" fontId="0" fillId="2" borderId="22" xfId="0" applyNumberFormat="1" applyFill="1" applyBorder="1"/>
    <xf numFmtId="174" fontId="0" fillId="2" borderId="23" xfId="0" applyNumberFormat="1" applyFill="1" applyBorder="1"/>
    <xf numFmtId="0" fontId="18" fillId="0" borderId="56" xfId="3" applyFont="1" applyFill="1" applyBorder="1" applyAlignment="1" applyProtection="1">
      <alignment horizontal="center" vertical="center" wrapText="1"/>
    </xf>
    <xf numFmtId="0" fontId="18" fillId="0" borderId="51" xfId="3" applyFont="1" applyFill="1" applyBorder="1" applyAlignment="1" applyProtection="1">
      <alignment horizontal="center" vertical="center"/>
    </xf>
    <xf numFmtId="0" fontId="24" fillId="3" borderId="51" xfId="3" applyFont="1" applyFill="1" applyBorder="1" applyAlignment="1" applyProtection="1"/>
    <xf numFmtId="170" fontId="24" fillId="3" borderId="51" xfId="4" applyNumberFormat="1" applyFont="1" applyFill="1" applyBorder="1" applyAlignment="1" applyProtection="1">
      <alignment wrapText="1"/>
    </xf>
    <xf numFmtId="176" fontId="24" fillId="3" borderId="51" xfId="1" applyNumberFormat="1" applyFont="1" applyFill="1" applyBorder="1" applyAlignment="1" applyProtection="1">
      <alignment wrapText="1"/>
    </xf>
    <xf numFmtId="170" fontId="24" fillId="3" borderId="53" xfId="4" applyNumberFormat="1" applyFont="1" applyFill="1" applyBorder="1" applyAlignment="1" applyProtection="1">
      <alignment wrapText="1"/>
    </xf>
    <xf numFmtId="0" fontId="20" fillId="5" borderId="51" xfId="3" applyFont="1" applyFill="1" applyBorder="1" applyAlignment="1" applyProtection="1"/>
    <xf numFmtId="170" fontId="20" fillId="5" borderId="51" xfId="2" applyNumberFormat="1" applyFont="1" applyFill="1" applyBorder="1" applyAlignment="1" applyProtection="1">
      <alignment wrapText="1"/>
    </xf>
    <xf numFmtId="175" fontId="20" fillId="5" borderId="51" xfId="2" applyNumberFormat="1" applyFont="1" applyFill="1" applyBorder="1" applyAlignment="1" applyProtection="1">
      <alignment wrapText="1"/>
    </xf>
    <xf numFmtId="0" fontId="20" fillId="5" borderId="60" xfId="3" applyFont="1" applyFill="1" applyBorder="1" applyAlignment="1" applyProtection="1"/>
    <xf numFmtId="170" fontId="20" fillId="5" borderId="56" xfId="2" applyNumberFormat="1" applyFont="1" applyFill="1" applyBorder="1" applyAlignment="1" applyProtection="1">
      <alignment wrapText="1"/>
    </xf>
    <xf numFmtId="170" fontId="18" fillId="5" borderId="51" xfId="0" applyNumberFormat="1" applyFont="1" applyFill="1" applyBorder="1"/>
    <xf numFmtId="176" fontId="18" fillId="5" borderId="51" xfId="0" applyNumberFormat="1" applyFont="1" applyFill="1" applyBorder="1"/>
    <xf numFmtId="170" fontId="24" fillId="3" borderId="51" xfId="0" applyNumberFormat="1" applyFont="1" applyFill="1" applyBorder="1"/>
    <xf numFmtId="176" fontId="24" fillId="3" borderId="51" xfId="0" applyNumberFormat="1" applyFont="1" applyFill="1" applyBorder="1"/>
    <xf numFmtId="0" fontId="0" fillId="0" borderId="20" xfId="0" applyBorder="1" applyAlignment="1">
      <alignment vertical="center"/>
    </xf>
    <xf numFmtId="0" fontId="0" fillId="0" borderId="21" xfId="0" applyBorder="1" applyAlignment="1">
      <alignment vertical="center"/>
    </xf>
    <xf numFmtId="0" fontId="0" fillId="4" borderId="26" xfId="0" applyFill="1" applyBorder="1" applyAlignment="1">
      <alignment horizontal="left" vertical="center" wrapText="1"/>
    </xf>
    <xf numFmtId="0" fontId="0" fillId="4" borderId="3" xfId="0" applyFill="1" applyBorder="1" applyAlignment="1">
      <alignment horizontal="center" vertical="center" wrapText="1"/>
    </xf>
    <xf numFmtId="170" fontId="0" fillId="0" borderId="31" xfId="0" applyNumberFormat="1" applyBorder="1" applyAlignment="1">
      <alignment horizontal="right"/>
    </xf>
    <xf numFmtId="175" fontId="4" fillId="0" borderId="33" xfId="1" applyNumberFormat="1" applyFont="1" applyFill="1" applyBorder="1"/>
    <xf numFmtId="0" fontId="0" fillId="4" borderId="2" xfId="0" applyFill="1" applyBorder="1" applyAlignment="1">
      <alignment vertical="center"/>
    </xf>
    <xf numFmtId="0" fontId="0" fillId="4" borderId="3" xfId="0" applyFill="1" applyBorder="1" applyAlignment="1">
      <alignment vertical="center"/>
    </xf>
    <xf numFmtId="0" fontId="0" fillId="0" borderId="32" xfId="0" applyBorder="1" applyAlignment="1">
      <alignment vertical="center"/>
    </xf>
    <xf numFmtId="0" fontId="0" fillId="0" borderId="33" xfId="0" applyBorder="1" applyAlignment="1">
      <alignment vertical="center"/>
    </xf>
    <xf numFmtId="0" fontId="0" fillId="4" borderId="1" xfId="0" applyFill="1" applyBorder="1" applyAlignment="1">
      <alignment vertical="center"/>
    </xf>
    <xf numFmtId="0" fontId="0" fillId="0" borderId="16" xfId="0" applyBorder="1" applyAlignment="1">
      <alignment vertical="center"/>
    </xf>
    <xf numFmtId="0" fontId="0" fillId="0" borderId="24" xfId="0" applyBorder="1" applyAlignment="1">
      <alignment vertical="center"/>
    </xf>
    <xf numFmtId="0" fontId="0" fillId="0" borderId="23" xfId="0" applyBorder="1" applyAlignment="1">
      <alignment vertical="center"/>
    </xf>
    <xf numFmtId="0" fontId="0" fillId="4" borderId="7" xfId="0" applyFill="1" applyBorder="1" applyAlignment="1">
      <alignment vertical="center"/>
    </xf>
    <xf numFmtId="175" fontId="4" fillId="0" borderId="32" xfId="1" applyNumberFormat="1" applyFont="1" applyFill="1" applyBorder="1"/>
    <xf numFmtId="0" fontId="0" fillId="0" borderId="12" xfId="0" applyBorder="1" applyAlignment="1">
      <alignment horizontal="center" vertical="center"/>
    </xf>
    <xf numFmtId="0" fontId="0" fillId="0" borderId="13" xfId="0" applyBorder="1" applyAlignment="1">
      <alignment horizontal="center" vertical="center"/>
    </xf>
    <xf numFmtId="0" fontId="17" fillId="4" borderId="1" xfId="0" applyFont="1" applyFill="1" applyBorder="1" applyAlignment="1">
      <alignment horizontal="center" vertical="center" wrapText="1"/>
    </xf>
    <xf numFmtId="0" fontId="11" fillId="0" borderId="6" xfId="0"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1" fillId="4" borderId="7" xfId="0" applyFont="1" applyFill="1" applyBorder="1" applyAlignment="1">
      <alignment horizontal="left" vertical="center" wrapText="1"/>
    </xf>
    <xf numFmtId="0" fontId="17" fillId="4" borderId="6"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11" fillId="4" borderId="2" xfId="0" applyFont="1" applyFill="1" applyBorder="1" applyAlignment="1">
      <alignment horizontal="left" vertical="center"/>
    </xf>
    <xf numFmtId="0" fontId="11" fillId="0" borderId="38" xfId="0" applyFont="1" applyBorder="1" applyAlignment="1">
      <alignment horizontal="left" vertical="center"/>
    </xf>
    <xf numFmtId="0" fontId="11" fillId="0" borderId="25" xfId="0" applyFont="1" applyBorder="1" applyAlignment="1">
      <alignment horizontal="left" vertical="center"/>
    </xf>
    <xf numFmtId="0" fontId="11" fillId="0" borderId="27" xfId="0" applyFont="1" applyBorder="1" applyAlignment="1">
      <alignment horizontal="left" vertical="center"/>
    </xf>
    <xf numFmtId="0" fontId="11" fillId="0" borderId="31" xfId="0" applyFont="1" applyBorder="1" applyAlignment="1">
      <alignment horizontal="left" vertical="center"/>
    </xf>
    <xf numFmtId="0" fontId="11" fillId="0" borderId="19" xfId="0" applyFont="1" applyBorder="1" applyAlignment="1">
      <alignment horizontal="left" vertical="center"/>
    </xf>
    <xf numFmtId="0" fontId="11" fillId="0" borderId="22" xfId="0" applyFont="1" applyBorder="1" applyAlignment="1">
      <alignment horizontal="left" vertical="center"/>
    </xf>
    <xf numFmtId="177" fontId="14" fillId="21" borderId="35" xfId="4" applyNumberFormat="1" applyFont="1" applyFill="1"/>
    <xf numFmtId="0" fontId="0" fillId="22" borderId="0" xfId="0" applyFill="1"/>
    <xf numFmtId="0" fontId="0" fillId="20" borderId="0" xfId="0" applyFill="1"/>
    <xf numFmtId="0" fontId="0" fillId="9" borderId="35" xfId="12" applyFont="1" applyProtection="1"/>
    <xf numFmtId="170" fontId="0" fillId="4" borderId="2" xfId="0" applyNumberFormat="1" applyFill="1" applyBorder="1" applyAlignment="1">
      <alignment vertical="center"/>
    </xf>
    <xf numFmtId="0" fontId="17" fillId="0" borderId="6" xfId="0" applyFont="1" applyBorder="1"/>
    <xf numFmtId="170" fontId="0" fillId="0" borderId="0" xfId="0" applyNumberFormat="1"/>
    <xf numFmtId="177" fontId="35" fillId="21" borderId="35" xfId="4" applyNumberFormat="1" applyFont="1" applyFill="1"/>
    <xf numFmtId="0" fontId="0" fillId="4" borderId="0" xfId="0" applyFill="1" applyAlignment="1">
      <alignment horizontal="center" vertical="center" wrapText="1"/>
    </xf>
    <xf numFmtId="170" fontId="0" fillId="0" borderId="16" xfId="0" applyNumberFormat="1" applyBorder="1"/>
    <xf numFmtId="170" fontId="0" fillId="0" borderId="31" xfId="0" applyNumberFormat="1" applyBorder="1"/>
    <xf numFmtId="170" fontId="0" fillId="0" borderId="32" xfId="0" applyNumberFormat="1" applyBorder="1"/>
    <xf numFmtId="170" fontId="0" fillId="0" borderId="33" xfId="0" applyNumberFormat="1" applyBorder="1"/>
    <xf numFmtId="0" fontId="0" fillId="4" borderId="2" xfId="0" applyFill="1" applyBorder="1" applyAlignment="1">
      <alignment horizontal="center" vertical="center" wrapText="1"/>
    </xf>
    <xf numFmtId="170" fontId="0" fillId="0" borderId="28" xfId="0" applyNumberFormat="1" applyBorder="1"/>
    <xf numFmtId="170" fontId="0" fillId="0" borderId="30" xfId="0" applyNumberFormat="1" applyBorder="1"/>
    <xf numFmtId="170" fontId="0" fillId="0" borderId="29" xfId="0" applyNumberFormat="1" applyBorder="1"/>
    <xf numFmtId="170" fontId="0" fillId="0" borderId="9" xfId="0" applyNumberFormat="1" applyBorder="1"/>
    <xf numFmtId="170" fontId="0" fillId="0" borderId="10" xfId="0" applyNumberFormat="1" applyBorder="1"/>
    <xf numFmtId="170" fontId="3" fillId="0" borderId="12" xfId="0" applyNumberFormat="1" applyFont="1" applyBorder="1" applyAlignment="1">
      <alignment horizontal="right" vertical="center" wrapText="1"/>
    </xf>
    <xf numFmtId="175" fontId="3" fillId="0" borderId="12" xfId="0" applyNumberFormat="1" applyFont="1" applyBorder="1" applyAlignment="1">
      <alignment horizontal="right" vertical="center" wrapText="1"/>
    </xf>
    <xf numFmtId="170" fontId="3" fillId="0" borderId="0" xfId="0" applyNumberFormat="1" applyFont="1" applyAlignment="1">
      <alignment horizontal="right" vertical="center" wrapText="1"/>
    </xf>
    <xf numFmtId="175" fontId="3" fillId="0" borderId="0" xfId="0" applyNumberFormat="1" applyFont="1" applyAlignment="1">
      <alignment horizontal="right" vertical="center" wrapText="1"/>
    </xf>
    <xf numFmtId="175" fontId="3" fillId="0" borderId="8" xfId="0" applyNumberFormat="1" applyFont="1" applyBorder="1" applyAlignment="1">
      <alignment horizontal="right" vertical="center" wrapText="1"/>
    </xf>
    <xf numFmtId="170" fontId="0" fillId="4" borderId="6" xfId="0" applyNumberFormat="1" applyFill="1" applyBorder="1" applyAlignment="1">
      <alignment vertical="center" wrapText="1"/>
    </xf>
    <xf numFmtId="170" fontId="0" fillId="4" borderId="7" xfId="0" applyNumberFormat="1" applyFill="1" applyBorder="1" applyAlignment="1">
      <alignment vertical="center" wrapText="1"/>
    </xf>
    <xf numFmtId="170" fontId="0" fillId="4" borderId="8" xfId="0" applyNumberFormat="1" applyFill="1" applyBorder="1" applyAlignment="1">
      <alignment vertical="center" wrapText="1"/>
    </xf>
    <xf numFmtId="170" fontId="0" fillId="4" borderId="9" xfId="0" applyNumberFormat="1" applyFill="1" applyBorder="1" applyAlignment="1">
      <alignment vertical="center" wrapText="1"/>
    </xf>
    <xf numFmtId="170" fontId="0" fillId="4" borderId="0" xfId="0" applyNumberFormat="1" applyFill="1" applyAlignment="1">
      <alignment vertical="center" wrapText="1"/>
    </xf>
    <xf numFmtId="170" fontId="0" fillId="4" borderId="10" xfId="0" applyNumberFormat="1" applyFill="1" applyBorder="1" applyAlignment="1">
      <alignment vertical="center" wrapText="1"/>
    </xf>
    <xf numFmtId="170" fontId="0" fillId="4" borderId="11" xfId="0" applyNumberFormat="1" applyFill="1" applyBorder="1" applyAlignment="1">
      <alignment vertical="center" wrapText="1"/>
    </xf>
    <xf numFmtId="170" fontId="0" fillId="4" borderId="12" xfId="0" applyNumberFormat="1" applyFill="1" applyBorder="1" applyAlignment="1">
      <alignment vertical="center" wrapText="1"/>
    </xf>
    <xf numFmtId="170" fontId="0" fillId="4" borderId="13" xfId="0" applyNumberFormat="1" applyFill="1" applyBorder="1" applyAlignment="1">
      <alignment vertical="center" wrapText="1"/>
    </xf>
    <xf numFmtId="0" fontId="17" fillId="4" borderId="9" xfId="0" applyFont="1" applyFill="1" applyBorder="1" applyAlignment="1">
      <alignment horizontal="center" vertical="center" wrapText="1"/>
    </xf>
    <xf numFmtId="0" fontId="11" fillId="0" borderId="0" xfId="0" applyFont="1"/>
    <xf numFmtId="0" fontId="11" fillId="4" borderId="7" xfId="0" applyFont="1" applyFill="1" applyBorder="1" applyAlignment="1">
      <alignment horizontal="center" vertical="center" wrapText="1"/>
    </xf>
    <xf numFmtId="0" fontId="11" fillId="0" borderId="25" xfId="0" applyFont="1" applyBorder="1" applyAlignment="1">
      <alignment horizontal="left"/>
    </xf>
    <xf numFmtId="0" fontId="11" fillId="4" borderId="2" xfId="0" applyFont="1" applyFill="1" applyBorder="1" applyAlignment="1">
      <alignment horizontal="center" vertical="center" wrapText="1"/>
    </xf>
    <xf numFmtId="0" fontId="11" fillId="0" borderId="62" xfId="0" applyFont="1" applyBorder="1" applyAlignment="1">
      <alignment horizontal="left"/>
    </xf>
    <xf numFmtId="0" fontId="36" fillId="0" borderId="7" xfId="0" applyFont="1" applyBorder="1" applyAlignment="1">
      <alignment vertical="center" wrapText="1"/>
    </xf>
    <xf numFmtId="0" fontId="36" fillId="0" borderId="12" xfId="0" applyFont="1" applyBorder="1" applyAlignment="1">
      <alignment vertical="center" wrapText="1"/>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20" fillId="0" borderId="0" xfId="0" applyFont="1" applyAlignment="1">
      <alignment vertical="center" wrapText="1"/>
    </xf>
    <xf numFmtId="170" fontId="0" fillId="0" borderId="9" xfId="0" applyNumberFormat="1" applyBorder="1" applyAlignment="1">
      <alignment vertical="center" wrapText="1"/>
    </xf>
    <xf numFmtId="170" fontId="0" fillId="0" borderId="0" xfId="0" applyNumberFormat="1" applyAlignment="1">
      <alignment vertical="center" wrapText="1"/>
    </xf>
    <xf numFmtId="170" fontId="0" fillId="0" borderId="10" xfId="0" applyNumberFormat="1" applyBorder="1" applyAlignment="1">
      <alignment vertical="center" wrapText="1"/>
    </xf>
    <xf numFmtId="170" fontId="0" fillId="0" borderId="11" xfId="0" applyNumberFormat="1" applyBorder="1" applyAlignment="1">
      <alignment vertical="center" wrapText="1"/>
    </xf>
    <xf numFmtId="170" fontId="0" fillId="0" borderId="12" xfId="0" applyNumberFormat="1" applyBorder="1" applyAlignment="1">
      <alignment vertical="center" wrapText="1"/>
    </xf>
    <xf numFmtId="170" fontId="0" fillId="0" borderId="13" xfId="0" applyNumberFormat="1" applyBorder="1" applyAlignment="1">
      <alignment vertical="center" wrapText="1"/>
    </xf>
    <xf numFmtId="0" fontId="17" fillId="0" borderId="9" xfId="0" applyFont="1" applyBorder="1"/>
    <xf numFmtId="170" fontId="0" fillId="4" borderId="1" xfId="0" applyNumberFormat="1" applyFill="1" applyBorder="1" applyAlignment="1">
      <alignment vertical="center" wrapText="1"/>
    </xf>
    <xf numFmtId="0" fontId="11" fillId="0" borderId="4" xfId="0" applyFont="1" applyBorder="1" applyAlignment="1">
      <alignment horizontal="left" vertical="center"/>
    </xf>
    <xf numFmtId="170" fontId="0" fillId="0" borderId="1" xfId="0" applyNumberFormat="1" applyBorder="1" applyAlignment="1">
      <alignment horizontal="right"/>
    </xf>
    <xf numFmtId="0" fontId="25" fillId="4" borderId="4" xfId="0" applyFont="1" applyFill="1" applyBorder="1" applyAlignment="1">
      <alignment horizontal="center" vertical="center" wrapText="1"/>
    </xf>
    <xf numFmtId="0" fontId="25" fillId="4" borderId="38" xfId="0" applyFont="1" applyFill="1" applyBorder="1" applyAlignment="1">
      <alignment horizontal="center" vertical="center" wrapText="1"/>
    </xf>
    <xf numFmtId="174" fontId="0" fillId="0" borderId="0" xfId="0" applyNumberFormat="1"/>
    <xf numFmtId="0" fontId="0" fillId="0" borderId="0" xfId="0" applyProtection="1">
      <protection locked="0"/>
    </xf>
    <xf numFmtId="0" fontId="37" fillId="0" borderId="0" xfId="0" applyFont="1"/>
    <xf numFmtId="177" fontId="16" fillId="2" borderId="0" xfId="14" applyNumberFormat="1" applyFill="1" applyBorder="1" applyAlignment="1" applyProtection="1">
      <alignment horizontal="left"/>
      <protection locked="0"/>
    </xf>
    <xf numFmtId="176" fontId="18" fillId="0" borderId="51" xfId="4" applyNumberFormat="1" applyFont="1" applyFill="1" applyBorder="1" applyAlignment="1" applyProtection="1">
      <alignment wrapText="1"/>
    </xf>
    <xf numFmtId="0" fontId="8" fillId="2" borderId="7" xfId="0" applyFont="1" applyFill="1" applyBorder="1"/>
    <xf numFmtId="0" fontId="8" fillId="2" borderId="8" xfId="0" applyFont="1" applyFill="1" applyBorder="1"/>
    <xf numFmtId="0" fontId="8" fillId="2" borderId="12" xfId="0" applyFont="1" applyFill="1" applyBorder="1"/>
    <xf numFmtId="0" fontId="8" fillId="2" borderId="13" xfId="0" applyFont="1" applyFill="1" applyBorder="1"/>
    <xf numFmtId="172" fontId="8" fillId="4" borderId="18" xfId="0" applyNumberFormat="1" applyFont="1" applyFill="1" applyBorder="1" applyAlignment="1">
      <alignment horizontal="right" vertical="center"/>
    </xf>
    <xf numFmtId="172" fontId="8" fillId="4" borderId="17" xfId="0" applyNumberFormat="1" applyFont="1" applyFill="1" applyBorder="1" applyAlignment="1">
      <alignment horizontal="right" vertical="center"/>
    </xf>
    <xf numFmtId="172" fontId="8" fillId="0" borderId="21" xfId="0" applyNumberFormat="1" applyFont="1" applyBorder="1" applyAlignment="1">
      <alignment horizontal="right" vertical="center"/>
    </xf>
    <xf numFmtId="172" fontId="8" fillId="0" borderId="20" xfId="0" applyNumberFormat="1" applyFont="1" applyBorder="1" applyAlignment="1">
      <alignment horizontal="right" vertical="center"/>
    </xf>
    <xf numFmtId="172" fontId="8" fillId="0" borderId="24" xfId="0" applyNumberFormat="1" applyFont="1" applyBorder="1" applyAlignment="1">
      <alignment horizontal="right" vertical="center"/>
    </xf>
    <xf numFmtId="172" fontId="8" fillId="0" borderId="23" xfId="0" applyNumberFormat="1" applyFont="1" applyBorder="1" applyAlignment="1">
      <alignment horizontal="right" vertical="center"/>
    </xf>
    <xf numFmtId="172" fontId="8" fillId="4" borderId="12" xfId="0" applyNumberFormat="1" applyFont="1" applyFill="1" applyBorder="1" applyAlignment="1">
      <alignment horizontal="right" vertical="center"/>
    </xf>
    <xf numFmtId="172" fontId="8" fillId="4" borderId="13" xfId="0" applyNumberFormat="1" applyFont="1" applyFill="1" applyBorder="1" applyAlignment="1">
      <alignment horizontal="right" vertical="center"/>
    </xf>
    <xf numFmtId="0" fontId="8" fillId="2" borderId="0" xfId="0" applyFont="1" applyFill="1"/>
    <xf numFmtId="0" fontId="8" fillId="2" borderId="10" xfId="0" applyFont="1" applyFill="1" applyBorder="1"/>
    <xf numFmtId="175" fontId="19" fillId="0" borderId="51" xfId="4" applyNumberFormat="1" applyFont="1" applyFill="1" applyBorder="1" applyAlignment="1" applyProtection="1">
      <alignment horizontal="right" wrapText="1"/>
    </xf>
    <xf numFmtId="177" fontId="18" fillId="4" borderId="4" xfId="3" applyNumberFormat="1" applyFont="1" applyFill="1" applyBorder="1" applyAlignment="1" applyProtection="1">
      <alignment horizontal="left"/>
      <protection locked="0"/>
    </xf>
    <xf numFmtId="0" fontId="18" fillId="4" borderId="4" xfId="3" applyFont="1" applyFill="1" applyBorder="1" applyAlignment="1" applyProtection="1">
      <protection locked="0"/>
    </xf>
    <xf numFmtId="0" fontId="25" fillId="4" borderId="0" xfId="0" applyFont="1" applyFill="1" applyAlignment="1">
      <alignment horizontal="center" vertical="center" wrapText="1"/>
    </xf>
    <xf numFmtId="0" fontId="2" fillId="0" borderId="0" xfId="0" applyFont="1"/>
    <xf numFmtId="10" fontId="2" fillId="0" borderId="0" xfId="0" applyNumberFormat="1" applyFont="1"/>
    <xf numFmtId="0" fontId="8" fillId="4" borderId="26" xfId="0" applyFont="1" applyFill="1" applyBorder="1" applyAlignment="1">
      <alignment horizontal="left" vertical="center" wrapText="1"/>
    </xf>
    <xf numFmtId="0" fontId="8" fillId="2" borderId="25" xfId="0" applyFont="1" applyFill="1" applyBorder="1" applyAlignment="1">
      <alignment horizontal="left" vertical="center"/>
    </xf>
    <xf numFmtId="0" fontId="8" fillId="2" borderId="62" xfId="0" applyFont="1" applyFill="1" applyBorder="1" applyAlignment="1">
      <alignment horizontal="left" vertical="center"/>
    </xf>
    <xf numFmtId="0" fontId="38" fillId="0" borderId="0" xfId="0" applyFont="1"/>
    <xf numFmtId="0" fontId="39" fillId="16" borderId="37" xfId="8" applyFont="1" applyFill="1"/>
    <xf numFmtId="0" fontId="39" fillId="12" borderId="37" xfId="8" applyFont="1"/>
    <xf numFmtId="0" fontId="16" fillId="0" borderId="0" xfId="14" applyProtection="1">
      <protection locked="0"/>
    </xf>
    <xf numFmtId="0" fontId="1" fillId="22" borderId="0" xfId="0" applyFont="1" applyFill="1"/>
    <xf numFmtId="0" fontId="1" fillId="22" borderId="0" xfId="0" applyFont="1" applyFill="1" applyAlignment="1">
      <alignment vertical="top"/>
    </xf>
    <xf numFmtId="49" fontId="38" fillId="9" borderId="35" xfId="4" applyNumberFormat="1" applyFont="1"/>
    <xf numFmtId="49" fontId="40" fillId="16" borderId="0" xfId="0" applyNumberFormat="1" applyFont="1" applyFill="1"/>
    <xf numFmtId="0" fontId="35" fillId="14" borderId="0" xfId="15" applyFont="1" applyFill="1"/>
    <xf numFmtId="0" fontId="14" fillId="17" borderId="0" xfId="10" applyBorder="1" applyProtection="1"/>
    <xf numFmtId="0" fontId="25" fillId="23" borderId="0" xfId="0" applyFont="1" applyFill="1"/>
    <xf numFmtId="0" fontId="16" fillId="0" borderId="0" xfId="14" applyAlignment="1" applyProtection="1">
      <protection locked="0"/>
    </xf>
    <xf numFmtId="0" fontId="0" fillId="23" borderId="0" xfId="0" applyFill="1"/>
    <xf numFmtId="176" fontId="0" fillId="4" borderId="20" xfId="0" applyNumberFormat="1" applyFill="1" applyBorder="1"/>
    <xf numFmtId="176" fontId="4" fillId="4" borderId="3" xfId="1" applyNumberFormat="1" applyFont="1" applyFill="1" applyBorder="1"/>
    <xf numFmtId="176" fontId="0" fillId="0" borderId="17" xfId="0" applyNumberFormat="1" applyBorder="1"/>
    <xf numFmtId="176" fontId="0" fillId="0" borderId="20" xfId="0" applyNumberFormat="1" applyBorder="1"/>
    <xf numFmtId="170" fontId="0" fillId="4" borderId="6" xfId="0" applyNumberFormat="1" applyFill="1" applyBorder="1" applyAlignment="1">
      <alignment horizontal="right" vertical="center"/>
    </xf>
    <xf numFmtId="176" fontId="0" fillId="4" borderId="3" xfId="1" applyNumberFormat="1" applyFont="1" applyFill="1" applyBorder="1" applyAlignment="1"/>
    <xf numFmtId="170" fontId="0" fillId="4" borderId="7" xfId="0" applyNumberFormat="1" applyFill="1" applyBorder="1" applyAlignment="1">
      <alignment horizontal="right" vertical="center"/>
    </xf>
    <xf numFmtId="177" fontId="42" fillId="21" borderId="35" xfId="4" applyNumberFormat="1" applyFont="1" applyFill="1"/>
    <xf numFmtId="0" fontId="43" fillId="16" borderId="37" xfId="8" applyFont="1" applyFill="1"/>
    <xf numFmtId="0" fontId="42" fillId="0" borderId="0" xfId="0" applyFont="1"/>
    <xf numFmtId="49" fontId="31" fillId="0" borderId="0" xfId="0" applyNumberFormat="1" applyFont="1"/>
    <xf numFmtId="0" fontId="0" fillId="19" borderId="0" xfId="13" applyFont="1" applyAlignment="1" applyProtection="1">
      <alignment horizontal="left"/>
    </xf>
    <xf numFmtId="0" fontId="30" fillId="14" borderId="37" xfId="8" applyFont="1" applyFill="1"/>
    <xf numFmtId="177" fontId="35" fillId="14" borderId="35" xfId="4" applyNumberFormat="1" applyFont="1" applyFill="1"/>
    <xf numFmtId="0" fontId="11" fillId="14" borderId="37" xfId="8" applyFill="1"/>
    <xf numFmtId="0" fontId="0" fillId="14" borderId="0" xfId="0" applyFill="1" applyAlignment="1">
      <alignment wrapText="1"/>
    </xf>
    <xf numFmtId="14" fontId="0" fillId="14" borderId="0" xfId="0" applyNumberFormat="1" applyFill="1"/>
    <xf numFmtId="14" fontId="0" fillId="14" borderId="0" xfId="0" applyNumberFormat="1" applyFill="1" applyAlignment="1">
      <alignment wrapText="1"/>
    </xf>
    <xf numFmtId="177" fontId="8" fillId="14" borderId="35" xfId="4" applyNumberFormat="1" applyFont="1" applyFill="1"/>
    <xf numFmtId="177" fontId="31" fillId="14" borderId="35" xfId="4" applyNumberFormat="1" applyFont="1" applyFill="1"/>
    <xf numFmtId="0" fontId="14" fillId="17" borderId="0" xfId="10" applyAlignment="1">
      <alignment horizontal="left"/>
    </xf>
    <xf numFmtId="0" fontId="3" fillId="5" borderId="1" xfId="0" applyFont="1" applyFill="1" applyBorder="1" applyAlignment="1">
      <alignment horizontal="left" wrapText="1"/>
    </xf>
    <xf numFmtId="168" fontId="1" fillId="4" borderId="4" xfId="0" applyNumberFormat="1" applyFont="1" applyFill="1" applyBorder="1"/>
    <xf numFmtId="168" fontId="1" fillId="4" borderId="26" xfId="0" applyNumberFormat="1" applyFont="1" applyFill="1" applyBorder="1"/>
    <xf numFmtId="168" fontId="1" fillId="4" borderId="25" xfId="0" applyNumberFormat="1" applyFont="1" applyFill="1" applyBorder="1"/>
    <xf numFmtId="168" fontId="1" fillId="4" borderId="27" xfId="0" applyNumberFormat="1" applyFont="1" applyFill="1" applyBorder="1"/>
    <xf numFmtId="168" fontId="3" fillId="6" borderId="4" xfId="0" applyNumberFormat="1" applyFont="1" applyFill="1" applyBorder="1"/>
    <xf numFmtId="169" fontId="0" fillId="0" borderId="25" xfId="0" applyNumberFormat="1" applyBorder="1" applyAlignment="1">
      <alignment horizontal="right" vertical="center"/>
    </xf>
    <xf numFmtId="169" fontId="3" fillId="5" borderId="4" xfId="0" applyNumberFormat="1" applyFont="1" applyFill="1" applyBorder="1" applyAlignment="1">
      <alignment horizontal="right" vertical="center"/>
    </xf>
    <xf numFmtId="169" fontId="3" fillId="5" borderId="2" xfId="0" applyNumberFormat="1" applyFont="1" applyFill="1" applyBorder="1" applyAlignment="1">
      <alignment horizontal="right" vertical="center"/>
    </xf>
    <xf numFmtId="0" fontId="0" fillId="0" borderId="0" xfId="0" quotePrefix="1"/>
    <xf numFmtId="170" fontId="0" fillId="0" borderId="25" xfId="0" applyNumberFormat="1" applyBorder="1"/>
    <xf numFmtId="170" fontId="1" fillId="4" borderId="1" xfId="0" applyNumberFormat="1" applyFont="1" applyFill="1" applyBorder="1" applyAlignment="1">
      <alignment vertical="center" wrapText="1"/>
    </xf>
    <xf numFmtId="170" fontId="1" fillId="0" borderId="25" xfId="0" applyNumberFormat="1" applyFont="1" applyBorder="1"/>
    <xf numFmtId="170" fontId="1" fillId="4" borderId="4" xfId="0" applyNumberFormat="1" applyFont="1" applyFill="1" applyBorder="1" applyAlignment="1">
      <alignment vertical="center" wrapText="1"/>
    </xf>
    <xf numFmtId="0" fontId="1" fillId="4" borderId="10"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8" fillId="4" borderId="7" xfId="0" applyFont="1" applyFill="1" applyBorder="1" applyAlignment="1">
      <alignment horizontal="left" vertical="center" wrapText="1"/>
    </xf>
    <xf numFmtId="0" fontId="41" fillId="0" borderId="0" xfId="0" applyFont="1" applyAlignment="1">
      <alignment vertical="center" wrapText="1"/>
    </xf>
    <xf numFmtId="0" fontId="36" fillId="0" borderId="0" xfId="0" applyFont="1" applyAlignment="1">
      <alignment vertical="center" wrapText="1"/>
    </xf>
    <xf numFmtId="170" fontId="0" fillId="4" borderId="3" xfId="0" applyNumberFormat="1" applyFill="1" applyBorder="1" applyAlignment="1">
      <alignment vertical="center"/>
    </xf>
    <xf numFmtId="170" fontId="0" fillId="0" borderId="38" xfId="0" applyNumberFormat="1" applyBorder="1" applyAlignment="1">
      <alignment horizontal="right"/>
    </xf>
    <xf numFmtId="170" fontId="0" fillId="0" borderId="15" xfId="0" applyNumberFormat="1" applyBorder="1" applyAlignment="1">
      <alignment horizontal="right"/>
    </xf>
    <xf numFmtId="0" fontId="0" fillId="24" borderId="19" xfId="0" applyFill="1" applyBorder="1" applyAlignment="1">
      <alignment horizontal="left" vertical="center" wrapText="1"/>
    </xf>
    <xf numFmtId="49" fontId="31" fillId="16" borderId="0" xfId="0" applyNumberFormat="1" applyFont="1" applyFill="1"/>
    <xf numFmtId="49" fontId="0" fillId="24" borderId="0" xfId="0" applyNumberFormat="1" applyFill="1"/>
    <xf numFmtId="14" fontId="0" fillId="24" borderId="0" xfId="0" applyNumberFormat="1" applyFill="1"/>
    <xf numFmtId="168" fontId="1" fillId="24" borderId="38" xfId="0" applyNumberFormat="1" applyFont="1" applyFill="1" applyBorder="1"/>
    <xf numFmtId="168" fontId="1" fillId="24" borderId="27" xfId="0" applyNumberFormat="1" applyFont="1" applyFill="1" applyBorder="1"/>
    <xf numFmtId="0" fontId="0" fillId="0" borderId="21" xfId="0" applyBorder="1" applyAlignment="1">
      <alignment horizontal="center" vertical="center" wrapText="1"/>
    </xf>
    <xf numFmtId="0" fontId="0" fillId="0" borderId="20" xfId="0" applyBorder="1" applyAlignment="1">
      <alignment horizontal="center" vertical="center" wrapText="1"/>
    </xf>
    <xf numFmtId="0" fontId="0" fillId="0" borderId="28" xfId="0" applyBorder="1"/>
    <xf numFmtId="0" fontId="0" fillId="2" borderId="28" xfId="0" applyFill="1" applyBorder="1"/>
    <xf numFmtId="0" fontId="0" fillId="0" borderId="5" xfId="0" applyBorder="1" applyAlignment="1">
      <alignment horizontal="center" vertical="center"/>
    </xf>
    <xf numFmtId="0" fontId="0" fillId="0" borderId="3" xfId="0" applyBorder="1" applyAlignment="1">
      <alignment horizontal="center" vertical="center"/>
    </xf>
    <xf numFmtId="0" fontId="0" fillId="25" borderId="0" xfId="0" applyFill="1" applyAlignment="1">
      <alignment wrapText="1"/>
    </xf>
    <xf numFmtId="14" fontId="0" fillId="16" borderId="0" xfId="0" applyNumberFormat="1" applyFill="1"/>
    <xf numFmtId="0" fontId="46" fillId="0" borderId="4" xfId="0" applyFont="1" applyBorder="1" applyAlignment="1">
      <alignment horizontal="left" vertical="center"/>
    </xf>
    <xf numFmtId="0" fontId="0" fillId="26" borderId="19" xfId="0" applyFill="1" applyBorder="1" applyAlignment="1">
      <alignment horizontal="left" vertical="center" wrapText="1"/>
    </xf>
    <xf numFmtId="0" fontId="0" fillId="26" borderId="22" xfId="0" applyFill="1" applyBorder="1" applyAlignment="1">
      <alignment horizontal="left" vertical="center" wrapText="1"/>
    </xf>
    <xf numFmtId="0" fontId="0" fillId="4" borderId="1" xfId="0" applyFill="1" applyBorder="1" applyAlignment="1">
      <alignment vertical="center" wrapText="1"/>
    </xf>
    <xf numFmtId="0" fontId="0" fillId="24" borderId="22" xfId="0" applyFill="1" applyBorder="1" applyAlignment="1">
      <alignment horizontal="left" vertical="center" wrapText="1"/>
    </xf>
    <xf numFmtId="0" fontId="50" fillId="0" borderId="0" xfId="3" applyFont="1" applyFill="1" applyBorder="1" applyAlignment="1" applyProtection="1"/>
    <xf numFmtId="0" fontId="0" fillId="4" borderId="19" xfId="0" applyFill="1" applyBorder="1" applyAlignment="1">
      <alignment vertical="center" wrapText="1"/>
    </xf>
    <xf numFmtId="0" fontId="3" fillId="5" borderId="1" xfId="0" applyFont="1" applyFill="1" applyBorder="1" applyAlignment="1">
      <alignment wrapText="1"/>
    </xf>
    <xf numFmtId="169" fontId="0" fillId="0" borderId="31" xfId="0" applyNumberFormat="1" applyBorder="1" applyAlignment="1">
      <alignment horizontal="right" vertical="center"/>
    </xf>
    <xf numFmtId="169" fontId="0" fillId="0" borderId="38" xfId="0" applyNumberFormat="1" applyBorder="1" applyAlignment="1">
      <alignment horizontal="right" vertical="center"/>
    </xf>
    <xf numFmtId="169" fontId="0" fillId="4" borderId="1" xfId="0" applyNumberFormat="1" applyFill="1" applyBorder="1" applyAlignment="1">
      <alignment horizontal="right" vertical="center"/>
    </xf>
    <xf numFmtId="170" fontId="0" fillId="4" borderId="4" xfId="0" applyNumberFormat="1" applyFill="1" applyBorder="1" applyAlignment="1">
      <alignment horizontal="right"/>
    </xf>
    <xf numFmtId="170" fontId="1" fillId="4" borderId="4" xfId="0" applyNumberFormat="1" applyFont="1" applyFill="1" applyBorder="1" applyAlignment="1">
      <alignment horizontal="right"/>
    </xf>
    <xf numFmtId="0" fontId="45" fillId="0" borderId="36" xfId="3" applyFont="1" applyFill="1" applyBorder="1" applyAlignment="1" applyProtection="1">
      <alignment vertical="center"/>
    </xf>
    <xf numFmtId="170" fontId="45" fillId="0" borderId="36" xfId="4" applyNumberFormat="1" applyFont="1" applyFill="1" applyBorder="1" applyAlignment="1" applyProtection="1"/>
    <xf numFmtId="0" fontId="2" fillId="5" borderId="36" xfId="0" applyFont="1" applyFill="1" applyBorder="1" applyAlignment="1">
      <alignment horizontal="left" vertical="center"/>
    </xf>
    <xf numFmtId="168" fontId="3" fillId="6" borderId="36" xfId="0" applyNumberFormat="1" applyFont="1" applyFill="1" applyBorder="1"/>
    <xf numFmtId="170" fontId="45" fillId="0" borderId="57" xfId="4" applyNumberFormat="1" applyFont="1" applyFill="1" applyBorder="1" applyAlignment="1" applyProtection="1"/>
    <xf numFmtId="0" fontId="0" fillId="4" borderId="22" xfId="0" applyFill="1" applyBorder="1" applyAlignment="1">
      <alignment vertical="center" wrapText="1"/>
    </xf>
    <xf numFmtId="0" fontId="0" fillId="0" borderId="16" xfId="0" applyBorder="1" applyAlignment="1">
      <alignment vertical="center" wrapText="1"/>
    </xf>
    <xf numFmtId="0" fontId="51" fillId="2" borderId="9" xfId="0" applyFont="1" applyFill="1" applyBorder="1"/>
    <xf numFmtId="0" fontId="51" fillId="2" borderId="1" xfId="0" applyFont="1" applyFill="1" applyBorder="1"/>
    <xf numFmtId="0" fontId="31" fillId="14" borderId="0" xfId="0" applyFont="1" applyFill="1"/>
    <xf numFmtId="49" fontId="31" fillId="9" borderId="35" xfId="4" applyNumberFormat="1" applyFont="1" applyProtection="1"/>
    <xf numFmtId="168" fontId="0" fillId="0" borderId="31" xfId="0" applyNumberFormat="1" applyBorder="1"/>
    <xf numFmtId="0" fontId="47" fillId="0" borderId="5" xfId="0" applyFont="1" applyBorder="1" applyAlignment="1">
      <alignment horizontal="left" vertical="center"/>
    </xf>
    <xf numFmtId="0" fontId="47" fillId="0" borderId="15" xfId="0" applyFont="1" applyBorder="1" applyAlignment="1">
      <alignment horizontal="left" vertical="center"/>
    </xf>
    <xf numFmtId="0" fontId="0" fillId="0" borderId="31" xfId="0" applyBorder="1" applyAlignment="1">
      <alignment vertical="center" wrapText="1"/>
    </xf>
    <xf numFmtId="0" fontId="3" fillId="5" borderId="22" xfId="0" applyFont="1" applyFill="1" applyBorder="1" applyAlignment="1">
      <alignment vertical="center"/>
    </xf>
    <xf numFmtId="168" fontId="1" fillId="24" borderId="27" xfId="0" applyNumberFormat="1" applyFont="1" applyFill="1" applyBorder="1" applyAlignment="1">
      <alignment horizontal="right"/>
    </xf>
    <xf numFmtId="168" fontId="1" fillId="4" borderId="25" xfId="0" applyNumberFormat="1" applyFont="1" applyFill="1" applyBorder="1" applyAlignment="1">
      <alignment horizontal="right"/>
    </xf>
    <xf numFmtId="168" fontId="1" fillId="4" borderId="38" xfId="0" applyNumberFormat="1" applyFont="1" applyFill="1" applyBorder="1" applyAlignment="1">
      <alignment horizontal="right"/>
    </xf>
    <xf numFmtId="169" fontId="1" fillId="4" borderId="4" xfId="0" applyNumberFormat="1" applyFont="1" applyFill="1" applyBorder="1" applyAlignment="1">
      <alignment horizontal="right" vertical="center"/>
    </xf>
    <xf numFmtId="174" fontId="0" fillId="0" borderId="7" xfId="0" applyNumberFormat="1" applyBorder="1"/>
    <xf numFmtId="14" fontId="14" fillId="17" borderId="0" xfId="10" applyNumberFormat="1"/>
    <xf numFmtId="0" fontId="14" fillId="17" borderId="0" xfId="10"/>
    <xf numFmtId="0" fontId="31" fillId="0" borderId="0" xfId="0" quotePrefix="1" applyFont="1"/>
    <xf numFmtId="0" fontId="0" fillId="25" borderId="0" xfId="0" applyFill="1"/>
    <xf numFmtId="49" fontId="57" fillId="16" borderId="0" xfId="0" applyNumberFormat="1" applyFont="1" applyFill="1"/>
    <xf numFmtId="0" fontId="1" fillId="4" borderId="0" xfId="0" applyFont="1" applyFill="1" applyAlignment="1">
      <alignment horizontal="center" vertical="center" wrapText="1"/>
    </xf>
    <xf numFmtId="0" fontId="30" fillId="12" borderId="37" xfId="8" applyFont="1"/>
    <xf numFmtId="49" fontId="1" fillId="25" borderId="0" xfId="0" applyNumberFormat="1" applyFont="1" applyFill="1"/>
    <xf numFmtId="49" fontId="57" fillId="4" borderId="0" xfId="0" applyNumberFormat="1" applyFont="1" applyFill="1"/>
    <xf numFmtId="49" fontId="57" fillId="0" borderId="0" xfId="0" applyNumberFormat="1" applyFont="1"/>
    <xf numFmtId="14" fontId="42" fillId="0" borderId="0" xfId="0" applyNumberFormat="1" applyFont="1"/>
    <xf numFmtId="14" fontId="42" fillId="25" borderId="0" xfId="0" applyNumberFormat="1" applyFont="1" applyFill="1" applyAlignment="1">
      <alignment wrapText="1"/>
    </xf>
    <xf numFmtId="0" fontId="1" fillId="4" borderId="2" xfId="0" applyFont="1" applyFill="1" applyBorder="1" applyAlignment="1">
      <alignment horizontal="center" vertical="center" wrapText="1"/>
    </xf>
    <xf numFmtId="0" fontId="28" fillId="0" borderId="15" xfId="0" applyFont="1" applyBorder="1" applyAlignment="1">
      <alignment horizontal="center" vertical="center"/>
    </xf>
    <xf numFmtId="0" fontId="28" fillId="0" borderId="5" xfId="0" applyFont="1" applyBorder="1" applyAlignment="1">
      <alignment vertical="center"/>
    </xf>
    <xf numFmtId="0" fontId="28" fillId="0" borderId="15" xfId="0" applyFont="1" applyBorder="1" applyAlignment="1">
      <alignment vertical="center"/>
    </xf>
    <xf numFmtId="0" fontId="28" fillId="0" borderId="8" xfId="0" applyFont="1" applyBorder="1" applyAlignment="1">
      <alignment vertical="center"/>
    </xf>
    <xf numFmtId="0" fontId="28" fillId="0" borderId="13" xfId="0" applyFont="1" applyBorder="1" applyAlignment="1">
      <alignment vertical="center"/>
    </xf>
    <xf numFmtId="184" fontId="0" fillId="0" borderId="0" xfId="0" applyNumberFormat="1"/>
    <xf numFmtId="184" fontId="47" fillId="0" borderId="5" xfId="0" applyNumberFormat="1" applyFont="1" applyBorder="1" applyAlignment="1">
      <alignment horizontal="left" vertical="center"/>
    </xf>
    <xf numFmtId="184" fontId="47" fillId="0" borderId="15" xfId="0" applyNumberFormat="1" applyFont="1" applyBorder="1" applyAlignment="1">
      <alignment horizontal="left" vertical="center"/>
    </xf>
    <xf numFmtId="184" fontId="3" fillId="6" borderId="4" xfId="0" applyNumberFormat="1" applyFont="1" applyFill="1" applyBorder="1" applyAlignment="1">
      <alignment horizontal="right"/>
    </xf>
    <xf numFmtId="184" fontId="0" fillId="4" borderId="4" xfId="0" applyNumberFormat="1" applyFill="1" applyBorder="1" applyAlignment="1">
      <alignment horizontal="right"/>
    </xf>
    <xf numFmtId="184" fontId="0" fillId="4" borderId="38" xfId="0" applyNumberFormat="1" applyFill="1" applyBorder="1" applyAlignment="1">
      <alignment horizontal="right"/>
    </xf>
    <xf numFmtId="184" fontId="8" fillId="0" borderId="0" xfId="0" applyNumberFormat="1" applyFont="1"/>
    <xf numFmtId="184" fontId="8" fillId="0" borderId="7" xfId="0" applyNumberFormat="1" applyFont="1" applyBorder="1"/>
    <xf numFmtId="0" fontId="1" fillId="4" borderId="8" xfId="0" applyFont="1" applyFill="1" applyBorder="1" applyAlignment="1">
      <alignment horizontal="center" vertical="center" wrapText="1"/>
    </xf>
    <xf numFmtId="185" fontId="11" fillId="0" borderId="0" xfId="0" applyNumberFormat="1" applyFont="1"/>
    <xf numFmtId="185" fontId="44" fillId="0" borderId="0" xfId="0" applyNumberFormat="1" applyFont="1"/>
    <xf numFmtId="185" fontId="0" fillId="0" borderId="0" xfId="0" applyNumberFormat="1"/>
    <xf numFmtId="185" fontId="1" fillId="0" borderId="0" xfId="0" applyNumberFormat="1" applyFont="1"/>
    <xf numFmtId="185" fontId="0" fillId="0" borderId="6" xfId="0" applyNumberFormat="1" applyBorder="1" applyAlignment="1">
      <alignment horizontal="center" vertical="center" wrapText="1"/>
    </xf>
    <xf numFmtId="185" fontId="46" fillId="0" borderId="15" xfId="0" applyNumberFormat="1" applyFont="1" applyBorder="1" applyAlignment="1">
      <alignment horizontal="center" vertical="center" wrapText="1"/>
    </xf>
    <xf numFmtId="185" fontId="0" fillId="0" borderId="31" xfId="0" applyNumberFormat="1" applyBorder="1" applyAlignment="1">
      <alignment horizontal="right"/>
    </xf>
    <xf numFmtId="185" fontId="0" fillId="0" borderId="22" xfId="0" applyNumberFormat="1" applyBorder="1" applyAlignment="1">
      <alignment horizontal="right"/>
    </xf>
    <xf numFmtId="185" fontId="3" fillId="6" borderId="1" xfId="0" applyNumberFormat="1" applyFont="1" applyFill="1" applyBorder="1" applyAlignment="1">
      <alignment horizontal="right"/>
    </xf>
    <xf numFmtId="185" fontId="0" fillId="4" borderId="1" xfId="0" applyNumberFormat="1" applyFill="1" applyBorder="1" applyAlignment="1">
      <alignment horizontal="right"/>
    </xf>
    <xf numFmtId="185" fontId="0" fillId="0" borderId="16" xfId="0" applyNumberFormat="1" applyBorder="1" applyAlignment="1">
      <alignment horizontal="right"/>
    </xf>
    <xf numFmtId="185" fontId="0" fillId="0" borderId="19" xfId="0" applyNumberFormat="1" applyBorder="1" applyAlignment="1">
      <alignment horizontal="right"/>
    </xf>
    <xf numFmtId="185" fontId="0" fillId="4" borderId="16" xfId="0" applyNumberFormat="1" applyFill="1" applyBorder="1" applyAlignment="1">
      <alignment horizontal="right"/>
    </xf>
    <xf numFmtId="185" fontId="0" fillId="4" borderId="19" xfId="0" applyNumberFormat="1" applyFill="1" applyBorder="1" applyAlignment="1">
      <alignment horizontal="right"/>
    </xf>
    <xf numFmtId="185" fontId="0" fillId="4" borderId="22" xfId="0" applyNumberFormat="1" applyFill="1" applyBorder="1" applyAlignment="1">
      <alignment horizontal="right"/>
    </xf>
    <xf numFmtId="185" fontId="1" fillId="0" borderId="0" xfId="0" applyNumberFormat="1" applyFont="1" applyAlignment="1">
      <alignment vertical="top"/>
    </xf>
    <xf numFmtId="185" fontId="0" fillId="0" borderId="7" xfId="0" applyNumberFormat="1" applyBorder="1"/>
    <xf numFmtId="185" fontId="28" fillId="0" borderId="8" xfId="0" applyNumberFormat="1" applyFont="1" applyBorder="1" applyAlignment="1">
      <alignment vertical="center" wrapText="1"/>
    </xf>
    <xf numFmtId="185" fontId="28" fillId="0" borderId="13" xfId="0" applyNumberFormat="1" applyFont="1" applyBorder="1" applyAlignment="1">
      <alignment vertical="center" wrapText="1"/>
    </xf>
    <xf numFmtId="170" fontId="1" fillId="0" borderId="38" xfId="0" applyNumberFormat="1" applyFont="1" applyBorder="1" applyAlignment="1">
      <alignment horizontal="right"/>
    </xf>
    <xf numFmtId="170" fontId="1" fillId="4" borderId="3" xfId="0" applyNumberFormat="1" applyFont="1" applyFill="1" applyBorder="1" applyAlignment="1">
      <alignment vertical="center"/>
    </xf>
    <xf numFmtId="185" fontId="6" fillId="0" borderId="8" xfId="0" applyNumberFormat="1" applyFont="1" applyBorder="1" applyAlignment="1">
      <alignment vertical="center" wrapText="1"/>
    </xf>
    <xf numFmtId="185" fontId="6" fillId="0" borderId="13" xfId="0" applyNumberFormat="1" applyFont="1" applyBorder="1" applyAlignment="1">
      <alignment vertical="center" wrapText="1"/>
    </xf>
    <xf numFmtId="185" fontId="8" fillId="4" borderId="2" xfId="0" applyNumberFormat="1" applyFont="1" applyFill="1" applyBorder="1" applyAlignment="1">
      <alignment horizontal="center" vertical="center" wrapText="1"/>
    </xf>
    <xf numFmtId="185" fontId="8" fillId="0" borderId="38" xfId="0" applyNumberFormat="1" applyFont="1" applyBorder="1" applyAlignment="1">
      <alignment horizontal="right"/>
    </xf>
    <xf numFmtId="185" fontId="8" fillId="4" borderId="3" xfId="0" applyNumberFormat="1" applyFont="1" applyFill="1" applyBorder="1" applyAlignment="1">
      <alignment vertical="center"/>
    </xf>
    <xf numFmtId="185" fontId="8" fillId="0" borderId="27" xfId="0" applyNumberFormat="1" applyFont="1" applyBorder="1" applyAlignment="1">
      <alignment horizontal="right"/>
    </xf>
    <xf numFmtId="0" fontId="58" fillId="0" borderId="0" xfId="0" applyFont="1"/>
    <xf numFmtId="0" fontId="51" fillId="0" borderId="0" xfId="0" applyFont="1"/>
    <xf numFmtId="0" fontId="51" fillId="2" borderId="9" xfId="0" quotePrefix="1" applyFont="1" applyFill="1" applyBorder="1" applyAlignment="1">
      <alignment horizontal="left" vertical="center"/>
    </xf>
    <xf numFmtId="0" fontId="0" fillId="0" borderId="0" xfId="0" applyAlignment="1">
      <alignment horizontal="left"/>
    </xf>
    <xf numFmtId="170" fontId="1" fillId="0" borderId="15" xfId="0" applyNumberFormat="1" applyFont="1" applyBorder="1" applyAlignment="1">
      <alignment horizontal="right"/>
    </xf>
    <xf numFmtId="185" fontId="0" fillId="0" borderId="25" xfId="0" applyNumberFormat="1" applyBorder="1"/>
    <xf numFmtId="0" fontId="7" fillId="0" borderId="0" xfId="0" applyFont="1"/>
    <xf numFmtId="0" fontId="0" fillId="0" borderId="0" xfId="0" applyAlignment="1">
      <alignment horizontal="left" wrapText="1"/>
    </xf>
    <xf numFmtId="186" fontId="19" fillId="0" borderId="51" xfId="4" applyNumberFormat="1" applyFont="1" applyFill="1" applyBorder="1" applyAlignment="1" applyProtection="1">
      <alignment wrapText="1"/>
      <protection locked="0"/>
    </xf>
    <xf numFmtId="170" fontId="19" fillId="0" borderId="51" xfId="4" applyNumberFormat="1" applyFont="1" applyFill="1" applyBorder="1" applyAlignment="1" applyProtection="1">
      <alignment wrapText="1"/>
      <protection locked="0"/>
    </xf>
    <xf numFmtId="49" fontId="13" fillId="0" borderId="0" xfId="0" applyNumberFormat="1" applyFont="1"/>
    <xf numFmtId="0" fontId="60" fillId="0" borderId="0" xfId="0" quotePrefix="1" applyFont="1"/>
    <xf numFmtId="14" fontId="2" fillId="0" borderId="0" xfId="0" applyNumberFormat="1" applyFont="1"/>
    <xf numFmtId="0" fontId="18" fillId="0" borderId="50" xfId="3" applyFont="1" applyFill="1" applyBorder="1" applyAlignment="1" applyProtection="1">
      <alignment horizontal="center" vertical="center" wrapText="1"/>
    </xf>
    <xf numFmtId="0" fontId="37" fillId="0" borderId="66" xfId="0" applyFont="1" applyBorder="1" applyAlignment="1">
      <alignment vertical="top" wrapText="1"/>
    </xf>
    <xf numFmtId="164" fontId="3" fillId="5" borderId="2" xfId="0" applyNumberFormat="1" applyFont="1" applyFill="1" applyBorder="1" applyProtection="1">
      <protection locked="0"/>
    </xf>
    <xf numFmtId="0" fontId="0" fillId="0" borderId="0" xfId="0" applyAlignment="1">
      <alignment vertical="top"/>
    </xf>
    <xf numFmtId="0" fontId="0" fillId="0" borderId="0" xfId="0" applyAlignment="1">
      <alignment horizontal="left" vertical="top"/>
    </xf>
    <xf numFmtId="49" fontId="8" fillId="14" borderId="0" xfId="0" applyNumberFormat="1" applyFont="1" applyFill="1"/>
    <xf numFmtId="49" fontId="18" fillId="0" borderId="0" xfId="0" applyNumberFormat="1" applyFont="1" applyAlignment="1">
      <alignment horizontal="left"/>
    </xf>
    <xf numFmtId="49" fontId="18" fillId="0" borderId="0" xfId="9" applyNumberFormat="1" applyFont="1" applyFill="1" applyAlignment="1">
      <alignment horizontal="left"/>
    </xf>
    <xf numFmtId="49" fontId="18" fillId="0" borderId="0" xfId="6" applyNumberFormat="1" applyFont="1" applyFill="1" applyBorder="1" applyAlignment="1" applyProtection="1">
      <alignment horizontal="left"/>
      <protection hidden="1"/>
    </xf>
    <xf numFmtId="49" fontId="18" fillId="0" borderId="0" xfId="0" applyNumberFormat="1" applyFont="1" applyAlignment="1">
      <alignment vertical="center"/>
    </xf>
    <xf numFmtId="49" fontId="19" fillId="0" borderId="0" xfId="0" applyNumberFormat="1" applyFont="1" applyAlignment="1">
      <alignment vertical="center"/>
    </xf>
    <xf numFmtId="188" fontId="3" fillId="5" borderId="2" xfId="0" applyNumberFormat="1" applyFont="1" applyFill="1" applyBorder="1"/>
    <xf numFmtId="0" fontId="8" fillId="14" borderId="0" xfId="0" applyFont="1" applyFill="1"/>
    <xf numFmtId="0" fontId="0" fillId="0" borderId="0" xfId="0" applyAlignment="1">
      <alignment horizontal="left" vertical="top" wrapText="1"/>
    </xf>
    <xf numFmtId="0" fontId="4" fillId="19" borderId="37" xfId="13" applyBorder="1" applyAlignment="1">
      <alignment horizontal="left" vertical="top"/>
    </xf>
    <xf numFmtId="0" fontId="1" fillId="0" borderId="0" xfId="0" applyFont="1" applyAlignment="1">
      <alignment horizontal="left" vertical="top" wrapText="1"/>
    </xf>
    <xf numFmtId="186" fontId="19" fillId="0" borderId="51" xfId="4" applyNumberFormat="1" applyFont="1" applyFill="1" applyBorder="1" applyAlignment="1" applyProtection="1">
      <protection locked="0"/>
    </xf>
    <xf numFmtId="170" fontId="19" fillId="0" borderId="51" xfId="4" applyNumberFormat="1" applyFont="1" applyFill="1" applyBorder="1" applyAlignment="1" applyProtection="1">
      <protection locked="0"/>
    </xf>
    <xf numFmtId="165" fontId="0" fillId="9" borderId="35" xfId="4" applyNumberFormat="1" applyFont="1" applyAlignment="1"/>
    <xf numFmtId="170" fontId="19" fillId="0" borderId="0" xfId="4" applyNumberFormat="1" applyFont="1" applyFill="1" applyBorder="1" applyAlignment="1" applyProtection="1"/>
    <xf numFmtId="0" fontId="30" fillId="0" borderId="36" xfId="3" applyFont="1" applyFill="1" applyBorder="1" applyAlignment="1" applyProtection="1">
      <alignment horizontal="left"/>
    </xf>
    <xf numFmtId="0" fontId="48" fillId="0" borderId="36" xfId="3" applyFont="1" applyFill="1" applyBorder="1" applyAlignment="1" applyProtection="1">
      <alignment vertical="center"/>
    </xf>
    <xf numFmtId="0" fontId="24" fillId="0" borderId="36" xfId="3" applyFont="1" applyFill="1" applyBorder="1" applyAlignment="1" applyProtection="1">
      <alignment horizontal="left"/>
    </xf>
    <xf numFmtId="189" fontId="2" fillId="0" borderId="0" xfId="0" applyNumberFormat="1" applyFont="1"/>
    <xf numFmtId="0" fontId="0" fillId="0" borderId="70" xfId="0" applyBorder="1"/>
    <xf numFmtId="0" fontId="0" fillId="0" borderId="68" xfId="0" applyBorder="1"/>
    <xf numFmtId="0" fontId="30" fillId="0" borderId="36" xfId="3" applyFont="1" applyFill="1" applyBorder="1" applyAlignment="1"/>
    <xf numFmtId="0" fontId="30" fillId="0" borderId="36" xfId="3" applyFont="1" applyFill="1" applyBorder="1" applyAlignment="1" applyProtection="1"/>
    <xf numFmtId="0" fontId="9" fillId="0" borderId="36" xfId="3" applyFont="1" applyFill="1" applyBorder="1" applyAlignment="1" applyProtection="1">
      <alignment vertical="center"/>
    </xf>
    <xf numFmtId="0" fontId="45" fillId="0" borderId="36" xfId="3" applyFont="1" applyFill="1" applyBorder="1" applyAlignment="1">
      <alignment vertical="center"/>
    </xf>
    <xf numFmtId="170" fontId="45" fillId="0" borderId="36" xfId="3" applyNumberFormat="1" applyFont="1" applyFill="1" applyBorder="1" applyAlignment="1" applyProtection="1">
      <alignment vertical="center"/>
    </xf>
    <xf numFmtId="0" fontId="18" fillId="0" borderId="36" xfId="3" applyFont="1" applyFill="1" applyBorder="1" applyAlignment="1" applyProtection="1">
      <alignment vertical="center" wrapText="1"/>
    </xf>
    <xf numFmtId="0" fontId="18" fillId="0" borderId="36" xfId="3" applyFont="1" applyFill="1" applyBorder="1" applyAlignment="1" applyProtection="1">
      <alignment horizontal="center" vertical="center"/>
    </xf>
    <xf numFmtId="0" fontId="18" fillId="0" borderId="36" xfId="3" applyFont="1" applyFill="1" applyBorder="1" applyAlignment="1" applyProtection="1">
      <alignment horizontal="center" vertical="center" wrapText="1"/>
    </xf>
    <xf numFmtId="0" fontId="1" fillId="14" borderId="0" xfId="0" applyFont="1" applyFill="1"/>
    <xf numFmtId="177" fontId="11" fillId="16" borderId="37" xfId="8" applyNumberFormat="1" applyFill="1"/>
    <xf numFmtId="0" fontId="31" fillId="22" borderId="0" xfId="0" applyFont="1" applyFill="1"/>
    <xf numFmtId="0" fontId="61" fillId="0" borderId="0" xfId="0" applyFont="1"/>
    <xf numFmtId="14" fontId="0" fillId="0" borderId="0" xfId="0" applyNumberFormat="1" applyProtection="1">
      <protection locked="0"/>
    </xf>
    <xf numFmtId="0" fontId="0" fillId="3" borderId="0" xfId="0" applyFill="1"/>
    <xf numFmtId="10" fontId="0" fillId="0" borderId="0" xfId="0" applyNumberFormat="1" applyProtection="1">
      <protection locked="0"/>
    </xf>
    <xf numFmtId="0" fontId="0" fillId="3" borderId="0" xfId="0" applyFill="1" applyProtection="1">
      <protection locked="0"/>
    </xf>
    <xf numFmtId="0" fontId="0" fillId="0" borderId="0" xfId="0" applyAlignment="1">
      <alignment vertical="top" wrapText="1"/>
    </xf>
    <xf numFmtId="0" fontId="18" fillId="0" borderId="72" xfId="3" applyFont="1" applyFill="1" applyBorder="1" applyAlignment="1" applyProtection="1">
      <alignment horizontal="center" vertical="center" wrapText="1"/>
    </xf>
    <xf numFmtId="186" fontId="19" fillId="0" borderId="56" xfId="4" applyNumberFormat="1" applyFont="1" applyFill="1" applyBorder="1" applyAlignment="1" applyProtection="1">
      <alignment wrapText="1"/>
      <protection locked="0"/>
    </xf>
    <xf numFmtId="186" fontId="19" fillId="0" borderId="56" xfId="4" applyNumberFormat="1" applyFont="1" applyFill="1" applyBorder="1" applyAlignment="1" applyProtection="1">
      <protection locked="0"/>
    </xf>
    <xf numFmtId="0" fontId="18" fillId="41" borderId="49" xfId="3" applyFont="1" applyFill="1" applyBorder="1" applyAlignment="1" applyProtection="1">
      <alignment horizontal="center" vertical="center" wrapText="1"/>
    </xf>
    <xf numFmtId="186" fontId="19" fillId="41" borderId="51" xfId="4" applyNumberFormat="1" applyFont="1" applyFill="1" applyBorder="1" applyAlignment="1" applyProtection="1">
      <alignment wrapText="1"/>
      <protection locked="0"/>
    </xf>
    <xf numFmtId="188" fontId="32" fillId="41" borderId="2" xfId="0" applyNumberFormat="1" applyFont="1" applyFill="1" applyBorder="1" applyProtection="1">
      <protection locked="0"/>
    </xf>
    <xf numFmtId="0" fontId="21" fillId="0" borderId="0" xfId="0" applyFont="1" applyAlignment="1">
      <alignment wrapText="1"/>
    </xf>
    <xf numFmtId="184" fontId="0" fillId="24" borderId="27" xfId="0" applyNumberFormat="1" applyFill="1" applyBorder="1" applyAlignment="1">
      <alignment horizontal="right"/>
    </xf>
    <xf numFmtId="176" fontId="0" fillId="4" borderId="17" xfId="0" applyNumberFormat="1" applyFill="1" applyBorder="1"/>
    <xf numFmtId="176" fontId="0" fillId="4" borderId="23" xfId="0" applyNumberFormat="1" applyFill="1" applyBorder="1"/>
    <xf numFmtId="176" fontId="0" fillId="0" borderId="23" xfId="0" applyNumberFormat="1" applyBorder="1"/>
    <xf numFmtId="0" fontId="32" fillId="0" borderId="0" xfId="0" applyFont="1"/>
    <xf numFmtId="184" fontId="0" fillId="24" borderId="38" xfId="0" applyNumberFormat="1" applyFill="1" applyBorder="1" applyAlignment="1">
      <alignment horizontal="right"/>
    </xf>
    <xf numFmtId="0" fontId="2" fillId="0" borderId="9" xfId="0" applyFont="1" applyBorder="1"/>
    <xf numFmtId="0" fontId="8" fillId="0" borderId="10" xfId="0" applyFont="1" applyBorder="1"/>
    <xf numFmtId="0" fontId="2" fillId="0" borderId="11" xfId="0" applyFont="1" applyBorder="1"/>
    <xf numFmtId="0" fontId="2" fillId="0" borderId="12" xfId="0" applyFont="1" applyBorder="1"/>
    <xf numFmtId="0" fontId="8" fillId="0" borderId="13" xfId="0" applyFont="1" applyBorder="1"/>
    <xf numFmtId="0" fontId="8" fillId="42" borderId="0" xfId="0" applyFont="1" applyFill="1"/>
    <xf numFmtId="170" fontId="45" fillId="0" borderId="0" xfId="4" applyNumberFormat="1" applyFont="1" applyFill="1" applyBorder="1" applyAlignment="1" applyProtection="1"/>
    <xf numFmtId="49" fontId="18" fillId="0" borderId="0" xfId="0" applyNumberFormat="1" applyFont="1"/>
    <xf numFmtId="0" fontId="64" fillId="0" borderId="36" xfId="3" applyFont="1" applyFill="1" applyBorder="1" applyAlignment="1" applyProtection="1">
      <alignment vertical="center"/>
    </xf>
    <xf numFmtId="172" fontId="0" fillId="0" borderId="9" xfId="0" applyNumberFormat="1" applyBorder="1" applyAlignment="1">
      <alignment horizontal="right" vertical="center"/>
    </xf>
    <xf numFmtId="172" fontId="0" fillId="0" borderId="0" xfId="0" applyNumberFormat="1" applyAlignment="1">
      <alignment horizontal="right" vertical="center"/>
    </xf>
    <xf numFmtId="172" fontId="8" fillId="0" borderId="0" xfId="0" applyNumberFormat="1" applyFont="1" applyAlignment="1">
      <alignment horizontal="right" vertical="center"/>
    </xf>
    <xf numFmtId="172" fontId="8" fillId="0" borderId="10" xfId="0" applyNumberFormat="1" applyFont="1" applyBorder="1" applyAlignment="1">
      <alignment horizontal="right" vertical="center"/>
    </xf>
    <xf numFmtId="49" fontId="32" fillId="20" borderId="77" xfId="0" applyNumberFormat="1" applyFont="1" applyFill="1" applyBorder="1" applyAlignment="1">
      <alignment wrapText="1"/>
    </xf>
    <xf numFmtId="170" fontId="1" fillId="43" borderId="0" xfId="0" applyNumberFormat="1" applyFont="1" applyFill="1"/>
    <xf numFmtId="0" fontId="0" fillId="43" borderId="0" xfId="0" applyFill="1"/>
    <xf numFmtId="185" fontId="0" fillId="4" borderId="0" xfId="0" applyNumberFormat="1" applyFill="1" applyAlignment="1">
      <alignment horizontal="center" vertical="center" wrapText="1"/>
    </xf>
    <xf numFmtId="185" fontId="1" fillId="4" borderId="6" xfId="0" applyNumberFormat="1" applyFont="1" applyFill="1" applyBorder="1" applyAlignment="1">
      <alignment vertical="center" wrapText="1"/>
    </xf>
    <xf numFmtId="0" fontId="35" fillId="2" borderId="25" xfId="0" applyFont="1" applyFill="1" applyBorder="1" applyAlignment="1">
      <alignment horizontal="left" vertical="center"/>
    </xf>
    <xf numFmtId="190" fontId="0" fillId="0" borderId="0" xfId="0" applyNumberFormat="1"/>
    <xf numFmtId="176" fontId="18" fillId="2" borderId="51" xfId="4" applyNumberFormat="1" applyFont="1" applyFill="1" applyBorder="1" applyAlignment="1" applyProtection="1">
      <alignment horizontal="right" wrapText="1"/>
    </xf>
    <xf numFmtId="0" fontId="18" fillId="44" borderId="53" xfId="3" applyFont="1" applyFill="1" applyBorder="1" applyAlignment="1" applyProtection="1">
      <alignment horizontal="center" vertical="center" wrapText="1"/>
    </xf>
    <xf numFmtId="0" fontId="18" fillId="44" borderId="70" xfId="3" applyFont="1" applyFill="1" applyBorder="1" applyAlignment="1" applyProtection="1">
      <alignment horizontal="center" vertical="center"/>
    </xf>
    <xf numFmtId="0" fontId="18" fillId="0" borderId="70" xfId="3" applyFont="1" applyFill="1" applyBorder="1" applyAlignment="1" applyProtection="1">
      <alignment horizontal="center" vertical="center" wrapText="1"/>
    </xf>
    <xf numFmtId="0" fontId="0" fillId="0" borderId="71" xfId="0" applyBorder="1"/>
    <xf numFmtId="0" fontId="0" fillId="0" borderId="66" xfId="0" applyBorder="1"/>
    <xf numFmtId="0" fontId="0" fillId="0" borderId="63" xfId="0" applyBorder="1"/>
    <xf numFmtId="0" fontId="0" fillId="0" borderId="76" xfId="0" applyBorder="1"/>
    <xf numFmtId="0" fontId="63" fillId="0" borderId="0" xfId="0" applyFont="1"/>
    <xf numFmtId="10" fontId="0" fillId="0" borderId="0" xfId="0" applyNumberFormat="1"/>
    <xf numFmtId="0" fontId="0" fillId="0" borderId="74" xfId="0" applyBorder="1"/>
    <xf numFmtId="0" fontId="0" fillId="0" borderId="69" xfId="0" applyBorder="1"/>
    <xf numFmtId="0" fontId="66" fillId="0" borderId="0" xfId="0" applyFont="1" applyAlignment="1">
      <alignment vertical="top"/>
    </xf>
    <xf numFmtId="0" fontId="66" fillId="0" borderId="75" xfId="0" applyFont="1" applyBorder="1" applyAlignment="1">
      <alignment vertical="top"/>
    </xf>
    <xf numFmtId="0" fontId="18" fillId="0" borderId="79" xfId="3" applyFont="1" applyFill="1" applyBorder="1" applyAlignment="1" applyProtection="1">
      <alignment horizontal="center" vertical="center" wrapText="1"/>
    </xf>
    <xf numFmtId="0" fontId="18" fillId="0" borderId="84" xfId="3" applyFont="1" applyFill="1" applyBorder="1" applyAlignment="1" applyProtection="1">
      <alignment horizontal="center" vertical="center" wrapText="1"/>
    </xf>
    <xf numFmtId="170" fontId="18" fillId="2" borderId="82" xfId="44" applyNumberFormat="1" applyFont="1" applyFill="1" applyBorder="1" applyAlignment="1" applyProtection="1">
      <alignment wrapText="1"/>
    </xf>
    <xf numFmtId="176" fontId="18" fillId="2" borderId="51" xfId="44" applyNumberFormat="1" applyFont="1" applyFill="1" applyBorder="1" applyAlignment="1" applyProtection="1">
      <alignment horizontal="right" wrapText="1"/>
    </xf>
    <xf numFmtId="0" fontId="0" fillId="0" borderId="64" xfId="0" applyBorder="1"/>
    <xf numFmtId="176" fontId="18" fillId="2" borderId="53" xfId="4" applyNumberFormat="1" applyFont="1" applyFill="1" applyBorder="1" applyAlignment="1" applyProtection="1">
      <alignment horizontal="right" wrapText="1"/>
    </xf>
    <xf numFmtId="0" fontId="18" fillId="0" borderId="53" xfId="3" applyFont="1" applyFill="1" applyBorder="1" applyAlignment="1" applyProtection="1">
      <alignment horizontal="left"/>
    </xf>
    <xf numFmtId="0" fontId="18" fillId="0" borderId="56" xfId="3" applyFont="1" applyFill="1" applyBorder="1" applyAlignment="1" applyProtection="1">
      <alignment horizontal="left"/>
    </xf>
    <xf numFmtId="0" fontId="18" fillId="0" borderId="72" xfId="3" applyFont="1" applyFill="1" applyBorder="1" applyAlignment="1" applyProtection="1">
      <alignment horizontal="left"/>
    </xf>
    <xf numFmtId="0" fontId="31" fillId="4" borderId="0" xfId="0" applyFont="1" applyFill="1"/>
    <xf numFmtId="0" fontId="31" fillId="0" borderId="0" xfId="0" applyFont="1" applyAlignment="1">
      <alignment vertical="top"/>
    </xf>
    <xf numFmtId="0" fontId="21" fillId="22" borderId="0" xfId="0" applyFont="1" applyFill="1"/>
    <xf numFmtId="168" fontId="3" fillId="6" borderId="1" xfId="0" applyNumberFormat="1" applyFont="1" applyFill="1" applyBorder="1" applyAlignment="1">
      <alignment horizontal="center" vertical="center"/>
    </xf>
    <xf numFmtId="0" fontId="17" fillId="22" borderId="0" xfId="0" applyFont="1" applyFill="1"/>
    <xf numFmtId="0" fontId="8" fillId="15" borderId="0" xfId="0" applyFont="1" applyFill="1"/>
    <xf numFmtId="0" fontId="21" fillId="4" borderId="0" xfId="0" applyFont="1" applyFill="1"/>
    <xf numFmtId="0" fontId="21" fillId="0" borderId="0" xfId="0" applyFont="1"/>
    <xf numFmtId="0" fontId="0" fillId="9" borderId="35" xfId="4" applyNumberFormat="1" applyFont="1"/>
    <xf numFmtId="177" fontId="35" fillId="14" borderId="0" xfId="15" applyNumberFormat="1" applyFont="1" applyFill="1"/>
    <xf numFmtId="49" fontId="8" fillId="41" borderId="0" xfId="0" applyNumberFormat="1" applyFont="1" applyFill="1"/>
    <xf numFmtId="49" fontId="0" fillId="41" borderId="0" xfId="0" applyNumberFormat="1" applyFill="1"/>
    <xf numFmtId="0" fontId="80" fillId="41" borderId="0" xfId="0" applyFont="1" applyFill="1" applyAlignment="1" applyProtection="1">
      <alignment horizontal="left" vertical="top"/>
      <protection locked="0"/>
    </xf>
    <xf numFmtId="49" fontId="8" fillId="41" borderId="35" xfId="4" applyNumberFormat="1" applyFont="1" applyFill="1" applyProtection="1"/>
    <xf numFmtId="14" fontId="1" fillId="15" borderId="0" xfId="0" applyNumberFormat="1" applyFont="1" applyFill="1"/>
    <xf numFmtId="190" fontId="1" fillId="15" borderId="0" xfId="0" applyNumberFormat="1" applyFont="1" applyFill="1"/>
    <xf numFmtId="0" fontId="11" fillId="41" borderId="37" xfId="8" applyFill="1"/>
    <xf numFmtId="175" fontId="0" fillId="0" borderId="0" xfId="0" applyNumberFormat="1"/>
    <xf numFmtId="0" fontId="0" fillId="57" borderId="0" xfId="0" applyFill="1"/>
    <xf numFmtId="175" fontId="8" fillId="0" borderId="0" xfId="0" applyNumberFormat="1" applyFont="1"/>
    <xf numFmtId="0" fontId="30" fillId="0" borderId="93" xfId="3" applyFont="1" applyFill="1" applyBorder="1" applyAlignment="1" applyProtection="1">
      <alignment vertical="center" wrapText="1"/>
    </xf>
    <xf numFmtId="0" fontId="30" fillId="0" borderId="94" xfId="3" applyFont="1" applyFill="1" applyBorder="1" applyAlignment="1" applyProtection="1">
      <alignment horizontal="center" vertical="center" wrapText="1"/>
    </xf>
    <xf numFmtId="0" fontId="30" fillId="0" borderId="96" xfId="3" applyFont="1" applyFill="1" applyBorder="1" applyAlignment="1" applyProtection="1">
      <alignment horizontal="center" vertical="center" wrapText="1"/>
    </xf>
    <xf numFmtId="0" fontId="30" fillId="0" borderId="8" xfId="3" applyFont="1" applyFill="1" applyBorder="1" applyAlignment="1" applyProtection="1">
      <alignment horizontal="center" vertical="center" wrapText="1"/>
    </xf>
    <xf numFmtId="0" fontId="30" fillId="0" borderId="98" xfId="3" applyFont="1" applyFill="1" applyBorder="1" applyAlignment="1" applyProtection="1">
      <alignment vertical="center" wrapText="1"/>
    </xf>
    <xf numFmtId="170" fontId="24" fillId="4" borderId="0" xfId="3" applyNumberFormat="1" applyFont="1" applyFill="1" applyBorder="1" applyAlignment="1" applyProtection="1">
      <alignment horizontal="center" wrapText="1"/>
    </xf>
    <xf numFmtId="170" fontId="24" fillId="4" borderId="74" xfId="3" applyNumberFormat="1" applyFont="1" applyFill="1" applyBorder="1" applyAlignment="1" applyProtection="1">
      <alignment horizontal="center" wrapText="1"/>
    </xf>
    <xf numFmtId="170" fontId="24" fillId="4" borderId="100" xfId="3" applyNumberFormat="1" applyFont="1" applyFill="1" applyBorder="1" applyAlignment="1" applyProtection="1">
      <alignment horizontal="center" wrapText="1"/>
    </xf>
    <xf numFmtId="0" fontId="0" fillId="2" borderId="9" xfId="0" applyFill="1" applyBorder="1" applyAlignment="1">
      <alignment vertical="center" wrapText="1"/>
    </xf>
    <xf numFmtId="0" fontId="0" fillId="2" borderId="10" xfId="0" applyFill="1" applyBorder="1" applyAlignment="1">
      <alignment vertical="center" wrapText="1"/>
    </xf>
    <xf numFmtId="170" fontId="24" fillId="4" borderId="68" xfId="3" applyNumberFormat="1" applyFont="1" applyFill="1" applyBorder="1" applyAlignment="1" applyProtection="1">
      <alignment horizontal="center" wrapText="1"/>
    </xf>
    <xf numFmtId="0" fontId="11" fillId="19" borderId="37" xfId="13" applyFont="1" applyBorder="1"/>
    <xf numFmtId="0" fontId="24" fillId="4" borderId="73" xfId="3" applyFont="1" applyFill="1" applyBorder="1" applyAlignment="1" applyProtection="1"/>
    <xf numFmtId="0" fontId="24" fillId="4" borderId="74" xfId="3" applyFont="1" applyFill="1" applyBorder="1" applyAlignment="1" applyProtection="1"/>
    <xf numFmtId="170" fontId="24" fillId="4" borderId="68" xfId="3" applyNumberFormat="1" applyFont="1" applyFill="1" applyBorder="1" applyAlignment="1" applyProtection="1"/>
    <xf numFmtId="170" fontId="24" fillId="4" borderId="73" xfId="3" applyNumberFormat="1" applyFont="1" applyFill="1" applyBorder="1" applyAlignment="1" applyProtection="1"/>
    <xf numFmtId="170" fontId="24" fillId="4" borderId="103" xfId="3" applyNumberFormat="1" applyFont="1" applyFill="1" applyBorder="1" applyAlignment="1" applyProtection="1"/>
    <xf numFmtId="170" fontId="24" fillId="4" borderId="74" xfId="3" applyNumberFormat="1" applyFont="1" applyFill="1" applyBorder="1" applyAlignment="1" applyProtection="1"/>
    <xf numFmtId="49" fontId="30" fillId="9" borderId="35" xfId="4" applyNumberFormat="1" applyFont="1" applyProtection="1"/>
    <xf numFmtId="0" fontId="32" fillId="0" borderId="77" xfId="0" applyFont="1" applyBorder="1" applyAlignment="1">
      <alignment vertical="center"/>
    </xf>
    <xf numFmtId="49" fontId="32" fillId="0" borderId="77" xfId="0" applyNumberFormat="1" applyFont="1" applyBorder="1" applyAlignment="1">
      <alignment vertical="center"/>
    </xf>
    <xf numFmtId="49" fontId="18" fillId="0" borderId="78" xfId="0" applyNumberFormat="1" applyFont="1" applyBorder="1" applyAlignment="1">
      <alignment vertical="center"/>
    </xf>
    <xf numFmtId="170" fontId="45" fillId="0" borderId="105" xfId="4" applyNumberFormat="1" applyFont="1" applyFill="1" applyBorder="1" applyAlignment="1" applyProtection="1"/>
    <xf numFmtId="175" fontId="45" fillId="0" borderId="106" xfId="4" applyNumberFormat="1" applyFont="1" applyFill="1" applyBorder="1" applyAlignment="1" applyProtection="1"/>
    <xf numFmtId="0" fontId="0" fillId="2" borderId="107" xfId="0" applyFill="1" applyBorder="1"/>
    <xf numFmtId="0" fontId="0" fillId="2" borderId="108" xfId="0" applyFill="1" applyBorder="1"/>
    <xf numFmtId="170" fontId="45" fillId="0" borderId="109" xfId="4" applyNumberFormat="1" applyFont="1" applyFill="1" applyBorder="1" applyAlignment="1" applyProtection="1"/>
    <xf numFmtId="170" fontId="45" fillId="0" borderId="106" xfId="4" applyNumberFormat="1" applyFont="1" applyFill="1" applyBorder="1" applyAlignment="1" applyProtection="1"/>
    <xf numFmtId="49" fontId="81" fillId="18" borderId="35" xfId="11" applyNumberFormat="1" applyFont="1" applyBorder="1" applyProtection="1"/>
    <xf numFmtId="0" fontId="8" fillId="58" borderId="77" xfId="0" applyFont="1" applyFill="1" applyBorder="1" applyAlignment="1">
      <alignment vertical="center"/>
    </xf>
    <xf numFmtId="49" fontId="18" fillId="58" borderId="77" xfId="0" applyNumberFormat="1" applyFont="1" applyFill="1" applyBorder="1" applyAlignment="1">
      <alignment vertical="center"/>
    </xf>
    <xf numFmtId="49" fontId="82" fillId="17" borderId="35" xfId="10" applyNumberFormat="1" applyFont="1" applyBorder="1" applyProtection="1"/>
    <xf numFmtId="0" fontId="8" fillId="0" borderId="77" xfId="0" applyFont="1" applyBorder="1" applyAlignment="1">
      <alignment vertical="center"/>
    </xf>
    <xf numFmtId="49" fontId="18" fillId="0" borderId="77" xfId="0" applyNumberFormat="1" applyFont="1" applyBorder="1" applyAlignment="1">
      <alignment vertical="center"/>
    </xf>
    <xf numFmtId="49" fontId="15" fillId="18" borderId="35" xfId="11" applyNumberFormat="1" applyBorder="1" applyProtection="1"/>
    <xf numFmtId="0" fontId="8" fillId="57" borderId="77" xfId="0" applyFont="1" applyFill="1" applyBorder="1" applyAlignment="1">
      <alignment vertical="center"/>
    </xf>
    <xf numFmtId="49" fontId="18" fillId="57" borderId="77" xfId="0" applyNumberFormat="1" applyFont="1" applyFill="1" applyBorder="1" applyAlignment="1">
      <alignment vertical="center"/>
    </xf>
    <xf numFmtId="49" fontId="81" fillId="18" borderId="0" xfId="11" applyNumberFormat="1" applyFont="1" applyBorder="1" applyProtection="1"/>
    <xf numFmtId="0" fontId="6" fillId="0" borderId="9" xfId="3" applyFill="1" applyBorder="1" applyAlignment="1" applyProtection="1">
      <alignment vertical="center"/>
    </xf>
    <xf numFmtId="0" fontId="83" fillId="0" borderId="0" xfId="3" applyFont="1" applyFill="1" applyBorder="1" applyAlignment="1" applyProtection="1">
      <alignment vertical="center"/>
    </xf>
    <xf numFmtId="175" fontId="45" fillId="0" borderId="0" xfId="4" applyNumberFormat="1" applyFont="1" applyFill="1" applyBorder="1" applyAlignment="1" applyProtection="1"/>
    <xf numFmtId="0" fontId="0" fillId="2" borderId="111" xfId="0" applyFill="1" applyBorder="1"/>
    <xf numFmtId="0" fontId="0" fillId="2" borderId="112" xfId="0" applyFill="1" applyBorder="1"/>
    <xf numFmtId="170" fontId="45" fillId="0" borderId="9" xfId="4" applyNumberFormat="1" applyFont="1" applyFill="1" applyBorder="1" applyAlignment="1" applyProtection="1"/>
    <xf numFmtId="0" fontId="84" fillId="2" borderId="0" xfId="0" applyFont="1" applyFill="1" applyAlignment="1">
      <alignment horizontal="left" vertical="center" indent="10"/>
    </xf>
    <xf numFmtId="49" fontId="30" fillId="0" borderId="0" xfId="0" applyNumberFormat="1" applyFont="1"/>
    <xf numFmtId="0" fontId="32" fillId="58" borderId="77" xfId="0" applyFont="1" applyFill="1" applyBorder="1" applyAlignment="1">
      <alignment vertical="center"/>
    </xf>
    <xf numFmtId="49" fontId="32" fillId="58" borderId="77" xfId="0" applyNumberFormat="1" applyFont="1" applyFill="1" applyBorder="1" applyAlignment="1">
      <alignment vertical="center"/>
    </xf>
    <xf numFmtId="0" fontId="0" fillId="2" borderId="113" xfId="0" applyFill="1" applyBorder="1"/>
    <xf numFmtId="0" fontId="0" fillId="2" borderId="114" xfId="0" applyFill="1" applyBorder="1"/>
    <xf numFmtId="0" fontId="8" fillId="20" borderId="77" xfId="0" applyFont="1" applyFill="1" applyBorder="1" applyAlignment="1">
      <alignment vertical="center"/>
    </xf>
    <xf numFmtId="49" fontId="32" fillId="20" borderId="77" xfId="0" applyNumberFormat="1" applyFont="1" applyFill="1" applyBorder="1" applyAlignment="1">
      <alignment vertical="center"/>
    </xf>
    <xf numFmtId="0" fontId="24" fillId="4" borderId="118" xfId="3" applyFont="1" applyFill="1" applyBorder="1" applyAlignment="1" applyProtection="1"/>
    <xf numFmtId="0" fontId="24" fillId="4" borderId="68" xfId="3" applyFont="1" applyFill="1" applyBorder="1" applyAlignment="1" applyProtection="1"/>
    <xf numFmtId="0" fontId="30" fillId="0" borderId="0" xfId="3" applyFont="1" applyFill="1" applyBorder="1" applyAlignment="1" applyProtection="1"/>
    <xf numFmtId="170" fontId="2" fillId="2" borderId="0" xfId="0" applyNumberFormat="1" applyFont="1" applyFill="1"/>
    <xf numFmtId="175" fontId="0" fillId="2" borderId="0" xfId="0" applyNumberFormat="1" applyFill="1"/>
    <xf numFmtId="175" fontId="0" fillId="0" borderId="12" xfId="0" applyNumberFormat="1" applyBorder="1"/>
    <xf numFmtId="0" fontId="0" fillId="0" borderId="65" xfId="0" applyBorder="1"/>
    <xf numFmtId="0" fontId="0" fillId="0" borderId="75" xfId="0" applyBorder="1"/>
    <xf numFmtId="175" fontId="0" fillId="0" borderId="63" xfId="0" applyNumberFormat="1" applyBorder="1"/>
    <xf numFmtId="175" fontId="0" fillId="0" borderId="74" xfId="0" applyNumberFormat="1" applyBorder="1"/>
    <xf numFmtId="0" fontId="6" fillId="0" borderId="8" xfId="3" applyFill="1" applyBorder="1" applyAlignment="1" applyProtection="1">
      <alignment horizontal="center" vertical="center" wrapText="1"/>
    </xf>
    <xf numFmtId="168" fontId="1" fillId="21" borderId="6" xfId="0" applyNumberFormat="1" applyFont="1" applyFill="1" applyBorder="1" applyAlignment="1">
      <alignment vertical="center"/>
    </xf>
    <xf numFmtId="172" fontId="0" fillId="21" borderId="11" xfId="0" applyNumberFormat="1" applyFill="1" applyBorder="1" applyAlignment="1">
      <alignment vertical="center"/>
    </xf>
    <xf numFmtId="0" fontId="0" fillId="21" borderId="1" xfId="0" applyFill="1" applyBorder="1" applyAlignment="1">
      <alignment horizontal="left" vertical="center" wrapText="1"/>
    </xf>
    <xf numFmtId="168" fontId="0" fillId="21" borderId="1" xfId="0" applyNumberFormat="1" applyFill="1" applyBorder="1"/>
    <xf numFmtId="176" fontId="4" fillId="21" borderId="3" xfId="1" applyNumberFormat="1" applyFont="1" applyFill="1" applyBorder="1"/>
    <xf numFmtId="168" fontId="0" fillId="21" borderId="2" xfId="0" applyNumberFormat="1" applyFill="1" applyBorder="1"/>
    <xf numFmtId="168" fontId="0" fillId="21" borderId="3" xfId="0" applyNumberFormat="1" applyFill="1" applyBorder="1"/>
    <xf numFmtId="0" fontId="0" fillId="21" borderId="16" xfId="0" applyFill="1" applyBorder="1" applyAlignment="1">
      <alignment horizontal="left" vertical="center" wrapText="1"/>
    </xf>
    <xf numFmtId="168" fontId="0" fillId="21" borderId="16" xfId="0" applyNumberFormat="1" applyFill="1" applyBorder="1"/>
    <xf numFmtId="176" fontId="0" fillId="21" borderId="17" xfId="0" applyNumberFormat="1" applyFill="1" applyBorder="1"/>
    <xf numFmtId="168" fontId="32" fillId="59" borderId="1" xfId="0" applyNumberFormat="1" applyFont="1" applyFill="1" applyBorder="1"/>
    <xf numFmtId="169" fontId="0" fillId="21" borderId="16" xfId="0" applyNumberFormat="1" applyFill="1" applyBorder="1" applyAlignment="1">
      <alignment horizontal="right" vertical="center"/>
    </xf>
    <xf numFmtId="172" fontId="0" fillId="21" borderId="17" xfId="0" applyNumberFormat="1" applyFill="1" applyBorder="1" applyAlignment="1">
      <alignment horizontal="right" vertical="center"/>
    </xf>
    <xf numFmtId="169" fontId="0" fillId="21" borderId="11" xfId="0" applyNumberFormat="1" applyFill="1" applyBorder="1" applyAlignment="1">
      <alignment horizontal="right" vertical="center"/>
    </xf>
    <xf numFmtId="172" fontId="0" fillId="21" borderId="13" xfId="0" applyNumberFormat="1" applyFill="1" applyBorder="1" applyAlignment="1">
      <alignment horizontal="right" vertical="center"/>
    </xf>
    <xf numFmtId="172" fontId="0" fillId="21" borderId="16" xfId="0" applyNumberFormat="1" applyFill="1" applyBorder="1" applyAlignment="1">
      <alignment horizontal="right" vertical="center"/>
    </xf>
    <xf numFmtId="172" fontId="0" fillId="21" borderId="18" xfId="0" applyNumberFormat="1" applyFill="1" applyBorder="1" applyAlignment="1">
      <alignment horizontal="right" vertical="center"/>
    </xf>
    <xf numFmtId="172" fontId="8" fillId="21" borderId="18" xfId="0" applyNumberFormat="1" applyFont="1" applyFill="1" applyBorder="1" applyAlignment="1">
      <alignment horizontal="right" vertical="center"/>
    </xf>
    <xf numFmtId="172" fontId="8" fillId="21" borderId="17" xfId="0" applyNumberFormat="1" applyFont="1" applyFill="1" applyBorder="1" applyAlignment="1">
      <alignment horizontal="right" vertical="center"/>
    </xf>
    <xf numFmtId="170" fontId="0" fillId="21" borderId="18" xfId="0" applyNumberFormat="1" applyFill="1" applyBorder="1" applyAlignment="1">
      <alignment horizontal="right"/>
    </xf>
    <xf numFmtId="0" fontId="0" fillId="0" borderId="4" xfId="0" applyBorder="1" applyAlignment="1">
      <alignment horizontal="center" vertical="center" wrapText="1"/>
    </xf>
    <xf numFmtId="0" fontId="31" fillId="21" borderId="0" xfId="0" applyFont="1" applyFill="1"/>
    <xf numFmtId="0" fontId="0" fillId="20" borderId="0" xfId="0" applyFill="1" applyAlignment="1">
      <alignment horizontal="right"/>
    </xf>
    <xf numFmtId="0" fontId="0" fillId="0" borderId="0" xfId="0" applyAlignment="1">
      <alignment vertical="center"/>
    </xf>
    <xf numFmtId="0" fontId="8" fillId="0" borderId="7" xfId="0" applyFont="1" applyBorder="1"/>
    <xf numFmtId="0" fontId="8" fillId="0" borderId="8" xfId="0" applyFont="1" applyBorder="1"/>
    <xf numFmtId="0" fontId="8" fillId="0" borderId="12" xfId="0" applyFont="1" applyBorder="1"/>
    <xf numFmtId="0" fontId="8" fillId="0" borderId="6" xfId="0" applyFont="1" applyBorder="1"/>
    <xf numFmtId="0" fontId="8" fillId="0" borderId="9" xfId="0" applyFont="1" applyBorder="1"/>
    <xf numFmtId="0" fontId="8" fillId="0" borderId="11" xfId="0" applyFont="1" applyBorder="1"/>
    <xf numFmtId="0" fontId="0" fillId="60" borderId="0" xfId="0" applyFill="1"/>
    <xf numFmtId="49" fontId="31" fillId="9" borderId="35" xfId="4" applyNumberFormat="1" applyFont="1"/>
    <xf numFmtId="49" fontId="21" fillId="16" borderId="0" xfId="0" applyNumberFormat="1" applyFont="1" applyFill="1"/>
    <xf numFmtId="0" fontId="0" fillId="4" borderId="8" xfId="0" applyFill="1" applyBorder="1" applyAlignment="1">
      <alignment horizontal="center" vertical="center"/>
    </xf>
    <xf numFmtId="0" fontId="0" fillId="4" borderId="6" xfId="0" applyFill="1" applyBorder="1" applyAlignment="1">
      <alignment horizontal="center"/>
    </xf>
    <xf numFmtId="0" fontId="0" fillId="21" borderId="5" xfId="0" applyFill="1" applyBorder="1" applyAlignment="1">
      <alignment horizontal="center" vertical="center"/>
    </xf>
    <xf numFmtId="0" fontId="0" fillId="21" borderId="5" xfId="0" applyFill="1" applyBorder="1" applyAlignment="1">
      <alignment horizontal="center"/>
    </xf>
    <xf numFmtId="0" fontId="31" fillId="25" borderId="0" xfId="0" applyFont="1" applyFill="1"/>
    <xf numFmtId="0" fontId="31" fillId="16" borderId="0" xfId="0" applyFont="1" applyFill="1"/>
    <xf numFmtId="0" fontId="48" fillId="0" borderId="57" xfId="3" applyFont="1" applyFill="1" applyBorder="1" applyAlignment="1" applyProtection="1">
      <alignment vertical="center"/>
    </xf>
    <xf numFmtId="0" fontId="48" fillId="0" borderId="119" xfId="3" applyFont="1" applyFill="1" applyBorder="1" applyAlignment="1" applyProtection="1">
      <alignment vertical="center"/>
    </xf>
    <xf numFmtId="170" fontId="45" fillId="0" borderId="119" xfId="4" applyNumberFormat="1" applyFont="1" applyFill="1" applyBorder="1" applyAlignment="1" applyProtection="1"/>
    <xf numFmtId="177" fontId="65" fillId="2" borderId="0" xfId="14" applyNumberFormat="1" applyFont="1" applyFill="1" applyBorder="1" applyAlignment="1" applyProtection="1">
      <alignment horizontal="left"/>
    </xf>
    <xf numFmtId="0" fontId="8" fillId="61" borderId="26" xfId="0" applyFont="1" applyFill="1" applyBorder="1" applyAlignment="1">
      <alignment horizontal="left" vertical="center" wrapText="1"/>
    </xf>
    <xf numFmtId="170" fontId="0" fillId="61" borderId="18" xfId="0" applyNumberFormat="1" applyFill="1" applyBorder="1" applyAlignment="1">
      <alignment horizontal="right"/>
    </xf>
    <xf numFmtId="172" fontId="0" fillId="61" borderId="17" xfId="0" applyNumberFormat="1" applyFill="1" applyBorder="1" applyAlignment="1">
      <alignment horizontal="right" vertical="center"/>
    </xf>
    <xf numFmtId="0" fontId="0" fillId="61" borderId="26" xfId="0" applyFill="1" applyBorder="1" applyAlignment="1">
      <alignment horizontal="left" vertical="center" wrapText="1"/>
    </xf>
    <xf numFmtId="170" fontId="0" fillId="61" borderId="16" xfId="0" applyNumberFormat="1" applyFill="1" applyBorder="1"/>
    <xf numFmtId="170" fontId="0" fillId="61" borderId="18" xfId="0" applyNumberFormat="1" applyFill="1" applyBorder="1"/>
    <xf numFmtId="170" fontId="0" fillId="61" borderId="17" xfId="0" applyNumberFormat="1" applyFill="1" applyBorder="1"/>
    <xf numFmtId="0" fontId="3" fillId="62" borderId="15" xfId="0" applyFont="1" applyFill="1" applyBorder="1" applyAlignment="1">
      <alignment horizontal="left" vertical="center"/>
    </xf>
    <xf numFmtId="169" fontId="3" fillId="62" borderId="1" xfId="0" applyNumberFormat="1" applyFont="1" applyFill="1" applyBorder="1" applyAlignment="1">
      <alignment horizontal="right" vertical="center"/>
    </xf>
    <xf numFmtId="172" fontId="3" fillId="62" borderId="13" xfId="0" applyNumberFormat="1" applyFont="1" applyFill="1" applyBorder="1"/>
    <xf numFmtId="177" fontId="16" fillId="2" borderId="0" xfId="14" applyNumberFormat="1" applyFill="1" applyBorder="1" applyAlignment="1" applyProtection="1">
      <alignment horizontal="left"/>
    </xf>
    <xf numFmtId="0" fontId="17" fillId="0" borderId="0" xfId="0" applyFont="1" applyProtection="1">
      <protection locked="0"/>
    </xf>
    <xf numFmtId="0" fontId="2" fillId="0" borderId="0" xfId="0" applyFont="1" applyProtection="1">
      <protection locked="0"/>
    </xf>
    <xf numFmtId="0" fontId="48" fillId="0" borderId="36" xfId="3" applyFont="1" applyFill="1" applyBorder="1" applyAlignment="1" applyProtection="1">
      <alignment horizontal="center" vertical="center"/>
    </xf>
    <xf numFmtId="0" fontId="1" fillId="15" borderId="0" xfId="0" applyFont="1" applyFill="1"/>
    <xf numFmtId="193" fontId="1" fillId="15" borderId="0" xfId="0" applyNumberFormat="1" applyFont="1" applyFill="1"/>
    <xf numFmtId="193" fontId="0" fillId="0" borderId="0" xfId="0" applyNumberFormat="1"/>
    <xf numFmtId="49" fontId="1" fillId="22" borderId="0" xfId="0" applyNumberFormat="1" applyFont="1" applyFill="1"/>
    <xf numFmtId="193" fontId="1" fillId="22" borderId="0" xfId="0" applyNumberFormat="1" applyFont="1" applyFill="1"/>
    <xf numFmtId="49" fontId="8" fillId="0" borderId="0" xfId="0" applyNumberFormat="1" applyFont="1" applyAlignment="1">
      <alignment horizontal="right"/>
    </xf>
    <xf numFmtId="0" fontId="17" fillId="9" borderId="35" xfId="4" applyFont="1" applyAlignment="1">
      <alignment horizontal="right"/>
    </xf>
    <xf numFmtId="0" fontId="11" fillId="22" borderId="37" xfId="8" applyFill="1" applyAlignment="1">
      <alignment horizontal="right"/>
    </xf>
    <xf numFmtId="0" fontId="87" fillId="0" borderId="0" xfId="0" applyFont="1" applyAlignment="1">
      <alignment horizontal="right"/>
    </xf>
    <xf numFmtId="0" fontId="0" fillId="0" borderId="0" xfId="0" applyAlignment="1">
      <alignment horizontal="right"/>
    </xf>
    <xf numFmtId="49" fontId="0" fillId="0" borderId="0" xfId="0" applyNumberFormat="1" applyAlignment="1">
      <alignment horizontal="right"/>
    </xf>
    <xf numFmtId="0" fontId="11" fillId="23" borderId="37" xfId="8" applyFill="1" applyAlignment="1">
      <alignment horizontal="right"/>
    </xf>
    <xf numFmtId="49" fontId="1" fillId="23" borderId="0" xfId="0" applyNumberFormat="1" applyFont="1" applyFill="1"/>
    <xf numFmtId="0" fontId="1" fillId="0" borderId="0" xfId="0" applyFont="1" applyAlignment="1">
      <alignment horizontal="right"/>
    </xf>
    <xf numFmtId="49" fontId="1" fillId="15" borderId="0" xfId="0" applyNumberFormat="1" applyFont="1" applyFill="1" applyAlignment="1">
      <alignment horizontal="right"/>
    </xf>
    <xf numFmtId="0" fontId="3" fillId="5" borderId="2" xfId="0" applyFont="1" applyFill="1" applyBorder="1" applyProtection="1">
      <protection locked="0"/>
    </xf>
    <xf numFmtId="0" fontId="1" fillId="0" borderId="0" xfId="0" applyFont="1" applyAlignment="1">
      <alignment horizontal="left"/>
    </xf>
    <xf numFmtId="0" fontId="1" fillId="0" borderId="1" xfId="0" applyFont="1" applyBorder="1" applyAlignment="1">
      <alignment horizontal="left" vertical="center"/>
    </xf>
    <xf numFmtId="0" fontId="0" fillId="4" borderId="9" xfId="0" applyFill="1" applyBorder="1"/>
    <xf numFmtId="0" fontId="0" fillId="4" borderId="0" xfId="0" applyFill="1"/>
    <xf numFmtId="0" fontId="0" fillId="4" borderId="10" xfId="0" applyFill="1" applyBorder="1"/>
    <xf numFmtId="0" fontId="0" fillId="21" borderId="9" xfId="0" applyFill="1" applyBorder="1"/>
    <xf numFmtId="0" fontId="0" fillId="21" borderId="10" xfId="0" applyFill="1" applyBorder="1"/>
    <xf numFmtId="0" fontId="0" fillId="21" borderId="11" xfId="0" applyFill="1" applyBorder="1"/>
    <xf numFmtId="0" fontId="0" fillId="21" borderId="12" xfId="0" applyFill="1" applyBorder="1"/>
    <xf numFmtId="0" fontId="0" fillId="21" borderId="13" xfId="0" applyFill="1" applyBorder="1"/>
    <xf numFmtId="0" fontId="24" fillId="21" borderId="0" xfId="0" applyFont="1" applyFill="1" applyAlignment="1">
      <alignment wrapText="1"/>
    </xf>
    <xf numFmtId="0" fontId="24" fillId="4" borderId="0" xfId="0" applyFont="1" applyFill="1" applyAlignment="1">
      <alignment wrapText="1"/>
    </xf>
    <xf numFmtId="0" fontId="8" fillId="0" borderId="35" xfId="4" applyFont="1" applyFill="1" applyProtection="1"/>
    <xf numFmtId="0" fontId="14" fillId="0" borderId="35" xfId="10" applyFill="1" applyBorder="1" applyProtection="1"/>
    <xf numFmtId="49" fontId="0" fillId="0" borderId="35" xfId="4" applyNumberFormat="1" applyFont="1" applyFill="1" applyAlignment="1"/>
    <xf numFmtId="49" fontId="8" fillId="0" borderId="35" xfId="4" applyNumberFormat="1" applyFont="1" applyFill="1" applyProtection="1"/>
    <xf numFmtId="49" fontId="0" fillId="0" borderId="35" xfId="12" applyNumberFormat="1" applyFont="1" applyFill="1" applyAlignment="1"/>
    <xf numFmtId="0" fontId="15" fillId="0" borderId="0" xfId="11" applyFill="1"/>
    <xf numFmtId="0" fontId="1" fillId="21" borderId="0" xfId="0" applyFont="1" applyFill="1" applyAlignment="1">
      <alignment vertical="top"/>
    </xf>
    <xf numFmtId="0" fontId="1" fillId="4" borderId="0" xfId="0" applyFont="1" applyFill="1" applyAlignment="1">
      <alignment vertical="top"/>
    </xf>
    <xf numFmtId="0" fontId="18" fillId="0" borderId="78" xfId="3" applyFont="1" applyFill="1" applyBorder="1" applyAlignment="1" applyProtection="1">
      <alignment horizontal="center" vertical="center" wrapText="1"/>
    </xf>
    <xf numFmtId="170" fontId="18" fillId="2" borderId="78" xfId="4" applyNumberFormat="1" applyFont="1" applyFill="1" applyBorder="1" applyAlignment="1" applyProtection="1">
      <alignment wrapText="1"/>
    </xf>
    <xf numFmtId="176" fontId="18" fillId="2" borderId="78" xfId="4" applyNumberFormat="1" applyFont="1" applyFill="1" applyBorder="1" applyAlignment="1" applyProtection="1">
      <alignment horizontal="right" wrapText="1"/>
    </xf>
    <xf numFmtId="170" fontId="20" fillId="10" borderId="78" xfId="2" applyNumberFormat="1" applyFont="1" applyFill="1" applyBorder="1" applyAlignment="1" applyProtection="1">
      <alignment wrapText="1"/>
    </xf>
    <xf numFmtId="191" fontId="20" fillId="10" borderId="78" xfId="2" applyNumberFormat="1" applyFont="1" applyFill="1" applyBorder="1" applyAlignment="1" applyProtection="1">
      <alignment horizontal="right" wrapText="1"/>
    </xf>
    <xf numFmtId="0" fontId="0" fillId="21" borderId="123" xfId="0" applyFill="1" applyBorder="1"/>
    <xf numFmtId="0" fontId="0" fillId="21" borderId="124" xfId="0" applyFill="1" applyBorder="1"/>
    <xf numFmtId="0" fontId="0" fillId="21" borderId="125" xfId="0" applyFill="1" applyBorder="1"/>
    <xf numFmtId="0" fontId="0" fillId="21" borderId="126" xfId="0" applyFill="1" applyBorder="1"/>
    <xf numFmtId="0" fontId="0" fillId="21" borderId="127" xfId="0" applyFill="1" applyBorder="1"/>
    <xf numFmtId="0" fontId="0" fillId="21" borderId="128" xfId="0" applyFill="1" applyBorder="1"/>
    <xf numFmtId="0" fontId="0" fillId="21" borderId="129" xfId="0" applyFill="1" applyBorder="1"/>
    <xf numFmtId="0" fontId="0" fillId="21" borderId="130" xfId="0" applyFill="1" applyBorder="1"/>
    <xf numFmtId="0" fontId="0" fillId="4" borderId="123" xfId="0" applyFill="1" applyBorder="1"/>
    <xf numFmtId="0" fontId="0" fillId="4" borderId="124" xfId="0" applyFill="1" applyBorder="1"/>
    <xf numFmtId="0" fontId="0" fillId="4" borderId="125" xfId="0" applyFill="1" applyBorder="1"/>
    <xf numFmtId="0" fontId="0" fillId="4" borderId="126" xfId="0" applyFill="1" applyBorder="1"/>
    <xf numFmtId="0" fontId="0" fillId="4" borderId="127" xfId="0" applyFill="1" applyBorder="1"/>
    <xf numFmtId="0" fontId="0" fillId="4" borderId="128" xfId="0" applyFill="1" applyBorder="1"/>
    <xf numFmtId="0" fontId="0" fillId="4" borderId="129" xfId="0" applyFill="1" applyBorder="1"/>
    <xf numFmtId="0" fontId="0" fillId="4" borderId="130" xfId="0" applyFill="1" applyBorder="1"/>
    <xf numFmtId="0" fontId="8" fillId="4" borderId="126" xfId="0" applyFont="1" applyFill="1" applyBorder="1"/>
    <xf numFmtId="0" fontId="8" fillId="4" borderId="0" xfId="0" applyFont="1" applyFill="1"/>
    <xf numFmtId="0" fontId="8" fillId="4" borderId="127" xfId="0" applyFont="1" applyFill="1" applyBorder="1"/>
    <xf numFmtId="0" fontId="8" fillId="4" borderId="128" xfId="0" applyFont="1" applyFill="1" applyBorder="1"/>
    <xf numFmtId="0" fontId="8" fillId="4" borderId="129" xfId="0" applyFont="1" applyFill="1" applyBorder="1"/>
    <xf numFmtId="0" fontId="8" fillId="4" borderId="130" xfId="0" applyFont="1" applyFill="1" applyBorder="1"/>
    <xf numFmtId="49" fontId="0" fillId="21" borderId="35" xfId="4" applyNumberFormat="1" applyFont="1" applyFill="1" applyAlignment="1"/>
    <xf numFmtId="0" fontId="14" fillId="21" borderId="35" xfId="10" applyFill="1" applyBorder="1" applyProtection="1"/>
    <xf numFmtId="0" fontId="17" fillId="21" borderId="0" xfId="0" applyFont="1" applyFill="1" applyAlignment="1">
      <alignment vertical="center"/>
    </xf>
    <xf numFmtId="0" fontId="18" fillId="21" borderId="0" xfId="3" applyFont="1" applyFill="1" applyBorder="1" applyAlignment="1" applyProtection="1">
      <alignment vertical="center" wrapText="1"/>
    </xf>
    <xf numFmtId="0" fontId="14" fillId="21" borderId="35" xfId="12" applyFont="1" applyFill="1" applyProtection="1"/>
    <xf numFmtId="0" fontId="18" fillId="21" borderId="0" xfId="3" applyFont="1" applyFill="1" applyBorder="1" applyAlignment="1" applyProtection="1">
      <alignment horizontal="center" vertical="center" wrapText="1"/>
    </xf>
    <xf numFmtId="0" fontId="4" fillId="21" borderId="37" xfId="13" applyFill="1" applyBorder="1"/>
    <xf numFmtId="0" fontId="17" fillId="21" borderId="0" xfId="0" applyFont="1" applyFill="1"/>
    <xf numFmtId="0" fontId="18" fillId="21" borderId="0" xfId="3" applyFont="1" applyFill="1" applyBorder="1" applyAlignment="1" applyProtection="1"/>
    <xf numFmtId="0" fontId="0" fillId="21" borderId="37" xfId="13" applyFont="1" applyFill="1" applyBorder="1"/>
    <xf numFmtId="0" fontId="20" fillId="21" borderId="0" xfId="3" applyFont="1" applyFill="1" applyBorder="1" applyAlignment="1" applyProtection="1"/>
    <xf numFmtId="0" fontId="17" fillId="4" borderId="0" xfId="0" applyFont="1" applyFill="1" applyAlignment="1">
      <alignment vertical="center"/>
    </xf>
    <xf numFmtId="0" fontId="18" fillId="4" borderId="0" xfId="3" applyFont="1" applyFill="1" applyBorder="1" applyAlignment="1" applyProtection="1">
      <alignment vertical="center" wrapText="1"/>
    </xf>
    <xf numFmtId="0" fontId="18" fillId="4" borderId="0" xfId="3" applyFont="1" applyFill="1" applyBorder="1" applyAlignment="1" applyProtection="1">
      <alignment horizontal="center" vertical="center" wrapText="1"/>
    </xf>
    <xf numFmtId="0" fontId="18" fillId="4" borderId="0" xfId="3" applyFont="1" applyFill="1" applyBorder="1" applyAlignment="1" applyProtection="1"/>
    <xf numFmtId="0" fontId="20" fillId="4" borderId="0" xfId="3" applyFont="1" applyFill="1" applyBorder="1" applyAlignment="1" applyProtection="1"/>
    <xf numFmtId="0" fontId="0" fillId="23" borderId="0" xfId="13" applyFont="1" applyFill="1" applyAlignment="1" applyProtection="1">
      <alignment vertical="center"/>
    </xf>
    <xf numFmtId="0" fontId="0" fillId="19" borderId="0" xfId="13" applyFont="1" applyAlignment="1" applyProtection="1">
      <alignment vertical="center"/>
    </xf>
    <xf numFmtId="49" fontId="21" fillId="0" borderId="0" xfId="0" applyNumberFormat="1" applyFont="1"/>
    <xf numFmtId="177" fontId="1" fillId="0" borderId="0" xfId="0" applyNumberFormat="1" applyFont="1"/>
    <xf numFmtId="190" fontId="1" fillId="0" borderId="0" xfId="0" applyNumberFormat="1" applyFont="1"/>
    <xf numFmtId="14" fontId="0" fillId="0" borderId="0" xfId="0" applyNumberFormat="1" applyAlignment="1">
      <alignment wrapText="1"/>
    </xf>
    <xf numFmtId="170" fontId="24" fillId="58" borderId="51" xfId="4" applyNumberFormat="1" applyFont="1" applyFill="1" applyBorder="1" applyAlignment="1" applyProtection="1">
      <alignment wrapText="1"/>
    </xf>
    <xf numFmtId="175" fontId="24" fillId="58" borderId="51" xfId="4" applyNumberFormat="1" applyFont="1" applyFill="1" applyBorder="1" applyAlignment="1" applyProtection="1">
      <alignment wrapText="1"/>
    </xf>
    <xf numFmtId="170" fontId="24" fillId="63" borderId="51" xfId="4" applyNumberFormat="1" applyFont="1" applyFill="1" applyBorder="1" applyAlignment="1" applyProtection="1">
      <alignment wrapText="1"/>
    </xf>
    <xf numFmtId="175" fontId="24" fillId="63" borderId="51" xfId="4" applyNumberFormat="1" applyFont="1" applyFill="1" applyBorder="1" applyAlignment="1" applyProtection="1">
      <alignment wrapText="1"/>
    </xf>
    <xf numFmtId="170" fontId="24" fillId="26" borderId="51" xfId="4" applyNumberFormat="1" applyFont="1" applyFill="1" applyBorder="1" applyAlignment="1" applyProtection="1">
      <alignment wrapText="1"/>
    </xf>
    <xf numFmtId="175" fontId="24" fillId="26" borderId="51" xfId="4" applyNumberFormat="1" applyFont="1" applyFill="1" applyBorder="1" applyAlignment="1" applyProtection="1">
      <alignment wrapText="1"/>
    </xf>
    <xf numFmtId="0" fontId="31" fillId="0" borderId="30" xfId="0" applyFont="1" applyBorder="1" applyAlignment="1">
      <alignment horizontal="left" vertical="center"/>
    </xf>
    <xf numFmtId="0" fontId="8" fillId="0" borderId="30" xfId="0" applyFont="1" applyBorder="1" applyAlignment="1">
      <alignment horizontal="left" vertical="center"/>
    </xf>
    <xf numFmtId="0" fontId="0" fillId="0" borderId="6" xfId="0" applyBorder="1" applyAlignment="1">
      <alignment vertical="center" wrapText="1"/>
    </xf>
    <xf numFmtId="0" fontId="0" fillId="0" borderId="8" xfId="0" applyBorder="1" applyAlignment="1">
      <alignment vertical="center" wrapText="1"/>
    </xf>
    <xf numFmtId="0" fontId="0" fillId="0" borderId="11" xfId="0" applyBorder="1" applyAlignment="1">
      <alignment vertical="center" wrapText="1"/>
    </xf>
    <xf numFmtId="0" fontId="0" fillId="0" borderId="13" xfId="0" applyBorder="1" applyAlignment="1">
      <alignment vertical="center" wrapText="1"/>
    </xf>
    <xf numFmtId="0" fontId="88" fillId="0" borderId="36" xfId="3" applyFont="1" applyFill="1" applyBorder="1" applyAlignment="1" applyProtection="1">
      <alignment vertical="center"/>
    </xf>
    <xf numFmtId="0" fontId="89" fillId="0" borderId="36" xfId="3" applyFont="1" applyFill="1" applyBorder="1" applyAlignment="1" applyProtection="1">
      <alignment vertical="center"/>
    </xf>
    <xf numFmtId="0" fontId="0" fillId="4" borderId="6" xfId="0" applyFill="1" applyBorder="1"/>
    <xf numFmtId="0" fontId="0" fillId="4" borderId="7" xfId="0" applyFill="1" applyBorder="1"/>
    <xf numFmtId="0" fontId="0" fillId="4" borderId="8" xfId="0" applyFill="1" applyBorder="1"/>
    <xf numFmtId="0" fontId="8" fillId="0" borderId="19" xfId="0" applyFont="1" applyBorder="1" applyAlignment="1">
      <alignment vertical="center" wrapText="1"/>
    </xf>
    <xf numFmtId="0" fontId="8" fillId="4" borderId="16" xfId="0" applyFont="1" applyFill="1" applyBorder="1" applyAlignment="1">
      <alignment vertical="center" wrapText="1"/>
    </xf>
    <xf numFmtId="0" fontId="8" fillId="0" borderId="19" xfId="0" applyFont="1" applyBorder="1" applyAlignment="1">
      <alignment horizontal="left" vertical="center" wrapText="1"/>
    </xf>
    <xf numFmtId="0" fontId="8" fillId="4" borderId="1" xfId="0" applyFont="1" applyFill="1" applyBorder="1" applyAlignment="1">
      <alignment vertical="center" wrapText="1"/>
    </xf>
    <xf numFmtId="0" fontId="8" fillId="0" borderId="9" xfId="0" applyFont="1" applyBorder="1" applyAlignment="1">
      <alignment vertical="center" wrapText="1"/>
    </xf>
    <xf numFmtId="0" fontId="8" fillId="0" borderId="31" xfId="0" applyFont="1" applyBorder="1" applyAlignment="1">
      <alignment vertical="center" wrapText="1"/>
    </xf>
    <xf numFmtId="0" fontId="8" fillId="0" borderId="19" xfId="0" applyFont="1" applyBorder="1" applyAlignment="1">
      <alignment horizontal="left" vertical="center"/>
    </xf>
    <xf numFmtId="0" fontId="8" fillId="0" borderId="22" xfId="0" applyFont="1" applyBorder="1" applyAlignment="1">
      <alignment vertical="center" wrapText="1"/>
    </xf>
    <xf numFmtId="0" fontId="8" fillId="4" borderId="16" xfId="0" applyFont="1" applyFill="1" applyBorder="1" applyAlignment="1">
      <alignment vertical="center"/>
    </xf>
    <xf numFmtId="49" fontId="90" fillId="0" borderId="0" xfId="5" applyNumberFormat="1" applyFont="1" applyFill="1" applyBorder="1" applyAlignment="1">
      <alignment vertical="center"/>
    </xf>
    <xf numFmtId="49" fontId="91" fillId="0" borderId="0" xfId="5" applyNumberFormat="1" applyFont="1" applyFill="1" applyBorder="1" applyAlignment="1">
      <alignment vertical="center"/>
    </xf>
    <xf numFmtId="0" fontId="91" fillId="0" borderId="0" xfId="0" applyFont="1"/>
    <xf numFmtId="0" fontId="91" fillId="14" borderId="0" xfId="0" applyFont="1" applyFill="1"/>
    <xf numFmtId="0" fontId="11" fillId="0" borderId="2" xfId="0" applyFont="1" applyBorder="1" applyAlignment="1">
      <alignment horizontal="center" vertical="center"/>
    </xf>
    <xf numFmtId="0" fontId="30" fillId="0" borderId="71" xfId="3" applyFont="1" applyFill="1" applyBorder="1" applyAlignment="1" applyProtection="1"/>
    <xf numFmtId="0" fontId="30" fillId="0" borderId="71" xfId="0" applyFont="1" applyBorder="1" applyAlignment="1">
      <alignment horizontal="left"/>
    </xf>
    <xf numFmtId="0" fontId="30" fillId="0" borderId="33" xfId="0" applyFont="1" applyBorder="1" applyAlignment="1">
      <alignment horizontal="left"/>
    </xf>
    <xf numFmtId="0" fontId="30" fillId="0" borderId="69" xfId="3" applyFont="1" applyFill="1" applyBorder="1" applyAlignment="1" applyProtection="1"/>
    <xf numFmtId="0" fontId="9" fillId="0" borderId="54" xfId="3" applyFont="1" applyFill="1" applyBorder="1" applyAlignment="1" applyProtection="1">
      <alignment vertical="center"/>
    </xf>
    <xf numFmtId="170" fontId="45" fillId="64" borderId="36" xfId="4" applyNumberFormat="1" applyFont="1" applyFill="1" applyBorder="1" applyAlignment="1" applyProtection="1"/>
    <xf numFmtId="0" fontId="0" fillId="64" borderId="0" xfId="0" applyFill="1"/>
    <xf numFmtId="0" fontId="8" fillId="16" borderId="0" xfId="0" applyFont="1" applyFill="1"/>
    <xf numFmtId="0" fontId="7" fillId="0" borderId="0" xfId="0" applyFont="1" applyAlignment="1">
      <alignment horizontal="left" wrapText="1"/>
    </xf>
    <xf numFmtId="0" fontId="7" fillId="0" borderId="63" xfId="0" applyFont="1" applyBorder="1" applyAlignment="1">
      <alignment horizontal="left" wrapText="1"/>
    </xf>
    <xf numFmtId="0" fontId="48" fillId="0" borderId="36" xfId="3" applyFont="1" applyFill="1" applyBorder="1" applyAlignment="1" applyProtection="1">
      <alignment horizontal="center" vertical="center"/>
    </xf>
    <xf numFmtId="0" fontId="2" fillId="5" borderId="64" xfId="0" applyFont="1" applyFill="1" applyBorder="1" applyAlignment="1">
      <alignment horizontal="left" vertical="center"/>
    </xf>
    <xf numFmtId="0" fontId="2" fillId="5" borderId="69" xfId="0" applyFont="1" applyFill="1" applyBorder="1" applyAlignment="1">
      <alignment horizontal="left" vertical="center"/>
    </xf>
    <xf numFmtId="0" fontId="9" fillId="0" borderId="0" xfId="0" applyFont="1" applyAlignment="1">
      <alignment horizontal="left" wrapText="1"/>
    </xf>
    <xf numFmtId="0" fontId="9" fillId="0" borderId="63" xfId="0" applyFont="1" applyBorder="1" applyAlignment="1">
      <alignment horizontal="left" wrapText="1"/>
    </xf>
    <xf numFmtId="0" fontId="61" fillId="21" borderId="0" xfId="0" applyFont="1" applyFill="1" applyAlignment="1">
      <alignment horizontal="center"/>
    </xf>
    <xf numFmtId="0" fontId="62" fillId="0" borderId="0" xfId="0" applyFont="1" applyAlignment="1">
      <alignment horizontal="center"/>
    </xf>
    <xf numFmtId="0" fontId="0" fillId="0" borderId="0" xfId="0" applyAlignment="1">
      <alignment horizontal="left" vertical="top"/>
    </xf>
    <xf numFmtId="0" fontId="30" fillId="0" borderId="36" xfId="3" applyFont="1" applyFill="1" applyBorder="1" applyAlignment="1">
      <alignment horizontal="center" vertical="center" wrapText="1"/>
    </xf>
    <xf numFmtId="0" fontId="9" fillId="0" borderId="70" xfId="3" applyFont="1" applyFill="1" applyBorder="1" applyAlignment="1" applyProtection="1">
      <alignment horizontal="left" vertical="center"/>
    </xf>
    <xf numFmtId="0" fontId="9" fillId="0" borderId="71" xfId="3" applyFont="1" applyFill="1" applyBorder="1" applyAlignment="1" applyProtection="1">
      <alignment horizontal="left" vertical="center"/>
    </xf>
    <xf numFmtId="0" fontId="11" fillId="0" borderId="36" xfId="0" applyFont="1" applyBorder="1" applyAlignment="1">
      <alignment horizontal="center" vertical="center"/>
    </xf>
    <xf numFmtId="0" fontId="49" fillId="0" borderId="0" xfId="0" applyFont="1" applyAlignment="1">
      <alignment horizontal="left" vertical="center" wrapText="1"/>
    </xf>
    <xf numFmtId="0" fontId="49" fillId="0" borderId="63" xfId="0" applyFont="1" applyBorder="1" applyAlignment="1">
      <alignment horizontal="left" vertical="center" wrapText="1"/>
    </xf>
    <xf numFmtId="0" fontId="2" fillId="5" borderId="36" xfId="0" applyFont="1" applyFill="1" applyBorder="1" applyAlignment="1">
      <alignment horizontal="left" vertical="center"/>
    </xf>
    <xf numFmtId="0" fontId="48" fillId="0" borderId="54" xfId="3" applyFont="1" applyFill="1" applyBorder="1" applyAlignment="1" applyProtection="1">
      <alignment horizontal="center" vertical="center" wrapText="1"/>
    </xf>
    <xf numFmtId="0" fontId="48" fillId="0" borderId="57" xfId="3" applyFont="1" applyFill="1" applyBorder="1" applyAlignment="1" applyProtection="1">
      <alignment horizontal="center" vertical="center" wrapText="1"/>
    </xf>
    <xf numFmtId="0" fontId="48" fillId="0" borderId="54" xfId="3" applyFont="1" applyFill="1" applyBorder="1" applyAlignment="1" applyProtection="1">
      <alignment horizontal="center" vertical="center"/>
    </xf>
    <xf numFmtId="0" fontId="48" fillId="0" borderId="59" xfId="3" applyFont="1" applyFill="1" applyBorder="1" applyAlignment="1" applyProtection="1">
      <alignment horizontal="center" vertical="center"/>
    </xf>
    <xf numFmtId="0" fontId="48" fillId="0" borderId="57" xfId="3" applyFont="1" applyFill="1" applyBorder="1" applyAlignment="1" applyProtection="1">
      <alignment horizontal="center" vertical="center"/>
    </xf>
    <xf numFmtId="0" fontId="1" fillId="0" borderId="0" xfId="0" applyFont="1" applyAlignment="1">
      <alignment horizontal="left" wrapText="1"/>
    </xf>
    <xf numFmtId="0" fontId="1" fillId="0" borderId="63" xfId="0" applyFont="1" applyBorder="1" applyAlignment="1">
      <alignment horizontal="left" wrapText="1"/>
    </xf>
    <xf numFmtId="0" fontId="48" fillId="0" borderId="36" xfId="3" applyFont="1" applyFill="1" applyBorder="1" applyAlignment="1" applyProtection="1">
      <alignment horizontal="center" vertical="center" wrapText="1"/>
    </xf>
    <xf numFmtId="0" fontId="48" fillId="0" borderId="59" xfId="3" applyFont="1" applyFill="1" applyBorder="1" applyAlignment="1" applyProtection="1">
      <alignment horizontal="center" vertical="center" wrapText="1"/>
    </xf>
    <xf numFmtId="0" fontId="48" fillId="0" borderId="64" xfId="3" applyFont="1" applyFill="1" applyBorder="1" applyAlignment="1" applyProtection="1">
      <alignment horizontal="center" vertical="center" wrapText="1"/>
    </xf>
    <xf numFmtId="0" fontId="48" fillId="0" borderId="65" xfId="3" applyFont="1" applyFill="1" applyBorder="1" applyAlignment="1" applyProtection="1">
      <alignment horizontal="center" vertical="center" wrapText="1"/>
    </xf>
    <xf numFmtId="0" fontId="48" fillId="0" borderId="66" xfId="3" applyFont="1" applyFill="1" applyBorder="1" applyAlignment="1" applyProtection="1">
      <alignment horizontal="center" vertical="center" wrapText="1"/>
    </xf>
    <xf numFmtId="0" fontId="24" fillId="0" borderId="4" xfId="3" applyFont="1" applyFill="1" applyBorder="1" applyAlignment="1" applyProtection="1">
      <alignment horizontal="center" vertical="center" wrapText="1"/>
    </xf>
    <xf numFmtId="0" fontId="30" fillId="0" borderId="54" xfId="3" applyFont="1" applyFill="1" applyBorder="1" applyAlignment="1">
      <alignment horizontal="center" vertical="center" wrapText="1"/>
    </xf>
    <xf numFmtId="0" fontId="30" fillId="0" borderId="59" xfId="3" applyFont="1" applyFill="1" applyBorder="1" applyAlignment="1">
      <alignment horizontal="center" vertical="center" wrapText="1"/>
    </xf>
    <xf numFmtId="0" fontId="30" fillId="0" borderId="57" xfId="3" applyFont="1" applyFill="1" applyBorder="1" applyAlignment="1">
      <alignment horizontal="center" vertical="center" wrapText="1"/>
    </xf>
    <xf numFmtId="0" fontId="30" fillId="0" borderId="69" xfId="0" applyFont="1" applyBorder="1" applyAlignment="1">
      <alignment horizontal="center" vertical="center"/>
    </xf>
    <xf numFmtId="0" fontId="30" fillId="0" borderId="75" xfId="0" applyFont="1" applyBorder="1" applyAlignment="1">
      <alignment horizontal="center" vertical="center"/>
    </xf>
    <xf numFmtId="0" fontId="30" fillId="0" borderId="76" xfId="0" applyFont="1" applyBorder="1" applyAlignment="1">
      <alignment horizontal="center" vertical="center"/>
    </xf>
    <xf numFmtId="0" fontId="30" fillId="0" borderId="36" xfId="0" applyFont="1" applyBorder="1" applyAlignment="1">
      <alignment horizontal="center" vertical="center"/>
    </xf>
    <xf numFmtId="170" fontId="19" fillId="0" borderId="36" xfId="4" applyNumberFormat="1" applyFont="1" applyFill="1" applyBorder="1" applyAlignment="1" applyProtection="1">
      <alignment horizontal="left" wrapText="1"/>
    </xf>
    <xf numFmtId="0" fontId="20" fillId="5" borderId="73" xfId="0" applyFont="1" applyFill="1" applyBorder="1" applyAlignment="1">
      <alignment horizontal="left"/>
    </xf>
    <xf numFmtId="0" fontId="20" fillId="5" borderId="74" xfId="0" applyFont="1" applyFill="1" applyBorder="1" applyAlignment="1">
      <alignment horizontal="left"/>
    </xf>
    <xf numFmtId="0" fontId="18" fillId="0" borderId="36" xfId="3" applyFont="1" applyFill="1" applyBorder="1" applyAlignment="1" applyProtection="1">
      <alignment horizontal="left" vertical="center" wrapText="1"/>
    </xf>
    <xf numFmtId="0" fontId="18" fillId="0" borderId="48" xfId="3" applyFont="1" applyFill="1" applyBorder="1" applyAlignment="1" applyProtection="1">
      <alignment horizontal="center" vertical="center" wrapText="1"/>
    </xf>
    <xf numFmtId="0" fontId="18" fillId="0" borderId="49" xfId="3" applyFont="1" applyFill="1" applyBorder="1" applyAlignment="1" applyProtection="1">
      <alignment horizontal="center" vertical="center" wrapText="1"/>
    </xf>
    <xf numFmtId="0" fontId="1" fillId="0" borderId="36" xfId="0" applyFont="1" applyBorder="1" applyAlignment="1">
      <alignment horizontal="center" vertical="center" wrapText="1"/>
    </xf>
    <xf numFmtId="0" fontId="24" fillId="0" borderId="36" xfId="3" applyFont="1" applyFill="1" applyBorder="1" applyAlignment="1" applyProtection="1">
      <alignment horizontal="center" vertical="center"/>
    </xf>
    <xf numFmtId="0" fontId="20" fillId="5" borderId="9" xfId="0" applyFont="1" applyFill="1" applyBorder="1" applyAlignment="1">
      <alignment horizontal="left"/>
    </xf>
    <xf numFmtId="0" fontId="20" fillId="5" borderId="0" xfId="0" applyFont="1" applyFill="1" applyAlignment="1">
      <alignment horizontal="left"/>
    </xf>
    <xf numFmtId="0" fontId="24" fillId="0" borderId="36" xfId="3" applyFont="1" applyFill="1" applyBorder="1" applyAlignment="1" applyProtection="1">
      <alignment horizontal="center" vertical="center" wrapText="1"/>
    </xf>
    <xf numFmtId="0" fontId="18" fillId="0" borderId="36" xfId="3" applyFont="1" applyFill="1" applyBorder="1" applyAlignment="1" applyProtection="1">
      <alignment horizontal="center" vertical="center" wrapText="1"/>
    </xf>
    <xf numFmtId="0" fontId="8" fillId="17" borderId="67" xfId="10" applyFont="1" applyBorder="1" applyAlignment="1" applyProtection="1">
      <alignment horizontal="left"/>
      <protection locked="0"/>
    </xf>
    <xf numFmtId="0" fontId="8" fillId="17" borderId="0" xfId="10" applyFont="1" applyBorder="1" applyAlignment="1" applyProtection="1">
      <alignment horizontal="left"/>
      <protection locked="0"/>
    </xf>
    <xf numFmtId="0" fontId="32" fillId="41" borderId="36" xfId="0" applyFont="1" applyFill="1" applyBorder="1" applyAlignment="1">
      <alignment horizontal="center" vertical="center" wrapText="1"/>
    </xf>
    <xf numFmtId="0" fontId="1" fillId="0" borderId="64" xfId="0" applyFont="1" applyBorder="1" applyAlignment="1">
      <alignment horizontal="left" vertical="top" wrapText="1"/>
    </xf>
    <xf numFmtId="0" fontId="1" fillId="0" borderId="65" xfId="0" applyFont="1" applyBorder="1" applyAlignment="1">
      <alignment horizontal="left" vertical="top" wrapText="1"/>
    </xf>
    <xf numFmtId="0" fontId="1" fillId="0" borderId="71" xfId="0" applyFont="1" applyBorder="1" applyAlignment="1">
      <alignment horizontal="center" vertical="center" wrapText="1"/>
    </xf>
    <xf numFmtId="0" fontId="0" fillId="0" borderId="0" xfId="0" applyAlignment="1">
      <alignment horizontal="left" vertical="top" wrapText="1"/>
    </xf>
    <xf numFmtId="0" fontId="16" fillId="0" borderId="0" xfId="14" applyAlignment="1" applyProtection="1">
      <alignment horizontal="left"/>
      <protection locked="0"/>
    </xf>
    <xf numFmtId="0" fontId="0" fillId="0" borderId="1" xfId="0" applyBorder="1" applyAlignment="1">
      <alignment horizontal="center"/>
    </xf>
    <xf numFmtId="0" fontId="0" fillId="0" borderId="2" xfId="0" applyBorder="1" applyAlignment="1">
      <alignment horizontal="center"/>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24" borderId="16" xfId="0" applyFill="1" applyBorder="1" applyAlignment="1">
      <alignment horizontal="left" vertical="center" wrapText="1"/>
    </xf>
    <xf numFmtId="0" fontId="0" fillId="24" borderId="17" xfId="0" applyFill="1" applyBorder="1" applyAlignment="1">
      <alignment horizontal="left" vertical="center" wrapText="1"/>
    </xf>
    <xf numFmtId="0" fontId="0" fillId="24" borderId="22" xfId="0" applyFill="1" applyBorder="1" applyAlignment="1">
      <alignment horizontal="left" vertical="center" wrapText="1"/>
    </xf>
    <xf numFmtId="0" fontId="0" fillId="24" borderId="23" xfId="0" applyFill="1" applyBorder="1" applyAlignment="1">
      <alignment horizontal="left" vertical="center" wrapText="1"/>
    </xf>
    <xf numFmtId="0" fontId="3" fillId="5" borderId="1" xfId="0" applyFont="1" applyFill="1" applyBorder="1" applyAlignment="1">
      <alignment horizontal="left" wrapText="1"/>
    </xf>
    <xf numFmtId="0" fontId="3" fillId="5" borderId="3" xfId="0" applyFont="1" applyFill="1" applyBorder="1" applyAlignment="1">
      <alignment horizontal="left" wrapText="1"/>
    </xf>
    <xf numFmtId="0" fontId="0" fillId="0" borderId="5" xfId="0" applyBorder="1" applyAlignment="1">
      <alignment horizontal="center" vertical="center" wrapText="1"/>
    </xf>
    <xf numFmtId="0" fontId="0" fillId="0" borderId="15" xfId="0" applyBorder="1" applyAlignment="1">
      <alignment horizontal="center" vertical="center" wrapText="1"/>
    </xf>
    <xf numFmtId="0" fontId="0" fillId="4" borderId="16" xfId="0" applyFill="1" applyBorder="1" applyAlignment="1">
      <alignment horizontal="left" vertical="center" wrapText="1"/>
    </xf>
    <xf numFmtId="0" fontId="0" fillId="4" borderId="17" xfId="0" applyFill="1" applyBorder="1" applyAlignment="1">
      <alignment horizontal="left" vertical="center" wrapText="1"/>
    </xf>
    <xf numFmtId="0" fontId="0" fillId="4" borderId="22" xfId="0" applyFill="1" applyBorder="1" applyAlignment="1">
      <alignment horizontal="left" vertical="center" wrapText="1"/>
    </xf>
    <xf numFmtId="0" fontId="0" fillId="4" borderId="23" xfId="0" applyFill="1" applyBorder="1" applyAlignment="1">
      <alignment horizontal="left" vertical="center" wrapText="1"/>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2" fillId="0" borderId="8" xfId="0" applyFont="1" applyBorder="1" applyAlignment="1">
      <alignment horizontal="center" vertical="center"/>
    </xf>
    <xf numFmtId="0" fontId="32" fillId="0" borderId="11" xfId="0" applyFont="1" applyBorder="1" applyAlignment="1">
      <alignment horizontal="center" vertical="center"/>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1" fillId="0" borderId="6" xfId="0" applyFont="1" applyBorder="1" applyAlignment="1">
      <alignment horizontal="center" wrapText="1"/>
    </xf>
    <xf numFmtId="0" fontId="1" fillId="0" borderId="7" xfId="0" applyFont="1" applyBorder="1" applyAlignment="1">
      <alignment horizontal="center" wrapText="1"/>
    </xf>
    <xf numFmtId="0" fontId="1" fillId="0" borderId="8" xfId="0" applyFont="1" applyBorder="1" applyAlignment="1">
      <alignment horizontal="center" wrapText="1"/>
    </xf>
    <xf numFmtId="0" fontId="1" fillId="0" borderId="11" xfId="0" applyFont="1" applyBorder="1" applyAlignment="1">
      <alignment horizontal="center" wrapText="1"/>
    </xf>
    <xf numFmtId="0" fontId="1" fillId="0" borderId="12" xfId="0" applyFont="1" applyBorder="1" applyAlignment="1">
      <alignment horizontal="center" wrapText="1"/>
    </xf>
    <xf numFmtId="0" fontId="1" fillId="0" borderId="13" xfId="0" applyFont="1" applyBorder="1" applyAlignment="1">
      <alignment horizontal="center" wrapText="1"/>
    </xf>
    <xf numFmtId="0" fontId="0" fillId="0" borderId="5" xfId="0" applyBorder="1" applyAlignment="1">
      <alignment horizontal="center" vertical="center"/>
    </xf>
    <xf numFmtId="0" fontId="0" fillId="0" borderId="15" xfId="0" applyBorder="1" applyAlignment="1">
      <alignment horizontal="center" vertical="center"/>
    </xf>
    <xf numFmtId="0" fontId="0" fillId="0" borderId="4" xfId="0" applyBorder="1" applyAlignment="1">
      <alignment horizont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4" borderId="3" xfId="0" applyFill="1" applyBorder="1" applyAlignment="1">
      <alignment horizontal="center"/>
    </xf>
    <xf numFmtId="0" fontId="0" fillId="4" borderId="1" xfId="0" applyFill="1" applyBorder="1" applyAlignment="1">
      <alignment horizontal="center"/>
    </xf>
    <xf numFmtId="0" fontId="0" fillId="21" borderId="4" xfId="0" applyFill="1" applyBorder="1" applyAlignment="1">
      <alignment horizont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32" fillId="0" borderId="6" xfId="0" applyFont="1" applyBorder="1" applyAlignment="1">
      <alignment horizontal="center" wrapText="1"/>
    </xf>
    <xf numFmtId="0" fontId="32" fillId="0" borderId="7" xfId="0" applyFont="1" applyBorder="1" applyAlignment="1">
      <alignment horizontal="center" wrapText="1"/>
    </xf>
    <xf numFmtId="0" fontId="32" fillId="0" borderId="8" xfId="0" applyFont="1" applyBorder="1" applyAlignment="1">
      <alignment horizontal="center" wrapText="1"/>
    </xf>
    <xf numFmtId="0" fontId="32" fillId="0" borderId="11" xfId="0" applyFont="1" applyBorder="1" applyAlignment="1">
      <alignment horizontal="center" wrapText="1"/>
    </xf>
    <xf numFmtId="0" fontId="32" fillId="0" borderId="12" xfId="0" applyFont="1" applyBorder="1" applyAlignment="1">
      <alignment horizontal="center" wrapText="1"/>
    </xf>
    <xf numFmtId="0" fontId="32" fillId="0" borderId="13" xfId="0" applyFont="1" applyBorder="1" applyAlignment="1">
      <alignment horizontal="center" wrapText="1"/>
    </xf>
    <xf numFmtId="0" fontId="32" fillId="0" borderId="1" xfId="0" applyFont="1" applyBorder="1" applyAlignment="1">
      <alignment horizontal="center" wrapText="1"/>
    </xf>
    <xf numFmtId="0" fontId="32" fillId="0" borderId="2" xfId="0" applyFont="1" applyBorder="1" applyAlignment="1">
      <alignment horizontal="center" wrapText="1"/>
    </xf>
    <xf numFmtId="0" fontId="32" fillId="0" borderId="3" xfId="0" applyFont="1" applyBorder="1" applyAlignment="1">
      <alignment horizontal="center" wrapText="1"/>
    </xf>
    <xf numFmtId="0" fontId="0" fillId="0" borderId="3" xfId="0" applyBorder="1" applyAlignment="1">
      <alignment horizontal="center"/>
    </xf>
    <xf numFmtId="0" fontId="0" fillId="0" borderId="2" xfId="0" applyBorder="1" applyAlignment="1">
      <alignment horizontal="center" vertical="center"/>
    </xf>
    <xf numFmtId="0" fontId="0" fillId="0" borderId="14" xfId="0" applyBorder="1" applyAlignment="1">
      <alignment horizontal="center" vertical="center" wrapText="1"/>
    </xf>
    <xf numFmtId="168" fontId="3" fillId="6" borderId="5" xfId="0" applyNumberFormat="1" applyFont="1" applyFill="1" applyBorder="1" applyAlignment="1">
      <alignment horizontal="center" vertical="top" wrapText="1"/>
    </xf>
    <xf numFmtId="168" fontId="3" fillId="6" borderId="15" xfId="0" applyNumberFormat="1" applyFont="1" applyFill="1" applyBorder="1" applyAlignment="1">
      <alignment horizontal="center" vertical="top" wrapText="1"/>
    </xf>
    <xf numFmtId="168" fontId="3" fillId="6" borderId="1" xfId="0" applyNumberFormat="1" applyFont="1" applyFill="1" applyBorder="1" applyAlignment="1">
      <alignment horizontal="center"/>
    </xf>
    <xf numFmtId="168" fontId="3" fillId="6" borderId="2" xfId="0" applyNumberFormat="1" applyFont="1" applyFill="1" applyBorder="1" applyAlignment="1">
      <alignment horizontal="center"/>
    </xf>
    <xf numFmtId="0" fontId="0" fillId="4" borderId="6"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9" xfId="0" applyFill="1" applyBorder="1" applyAlignment="1">
      <alignment horizontal="center" vertical="center" wrapText="1"/>
    </xf>
    <xf numFmtId="0" fontId="25" fillId="4" borderId="5" xfId="0" applyFont="1" applyFill="1" applyBorder="1" applyAlignment="1">
      <alignment horizontal="center" vertical="center" wrapText="1"/>
    </xf>
    <xf numFmtId="0" fontId="25" fillId="4" borderId="14"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25" fillId="4" borderId="5" xfId="0" applyFont="1" applyFill="1" applyBorder="1" applyAlignment="1">
      <alignment horizontal="center" vertical="center"/>
    </xf>
    <xf numFmtId="0" fontId="25" fillId="4" borderId="14" xfId="0" applyFont="1" applyFill="1" applyBorder="1" applyAlignment="1">
      <alignment horizontal="center" vertical="center"/>
    </xf>
    <xf numFmtId="0" fontId="25" fillId="4" borderId="15" xfId="0" applyFont="1" applyFill="1" applyBorder="1" applyAlignment="1">
      <alignment horizontal="center" vertical="center"/>
    </xf>
    <xf numFmtId="0" fontId="0" fillId="0" borderId="6"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9" xfId="0" applyBorder="1" applyAlignment="1">
      <alignment horizontal="center" wrapText="1"/>
    </xf>
    <xf numFmtId="0" fontId="0" fillId="0" borderId="0" xfId="0" applyAlignment="1">
      <alignment horizontal="center" wrapText="1"/>
    </xf>
    <xf numFmtId="0" fontId="0" fillId="0" borderId="10" xfId="0" applyBorder="1" applyAlignment="1">
      <alignment horizontal="center" wrapText="1"/>
    </xf>
    <xf numFmtId="0" fontId="11" fillId="4" borderId="1" xfId="0" applyFont="1" applyFill="1" applyBorder="1" applyAlignment="1">
      <alignment horizontal="right" vertical="center" wrapText="1"/>
    </xf>
    <xf numFmtId="0" fontId="11" fillId="4" borderId="3" xfId="0" applyFont="1" applyFill="1" applyBorder="1" applyAlignment="1">
      <alignment horizontal="right" vertical="center" wrapText="1"/>
    </xf>
    <xf numFmtId="170" fontId="0" fillId="4" borderId="1" xfId="0" applyNumberFormat="1" applyFill="1" applyBorder="1" applyAlignment="1">
      <alignment horizontal="center"/>
    </xf>
    <xf numFmtId="170" fontId="0" fillId="4" borderId="3" xfId="0" applyNumberFormat="1" applyFill="1" applyBorder="1" applyAlignment="1">
      <alignment horizontal="center"/>
    </xf>
    <xf numFmtId="187" fontId="0" fillId="4" borderId="1" xfId="0" applyNumberFormat="1" applyFill="1" applyBorder="1" applyAlignment="1">
      <alignment horizontal="center"/>
    </xf>
    <xf numFmtId="187" fontId="0" fillId="4" borderId="3" xfId="0" applyNumberFormat="1" applyFill="1" applyBorder="1" applyAlignment="1">
      <alignment horizontal="center"/>
    </xf>
    <xf numFmtId="0" fontId="30" fillId="0" borderId="1" xfId="0" applyFont="1" applyBorder="1" applyAlignment="1">
      <alignment horizontal="right" vertical="center" wrapText="1"/>
    </xf>
    <xf numFmtId="0" fontId="30" fillId="0" borderId="3" xfId="0" applyFont="1" applyBorder="1" applyAlignment="1">
      <alignment horizontal="right" vertical="center" wrapText="1"/>
    </xf>
    <xf numFmtId="0" fontId="11" fillId="0" borderId="1"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179" fontId="0" fillId="4" borderId="1" xfId="0" applyNumberFormat="1" applyFill="1" applyBorder="1" applyAlignment="1">
      <alignment horizontal="center"/>
    </xf>
    <xf numFmtId="179" fontId="0" fillId="4" borderId="3" xfId="0" applyNumberFormat="1" applyFill="1" applyBorder="1" applyAlignment="1">
      <alignment horizontal="center"/>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2" xfId="0" applyFont="1" applyBorder="1" applyAlignment="1">
      <alignment horizontal="center" vertical="center"/>
    </xf>
    <xf numFmtId="0" fontId="85" fillId="41" borderId="4" xfId="0" applyFont="1" applyFill="1" applyBorder="1" applyAlignment="1">
      <alignment horizontal="left" vertical="top" wrapText="1"/>
    </xf>
    <xf numFmtId="0" fontId="85" fillId="41" borderId="4" xfId="0" applyFont="1" applyFill="1" applyBorder="1" applyAlignment="1">
      <alignment horizontal="left" vertical="top"/>
    </xf>
    <xf numFmtId="0" fontId="24" fillId="4" borderId="92" xfId="3" applyFont="1" applyFill="1" applyBorder="1" applyAlignment="1" applyProtection="1">
      <alignment horizontal="center" vertical="center" wrapText="1"/>
    </xf>
    <xf numFmtId="0" fontId="24" fillId="4" borderId="97" xfId="3" applyFont="1" applyFill="1" applyBorder="1" applyAlignment="1" applyProtection="1">
      <alignment horizontal="center" vertical="center" wrapText="1"/>
    </xf>
    <xf numFmtId="0" fontId="30" fillId="0" borderId="94" xfId="3" applyFont="1" applyFill="1" applyBorder="1" applyAlignment="1" applyProtection="1">
      <alignment horizontal="center" vertical="center" wrapText="1"/>
    </xf>
    <xf numFmtId="0" fontId="30" fillId="0" borderId="95" xfId="3" applyFont="1" applyFill="1" applyBorder="1" applyAlignment="1" applyProtection="1">
      <alignment horizontal="center" vertical="center" wrapText="1"/>
    </xf>
    <xf numFmtId="0" fontId="0" fillId="2" borderId="6" xfId="0" applyFill="1" applyBorder="1" applyAlignment="1">
      <alignment horizontal="center" vertical="center" wrapText="1"/>
    </xf>
    <xf numFmtId="0" fontId="0" fillId="2" borderId="8" xfId="0" applyFill="1" applyBorder="1" applyAlignment="1">
      <alignment horizontal="center" vertical="center" wrapText="1"/>
    </xf>
    <xf numFmtId="0" fontId="11" fillId="2" borderId="5" xfId="0" applyFont="1" applyFill="1" applyBorder="1" applyAlignment="1">
      <alignment horizontal="center" vertical="center" textRotation="90" wrapText="1"/>
    </xf>
    <xf numFmtId="0" fontId="11" fillId="2" borderId="14" xfId="0" applyFont="1" applyFill="1" applyBorder="1" applyAlignment="1">
      <alignment horizontal="center" vertical="center" textRotation="90" wrapText="1"/>
    </xf>
    <xf numFmtId="0" fontId="11" fillId="2" borderId="102" xfId="0" applyFont="1" applyFill="1" applyBorder="1" applyAlignment="1">
      <alignment horizontal="center" vertical="center" textRotation="90" wrapText="1"/>
    </xf>
    <xf numFmtId="0" fontId="6" fillId="0" borderId="101" xfId="3" applyFill="1" applyBorder="1" applyAlignment="1" applyProtection="1">
      <alignment horizontal="left" vertical="center" wrapText="1"/>
    </xf>
    <xf numFmtId="0" fontId="6" fillId="0" borderId="76" xfId="3" applyFill="1" applyBorder="1" applyAlignment="1" applyProtection="1">
      <alignment horizontal="left" vertical="center" wrapText="1"/>
    </xf>
    <xf numFmtId="0" fontId="24" fillId="4" borderId="92" xfId="3" applyFont="1" applyFill="1" applyBorder="1" applyAlignment="1" applyProtection="1">
      <alignment horizontal="center" vertical="center"/>
    </xf>
    <xf numFmtId="0" fontId="24" fillId="4" borderId="97" xfId="3" applyFont="1" applyFill="1" applyBorder="1" applyAlignment="1" applyProtection="1">
      <alignment horizontal="center" vertical="center"/>
    </xf>
    <xf numFmtId="170" fontId="24" fillId="4" borderId="99" xfId="3" applyNumberFormat="1" applyFont="1" applyFill="1" applyBorder="1" applyAlignment="1" applyProtection="1">
      <alignment horizontal="center" wrapText="1"/>
    </xf>
    <xf numFmtId="170" fontId="24" fillId="4" borderId="68" xfId="3" applyNumberFormat="1" applyFont="1" applyFill="1" applyBorder="1" applyAlignment="1" applyProtection="1">
      <alignment horizontal="center" wrapText="1"/>
    </xf>
    <xf numFmtId="0" fontId="30" fillId="0" borderId="70" xfId="3" applyFont="1" applyFill="1" applyBorder="1" applyAlignment="1" applyProtection="1">
      <alignment horizontal="left" vertical="center" wrapText="1"/>
    </xf>
    <xf numFmtId="0" fontId="30" fillId="0" borderId="68" xfId="3" applyFont="1" applyFill="1" applyBorder="1" applyAlignment="1" applyProtection="1">
      <alignment horizontal="left" vertical="center" wrapText="1"/>
    </xf>
    <xf numFmtId="0" fontId="30" fillId="0" borderId="100" xfId="3" applyFont="1" applyFill="1" applyBorder="1" applyAlignment="1" applyProtection="1">
      <alignment horizontal="left" vertical="center" wrapText="1"/>
    </xf>
    <xf numFmtId="0" fontId="24" fillId="4" borderId="104" xfId="3" applyFont="1" applyFill="1" applyBorder="1" applyAlignment="1" applyProtection="1">
      <alignment horizontal="center" vertical="center" wrapText="1"/>
    </xf>
    <xf numFmtId="0" fontId="24" fillId="4" borderId="9" xfId="3" applyFont="1" applyFill="1" applyBorder="1" applyAlignment="1" applyProtection="1">
      <alignment horizontal="center" vertical="center" wrapText="1"/>
    </xf>
    <xf numFmtId="0" fontId="24" fillId="4" borderId="110" xfId="3" applyFont="1" applyFill="1" applyBorder="1" applyAlignment="1" applyProtection="1">
      <alignment horizontal="center" vertical="center" wrapText="1"/>
    </xf>
    <xf numFmtId="0" fontId="24" fillId="4" borderId="115" xfId="3" applyFont="1" applyFill="1" applyBorder="1" applyAlignment="1" applyProtection="1">
      <alignment horizontal="center" vertical="center" wrapText="1"/>
    </xf>
    <xf numFmtId="0" fontId="24" fillId="4" borderId="116" xfId="3" applyFont="1" applyFill="1" applyBorder="1" applyAlignment="1" applyProtection="1">
      <alignment horizontal="center" vertical="center" wrapText="1"/>
    </xf>
    <xf numFmtId="0" fontId="24" fillId="4" borderId="117" xfId="3" applyFont="1" applyFill="1" applyBorder="1" applyAlignment="1" applyProtection="1">
      <alignment horizontal="center" vertical="center" wrapText="1"/>
    </xf>
    <xf numFmtId="0" fontId="0" fillId="4" borderId="64" xfId="0" applyFill="1" applyBorder="1" applyAlignment="1">
      <alignment horizontal="center" vertical="center" wrapText="1"/>
    </xf>
    <xf numFmtId="0" fontId="0" fillId="4" borderId="74" xfId="0" applyFill="1" applyBorder="1" applyAlignment="1">
      <alignment horizontal="center" vertical="center" wrapText="1"/>
    </xf>
    <xf numFmtId="0" fontId="0" fillId="4" borderId="69" xfId="0" applyFill="1" applyBorder="1" applyAlignment="1">
      <alignment horizontal="center" vertical="center" wrapText="1"/>
    </xf>
    <xf numFmtId="0" fontId="0" fillId="4" borderId="66" xfId="0" applyFill="1" applyBorder="1" applyAlignment="1">
      <alignment horizontal="center" vertical="center" wrapText="1"/>
    </xf>
    <xf numFmtId="0" fontId="0" fillId="4" borderId="63" xfId="0" applyFill="1" applyBorder="1" applyAlignment="1">
      <alignment horizontal="center" vertical="center" wrapText="1"/>
    </xf>
    <xf numFmtId="0" fontId="0" fillId="4" borderId="76" xfId="0" applyFill="1" applyBorder="1" applyAlignment="1">
      <alignment horizontal="center" vertical="center" wrapText="1"/>
    </xf>
    <xf numFmtId="0" fontId="18" fillId="0" borderId="51" xfId="3" applyFont="1" applyFill="1" applyBorder="1" applyAlignment="1" applyProtection="1">
      <alignment horizontal="center" vertical="center" wrapText="1"/>
    </xf>
    <xf numFmtId="0" fontId="17" fillId="0" borderId="51" xfId="0" applyFont="1" applyBorder="1" applyAlignment="1">
      <alignment horizontal="center" vertical="center"/>
    </xf>
    <xf numFmtId="0" fontId="0" fillId="0" borderId="54" xfId="0" applyBorder="1" applyAlignment="1">
      <alignment horizontal="center" vertical="center" wrapText="1"/>
    </xf>
    <xf numFmtId="0" fontId="0" fillId="0" borderId="57" xfId="0" applyBorder="1" applyAlignment="1">
      <alignment horizontal="center" vertical="center" wrapText="1"/>
    </xf>
    <xf numFmtId="0" fontId="17" fillId="0" borderId="55" xfId="0" applyFont="1" applyBorder="1" applyAlignment="1">
      <alignment horizontal="center" vertical="center"/>
    </xf>
    <xf numFmtId="0" fontId="17" fillId="0" borderId="58" xfId="0" applyFont="1" applyBorder="1" applyAlignment="1">
      <alignment horizontal="center" vertical="center"/>
    </xf>
    <xf numFmtId="0" fontId="18" fillId="0" borderId="56" xfId="3" applyFont="1" applyFill="1" applyBorder="1" applyAlignment="1" applyProtection="1">
      <alignment horizontal="center" vertical="center" wrapText="1"/>
    </xf>
    <xf numFmtId="0" fontId="18" fillId="0" borderId="51" xfId="3" applyFont="1" applyFill="1" applyBorder="1" applyAlignment="1" applyProtection="1">
      <alignment horizontal="center" vertical="center"/>
    </xf>
    <xf numFmtId="0" fontId="18" fillId="0" borderId="55" xfId="3" applyFont="1" applyFill="1" applyBorder="1" applyAlignment="1" applyProtection="1">
      <alignment horizontal="center" vertical="center"/>
    </xf>
    <xf numFmtId="0" fontId="18" fillId="0" borderId="58" xfId="3" applyFont="1" applyFill="1" applyBorder="1" applyAlignment="1" applyProtection="1">
      <alignment horizontal="center" vertical="center"/>
    </xf>
    <xf numFmtId="0" fontId="24" fillId="58" borderId="53" xfId="3" applyFont="1" applyFill="1" applyBorder="1" applyAlignment="1" applyProtection="1">
      <alignment horizontal="left"/>
    </xf>
    <xf numFmtId="0" fontId="24" fillId="58" borderId="56" xfId="3" applyFont="1" applyFill="1" applyBorder="1" applyAlignment="1" applyProtection="1">
      <alignment horizontal="left"/>
    </xf>
    <xf numFmtId="0" fontId="18" fillId="43" borderId="80" xfId="3" applyFont="1" applyFill="1" applyBorder="1" applyAlignment="1" applyProtection="1">
      <alignment horizontal="center" vertical="center" wrapText="1"/>
    </xf>
    <xf numFmtId="0" fontId="18" fillId="43" borderId="81" xfId="3" applyFont="1" applyFill="1" applyBorder="1" applyAlignment="1" applyProtection="1">
      <alignment horizontal="center" vertical="center" wrapText="1"/>
    </xf>
    <xf numFmtId="0" fontId="18" fillId="0" borderId="82" xfId="3" applyFont="1" applyFill="1" applyBorder="1" applyAlignment="1" applyProtection="1">
      <alignment horizontal="center" vertical="center" wrapText="1"/>
    </xf>
    <xf numFmtId="0" fontId="18" fillId="0" borderId="83" xfId="3" applyFont="1" applyFill="1" applyBorder="1" applyAlignment="1" applyProtection="1">
      <alignment horizontal="center" vertical="center" wrapText="1"/>
    </xf>
    <xf numFmtId="0" fontId="18" fillId="0" borderId="53" xfId="3" applyFont="1" applyFill="1" applyBorder="1" applyAlignment="1" applyProtection="1">
      <alignment horizontal="center" vertical="center" wrapText="1"/>
    </xf>
    <xf numFmtId="0" fontId="18" fillId="0" borderId="79" xfId="3" applyFont="1" applyFill="1" applyBorder="1" applyAlignment="1" applyProtection="1">
      <alignment horizontal="left"/>
    </xf>
    <xf numFmtId="0" fontId="18" fillId="0" borderId="72" xfId="3" applyFont="1" applyFill="1" applyBorder="1" applyAlignment="1" applyProtection="1">
      <alignment horizontal="left"/>
    </xf>
    <xf numFmtId="0" fontId="18" fillId="44" borderId="56" xfId="3" applyFont="1" applyFill="1" applyBorder="1" applyAlignment="1" applyProtection="1">
      <alignment horizontal="center" vertical="center" wrapText="1"/>
    </xf>
    <xf numFmtId="0" fontId="18" fillId="44" borderId="53" xfId="3" applyFont="1" applyFill="1" applyBorder="1" applyAlignment="1" applyProtection="1">
      <alignment horizontal="center" vertical="center" wrapText="1"/>
    </xf>
    <xf numFmtId="0" fontId="18" fillId="21" borderId="80" xfId="3" applyFont="1" applyFill="1" applyBorder="1" applyAlignment="1" applyProtection="1">
      <alignment horizontal="center" vertical="center" wrapText="1"/>
    </xf>
    <xf numFmtId="0" fontId="18" fillId="21" borderId="81" xfId="3" applyFont="1" applyFill="1" applyBorder="1" applyAlignment="1" applyProtection="1">
      <alignment horizontal="center" vertical="center" wrapText="1"/>
    </xf>
    <xf numFmtId="0" fontId="18" fillId="0" borderId="53" xfId="3" applyFont="1" applyFill="1" applyBorder="1" applyAlignment="1" applyProtection="1">
      <alignment horizontal="left"/>
    </xf>
    <xf numFmtId="0" fontId="18" fillId="0" borderId="56" xfId="3" applyFont="1" applyFill="1" applyBorder="1" applyAlignment="1" applyProtection="1">
      <alignment horizontal="left"/>
    </xf>
    <xf numFmtId="0" fontId="17" fillId="0" borderId="64" xfId="0" applyFont="1" applyBorder="1" applyAlignment="1">
      <alignment horizontal="center" vertical="center" wrapText="1"/>
    </xf>
    <xf numFmtId="0" fontId="17" fillId="0" borderId="69" xfId="0" applyFont="1" applyBorder="1" applyAlignment="1">
      <alignment horizontal="center" vertical="center" wrapText="1"/>
    </xf>
    <xf numFmtId="0" fontId="17" fillId="0" borderId="65" xfId="0" applyFont="1" applyBorder="1" applyAlignment="1">
      <alignment horizontal="center" vertical="center" wrapText="1"/>
    </xf>
    <xf numFmtId="0" fontId="17" fillId="0" borderId="75" xfId="0" applyFont="1" applyBorder="1" applyAlignment="1">
      <alignment horizontal="center" vertical="center" wrapText="1"/>
    </xf>
    <xf numFmtId="0" fontId="17" fillId="0" borderId="66" xfId="0" applyFont="1" applyBorder="1" applyAlignment="1">
      <alignment horizontal="center" vertical="center" wrapText="1"/>
    </xf>
    <xf numFmtId="0" fontId="17" fillId="0" borderId="76" xfId="0" applyFont="1" applyBorder="1" applyAlignment="1">
      <alignment horizontal="center" vertical="center" wrapText="1"/>
    </xf>
    <xf numFmtId="0" fontId="24" fillId="0" borderId="0" xfId="0" applyFont="1" applyAlignment="1">
      <alignment horizontal="left"/>
    </xf>
    <xf numFmtId="0" fontId="66" fillId="0" borderId="65" xfId="0" applyFont="1" applyBorder="1" applyAlignment="1">
      <alignment horizontal="center" vertical="top"/>
    </xf>
    <xf numFmtId="0" fontId="66" fillId="0" borderId="0" xfId="0" applyFont="1" applyAlignment="1">
      <alignment horizontal="center" vertical="top"/>
    </xf>
    <xf numFmtId="0" fontId="66" fillId="0" borderId="75" xfId="0" applyFont="1" applyBorder="1" applyAlignment="1">
      <alignment horizontal="center" vertical="top"/>
    </xf>
    <xf numFmtId="0" fontId="17" fillId="0" borderId="78" xfId="0" applyFont="1" applyBorder="1" applyAlignment="1">
      <alignment horizontal="left" vertical="center"/>
    </xf>
    <xf numFmtId="0" fontId="18" fillId="0" borderId="78" xfId="3" applyFont="1" applyFill="1" applyBorder="1" applyAlignment="1" applyProtection="1">
      <alignment horizontal="center" vertical="center" wrapText="1"/>
    </xf>
    <xf numFmtId="0" fontId="18" fillId="0" borderId="78" xfId="3" applyFont="1" applyFill="1" applyBorder="1" applyAlignment="1" applyProtection="1">
      <alignment horizontal="left"/>
    </xf>
    <xf numFmtId="0" fontId="20" fillId="10" borderId="78" xfId="3" applyFont="1" applyFill="1" applyBorder="1" applyAlignment="1" applyProtection="1">
      <alignment horizontal="left"/>
    </xf>
    <xf numFmtId="0" fontId="18" fillId="44" borderId="51" xfId="3" applyFont="1" applyFill="1" applyBorder="1" applyAlignment="1" applyProtection="1">
      <alignment horizontal="center" vertical="center" wrapText="1"/>
    </xf>
    <xf numFmtId="0" fontId="66" fillId="0" borderId="64" xfId="0" applyFont="1" applyBorder="1" applyAlignment="1">
      <alignment horizontal="center" vertical="center"/>
    </xf>
    <xf numFmtId="0" fontId="66" fillId="0" borderId="74" xfId="0" applyFont="1" applyBorder="1" applyAlignment="1">
      <alignment horizontal="center" vertical="center"/>
    </xf>
    <xf numFmtId="0" fontId="66" fillId="0" borderId="69" xfId="0" applyFont="1" applyBorder="1" applyAlignment="1">
      <alignment horizontal="center" vertical="center"/>
    </xf>
    <xf numFmtId="0" fontId="66" fillId="0" borderId="66" xfId="0" applyFont="1" applyBorder="1" applyAlignment="1">
      <alignment horizontal="center" vertical="center"/>
    </xf>
    <xf numFmtId="0" fontId="66" fillId="0" borderId="63" xfId="0" applyFont="1" applyBorder="1" applyAlignment="1">
      <alignment horizontal="center" vertical="center"/>
    </xf>
    <xf numFmtId="0" fontId="66" fillId="0" borderId="76" xfId="0" applyFont="1" applyBorder="1" applyAlignment="1">
      <alignment horizontal="center" vertical="center"/>
    </xf>
    <xf numFmtId="0" fontId="24" fillId="0" borderId="120" xfId="0" applyFont="1" applyBorder="1" applyAlignment="1">
      <alignment horizontal="left" vertical="center" wrapText="1"/>
    </xf>
    <xf numFmtId="0" fontId="24" fillId="0" borderId="121" xfId="0" applyFont="1" applyBorder="1" applyAlignment="1">
      <alignment horizontal="left" vertical="center" wrapText="1"/>
    </xf>
    <xf numFmtId="0" fontId="24" fillId="0" borderId="122" xfId="0" applyFont="1" applyBorder="1" applyAlignment="1">
      <alignment horizontal="left" vertical="center" wrapText="1"/>
    </xf>
    <xf numFmtId="0" fontId="24" fillId="0" borderId="120" xfId="0" applyFont="1" applyBorder="1" applyAlignment="1">
      <alignment horizontal="left" vertical="center"/>
    </xf>
    <xf numFmtId="0" fontId="24" fillId="0" borderId="121" xfId="0" applyFont="1" applyBorder="1" applyAlignment="1">
      <alignment horizontal="left" vertical="center"/>
    </xf>
    <xf numFmtId="0" fontId="24" fillId="0" borderId="122" xfId="0" applyFont="1" applyBorder="1" applyAlignment="1">
      <alignment horizontal="left" vertical="center"/>
    </xf>
  </cellXfs>
  <cellStyles count="223">
    <cellStyle name="20 % - Aksentti1" xfId="16" builtinId="30" customBuiltin="1"/>
    <cellStyle name="20 % - Aksentti1 2" xfId="180" xr:uid="{778123C0-7635-4E6F-A426-015254896B15}"/>
    <cellStyle name="20 % - Aksentti1 3" xfId="117" xr:uid="{EDDF4C57-065B-46E6-A313-45CDED6AAF7B}"/>
    <cellStyle name="20 % - Aksentti2" xfId="18" builtinId="34" customBuiltin="1"/>
    <cellStyle name="20 % - Aksentti2 2" xfId="183" xr:uid="{353D9A23-AE4C-4AC2-AA32-7F2440057F90}"/>
    <cellStyle name="20 % - Aksentti2 3" xfId="120" xr:uid="{FADB5D3F-A5AD-4816-AA7F-7CABEF28A294}"/>
    <cellStyle name="20 % - Aksentti3" xfId="20" builtinId="38" customBuiltin="1"/>
    <cellStyle name="20 % - Aksentti3 2" xfId="186" xr:uid="{E08211DA-B1BC-4CF8-870D-081BA380896A}"/>
    <cellStyle name="20 % - Aksentti3 3" xfId="123" xr:uid="{EAC01E61-298A-477B-B006-465799B838CA}"/>
    <cellStyle name="20 % - Aksentti4" xfId="22" builtinId="42" customBuiltin="1"/>
    <cellStyle name="20 % - Aksentti4 2" xfId="83" xr:uid="{80E184FC-60BD-49A8-A2A2-8214001D6CEC}"/>
    <cellStyle name="20 % - Aksentti4 2 2" xfId="164" xr:uid="{4D73EA05-3D44-4804-837D-4C1E433E1B38}"/>
    <cellStyle name="20 % - Aksentti4 2 3" xfId="137" xr:uid="{75FA28A5-A5D8-4F81-88AC-2BA55FBA5598}"/>
    <cellStyle name="20 % - Aksentti4 3" xfId="188" xr:uid="{BB423F03-719B-4EA3-813D-915B33D4ED5A}"/>
    <cellStyle name="20 % - Aksentti4 4" xfId="125" xr:uid="{A17F254D-4BD8-4BF4-AD86-FB12D5924230}"/>
    <cellStyle name="20 % - Aksentti5" xfId="24" builtinId="46" customBuiltin="1"/>
    <cellStyle name="20 % - Aksentti5 2" xfId="190" xr:uid="{CB8BFDEC-D9F9-433A-9E2E-3E3805726683}"/>
    <cellStyle name="20 % - Aksentti5 3" xfId="127" xr:uid="{0113BC87-0E9E-4C3B-AC5F-F25DB023EF53}"/>
    <cellStyle name="20 % - Aksentti6" xfId="26" builtinId="50" customBuiltin="1"/>
    <cellStyle name="20 % - Aksentti6 2" xfId="193" xr:uid="{027A69A0-A753-427D-A2C3-82C00A872657}"/>
    <cellStyle name="20 % - Aksentti6 3" xfId="130" xr:uid="{909CB4CB-E282-47FF-8DED-1B47ACB3EC09}"/>
    <cellStyle name="40 % - Aksentti1" xfId="17" builtinId="31" customBuiltin="1"/>
    <cellStyle name="40 % - Aksentti1 2" xfId="181" xr:uid="{E2AC1AFA-07F0-4006-9E0D-720162F2E450}"/>
    <cellStyle name="40 % - Aksentti1 3" xfId="118" xr:uid="{9F67F021-58B3-41DB-8BFB-0890ADDAF592}"/>
    <cellStyle name="40 % - Aksentti2" xfId="19" builtinId="35" customBuiltin="1"/>
    <cellStyle name="40 % - Aksentti2 2" xfId="77" xr:uid="{8B899E32-A755-479D-B7B1-36825027E431}"/>
    <cellStyle name="40 % - Aksentti2 2 2" xfId="84" xr:uid="{33796B7A-DA85-475B-A1EB-430219418546}"/>
    <cellStyle name="40 % - Aksentti2 2 2 2" xfId="165" xr:uid="{A2C991A5-7405-4D90-84E4-13D815E9613D}"/>
    <cellStyle name="40 % - Aksentti2 2 2 3" xfId="138" xr:uid="{EA14F1EB-1E39-45CC-AA76-B04809EDFF21}"/>
    <cellStyle name="40 % - Aksentti2 2 3" xfId="161" xr:uid="{99F82735-2332-45F0-9F14-FDFD61C0B05F}"/>
    <cellStyle name="40 % - Aksentti2 2 4" xfId="134" xr:uid="{C9E340B7-DDF5-40DB-A8BD-473D861337FA}"/>
    <cellStyle name="40 % - Aksentti2 3" xfId="184" xr:uid="{1E8CE784-6E8C-4C35-9EC2-CF31DA4EDD6D}"/>
    <cellStyle name="40 % - Aksentti2 4" xfId="121" xr:uid="{38F5033C-34F5-4481-A005-A69D339887B6}"/>
    <cellStyle name="40 % - Aksentti3" xfId="21" builtinId="39" customBuiltin="1"/>
    <cellStyle name="40 % - Aksentti3 2" xfId="187" xr:uid="{86A914D6-733E-45D7-A802-4DE962493BE6}"/>
    <cellStyle name="40 % - Aksentti3 3" xfId="124" xr:uid="{023797E8-7910-416C-8789-9D73C6F30A82}"/>
    <cellStyle name="40 % - Aksentti4" xfId="23" builtinId="43" customBuiltin="1"/>
    <cellStyle name="40 % - Aksentti4 2" xfId="189" xr:uid="{1EFFFC3D-A824-4847-A79A-75B0836249EB}"/>
    <cellStyle name="40 % - Aksentti4 3" xfId="126" xr:uid="{F61F0C09-02A9-4310-BD38-C61C3B726BAF}"/>
    <cellStyle name="40 % - Aksentti5" xfId="25" builtinId="47" customBuiltin="1"/>
    <cellStyle name="40 % - Aksentti5 2" xfId="191" xr:uid="{47D262D2-4DDE-41FA-A145-3B054D97F7F2}"/>
    <cellStyle name="40 % - Aksentti5 3" xfId="128" xr:uid="{6DF94CC1-D601-4DFB-B6B9-69066A5B445C}"/>
    <cellStyle name="40 % - Aksentti6" xfId="27" builtinId="51" customBuiltin="1"/>
    <cellStyle name="40 % - Aksentti6 2" xfId="194" xr:uid="{9CF37AE6-7970-489D-AA74-D53B65D67D94}"/>
    <cellStyle name="40 % - Aksentti6 3" xfId="131" xr:uid="{9340FA21-B92A-4018-9430-50F295C7D8D0}"/>
    <cellStyle name="60 % - Aksentti1" xfId="59" builtinId="32" customBuiltin="1"/>
    <cellStyle name="60 % - Aksentti1 2" xfId="182" xr:uid="{37807FE6-462C-4A69-8772-F86C89C69ADC}"/>
    <cellStyle name="60 % - Aksentti1 3" xfId="119" xr:uid="{755C8969-2CED-43D0-9804-96204D57F3CC}"/>
    <cellStyle name="60 % - Aksentti2" xfId="61" builtinId="36" customBuiltin="1"/>
    <cellStyle name="60 % - Aksentti2 2" xfId="185" xr:uid="{2BF3601C-7933-475B-81AE-51AB54A2A81C}"/>
    <cellStyle name="60 % - Aksentti2 3" xfId="122" xr:uid="{95423C5B-909A-4180-B14F-F5C2BD6A797C}"/>
    <cellStyle name="60 % - Aksentti3 2" xfId="99" xr:uid="{67CCB756-742B-40E6-97F8-CD8AB2C3A08E}"/>
    <cellStyle name="60 % - Aksentti3 2 2" xfId="179" xr:uid="{F83A3926-5612-40D1-BF71-069B334CFC4C}"/>
    <cellStyle name="60 % - Aksentti3 2 3" xfId="152" xr:uid="{185359E8-B6B3-4C81-BC3F-6A18EAE22A24}"/>
    <cellStyle name="60 % - Aksentti3 3" xfId="101" xr:uid="{6AEF37A0-10AE-478E-8FC5-F3DFE12C9A4F}"/>
    <cellStyle name="60 % - Aksentti3 3 2" xfId="197" xr:uid="{B1123AB9-3381-4844-A9B5-DBCB40B44343}"/>
    <cellStyle name="60 % - Aksentti3 3 3" xfId="154" xr:uid="{2281BEB0-65CF-4760-AB9A-1FBD4CD610E3}"/>
    <cellStyle name="60 % - Aksentti4" xfId="13" builtinId="44"/>
    <cellStyle name="60 % - Aksentti4 2" xfId="95" xr:uid="{7E98CBD8-C22B-4D28-80F8-80D0AC5E1309}"/>
    <cellStyle name="60 % - Aksentti4 2 2" xfId="176" xr:uid="{9E0C95C8-43DE-4A16-A49C-75E48B14972A}"/>
    <cellStyle name="60 % - Aksentti4 2 3" xfId="149" xr:uid="{B9B4442C-3ACC-457E-A21D-4EF9D48F910C}"/>
    <cellStyle name="60 % - Aksentti4 3" xfId="112" xr:uid="{715EDBC9-3FCE-4262-9D1C-5BCB71A2917B}"/>
    <cellStyle name="60 % - Aksentti4 3 2" xfId="203" xr:uid="{FD9DB152-F191-4C15-9986-92013D1C1044}"/>
    <cellStyle name="60 % - Aksentti4 3 3" xfId="160" xr:uid="{ACC64C64-1B2B-422E-9140-DFCD35924E36}"/>
    <cellStyle name="60 % - Aksentti4 4" xfId="210" xr:uid="{AB9AB8E6-EF15-4D46-8382-43D44124B335}"/>
    <cellStyle name="60 % - Aksentti4 4 2" xfId="221" xr:uid="{C656D644-D78C-438D-AB60-1541E0D8A23A}"/>
    <cellStyle name="60 % - Aksentti5" xfId="65" builtinId="48" customBuiltin="1"/>
    <cellStyle name="60 % - Aksentti5 2" xfId="192" xr:uid="{7E7F6154-B083-4C61-A998-B6B30ECEFB76}"/>
    <cellStyle name="60 % - Aksentti5 3" xfId="129" xr:uid="{18A39E73-CC34-4363-AD67-790B34FDBAEE}"/>
    <cellStyle name="60 % - Aksentti6" xfId="67" builtinId="52" customBuiltin="1"/>
    <cellStyle name="60 % - Aksentti6 2" xfId="195" xr:uid="{F585DC0F-CF02-442A-8BA7-3E38C2E439CC}"/>
    <cellStyle name="60 % - Aksentti6 3" xfId="132" xr:uid="{CE23C433-69AE-4506-B7D7-A8AA505B112C}"/>
    <cellStyle name="Aksentti1" xfId="58" builtinId="29" customBuiltin="1"/>
    <cellStyle name="Aksentti2" xfId="60" builtinId="33" customBuiltin="1"/>
    <cellStyle name="Aksentti3" xfId="62" builtinId="37" customBuiltin="1"/>
    <cellStyle name="Aksentti4" xfId="63" builtinId="41" customBuiltin="1"/>
    <cellStyle name="Aksentti5" xfId="64" builtinId="45" customBuiltin="1"/>
    <cellStyle name="Aksentti6" xfId="66" builtinId="49" customBuiltin="1"/>
    <cellStyle name="ColumnHeader" xfId="37" xr:uid="{00000000-0005-0000-0000-00000C000000}"/>
    <cellStyle name="ColumnHeaderBlue" xfId="38" xr:uid="{00000000-0005-0000-0000-00000D000000}"/>
    <cellStyle name="Comma [0] 2" xfId="33" xr:uid="{00000000-0005-0000-0000-00000E000000}"/>
    <cellStyle name="Comma 2" xfId="32" xr:uid="{00000000-0005-0000-0000-00000F000000}"/>
    <cellStyle name="Comma 3" xfId="31" xr:uid="{00000000-0005-0000-0000-000010000000}"/>
    <cellStyle name="Currency [0] 2" xfId="35" xr:uid="{00000000-0005-0000-0000-000011000000}"/>
    <cellStyle name="Currency 2" xfId="34" xr:uid="{00000000-0005-0000-0000-000012000000}"/>
    <cellStyle name="Currency 3" xfId="30" xr:uid="{00000000-0005-0000-0000-000013000000}"/>
    <cellStyle name="Highlight" xfId="39" xr:uid="{00000000-0005-0000-0000-000014000000}"/>
    <cellStyle name="Huomautus" xfId="12" builtinId="10"/>
    <cellStyle name="Huomautus 2" xfId="4" xr:uid="{00000000-0005-0000-0000-000002000000}"/>
    <cellStyle name="Huomautus 2 2" xfId="44" xr:uid="{15885474-2FCD-4583-8E5C-A82681028974}"/>
    <cellStyle name="Huomautus 2 3" xfId="163" xr:uid="{84DA3551-6161-4C4F-B48C-CA672A5B55F6}"/>
    <cellStyle name="Huomautus 2 4" xfId="136" xr:uid="{C4512C19-6446-4AE0-AC2E-247131A8ED6C}"/>
    <cellStyle name="Huomautus 2 5" xfId="208" xr:uid="{9781A7E8-0F11-4F23-852E-A5E28F7F5D87}"/>
    <cellStyle name="Huomautus 2 5 2" xfId="214" xr:uid="{A7A73FED-4008-4655-A147-512EDCBDA06A}"/>
    <cellStyle name="Huomautus 2 6" xfId="82" xr:uid="{11925BAD-A91A-4B96-AD52-D1C7DF3CEF16}"/>
    <cellStyle name="Huomautus 3" xfId="5" xr:uid="{00000000-0005-0000-0000-000003000000}"/>
    <cellStyle name="Huomautus 3 2" xfId="212" xr:uid="{9653BD13-6A3F-4B58-84EE-3ABC551D8212}"/>
    <cellStyle name="Huomautus 3 3" xfId="81" xr:uid="{49FCA9BF-224A-4EE5-A37D-EB86967B9C7C}"/>
    <cellStyle name="Huomautus 4" xfId="93" xr:uid="{1F4B0E54-4943-480E-A69B-5B9BC7B0B235}"/>
    <cellStyle name="Huomautus 4 2" xfId="174" xr:uid="{366FDEC9-FD18-4B24-A3D6-007FCA70A3F7}"/>
    <cellStyle name="Huomautus 4 3" xfId="147" xr:uid="{4E6E02AE-373F-45C5-8960-22ADB7940CA0}"/>
    <cellStyle name="Huomautus 5" xfId="96" xr:uid="{F27CBD98-4999-4945-8FAF-8C34A8885C7C}"/>
    <cellStyle name="Huomautus 5 2" xfId="177" xr:uid="{0B88BF35-E76D-4252-959A-482E6CA9E811}"/>
    <cellStyle name="Huomautus 5 3" xfId="150" xr:uid="{06550DC1-242D-4676-ACF4-90F6BBDFD638}"/>
    <cellStyle name="Huomautus 6" xfId="111" xr:uid="{374E9E0F-CFE0-4F99-B9A4-B864AB74CB51}"/>
    <cellStyle name="Huomautus 6 2" xfId="202" xr:uid="{D944DD43-26E3-43CA-83CA-21EECFC73DCA}"/>
    <cellStyle name="Huomautus 6 3" xfId="159" xr:uid="{75B0330F-61ED-4D69-99A2-D5DE03084100}"/>
    <cellStyle name="Huomautus 7" xfId="211" xr:uid="{E1B6B305-8C82-4B50-BD63-99C95F170ADA}"/>
    <cellStyle name="Huomautus 7 2" xfId="220" xr:uid="{696A1C75-720A-4E0E-BB6F-245D08F7B67D}"/>
    <cellStyle name="Huomautus 8" xfId="71" xr:uid="{844C00F9-6326-41B6-8D81-1C2AAFB391F0}"/>
    <cellStyle name="Huono" xfId="11" builtinId="27" customBuiltin="1"/>
    <cellStyle name="Hyperlink" xfId="102" xr:uid="{53CC2D0B-6D9A-4DAF-882E-633C234E6FFD}"/>
    <cellStyle name="Hyperlinkki" xfId="14" builtinId="8"/>
    <cellStyle name="Hyperlinkki 2" xfId="28" xr:uid="{00000000-0005-0000-0000-000039000000}"/>
    <cellStyle name="Hyperlinkki 2 2" xfId="75" xr:uid="{7D957DC9-E1AD-4519-B1BE-C274E1269CBD}"/>
    <cellStyle name="Hyperlinkki 2 3" xfId="109" xr:uid="{DD7D3DF6-D193-40DD-B832-60F69D5F07B0}"/>
    <cellStyle name="Hyperlinkki 2 4" xfId="86" xr:uid="{F07CDAA4-499C-4593-81A4-8B412D59C640}"/>
    <cellStyle name="Hyperlinkki 3" xfId="87" xr:uid="{EF3235B9-49A4-43E8-A8B9-58A655336C9B}"/>
    <cellStyle name="Hyperlinkki 4" xfId="213" xr:uid="{B507790C-7B26-4DE9-BEBF-D2C37BE2C0CD}"/>
    <cellStyle name="Hyperlinkki 5" xfId="97" xr:uid="{31C3FE55-6A1E-4078-B267-1E4DDAB2C609}"/>
    <cellStyle name="Hyvä" xfId="10" builtinId="26" customBuiltin="1"/>
    <cellStyle name="Laskenta" xfId="52" builtinId="22" customBuiltin="1"/>
    <cellStyle name="Laskenta 2" xfId="3" xr:uid="{00000000-0005-0000-0000-000007000000}"/>
    <cellStyle name="Linkitetty solu" xfId="53" builtinId="24" customBuiltin="1"/>
    <cellStyle name="luettelo" xfId="6" xr:uid="{00000000-0005-0000-0000-000008000000}"/>
    <cellStyle name="Neutraali" xfId="50" builtinId="28" customBuiltin="1"/>
    <cellStyle name="Neutraali 2" xfId="9" xr:uid="{00000000-0005-0000-0000-000009000000}"/>
    <cellStyle name="Neutraali 2 2" xfId="215" xr:uid="{2B3FF5CB-1ADF-4BD1-B99B-69DB15D083A3}"/>
    <cellStyle name="Neutraali 3" xfId="42" xr:uid="{A68D243F-AC8B-41FC-AA24-8B4B146B4A3E}"/>
    <cellStyle name="Normaali" xfId="0" builtinId="0"/>
    <cellStyle name="Normaali 10" xfId="108" xr:uid="{8E56BCC6-5173-4B71-AE1D-01AC159A5D04}"/>
    <cellStyle name="Normaali 10 2" xfId="209" xr:uid="{4A220D20-E13C-4348-A226-FFFE02362903}"/>
    <cellStyle name="Normaali 10 2 2" xfId="70" xr:uid="{0387BFAC-D32F-425B-9119-729B0360ADFD}"/>
    <cellStyle name="Normaali 10 2 3" xfId="217" xr:uid="{554D4333-6BBA-4F72-B64E-621D1CC1DB85}"/>
    <cellStyle name="Normaali 11" xfId="100" xr:uid="{4373893A-FCA7-4A68-AD0D-B30BB68E204F}"/>
    <cellStyle name="Normaali 11 2" xfId="196" xr:uid="{AD3ABDA9-6CCC-4247-8EBE-FBE50426DA75}"/>
    <cellStyle name="Normaali 11 3" xfId="153" xr:uid="{6A13FA42-879C-441D-BF36-A0A77A8804BE}"/>
    <cellStyle name="Normaali 12" xfId="133" xr:uid="{79166D31-BFA7-4A5F-9C0C-C6670D24846F}"/>
    <cellStyle name="Normaali 13" xfId="206" xr:uid="{BB018E52-2F3E-449C-B910-5A62718D1E1C}"/>
    <cellStyle name="Normaali 14" xfId="69" xr:uid="{591CFDBF-73A2-436E-A82E-ED186DA60DDB}"/>
    <cellStyle name="Normaali 15" xfId="216" xr:uid="{44C97E93-BF35-4CD9-B373-862BC8F419D3}"/>
    <cellStyle name="Normaali 2" xfId="15" xr:uid="{00000000-0005-0000-0000-00000B000000}"/>
    <cellStyle name="Normaali 2 2" xfId="68" xr:uid="{B1C88025-6381-47EE-8E59-DBA7FA8DFDE0}"/>
    <cellStyle name="Normaali 2 2 2" xfId="85" xr:uid="{AFB5AA0F-BB2F-4FFA-AB56-F7D89F409014}"/>
    <cellStyle name="Normaali 2 2 2 2" xfId="73" xr:uid="{67C7158B-3F6B-4289-AD8A-E1CE8DB7A6CA}"/>
    <cellStyle name="Normaali 2 2 2 2 2" xfId="92" xr:uid="{A3CA0C2A-EBAF-4FAD-839E-D611532B7EC0}"/>
    <cellStyle name="Normaali 2 2 2 2 2 2" xfId="173" xr:uid="{447B2D05-8EAE-40BF-AEF1-099576998216}"/>
    <cellStyle name="Normaali 2 2 2 2 2 3" xfId="146" xr:uid="{F3F18DE5-DD99-40ED-8804-D1865F80FA33}"/>
    <cellStyle name="Normaali 2 2 2 2 3" xfId="170" xr:uid="{8C0C1F0F-4823-4187-8290-83267D1B6BDF}"/>
    <cellStyle name="Normaali 2 2 2 2 4" xfId="143" xr:uid="{DB8E9960-ECDC-46A9-A2AD-6210E55EA073}"/>
    <cellStyle name="Normaali 2 2 2 2 5" xfId="222" xr:uid="{16BF0EF7-6447-4120-802A-B69D0318B081}"/>
    <cellStyle name="Normaali 2 2 2 3" xfId="166" xr:uid="{5FB9EBCA-A4A7-41F5-94A4-C96772A4A030}"/>
    <cellStyle name="Normaali 2 2 2 4" xfId="139" xr:uid="{982AF899-EC24-403F-B024-BA98F7BF4B3F}"/>
    <cellStyle name="Normaali 2 2 3" xfId="80" xr:uid="{77C8097B-64BB-4A2C-9B97-E8392FD0345F}"/>
    <cellStyle name="Normaali 2 3" xfId="72" xr:uid="{ECEA8B31-A867-4611-BA47-7420A774BD95}"/>
    <cellStyle name="Normaali 2 3 2" xfId="172" xr:uid="{4E2233B1-3A39-4945-83C6-094E757A74A7}"/>
    <cellStyle name="Normaali 2 3 3" xfId="145" xr:uid="{63498F1A-2685-4334-BEBC-FF1D3DFA5828}"/>
    <cellStyle name="Normaali 2 3 4" xfId="91" xr:uid="{F3C886CF-5A68-4934-B0DB-CE547A6F5542}"/>
    <cellStyle name="Normaali 2 4" xfId="162" xr:uid="{DB1752E6-645A-408D-AD19-F3F53D44EAA5}"/>
    <cellStyle name="Normaali 2 5" xfId="135" xr:uid="{2A539889-325D-4E56-B0A8-1083FDDD0450}"/>
    <cellStyle name="Normaali 2 6" xfId="219" xr:uid="{E54F798C-9CCB-4A33-B820-83A7382A955A}"/>
    <cellStyle name="Normaali 3" xfId="7" xr:uid="{00000000-0005-0000-0000-00000C000000}"/>
    <cellStyle name="Normaali 3 2" xfId="106" xr:uid="{9590D475-6F24-4583-B469-1CD33D788D47}"/>
    <cellStyle name="Normaali 3 3" xfId="79" xr:uid="{1072F740-4B2D-4417-8B3D-210B78DB7BEE}"/>
    <cellStyle name="Normaali 4" xfId="41" xr:uid="{40931EC1-FC25-4450-B2A2-A2F235A18335}"/>
    <cellStyle name="Normaali 4 2" xfId="167" xr:uid="{C04F23F6-C4C9-4E31-ABEB-64364CD2164C}"/>
    <cellStyle name="Normaali 4 3" xfId="140" xr:uid="{6081C7E6-D0A0-45E6-8F8B-9B49F235EBEE}"/>
    <cellStyle name="Normaali 4 4" xfId="88" xr:uid="{8CD3F6F2-F1D0-4EF9-8350-3C6BCF45A521}"/>
    <cellStyle name="Normaali 5" xfId="43" xr:uid="{261E3FC2-FA7D-47B4-ADD8-533AAD63D029}"/>
    <cellStyle name="Normaali 5 2" xfId="105" xr:uid="{7CE9FB4E-2E22-4D18-BCBC-B6913502218B}"/>
    <cellStyle name="Normaali 5 2 2" xfId="200" xr:uid="{05C32E43-5424-45E4-93FA-81B93148E9AC}"/>
    <cellStyle name="Normaali 5 2 3" xfId="157" xr:uid="{7B538A23-08B0-4411-97A0-FDA0883186C6}"/>
    <cellStyle name="Normaali 5 3" xfId="141" xr:uid="{45F4E74F-0B1D-4081-B7C3-EA5BDC2BAD96}"/>
    <cellStyle name="Normaali 5 4" xfId="168" xr:uid="{D52B40B0-C78B-4F2F-AE42-1C424A2690C6}"/>
    <cellStyle name="Normaali 5 5" xfId="115" xr:uid="{2CDB4CBC-1A0D-4044-BB30-CDE935663CD9}"/>
    <cellStyle name="Normaali 5 6" xfId="205" xr:uid="{4A1E5360-52D1-45FF-8106-8828154C4C9F}"/>
    <cellStyle name="Normaali 6" xfId="89" xr:uid="{C777F0BA-437B-4F17-BFF9-9BB20BF62A9D}"/>
    <cellStyle name="Normaali 6 2" xfId="110" xr:uid="{F9FCC57E-2066-48FB-B5CF-5967C8B965C3}"/>
    <cellStyle name="Normaali 7" xfId="74" xr:uid="{6B3BAF97-05C6-406F-9D4A-1445E5B8210B}"/>
    <cellStyle name="Normaali 7 2" xfId="142" xr:uid="{4F4F08D5-00F9-4AC2-81F9-C310C27A63BF}"/>
    <cellStyle name="Normaali 7 3" xfId="169" xr:uid="{5189D60A-BA00-4B76-BE4C-E38F4C81C373}"/>
    <cellStyle name="Normaali 7 4" xfId="116" xr:uid="{201AFA7C-780B-49B8-8F5C-18174D308367}"/>
    <cellStyle name="Normaali 7 5" xfId="218" xr:uid="{07113198-9BDD-42E0-B3FA-CAD71BF52EA2}"/>
    <cellStyle name="Normaali 8" xfId="94" xr:uid="{EC5B4995-5AFF-46C4-B622-53C632BBD7BB}"/>
    <cellStyle name="Normaali 8 2" xfId="103" xr:uid="{1A14E95D-EF31-46AA-AFE3-7DC4863BB0D2}"/>
    <cellStyle name="Normaali 8 2 2" xfId="198" xr:uid="{E9CBDF6A-30CE-4EAE-8ED6-0B06B8336B8A}"/>
    <cellStyle name="Normaali 8 2 3" xfId="155" xr:uid="{9102B7F0-121D-402B-B371-5EC0C7C752F8}"/>
    <cellStyle name="Normaali 8 3" xfId="148" xr:uid="{C4B85C69-C223-4887-8E9B-0BE40FBE6B55}"/>
    <cellStyle name="Normaali 8 4" xfId="175" xr:uid="{80A65842-47C2-472C-B7CA-CB18CACBFD21}"/>
    <cellStyle name="Normaali 8 5" xfId="114" xr:uid="{290FC9E1-68A0-4D69-B756-EE74DCAFA775}"/>
    <cellStyle name="Normaali 8 6" xfId="204" xr:uid="{9320EB25-07CB-4754-B26F-CAB32C1740C9}"/>
    <cellStyle name="Normaali 9" xfId="98" xr:uid="{8C894560-A3DF-4921-88FE-45BEBEF8637B}"/>
    <cellStyle name="Normaali 9 2" xfId="107" xr:uid="{CED1BD8E-33A5-479B-A746-26BEE4D7C383}"/>
    <cellStyle name="Normaali 9 2 2" xfId="201" xr:uid="{39CF67FF-995B-4E92-A642-123EDE870A6D}"/>
    <cellStyle name="Normaali 9 2 3" xfId="158" xr:uid="{E806D281-B75E-4DE4-8101-7CC5781E6F0F}"/>
    <cellStyle name="Normaali 9 3" xfId="178" xr:uid="{1B9CC04A-6E2A-43D9-B898-D3D85458C84E}"/>
    <cellStyle name="Normaali 9 4" xfId="151" xr:uid="{C4B7C83A-1412-42D9-B932-449DBF0AD144}"/>
    <cellStyle name="Normal" xfId="78" xr:uid="{8A23CE6D-2BE2-4BB8-A64E-ED3580D2603E}"/>
    <cellStyle name="Normal 2" xfId="40" xr:uid="{00000000-0005-0000-0000-00001F000000}"/>
    <cellStyle name="Normal 2 2" xfId="113" xr:uid="{E2A8BBC1-75D2-4C0A-A0F3-230B013DE4CD}"/>
    <cellStyle name="Normal 3" xfId="29" xr:uid="{00000000-0005-0000-0000-000020000000}"/>
    <cellStyle name="Otsikko" xfId="45" builtinId="15" customBuiltin="1"/>
    <cellStyle name="Otsikko 1" xfId="46" builtinId="16" customBuiltin="1"/>
    <cellStyle name="Otsikko 2" xfId="47" builtinId="17" customBuiltin="1"/>
    <cellStyle name="Otsikko 3" xfId="48" builtinId="18" customBuiltin="1"/>
    <cellStyle name="Otsikko 4" xfId="49" builtinId="19" customBuiltin="1"/>
    <cellStyle name="Percent 2" xfId="36" xr:uid="{00000000-0005-0000-0000-000021000000}"/>
    <cellStyle name="Pilkku 2" xfId="90" xr:uid="{0581E817-06C2-4F74-BB16-0ED2794AD792}"/>
    <cellStyle name="Pilkku 2 2" xfId="104" xr:uid="{DF6741A2-7EC6-412A-912D-58499105BB25}"/>
    <cellStyle name="Pilkku 2 2 2" xfId="199" xr:uid="{F6C613BA-355A-4A31-9F30-9756AB2BE0C0}"/>
    <cellStyle name="Pilkku 2 2 3" xfId="156" xr:uid="{73EE0664-CBD3-4F0A-B84D-FD30828CBA87}"/>
    <cellStyle name="Pilkku 2 3" xfId="171" xr:uid="{54C9CAD8-28E6-4D45-B118-C01461159F59}"/>
    <cellStyle name="Pilkku 2 4" xfId="144" xr:uid="{F53B9A6D-8ACF-49D6-BE23-8B2E54CBB19A}"/>
    <cellStyle name="Pilkku 3" xfId="207" xr:uid="{850B8575-7FD0-4B58-81C4-1C698901FD9F}"/>
    <cellStyle name="Prosenttia" xfId="1" builtinId="5"/>
    <cellStyle name="Prosenttia 2" xfId="76" xr:uid="{FF3DFEB8-12F4-4F17-88A4-BF32CACAE036}"/>
    <cellStyle name="Selittävä teksti" xfId="56" builtinId="53" customBuiltin="1"/>
    <cellStyle name="Summa" xfId="57" builtinId="25" customBuiltin="1"/>
    <cellStyle name="Syöttö" xfId="2" builtinId="20" customBuiltin="1"/>
    <cellStyle name="Tarkistussolu" xfId="54" builtinId="23" customBuiltin="1"/>
    <cellStyle name="tietokantaan" xfId="8" xr:uid="{00000000-0005-0000-0000-00000F000000}"/>
    <cellStyle name="Tulostus" xfId="51" builtinId="21" customBuiltin="1"/>
    <cellStyle name="Varoitusteksti" xfId="55" builtinId="11" customBuiltin="1"/>
  </cellStyles>
  <dxfs count="61">
    <dxf>
      <fill>
        <patternFill>
          <bgColor rgb="FFFFFF00"/>
        </patternFill>
      </fill>
    </dxf>
    <dxf>
      <fill>
        <patternFill>
          <bgColor rgb="FFFF0000"/>
        </patternFill>
      </fill>
    </dxf>
    <dxf>
      <fill>
        <patternFill>
          <bgColor theme="9" tint="0.79998168889431442"/>
        </patternFill>
      </fill>
    </dxf>
    <dxf>
      <fill>
        <patternFill>
          <bgColor theme="9" tint="0.79998168889431442"/>
        </patternFill>
      </fill>
    </dxf>
    <dxf>
      <fill>
        <patternFill>
          <bgColor rgb="FFFF0000"/>
        </patternFill>
      </fill>
    </dxf>
    <dxf>
      <fill>
        <patternFill>
          <bgColor rgb="FFFF0000"/>
        </patternFill>
      </fill>
    </dxf>
    <dxf>
      <fill>
        <patternFill>
          <bgColor rgb="FFFF0000"/>
        </patternFill>
      </fill>
    </dxf>
    <dxf>
      <fill>
        <patternFill>
          <bgColor theme="5"/>
        </patternFill>
      </fill>
    </dxf>
    <dxf>
      <fill>
        <patternFill>
          <bgColor rgb="FFFF0000"/>
        </patternFill>
      </fill>
    </dxf>
    <dxf>
      <fill>
        <patternFill>
          <bgColor rgb="FFFF0000"/>
        </patternFill>
      </fill>
    </dxf>
    <dxf>
      <fill>
        <patternFill>
          <bgColor theme="5"/>
        </patternFill>
      </fill>
    </dxf>
    <dxf>
      <fill>
        <patternFill>
          <bgColor rgb="FFFF0000"/>
        </patternFill>
      </fill>
    </dxf>
    <dxf>
      <fill>
        <patternFill>
          <bgColor theme="5"/>
        </patternFill>
      </fill>
    </dxf>
    <dxf>
      <fill>
        <patternFill>
          <bgColor theme="5"/>
        </patternFill>
      </fill>
    </dxf>
    <dxf>
      <fill>
        <patternFill>
          <bgColor rgb="FFFF0000"/>
        </patternFill>
      </fill>
    </dxf>
    <dxf>
      <fill>
        <patternFill>
          <bgColor theme="5"/>
        </patternFill>
      </fill>
    </dxf>
    <dxf>
      <fill>
        <patternFill>
          <bgColor theme="5"/>
        </patternFill>
      </fill>
    </dxf>
    <dxf>
      <fill>
        <patternFill>
          <bgColor rgb="FFFF0000"/>
        </patternFill>
      </fill>
    </dxf>
    <dxf>
      <fill>
        <patternFill>
          <bgColor theme="9" tint="0.59996337778862885"/>
        </patternFill>
      </fill>
    </dxf>
    <dxf>
      <fill>
        <patternFill>
          <bgColor theme="9" tint="0.59996337778862885"/>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val="0"/>
        <color rgb="FFFF0000"/>
      </font>
      <fill>
        <patternFill>
          <bgColor theme="9" tint="0.59996337778862885"/>
        </patternFill>
      </fill>
    </dxf>
    <dxf>
      <fill>
        <patternFill patternType="solid">
          <fgColor indexed="64"/>
          <bgColor theme="4" tint="0.79998168889431442"/>
        </patternFill>
      </fill>
      <protection locked="0" hidden="0"/>
    </dxf>
    <dxf>
      <fill>
        <patternFill patternType="solid">
          <fgColor indexed="64"/>
          <bgColor theme="4" tint="0.79998168889431442"/>
        </patternFill>
      </fill>
      <protection locked="0" hidden="0"/>
    </dxf>
    <dxf>
      <fill>
        <patternFill patternType="solid">
          <fgColor indexed="64"/>
          <bgColor theme="4" tint="0.79998168889431442"/>
        </patternFill>
      </fill>
    </dxf>
    <dxf>
      <numFmt numFmtId="14" formatCode="0.00\ %"/>
      <protection locked="0" hidden="0"/>
    </dxf>
    <dxf>
      <fill>
        <patternFill patternType="solid">
          <fgColor indexed="64"/>
          <bgColor theme="4" tint="0.79998168889431442"/>
        </patternFill>
      </fill>
    </dxf>
    <dxf>
      <numFmt numFmtId="0" formatCode="General"/>
      <protection locked="0" hidden="0"/>
    </dxf>
    <dxf>
      <fill>
        <patternFill patternType="solid">
          <fgColor indexed="64"/>
          <bgColor theme="4" tint="0.79998168889431442"/>
        </patternFill>
      </fill>
    </dxf>
    <dxf>
      <fill>
        <patternFill patternType="solid">
          <fgColor indexed="64"/>
          <bgColor theme="4" tint="0.79998168889431442"/>
        </patternFill>
      </fill>
      <protection locked="1" hidden="0"/>
    </dxf>
    <dxf>
      <fill>
        <patternFill patternType="solid">
          <fgColor indexed="64"/>
          <bgColor theme="4" tint="0.79998168889431442"/>
        </patternFill>
      </fill>
    </dxf>
    <dxf>
      <protection locked="0" hidden="0"/>
    </dxf>
    <dxf>
      <fill>
        <patternFill patternType="solid">
          <fgColor indexed="64"/>
          <bgColor theme="4" tint="0.79998168889431442"/>
        </patternFill>
      </fill>
    </dxf>
    <dxf>
      <protection locked="0" hidden="0"/>
    </dxf>
    <dxf>
      <fill>
        <patternFill patternType="solid">
          <fgColor indexed="64"/>
          <bgColor theme="4" tint="0.79998168889431442"/>
        </patternFill>
      </fill>
    </dxf>
    <dxf>
      <protection locked="0" hidden="0"/>
    </dxf>
    <dxf>
      <fill>
        <patternFill patternType="solid">
          <fgColor indexed="64"/>
          <bgColor theme="4" tint="0.79998168889431442"/>
        </patternFill>
      </fill>
    </dxf>
    <dxf>
      <protection locked="0" hidden="0"/>
    </dxf>
    <dxf>
      <alignment horizontal="left" vertical="top" textRotation="0" wrapText="0" indent="0" justifyLastLine="0" shrinkToFit="0" readingOrder="0"/>
    </dxf>
    <dxf>
      <fill>
        <patternFill patternType="solid">
          <fgColor indexed="64"/>
          <bgColor theme="4" tint="0.79998168889431442"/>
        </patternFill>
      </fill>
    </dxf>
    <dxf>
      <fill>
        <patternFill patternType="solid">
          <fgColor indexed="64"/>
          <bgColor theme="4" tint="0.79998168889431442"/>
        </patternFill>
      </fill>
      <protection locked="0" hidden="0"/>
    </dxf>
    <dxf>
      <fill>
        <patternFill patternType="solid">
          <fgColor indexed="64"/>
          <bgColor theme="4" tint="0.79998168889431442"/>
        </patternFill>
      </fill>
    </dxf>
    <dxf>
      <numFmt numFmtId="14" formatCode="0.00\ %"/>
      <protection locked="0" hidden="0"/>
    </dxf>
    <dxf>
      <fill>
        <patternFill patternType="solid">
          <fgColor indexed="64"/>
          <bgColor theme="4" tint="0.79998168889431442"/>
        </patternFill>
      </fill>
    </dxf>
    <dxf>
      <numFmt numFmtId="0" formatCode="General"/>
      <protection locked="0" hidden="0"/>
    </dxf>
    <dxf>
      <fill>
        <patternFill patternType="solid">
          <fgColor indexed="64"/>
          <bgColor theme="4" tint="0.79998168889431442"/>
        </patternFill>
      </fill>
    </dxf>
    <dxf>
      <fill>
        <patternFill patternType="solid">
          <fgColor indexed="64"/>
          <bgColor theme="4" tint="0.79998168889431442"/>
        </patternFill>
      </fill>
      <protection locked="1" hidden="0"/>
    </dxf>
    <dxf>
      <fill>
        <patternFill patternType="solid">
          <fgColor indexed="64"/>
          <bgColor theme="4" tint="0.79998168889431442"/>
        </patternFill>
      </fill>
    </dxf>
    <dxf>
      <protection locked="0" hidden="0"/>
    </dxf>
    <dxf>
      <fill>
        <patternFill patternType="solid">
          <fgColor indexed="64"/>
          <bgColor theme="4" tint="0.79998168889431442"/>
        </patternFill>
      </fill>
    </dxf>
    <dxf>
      <protection locked="0" hidden="0"/>
    </dxf>
    <dxf>
      <fill>
        <patternFill patternType="solid">
          <fgColor indexed="64"/>
          <bgColor theme="4" tint="0.79998168889431442"/>
        </patternFill>
      </fill>
    </dxf>
    <dxf>
      <protection locked="0" hidden="0"/>
    </dxf>
    <dxf>
      <fill>
        <patternFill patternType="solid">
          <fgColor indexed="64"/>
          <bgColor theme="4" tint="0.79998168889431442"/>
        </patternFill>
      </fill>
    </dxf>
    <dxf>
      <protection locked="0" hidden="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sheetMetadata" Target="metadata.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microsoft.com/office/2017/06/relationships/rdRichValueTypes" Target="richData/rdRichValueTyp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17/06/relationships/rdRichValueStructure" Target="richData/rdrichvaluestructur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microsoft.com/office/2017/06/relationships/rdRichValue" Target="richData/rdrichvalue.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5.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6.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7.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8.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9.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0.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1.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2.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3.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14.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15.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16.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17.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18.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19.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2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2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2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2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2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2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2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2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2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3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3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3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3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3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3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3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Ex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3.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Ex4.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Ex5.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Ex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Ex7.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Ex8.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Ex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Ex10.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Ex1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Ex1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Ex1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Ex1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Ex1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Ex1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Ex1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Ex1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Ex1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Ex2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fi-FI">
                <a:solidFill>
                  <a:sysClr val="windowText" lastClr="000000"/>
                </a:solidFill>
              </a:rPr>
              <a:t>Työpajajaksojen kokonaiskesto</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fi-FI"/>
        </a:p>
      </c:txPr>
    </c:title>
    <c:autoTitleDeleted val="0"/>
    <c:plotArea>
      <c:layout/>
      <c:barChart>
        <c:barDir val="bar"/>
        <c:grouping val="clustered"/>
        <c:varyColors val="0"/>
        <c:ser>
          <c:idx val="0"/>
          <c:order val="0"/>
          <c:tx>
            <c:strRef>
              <c:f>Parkki!$C$28</c:f>
              <c:strCache>
                <c:ptCount val="1"/>
                <c:pt idx="0">
                  <c:v>kaikki</c:v>
                </c:pt>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fi-FI"/>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Parkki!$B$29:$B$34</c:f>
              <c:strCache>
                <c:ptCount val="6"/>
                <c:pt idx="0">
                  <c:v>Alle 2kk</c:v>
                </c:pt>
                <c:pt idx="1">
                  <c:v>2- alle 3kk</c:v>
                </c:pt>
                <c:pt idx="2">
                  <c:v>3-alle 6kk</c:v>
                </c:pt>
                <c:pt idx="3">
                  <c:v>6kk- alle 1vuosi</c:v>
                </c:pt>
                <c:pt idx="4">
                  <c:v>1vuosi tai pitempi</c:v>
                </c:pt>
                <c:pt idx="5">
                  <c:v>Tietoa ei ole kirjattu</c:v>
                </c:pt>
              </c:strCache>
            </c:strRef>
          </c:cat>
          <c:val>
            <c:numRef>
              <c:f>Parkki!$C$29:$C$34</c:f>
              <c:numCache>
                <c:formatCode>#\ ##0;\ \-#\ ##0;\ \-\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E5A6-47A7-B478-2DCCD2C3140B}"/>
            </c:ext>
          </c:extLst>
        </c:ser>
        <c:ser>
          <c:idx val="1"/>
          <c:order val="1"/>
          <c:tx>
            <c:strRef>
              <c:f>Parkki!$D$28</c:f>
              <c:strCache>
                <c:ptCount val="1"/>
                <c:pt idx="0">
                  <c:v>nuoria</c:v>
                </c:pt>
              </c:strCache>
            </c:strRef>
          </c:tx>
          <c:spPr>
            <a:solidFill>
              <a:schemeClr val="accent3"/>
            </a:solidFill>
            <a:ln w="9525" cap="flat" cmpd="sng" algn="ctr">
              <a:solidFill>
                <a:schemeClr val="accent3">
                  <a:lumMod val="7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fi-FI"/>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Parkki!$B$29:$B$34</c:f>
              <c:strCache>
                <c:ptCount val="6"/>
                <c:pt idx="0">
                  <c:v>Alle 2kk</c:v>
                </c:pt>
                <c:pt idx="1">
                  <c:v>2- alle 3kk</c:v>
                </c:pt>
                <c:pt idx="2">
                  <c:v>3-alle 6kk</c:v>
                </c:pt>
                <c:pt idx="3">
                  <c:v>6kk- alle 1vuosi</c:v>
                </c:pt>
                <c:pt idx="4">
                  <c:v>1vuosi tai pitempi</c:v>
                </c:pt>
                <c:pt idx="5">
                  <c:v>Tietoa ei ole kirjattu</c:v>
                </c:pt>
              </c:strCache>
            </c:strRef>
          </c:cat>
          <c:val>
            <c:numRef>
              <c:f>Parkki!$D$29:$D$34</c:f>
              <c:numCache>
                <c:formatCode>#\ ##0;\ \-#\ ##0;\ \-\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E5A6-47A7-B478-2DCCD2C3140B}"/>
            </c:ext>
          </c:extLst>
        </c:ser>
        <c:dLbls>
          <c:showLegendKey val="0"/>
          <c:showVal val="0"/>
          <c:showCatName val="0"/>
          <c:showSerName val="0"/>
          <c:showPercent val="0"/>
          <c:showBubbleSize val="0"/>
        </c:dLbls>
        <c:gapWidth val="100"/>
        <c:axId val="784953024"/>
        <c:axId val="784954008"/>
      </c:barChart>
      <c:catAx>
        <c:axId val="78495302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i-FI"/>
          </a:p>
        </c:txPr>
        <c:crossAx val="784954008"/>
        <c:crosses val="autoZero"/>
        <c:auto val="1"/>
        <c:lblAlgn val="ctr"/>
        <c:lblOffset val="100"/>
        <c:noMultiLvlLbl val="0"/>
      </c:catAx>
      <c:valAx>
        <c:axId val="784954008"/>
        <c:scaling>
          <c:orientation val="minMax"/>
        </c:scaling>
        <c:delete val="1"/>
        <c:axPos val="t"/>
        <c:majorGridlines>
          <c:spPr>
            <a:ln w="9525" cap="flat" cmpd="sng" algn="ctr">
              <a:solidFill>
                <a:schemeClr val="tx1">
                  <a:lumMod val="15000"/>
                  <a:lumOff val="85000"/>
                </a:schemeClr>
              </a:solidFill>
              <a:round/>
            </a:ln>
            <a:effectLst/>
          </c:spPr>
        </c:majorGridlines>
        <c:numFmt formatCode="#\ ##0;\ \-#\ ##0;\ \-\ " sourceLinked="1"/>
        <c:majorTickMark val="none"/>
        <c:minorTickMark val="none"/>
        <c:tickLblPos val="nextTo"/>
        <c:crossAx val="7849530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fi-FI">
                <a:solidFill>
                  <a:sysClr val="windowText" lastClr="000000"/>
                </a:solidFill>
              </a:rPr>
              <a:t>Valmentautujien ikä ja sukupuoli</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fi-FI"/>
        </a:p>
      </c:txPr>
    </c:title>
    <c:autoTitleDeleted val="0"/>
    <c:plotArea>
      <c:layout/>
      <c:barChart>
        <c:barDir val="bar"/>
        <c:grouping val="clustered"/>
        <c:varyColors val="0"/>
        <c:ser>
          <c:idx val="0"/>
          <c:order val="0"/>
          <c:tx>
            <c:strRef>
              <c:f>Parkki!$C$15</c:f>
              <c:strCache>
                <c:ptCount val="1"/>
                <c:pt idx="0">
                  <c:v>kaikki</c:v>
                </c:pt>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fi-FI"/>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(Parkki!$B$16:$B$19,Parkki!$B$21:$B$23)</c:f>
              <c:strCache>
                <c:ptCount val="7"/>
                <c:pt idx="0">
                  <c:v>Alle 17-vuotiaita</c:v>
                </c:pt>
                <c:pt idx="1">
                  <c:v>17-20-vuotiaita</c:v>
                </c:pt>
                <c:pt idx="2">
                  <c:v>21-24-vuotiaita</c:v>
                </c:pt>
                <c:pt idx="3">
                  <c:v>25-28-vuotiaita</c:v>
                </c:pt>
                <c:pt idx="4">
                  <c:v>29-49-vuotiaita</c:v>
                </c:pt>
                <c:pt idx="5">
                  <c:v>50- tai yli -vuotiaita</c:v>
                </c:pt>
                <c:pt idx="6">
                  <c:v>Ikä ei rekisteröity</c:v>
                </c:pt>
              </c:strCache>
            </c:strRef>
          </c:cat>
          <c:val>
            <c:numRef>
              <c:f>(Parkki!$C$16:$C$19,Parkki!$C$21:$C$23)</c:f>
              <c:numCache>
                <c:formatCode>#\ ##0;\ \-#\ ##0;\ \-\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DD6-472C-8FAC-A66E1B930610}"/>
            </c:ext>
          </c:extLst>
        </c:ser>
        <c:ser>
          <c:idx val="1"/>
          <c:order val="1"/>
          <c:tx>
            <c:strRef>
              <c:f>Parkki!$D$15</c:f>
              <c:strCache>
                <c:ptCount val="1"/>
                <c:pt idx="0">
                  <c:v>joista naisia</c:v>
                </c:pt>
              </c:strCache>
            </c:strRef>
          </c:tx>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50000"/>
                        <a:lumOff val="50000"/>
                      </a:schemeClr>
                    </a:solidFill>
                    <a:latin typeface="+mn-lt"/>
                    <a:ea typeface="+mn-ea"/>
                    <a:cs typeface="+mn-cs"/>
                  </a:defRPr>
                </a:pPr>
                <a:endParaRPr lang="fi-FI"/>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(Parkki!$B$16:$B$19,Parkki!$B$21:$B$23)</c:f>
              <c:strCache>
                <c:ptCount val="7"/>
                <c:pt idx="0">
                  <c:v>Alle 17-vuotiaita</c:v>
                </c:pt>
                <c:pt idx="1">
                  <c:v>17-20-vuotiaita</c:v>
                </c:pt>
                <c:pt idx="2">
                  <c:v>21-24-vuotiaita</c:v>
                </c:pt>
                <c:pt idx="3">
                  <c:v>25-28-vuotiaita</c:v>
                </c:pt>
                <c:pt idx="4">
                  <c:v>29-49-vuotiaita</c:v>
                </c:pt>
                <c:pt idx="5">
                  <c:v>50- tai yli -vuotiaita</c:v>
                </c:pt>
                <c:pt idx="6">
                  <c:v>Ikä ei rekisteröity</c:v>
                </c:pt>
              </c:strCache>
            </c:strRef>
          </c:cat>
          <c:val>
            <c:numRef>
              <c:f>(Parkki!$D$16:$D$19,Parkki!$D$21:$D$23)</c:f>
              <c:numCache>
                <c:formatCode>#\ ##0;\ \-#\ ##0;\ \-\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6DD6-472C-8FAC-A66E1B930610}"/>
            </c:ext>
          </c:extLst>
        </c:ser>
        <c:dLbls>
          <c:showLegendKey val="0"/>
          <c:showVal val="0"/>
          <c:showCatName val="0"/>
          <c:showSerName val="0"/>
          <c:showPercent val="0"/>
          <c:showBubbleSize val="0"/>
        </c:dLbls>
        <c:gapWidth val="100"/>
        <c:axId val="677016024"/>
        <c:axId val="677018976"/>
      </c:barChart>
      <c:catAx>
        <c:axId val="67701602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i-FI"/>
          </a:p>
        </c:txPr>
        <c:crossAx val="677018976"/>
        <c:crosses val="autoZero"/>
        <c:auto val="1"/>
        <c:lblAlgn val="ctr"/>
        <c:lblOffset val="100"/>
        <c:noMultiLvlLbl val="0"/>
      </c:catAx>
      <c:valAx>
        <c:axId val="677018976"/>
        <c:scaling>
          <c:orientation val="minMax"/>
        </c:scaling>
        <c:delete val="1"/>
        <c:axPos val="t"/>
        <c:majorGridlines>
          <c:spPr>
            <a:ln w="9525" cap="flat" cmpd="sng" algn="ctr">
              <a:solidFill>
                <a:schemeClr val="tx1">
                  <a:lumMod val="15000"/>
                  <a:lumOff val="85000"/>
                </a:schemeClr>
              </a:solidFill>
              <a:round/>
            </a:ln>
            <a:effectLst/>
          </c:spPr>
        </c:majorGridlines>
        <c:numFmt formatCode="#\ ##0;\ \-#\ ##0;\ \-\ " sourceLinked="1"/>
        <c:majorTickMark val="none"/>
        <c:minorTickMark val="none"/>
        <c:tickLblPos val="nextTo"/>
        <c:crossAx val="6770160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i-FI"/>
              <a:t>Työpajalla olleiden valmentautujien sijoittuminen työpajajakson jälkeen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BC4-4EE9-91E3-1F39D780F6B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EBC4-4EE9-91E3-1F39D780F6B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EBC4-4EE9-91E3-1F39D780F6B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EBC4-4EE9-91E3-1F39D780F6BE}"/>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EBC4-4EE9-91E3-1F39D780F6BE}"/>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EBC4-4EE9-91E3-1F39D780F6B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Parkki!$F$159:$F$164</c:f>
              <c:strCache>
                <c:ptCount val="6"/>
                <c:pt idx="0">
                  <c:v>Koulutukseen</c:v>
                </c:pt>
                <c:pt idx="1">
                  <c:v>Työelämään</c:v>
                </c:pt>
                <c:pt idx="2">
                  <c:v>Muuhun ohjattuun toimenpiteeseen</c:v>
                </c:pt>
                <c:pt idx="3">
                  <c:v>Muualle</c:v>
                </c:pt>
                <c:pt idx="4">
                  <c:v>Työttömäksi</c:v>
                </c:pt>
                <c:pt idx="5">
                  <c:v>Muutto toiselle paikkakunnalle</c:v>
                </c:pt>
              </c:strCache>
            </c:strRef>
          </c:cat>
          <c:val>
            <c:numRef>
              <c:f>Parkki!$G$159:$G$164</c:f>
              <c:numCache>
                <c:formatCode>#\ ##0;\ \-#\ ##0;\ \-\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346D-426E-B7CA-D5D82F826F4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i-FI"/>
              <a:t>Työpajalla olleiden NUORTEN valmentautujien sijoittuminen työpajajakson jälkeen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189-46CE-B3AA-67FCE66A52E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189-46CE-B3AA-67FCE66A52E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189-46CE-B3AA-67FCE66A52E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189-46CE-B3AA-67FCE66A52E1}"/>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189-46CE-B3AA-67FCE66A52E1}"/>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189-46CE-B3AA-67FCE66A52E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Parkki!$F$159:$F$164</c:f>
              <c:strCache>
                <c:ptCount val="6"/>
                <c:pt idx="0">
                  <c:v>Koulutukseen</c:v>
                </c:pt>
                <c:pt idx="1">
                  <c:v>Työelämään</c:v>
                </c:pt>
                <c:pt idx="2">
                  <c:v>Muuhun ohjattuun toimenpiteeseen</c:v>
                </c:pt>
                <c:pt idx="3">
                  <c:v>Muualle</c:v>
                </c:pt>
                <c:pt idx="4">
                  <c:v>Työttömäksi</c:v>
                </c:pt>
                <c:pt idx="5">
                  <c:v>Muutto toiselle paikkakunnalle</c:v>
                </c:pt>
              </c:strCache>
            </c:strRef>
          </c:cat>
          <c:val>
            <c:numRef>
              <c:f>Parkki!$H$159:$H$164</c:f>
              <c:numCache>
                <c:formatCode>#\ ##0;\ \-#\ ##0;\ \-\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6189-46CE-B3AA-67FCE66A52E1}"/>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200674569028342"/>
          <c:y val="8.2002143678086697E-2"/>
          <c:w val="0.841595040492496"/>
          <c:h val="0.7763084730654376"/>
        </c:manualLayout>
      </c:layout>
      <c:barChart>
        <c:barDir val="col"/>
        <c:grouping val="clustered"/>
        <c:varyColors val="0"/>
        <c:ser>
          <c:idx val="1"/>
          <c:order val="0"/>
          <c:tx>
            <c:strRef>
              <c:f>Asiakastilastot!$B$43</c:f>
              <c:strCache>
                <c:ptCount val="1"/>
                <c:pt idx="0">
                  <c:v>Kaikki valmentautujat</c:v>
                </c:pt>
              </c:strCache>
            </c:strRef>
          </c:tx>
          <c:spPr>
            <a:solidFill>
              <a:schemeClr val="accent1"/>
            </a:solidFill>
            <a:ln>
              <a:noFill/>
            </a:ln>
            <a:effectLst/>
          </c:spPr>
          <c:invertIfNegative val="0"/>
          <c:cat>
            <c:strRef>
              <c:f>Asiakastilastot!$A$45:$A$50</c:f>
              <c:strCache>
                <c:ptCount val="6"/>
                <c:pt idx="0">
                  <c:v>Alle 2 kk</c:v>
                </c:pt>
                <c:pt idx="1">
                  <c:v>2-3 kk</c:v>
                </c:pt>
                <c:pt idx="2">
                  <c:v>3-6 kk</c:v>
                </c:pt>
                <c:pt idx="3">
                  <c:v>6 kk - 1 v.</c:v>
                </c:pt>
                <c:pt idx="4">
                  <c:v>Yli 1 v.</c:v>
                </c:pt>
                <c:pt idx="5">
                  <c:v>Ei tietoa</c:v>
                </c:pt>
              </c:strCache>
            </c:strRef>
          </c:cat>
          <c:val>
            <c:numRef>
              <c:f>Asiakastilastot!$C$45:$C$50</c:f>
              <c:numCache>
                <c:formatCode>#\ ##0.0%;\ \-#\ ##0.0%;\ \-\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D77-414F-AD22-0C3D1A884A42}"/>
            </c:ext>
          </c:extLst>
        </c:ser>
        <c:ser>
          <c:idx val="0"/>
          <c:order val="1"/>
          <c:tx>
            <c:strRef>
              <c:f>Asiakastilastot!$D$43</c:f>
              <c:strCache>
                <c:ptCount val="1"/>
                <c:pt idx="0">
                  <c:v>Nuoret valmentautujat</c:v>
                </c:pt>
              </c:strCache>
            </c:strRef>
          </c:tx>
          <c:spPr>
            <a:solidFill>
              <a:schemeClr val="accent3">
                <a:lumMod val="60000"/>
                <a:lumOff val="40000"/>
              </a:schemeClr>
            </a:solidFill>
            <a:ln>
              <a:noFill/>
            </a:ln>
            <a:effectLst/>
          </c:spPr>
          <c:invertIfNegative val="0"/>
          <c:cat>
            <c:strRef>
              <c:f>Asiakastilastot!$A$45:$A$50</c:f>
              <c:strCache>
                <c:ptCount val="6"/>
                <c:pt idx="0">
                  <c:v>Alle 2 kk</c:v>
                </c:pt>
                <c:pt idx="1">
                  <c:v>2-3 kk</c:v>
                </c:pt>
                <c:pt idx="2">
                  <c:v>3-6 kk</c:v>
                </c:pt>
                <c:pt idx="3">
                  <c:v>6 kk - 1 v.</c:v>
                </c:pt>
                <c:pt idx="4">
                  <c:v>Yli 1 v.</c:v>
                </c:pt>
                <c:pt idx="5">
                  <c:v>Ei tietoa</c:v>
                </c:pt>
              </c:strCache>
            </c:strRef>
          </c:cat>
          <c:val>
            <c:numRef>
              <c:f>Asiakastilastot!$E$45:$E$50</c:f>
              <c:numCache>
                <c:formatCode>#\ ##0.0%;\ \-#\ ##0.0%;\ \-\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2D77-414F-AD22-0C3D1A884A42}"/>
            </c:ext>
          </c:extLst>
        </c:ser>
        <c:dLbls>
          <c:showLegendKey val="0"/>
          <c:showVal val="0"/>
          <c:showCatName val="0"/>
          <c:showSerName val="0"/>
          <c:showPercent val="0"/>
          <c:showBubbleSize val="0"/>
        </c:dLbls>
        <c:gapWidth val="101"/>
        <c:overlap val="-27"/>
        <c:axId val="189400576"/>
        <c:axId val="139878976"/>
      </c:barChart>
      <c:catAx>
        <c:axId val="189400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39878976"/>
        <c:crosses val="autoZero"/>
        <c:auto val="1"/>
        <c:lblAlgn val="ctr"/>
        <c:lblOffset val="100"/>
        <c:noMultiLvlLbl val="0"/>
      </c:catAx>
      <c:valAx>
        <c:axId val="139878976"/>
        <c:scaling>
          <c:orientation val="minMax"/>
        </c:scaling>
        <c:delete val="0"/>
        <c:axPos val="l"/>
        <c:majorGridlines>
          <c:spPr>
            <a:ln w="9525" cap="flat" cmpd="sng" algn="ctr">
              <a:solidFill>
                <a:schemeClr val="tx1">
                  <a:lumMod val="15000"/>
                  <a:lumOff val="85000"/>
                </a:schemeClr>
              </a:solidFill>
              <a:round/>
            </a:ln>
            <a:effectLst/>
          </c:spPr>
        </c:majorGridlines>
        <c:numFmt formatCode="#\ ##0.0%;\ \-#\ ##0.0%;\ \-\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8940057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35300034213051"/>
          <c:y val="0.17155812485464633"/>
          <c:w val="0.49944011410329486"/>
          <c:h val="0.7029155785906509"/>
        </c:manualLayout>
      </c:layout>
      <c:barChart>
        <c:barDir val="bar"/>
        <c:grouping val="clustered"/>
        <c:varyColors val="0"/>
        <c:ser>
          <c:idx val="0"/>
          <c:order val="0"/>
          <c:tx>
            <c:strRef>
              <c:f>Asiakastilastot!$F$130</c:f>
              <c:strCache>
                <c:ptCount val="1"/>
                <c:pt idx="0">
                  <c:v>Nuoret valmentautujat</c:v>
                </c:pt>
              </c:strCache>
            </c:strRef>
          </c:tx>
          <c:spPr>
            <a:solidFill>
              <a:schemeClr val="accent3"/>
            </a:solidFill>
            <a:ln>
              <a:noFill/>
            </a:ln>
            <a:effectLst/>
          </c:spPr>
          <c:invertIfNegative val="0"/>
          <c:cat>
            <c:strRef>
              <c:f>Asiakastilastot!$A$132:$A$145</c:f>
              <c:strCache>
                <c:ptCount val="14"/>
                <c:pt idx="0">
                  <c:v>Koulutustausta</c:v>
                </c:pt>
                <c:pt idx="1">
                  <c:v>Edelleen peruskoulussa</c:v>
                </c:pt>
                <c:pt idx="2">
                  <c:v>Peruskoulu keskeytynyt</c:v>
                </c:pt>
                <c:pt idx="3">
                  <c:v>Peruskoulu suoritettu </c:v>
                </c:pt>
                <c:pt idx="4">
                  <c:v>Lukion oppimäärä</c:v>
                </c:pt>
                <c:pt idx="5">
                  <c:v>Ylioppilas</c:v>
                </c:pt>
                <c:pt idx="6">
                  <c:v>2. asteen ammatillinen tutkinto suoritettu</c:v>
                </c:pt>
                <c:pt idx="7">
                  <c:v>Ammattikorkeakoulututkinto</c:v>
                </c:pt>
                <c:pt idx="8">
                  <c:v>Yliopistotutkinto</c:v>
                </c:pt>
                <c:pt idx="9">
                  <c:v>Ulkomailla suoritettu tutkinto</c:v>
                </c:pt>
                <c:pt idx="10">
                  <c:v>Muu</c:v>
                </c:pt>
                <c:pt idx="11">
                  <c:v>Ei tietoa</c:v>
                </c:pt>
                <c:pt idx="12">
                  <c:v>Ei tietoa</c:v>
                </c:pt>
                <c:pt idx="13">
                  <c:v>Ei kirjattu</c:v>
                </c:pt>
              </c:strCache>
            </c:strRef>
          </c:cat>
          <c:val>
            <c:numRef>
              <c:f>Asiakastilastot!$G$132:$G$145</c:f>
              <c:numCache>
                <c:formatCode>#\ ##0.0\ %;\ \-#\ ##0.0\ %.0;\ \-</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55F0-40DB-AAF3-75BE7088A2F3}"/>
            </c:ext>
          </c:extLst>
        </c:ser>
        <c:ser>
          <c:idx val="1"/>
          <c:order val="1"/>
          <c:tx>
            <c:strRef>
              <c:f>Asiakastilastot!$H$130</c:f>
              <c:strCache>
                <c:ptCount val="1"/>
                <c:pt idx="0">
                  <c:v>Nuoret naiset</c:v>
                </c:pt>
              </c:strCache>
            </c:strRef>
          </c:tx>
          <c:spPr>
            <a:solidFill>
              <a:schemeClr val="accent4">
                <a:lumMod val="75000"/>
              </a:schemeClr>
            </a:solidFill>
            <a:ln>
              <a:noFill/>
            </a:ln>
            <a:effectLst/>
          </c:spPr>
          <c:invertIfNegative val="0"/>
          <c:cat>
            <c:strRef>
              <c:f>Asiakastilastot!$A$132:$A$145</c:f>
              <c:strCache>
                <c:ptCount val="14"/>
                <c:pt idx="0">
                  <c:v>Koulutustausta</c:v>
                </c:pt>
                <c:pt idx="1">
                  <c:v>Edelleen peruskoulussa</c:v>
                </c:pt>
                <c:pt idx="2">
                  <c:v>Peruskoulu keskeytynyt</c:v>
                </c:pt>
                <c:pt idx="3">
                  <c:v>Peruskoulu suoritettu </c:v>
                </c:pt>
                <c:pt idx="4">
                  <c:v>Lukion oppimäärä</c:v>
                </c:pt>
                <c:pt idx="5">
                  <c:v>Ylioppilas</c:v>
                </c:pt>
                <c:pt idx="6">
                  <c:v>2. asteen ammatillinen tutkinto suoritettu</c:v>
                </c:pt>
                <c:pt idx="7">
                  <c:v>Ammattikorkeakoulututkinto</c:v>
                </c:pt>
                <c:pt idx="8">
                  <c:v>Yliopistotutkinto</c:v>
                </c:pt>
                <c:pt idx="9">
                  <c:v>Ulkomailla suoritettu tutkinto</c:v>
                </c:pt>
                <c:pt idx="10">
                  <c:v>Muu</c:v>
                </c:pt>
                <c:pt idx="11">
                  <c:v>Ei tietoa</c:v>
                </c:pt>
                <c:pt idx="12">
                  <c:v>Ei tietoa</c:v>
                </c:pt>
                <c:pt idx="13">
                  <c:v>Ei kirjattu</c:v>
                </c:pt>
              </c:strCache>
            </c:strRef>
          </c:cat>
          <c:val>
            <c:numRef>
              <c:f>Asiakastilastot!$I$132:$I$145</c:f>
              <c:numCache>
                <c:formatCode>#\ ##0.0\ %;\ \-#\ ##0.0\ %.0;\ \-</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1-55F0-40DB-AAF3-75BE7088A2F3}"/>
            </c:ext>
          </c:extLst>
        </c:ser>
        <c:dLbls>
          <c:showLegendKey val="0"/>
          <c:showVal val="0"/>
          <c:showCatName val="0"/>
          <c:showSerName val="0"/>
          <c:showPercent val="0"/>
          <c:showBubbleSize val="0"/>
        </c:dLbls>
        <c:gapWidth val="65"/>
        <c:axId val="189401600"/>
        <c:axId val="139884160"/>
      </c:barChart>
      <c:catAx>
        <c:axId val="189401600"/>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39884160"/>
        <c:crosses val="autoZero"/>
        <c:auto val="1"/>
        <c:lblAlgn val="ctr"/>
        <c:lblOffset val="100"/>
        <c:noMultiLvlLbl val="0"/>
      </c:catAx>
      <c:valAx>
        <c:axId val="139884160"/>
        <c:scaling>
          <c:orientation val="minMax"/>
        </c:scaling>
        <c:delete val="0"/>
        <c:axPos val="b"/>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lumMod val="65000"/>
                        <a:lumOff val="35000"/>
                      </a:sysClr>
                    </a:solidFill>
                    <a:latin typeface="+mn-lt"/>
                    <a:ea typeface="+mn-ea"/>
                    <a:cs typeface="+mn-cs"/>
                  </a:defRPr>
                </a:pPr>
                <a:r>
                  <a:rPr lang="fi-FI" sz="1100" b="0" i="0" baseline="0">
                    <a:effectLst/>
                  </a:rPr>
                  <a:t>Nuorten valmentautujien määrä (%)</a:t>
                </a:r>
                <a:endParaRPr lang="fi-FI" sz="1100">
                  <a:effectLst/>
                </a:endParaRPr>
              </a:p>
            </c:rich>
          </c:tx>
          <c:layout>
            <c:manualLayout>
              <c:xMode val="edge"/>
              <c:yMode val="edge"/>
              <c:x val="2.0603537212694121E-2"/>
              <c:y val="0.91902481810026915"/>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100" b="0" i="0" u="none" strike="noStrike" kern="1200" baseline="0">
                  <a:solidFill>
                    <a:sysClr val="windowText" lastClr="000000">
                      <a:lumMod val="65000"/>
                      <a:lumOff val="35000"/>
                    </a:sysClr>
                  </a:solidFill>
                  <a:latin typeface="+mn-lt"/>
                  <a:ea typeface="+mn-ea"/>
                  <a:cs typeface="+mn-cs"/>
                </a:defRPr>
              </a:pPr>
              <a:endParaRPr lang="fi-FI"/>
            </a:p>
          </c:txPr>
        </c:title>
        <c:numFmt formatCode="#\ ##0.0\ %;\ \-#\ ##0.0\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89401600"/>
        <c:crosses val="max"/>
        <c:crossBetween val="between"/>
      </c:valAx>
      <c:spPr>
        <a:noFill/>
        <a:ln w="25400">
          <a:noFill/>
        </a:ln>
        <a:effectLst/>
      </c:spPr>
    </c:plotArea>
    <c:legend>
      <c:legendPos val="r"/>
      <c:layout>
        <c:manualLayout>
          <c:xMode val="edge"/>
          <c:yMode val="edge"/>
          <c:x val="2.9025170728927914E-2"/>
          <c:y val="2.7362204724409443E-2"/>
          <c:w val="0.93597999609237004"/>
          <c:h val="0.1054745171778900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4.3786696202981673E-2"/>
          <c:y val="5.6335788350771264E-2"/>
          <c:w val="0.89951632456778907"/>
          <c:h val="0.90048449803875608"/>
        </c:manualLayout>
      </c:layout>
      <c:barChart>
        <c:barDir val="bar"/>
        <c:grouping val="clustered"/>
        <c:varyColors val="0"/>
        <c:ser>
          <c:idx val="0"/>
          <c:order val="0"/>
          <c:tx>
            <c:strRef>
              <c:f>Asiakastilastot!$B$152:$C$152</c:f>
              <c:strCache>
                <c:ptCount val="1"/>
                <c:pt idx="0">
                  <c:v>Kaikki valmentautujat</c:v>
                </c:pt>
              </c:strCache>
            </c:strRef>
          </c:tx>
          <c:spPr>
            <a:solidFill>
              <a:schemeClr val="accent1">
                <a:shade val="65000"/>
              </a:schemeClr>
            </a:solidFill>
            <a:ln>
              <a:noFill/>
            </a:ln>
            <a:effectLst/>
          </c:spPr>
          <c:invertIfNegative val="0"/>
          <c:cat>
            <c:strRef>
              <c:f>Asiakastilastot!$A$154:$A$189</c:f>
              <c:strCache>
                <c:ptCount val="36"/>
                <c:pt idx="0">
                  <c:v>Edelleen työpajalla</c:v>
                </c:pt>
                <c:pt idx="1">
                  <c:v>edelleen työpajalla</c:v>
                </c:pt>
                <c:pt idx="2">
                  <c:v>Koulutukseen</c:v>
                </c:pt>
                <c:pt idx="3">
                  <c:v>koulutukseen -tutkintotavoite</c:v>
                </c:pt>
                <c:pt idx="4">
                  <c:v>TUVA-koulutus</c:v>
                </c:pt>
                <c:pt idx="5">
                  <c:v>koulutukseen -kurssit/osatutkinnot</c:v>
                </c:pt>
                <c:pt idx="6">
                  <c:v>oppisopimus</c:v>
                </c:pt>
                <c:pt idx="7">
                  <c:v>koulutukseen*</c:v>
                </c:pt>
                <c:pt idx="8">
                  <c:v>Työelämään</c:v>
                </c:pt>
                <c:pt idx="9">
                  <c:v>työelämään -avoimille</c:v>
                </c:pt>
                <c:pt idx="10">
                  <c:v>työelämään palkkatuella</c:v>
                </c:pt>
                <c:pt idx="11">
                  <c:v>työelämään*</c:v>
                </c:pt>
                <c:pt idx="12">
                  <c:v>Muuhun ohjattuun toimenpiteeseen</c:v>
                </c:pt>
                <c:pt idx="13">
                  <c:v>työkokeilu</c:v>
                </c:pt>
                <c:pt idx="14">
                  <c:v>kuntouttava työtoiminta</c:v>
                </c:pt>
                <c:pt idx="15">
                  <c:v>kuntoutuspalvelut</c:v>
                </c:pt>
                <c:pt idx="16">
                  <c:v>mielenterveyspalvelut</c:v>
                </c:pt>
                <c:pt idx="17">
                  <c:v>päihdekuntoutus</c:v>
                </c:pt>
                <c:pt idx="18">
                  <c:v>muuhun ohjattuun toimenpiteeseen</c:v>
                </c:pt>
                <c:pt idx="19">
                  <c:v>Muualle</c:v>
                </c:pt>
                <c:pt idx="20">
                  <c:v>perhevapaa</c:v>
                </c:pt>
                <c:pt idx="21">
                  <c:v>sairausloma</c:v>
                </c:pt>
                <c:pt idx="22">
                  <c:v>eläke</c:v>
                </c:pt>
                <c:pt idx="23">
                  <c:v>armeija</c:v>
                </c:pt>
                <c:pt idx="24">
                  <c:v>siviilipalvelus</c:v>
                </c:pt>
                <c:pt idx="25">
                  <c:v>muualle</c:v>
                </c:pt>
                <c:pt idx="26">
                  <c:v>Työttömäksi</c:v>
                </c:pt>
                <c:pt idx="27">
                  <c:v>työttömäksi</c:v>
                </c:pt>
                <c:pt idx="28">
                  <c:v>Työllisyyden kuntakokeilu (ennen vuotta 2025)</c:v>
                </c:pt>
                <c:pt idx="29">
                  <c:v>Muu</c:v>
                </c:pt>
                <c:pt idx="30">
                  <c:v>ei aloittanut</c:v>
                </c:pt>
                <c:pt idx="31">
                  <c:v>keskeytynyt ilman lisätietoa</c:v>
                </c:pt>
                <c:pt idx="32">
                  <c:v>muutto toiselle paikkakunnalle</c:v>
                </c:pt>
                <c:pt idx="33">
                  <c:v>Ei tietoa</c:v>
                </c:pt>
                <c:pt idx="34">
                  <c:v>ei tietoa</c:v>
                </c:pt>
                <c:pt idx="35">
                  <c:v>ei seurata</c:v>
                </c:pt>
              </c:strCache>
            </c:strRef>
          </c:cat>
          <c:val>
            <c:numRef>
              <c:f>Asiakastilastot!$C$154:$C$189</c:f>
              <c:numCache>
                <c:formatCode>#\ ##0.0\ %;\ \-#\ ##0.0\ %.0;\ \-</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0-4879-41CA-A210-A331D376B97F}"/>
            </c:ext>
          </c:extLst>
        </c:ser>
        <c:ser>
          <c:idx val="2"/>
          <c:order val="1"/>
          <c:tx>
            <c:strRef>
              <c:f>Asiakastilastot!$D$152:$E$152</c:f>
              <c:strCache>
                <c:ptCount val="1"/>
                <c:pt idx="0">
                  <c:v>Nuoret valmentautujat</c:v>
                </c:pt>
              </c:strCache>
            </c:strRef>
          </c:tx>
          <c:spPr>
            <a:solidFill>
              <a:schemeClr val="accent3">
                <a:lumMod val="60000"/>
                <a:lumOff val="40000"/>
              </a:schemeClr>
            </a:solidFill>
            <a:ln>
              <a:noFill/>
            </a:ln>
            <a:effectLst/>
          </c:spPr>
          <c:invertIfNegative val="0"/>
          <c:cat>
            <c:strRef>
              <c:f>Asiakastilastot!$A$154:$A$189</c:f>
              <c:strCache>
                <c:ptCount val="36"/>
                <c:pt idx="0">
                  <c:v>Edelleen työpajalla</c:v>
                </c:pt>
                <c:pt idx="1">
                  <c:v>edelleen työpajalla</c:v>
                </c:pt>
                <c:pt idx="2">
                  <c:v>Koulutukseen</c:v>
                </c:pt>
                <c:pt idx="3">
                  <c:v>koulutukseen -tutkintotavoite</c:v>
                </c:pt>
                <c:pt idx="4">
                  <c:v>TUVA-koulutus</c:v>
                </c:pt>
                <c:pt idx="5">
                  <c:v>koulutukseen -kurssit/osatutkinnot</c:v>
                </c:pt>
                <c:pt idx="6">
                  <c:v>oppisopimus</c:v>
                </c:pt>
                <c:pt idx="7">
                  <c:v>koulutukseen*</c:v>
                </c:pt>
                <c:pt idx="8">
                  <c:v>Työelämään</c:v>
                </c:pt>
                <c:pt idx="9">
                  <c:v>työelämään -avoimille</c:v>
                </c:pt>
                <c:pt idx="10">
                  <c:v>työelämään palkkatuella</c:v>
                </c:pt>
                <c:pt idx="11">
                  <c:v>työelämään*</c:v>
                </c:pt>
                <c:pt idx="12">
                  <c:v>Muuhun ohjattuun toimenpiteeseen</c:v>
                </c:pt>
                <c:pt idx="13">
                  <c:v>työkokeilu</c:v>
                </c:pt>
                <c:pt idx="14">
                  <c:v>kuntouttava työtoiminta</c:v>
                </c:pt>
                <c:pt idx="15">
                  <c:v>kuntoutuspalvelut</c:v>
                </c:pt>
                <c:pt idx="16">
                  <c:v>mielenterveyspalvelut</c:v>
                </c:pt>
                <c:pt idx="17">
                  <c:v>päihdekuntoutus</c:v>
                </c:pt>
                <c:pt idx="18">
                  <c:v>muuhun ohjattuun toimenpiteeseen</c:v>
                </c:pt>
                <c:pt idx="19">
                  <c:v>Muualle</c:v>
                </c:pt>
                <c:pt idx="20">
                  <c:v>perhevapaa</c:v>
                </c:pt>
                <c:pt idx="21">
                  <c:v>sairausloma</c:v>
                </c:pt>
                <c:pt idx="22">
                  <c:v>eläke</c:v>
                </c:pt>
                <c:pt idx="23">
                  <c:v>armeija</c:v>
                </c:pt>
                <c:pt idx="24">
                  <c:v>siviilipalvelus</c:v>
                </c:pt>
                <c:pt idx="25">
                  <c:v>muualle</c:v>
                </c:pt>
                <c:pt idx="26">
                  <c:v>Työttömäksi</c:v>
                </c:pt>
                <c:pt idx="27">
                  <c:v>työttömäksi</c:v>
                </c:pt>
                <c:pt idx="28">
                  <c:v>Työllisyyden kuntakokeilu (ennen vuotta 2025)</c:v>
                </c:pt>
                <c:pt idx="29">
                  <c:v>Muu</c:v>
                </c:pt>
                <c:pt idx="30">
                  <c:v>ei aloittanut</c:v>
                </c:pt>
                <c:pt idx="31">
                  <c:v>keskeytynyt ilman lisätietoa</c:v>
                </c:pt>
                <c:pt idx="32">
                  <c:v>muutto toiselle paikkakunnalle</c:v>
                </c:pt>
                <c:pt idx="33">
                  <c:v>Ei tietoa</c:v>
                </c:pt>
                <c:pt idx="34">
                  <c:v>ei tietoa</c:v>
                </c:pt>
                <c:pt idx="35">
                  <c:v>ei seurata</c:v>
                </c:pt>
              </c:strCache>
            </c:strRef>
          </c:cat>
          <c:val>
            <c:numRef>
              <c:f>Asiakastilastot!$E$154:$E$189</c:f>
              <c:numCache>
                <c:formatCode>#\ ##0.0\ %;\ \-#\ ##0.0\ %.0;\ \-</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2-4879-41CA-A210-A331D376B97F}"/>
            </c:ext>
          </c:extLst>
        </c:ser>
        <c:dLbls>
          <c:showLegendKey val="0"/>
          <c:showVal val="0"/>
          <c:showCatName val="0"/>
          <c:showSerName val="0"/>
          <c:showPercent val="0"/>
          <c:showBubbleSize val="0"/>
        </c:dLbls>
        <c:gapWidth val="65"/>
        <c:axId val="189402624"/>
        <c:axId val="189696256"/>
      </c:barChart>
      <c:catAx>
        <c:axId val="189402624"/>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crossAx val="189696256"/>
        <c:crosses val="autoZero"/>
        <c:auto val="1"/>
        <c:lblAlgn val="ctr"/>
        <c:lblOffset val="100"/>
        <c:noMultiLvlLbl val="0"/>
      </c:catAx>
      <c:valAx>
        <c:axId val="189696256"/>
        <c:scaling>
          <c:orientation val="minMax"/>
        </c:scaling>
        <c:delete val="0"/>
        <c:axPos val="b"/>
        <c:majorGridlines>
          <c:spPr>
            <a:ln w="9525" cap="flat" cmpd="sng" algn="ctr">
              <a:noFill/>
              <a:round/>
            </a:ln>
            <a:effectLst/>
          </c:spPr>
        </c:majorGridlines>
        <c:numFmt formatCode="#\ ##0.0\ %;\ \-#\ ##0.0\ %.0;\ \-" sourceLinked="1"/>
        <c:majorTickMark val="out"/>
        <c:minorTickMark val="none"/>
        <c:tickLblPos val="nextTo"/>
        <c:spPr>
          <a:noFill/>
          <a:ln>
            <a:solidFill>
              <a:schemeClr val="lt1">
                <a:shade val="50000"/>
              </a:schemeClr>
            </a:solid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crossAx val="189402624"/>
        <c:crosses val="max"/>
        <c:crossBetween val="between"/>
      </c:valAx>
      <c:spPr>
        <a:noFill/>
        <a:ln>
          <a:noFill/>
        </a:ln>
        <a:effectLst/>
      </c:spPr>
    </c:plotArea>
    <c:legend>
      <c:legendPos val="b"/>
      <c:layout>
        <c:manualLayout>
          <c:xMode val="edge"/>
          <c:yMode val="edge"/>
          <c:x val="4.2663315512577481E-2"/>
          <c:y val="2.9413940328015613E-3"/>
          <c:w val="0.9"/>
          <c:h val="7.2326483437410896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noFill/>
    <a:ln w="9525" cap="flat" cmpd="sng" algn="ctr">
      <a:noFill/>
      <a:round/>
    </a:ln>
    <a:effectLst/>
  </c:spPr>
  <c:txPr>
    <a:bodyPr/>
    <a:lstStyle/>
    <a:p>
      <a:pPr>
        <a:defRPr sz="1100"/>
      </a:pPr>
      <a:endParaRPr lang="fi-FI"/>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248478387811591E-2"/>
          <c:y val="0.17991237633757318"/>
          <c:w val="0.81274548782739187"/>
          <c:h val="0.69599394306480911"/>
        </c:manualLayout>
      </c:layout>
      <c:barChart>
        <c:barDir val="bar"/>
        <c:grouping val="stacked"/>
        <c:varyColors val="0"/>
        <c:ser>
          <c:idx val="0"/>
          <c:order val="0"/>
          <c:tx>
            <c:v>Miehet</c:v>
          </c:tx>
          <c:spPr>
            <a:solidFill>
              <a:schemeClr val="accent1"/>
            </a:solidFill>
            <a:ln>
              <a:noFill/>
            </a:ln>
            <a:effectLst/>
          </c:spPr>
          <c:invertIfNegative val="0"/>
          <c:cat>
            <c:strRef>
              <c:f>Asiakastilastot!$N$30:$N$38</c:f>
              <c:strCache>
                <c:ptCount val="9"/>
                <c:pt idx="0">
                  <c:v>Yhteensä</c:v>
                </c:pt>
                <c:pt idx="1">
                  <c:v>Ei tietoa</c:v>
                </c:pt>
                <c:pt idx="2">
                  <c:v>Yli 50 vuotta</c:v>
                </c:pt>
                <c:pt idx="3">
                  <c:v>29-49 vuotta</c:v>
                </c:pt>
                <c:pt idx="4">
                  <c:v>25-28 vuotta</c:v>
                </c:pt>
                <c:pt idx="5">
                  <c:v>21-24 vuotta</c:v>
                </c:pt>
                <c:pt idx="6">
                  <c:v>17-20 vuotta</c:v>
                </c:pt>
                <c:pt idx="7">
                  <c:v>Alle 17 vuotta</c:v>
                </c:pt>
                <c:pt idx="8">
                  <c:v>Nuoret yhteensä</c:v>
                </c:pt>
              </c:strCache>
            </c:strRef>
          </c:cat>
          <c:val>
            <c:numRef>
              <c:f>Asiakastilastot!$O$30:$O$38</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5704-4D72-B0A9-8DCEEA7210F5}"/>
            </c:ext>
          </c:extLst>
        </c:ser>
        <c:ser>
          <c:idx val="1"/>
          <c:order val="1"/>
          <c:tx>
            <c:v>Naiset</c:v>
          </c:tx>
          <c:spPr>
            <a:solidFill>
              <a:schemeClr val="accent4">
                <a:lumMod val="75000"/>
              </a:schemeClr>
            </a:solidFill>
            <a:ln>
              <a:noFill/>
            </a:ln>
            <a:effectLst/>
          </c:spPr>
          <c:invertIfNegative val="0"/>
          <c:cat>
            <c:strRef>
              <c:f>Asiakastilastot!$N$30:$N$38</c:f>
              <c:strCache>
                <c:ptCount val="9"/>
                <c:pt idx="0">
                  <c:v>Yhteensä</c:v>
                </c:pt>
                <c:pt idx="1">
                  <c:v>Ei tietoa</c:v>
                </c:pt>
                <c:pt idx="2">
                  <c:v>Yli 50 vuotta</c:v>
                </c:pt>
                <c:pt idx="3">
                  <c:v>29-49 vuotta</c:v>
                </c:pt>
                <c:pt idx="4">
                  <c:v>25-28 vuotta</c:v>
                </c:pt>
                <c:pt idx="5">
                  <c:v>21-24 vuotta</c:v>
                </c:pt>
                <c:pt idx="6">
                  <c:v>17-20 vuotta</c:v>
                </c:pt>
                <c:pt idx="7">
                  <c:v>Alle 17 vuotta</c:v>
                </c:pt>
                <c:pt idx="8">
                  <c:v>Nuoret yhteensä</c:v>
                </c:pt>
              </c:strCache>
            </c:strRef>
          </c:cat>
          <c:val>
            <c:numRef>
              <c:f>Asiakastilastot!$P$30:$P$38</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5704-4D72-B0A9-8DCEEA7210F5}"/>
            </c:ext>
          </c:extLst>
        </c:ser>
        <c:dLbls>
          <c:showLegendKey val="0"/>
          <c:showVal val="0"/>
          <c:showCatName val="0"/>
          <c:showSerName val="0"/>
          <c:showPercent val="0"/>
          <c:showBubbleSize val="0"/>
        </c:dLbls>
        <c:gapWidth val="40"/>
        <c:overlap val="100"/>
        <c:axId val="833592216"/>
        <c:axId val="833591888"/>
      </c:barChart>
      <c:catAx>
        <c:axId val="833592216"/>
        <c:scaling>
          <c:orientation val="minMax"/>
        </c:scaling>
        <c:delete val="1"/>
        <c:axPos val="l"/>
        <c:numFmt formatCode="General" sourceLinked="1"/>
        <c:majorTickMark val="none"/>
        <c:minorTickMark val="none"/>
        <c:tickLblPos val="nextTo"/>
        <c:crossAx val="833591888"/>
        <c:crosses val="autoZero"/>
        <c:auto val="1"/>
        <c:lblAlgn val="ctr"/>
        <c:lblOffset val="100"/>
        <c:noMultiLvlLbl val="0"/>
      </c:catAx>
      <c:valAx>
        <c:axId val="833591888"/>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833592216"/>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Entry>
      <c:legendEntry>
        <c:idx val="1"/>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Entry>
      <c:layout>
        <c:manualLayout>
          <c:xMode val="edge"/>
          <c:yMode val="edge"/>
          <c:x val="2.419843454561052E-2"/>
          <c:y val="3.0769230769230771E-2"/>
          <c:w val="0.92626342704023501"/>
          <c:h val="0.1429493236422370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pieChart>
        <c:varyColors val="1"/>
        <c:ser>
          <c:idx val="0"/>
          <c:order val="0"/>
          <c:dPt>
            <c:idx val="0"/>
            <c:bubble3D val="0"/>
            <c:spPr>
              <a:solidFill>
                <a:schemeClr val="accent1">
                  <a:shade val="65000"/>
                </a:schemeClr>
              </a:solidFill>
              <a:ln w="19050">
                <a:solidFill>
                  <a:schemeClr val="lt1"/>
                </a:solidFill>
              </a:ln>
              <a:effectLst/>
            </c:spPr>
            <c:extLst>
              <c:ext xmlns:c16="http://schemas.microsoft.com/office/drawing/2014/chart" uri="{C3380CC4-5D6E-409C-BE32-E72D297353CC}">
                <c16:uniqueId val="{00000001-7D15-4540-9C85-71469318F86E}"/>
              </c:ext>
            </c:extLst>
          </c:dPt>
          <c:dPt>
            <c:idx val="1"/>
            <c:bubble3D val="0"/>
            <c:spPr>
              <a:solidFill>
                <a:schemeClr val="accent1"/>
              </a:solidFill>
              <a:ln w="19050">
                <a:solidFill>
                  <a:schemeClr val="lt1"/>
                </a:solidFill>
              </a:ln>
              <a:effectLst/>
            </c:spPr>
            <c:extLst>
              <c:ext xmlns:c16="http://schemas.microsoft.com/office/drawing/2014/chart" uri="{C3380CC4-5D6E-409C-BE32-E72D297353CC}">
                <c16:uniqueId val="{00000003-7D15-4540-9C85-71469318F86E}"/>
              </c:ext>
            </c:extLst>
          </c:dPt>
          <c:dPt>
            <c:idx val="2"/>
            <c:bubble3D val="0"/>
            <c:spPr>
              <a:solidFill>
                <a:schemeClr val="accent1">
                  <a:tint val="65000"/>
                </a:schemeClr>
              </a:solidFill>
              <a:ln w="19050">
                <a:solidFill>
                  <a:schemeClr val="lt1"/>
                </a:solidFill>
              </a:ln>
              <a:effectLst/>
            </c:spPr>
            <c:extLst>
              <c:ext xmlns:c16="http://schemas.microsoft.com/office/drawing/2014/chart" uri="{C3380CC4-5D6E-409C-BE32-E72D297353CC}">
                <c16:uniqueId val="{00000005-7D15-4540-9C85-71469318F86E}"/>
              </c:ext>
            </c:extLst>
          </c:dPt>
          <c:dLbls>
            <c:dLbl>
              <c:idx val="0"/>
              <c:layout>
                <c:manualLayout>
                  <c:x val="0.15164520743919888"/>
                  <c:y val="0"/>
                </c:manualLayout>
              </c:layout>
              <c:dLblPos val="bestFit"/>
              <c:showLegendKey val="0"/>
              <c:showVal val="1"/>
              <c:showCatName val="1"/>
              <c:showSerName val="0"/>
              <c:showPercent val="0"/>
              <c:showBubbleSize val="0"/>
              <c:extLst>
                <c:ext xmlns:c15="http://schemas.microsoft.com/office/drawing/2012/chart" uri="{CE6537A1-D6FC-4f65-9D91-7224C49458BB}">
                  <c15:layout>
                    <c:manualLayout>
                      <c:w val="0.30366260011489982"/>
                      <c:h val="0.27211594202898548"/>
                    </c:manualLayout>
                  </c15:layout>
                </c:ext>
                <c:ext xmlns:c16="http://schemas.microsoft.com/office/drawing/2014/chart" uri="{C3380CC4-5D6E-409C-BE32-E72D297353CC}">
                  <c16:uniqueId val="{00000001-7D15-4540-9C85-71469318F86E}"/>
                </c:ext>
              </c:extLst>
            </c:dLbl>
            <c:dLbl>
              <c:idx val="1"/>
              <c:layout>
                <c:manualLayout>
                  <c:x val="-0.1630901287553648"/>
                  <c:y val="-1.1594202898550728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fi-FI"/>
                </a:p>
              </c:txPr>
              <c:dLblPos val="bestFit"/>
              <c:showLegendKey val="0"/>
              <c:showVal val="1"/>
              <c:showCatName val="1"/>
              <c:showSerName val="0"/>
              <c:showPercent val="0"/>
              <c:showBubbleSize val="0"/>
              <c:extLst>
                <c:ext xmlns:c15="http://schemas.microsoft.com/office/drawing/2012/chart" uri="{CE6537A1-D6FC-4f65-9D91-7224C49458BB}">
                  <c15:layout>
                    <c:manualLayout>
                      <c:w val="0.27668097281831189"/>
                      <c:h val="0.21414492753623185"/>
                    </c:manualLayout>
                  </c15:layout>
                </c:ext>
                <c:ext xmlns:c16="http://schemas.microsoft.com/office/drawing/2014/chart" uri="{C3380CC4-5D6E-409C-BE32-E72D297353CC}">
                  <c16:uniqueId val="{00000003-7D15-4540-9C85-71469318F86E}"/>
                </c:ext>
              </c:extLst>
            </c:dLbl>
            <c:dLbl>
              <c:idx val="2"/>
              <c:layout>
                <c:manualLayout>
                  <c:x val="0.25464949928469244"/>
                  <c:y val="-2.6086728289398606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fi-FI"/>
                </a:p>
              </c:txPr>
              <c:dLblPos val="bestFit"/>
              <c:showLegendKey val="0"/>
              <c:showVal val="1"/>
              <c:showCatName val="1"/>
              <c:showSerName val="0"/>
              <c:showPercent val="0"/>
              <c:showBubbleSize val="0"/>
              <c:extLst>
                <c:ext xmlns:c15="http://schemas.microsoft.com/office/drawing/2012/chart" uri="{CE6537A1-D6FC-4f65-9D91-7224C49458BB}">
                  <c15:layout>
                    <c:manualLayout>
                      <c:w val="0.30351931330472104"/>
                      <c:h val="0.15626109779755792"/>
                    </c:manualLayout>
                  </c15:layout>
                </c:ext>
                <c:ext xmlns:c16="http://schemas.microsoft.com/office/drawing/2014/chart" uri="{C3380CC4-5D6E-409C-BE32-E72D297353CC}">
                  <c16:uniqueId val="{00000005-7D15-4540-9C85-71469318F86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(Asiakastilastot!$A$59,Asiakastilastot!$A$64,Asiakastilastot!$A$81)</c:f>
              <c:strCache>
                <c:ptCount val="3"/>
                <c:pt idx="0">
                  <c:v>Kotimaiset kielet</c:v>
                </c:pt>
                <c:pt idx="1">
                  <c:v>Vierasperäiset kielet</c:v>
                </c:pt>
                <c:pt idx="2">
                  <c:v>Ei tietoa</c:v>
                </c:pt>
              </c:strCache>
            </c:strRef>
          </c:cat>
          <c:val>
            <c:numRef>
              <c:f>(Asiakastilastot!$B$60,Asiakastilastot!$B$65,Asiakastilastot!$B$82)</c:f>
              <c:numCache>
                <c:formatCode>#\ ##0.0\ %;\ \-#\ ##0.0\ %.0;\ \-</c:formatCode>
                <c:ptCount val="3"/>
                <c:pt idx="0">
                  <c:v>0</c:v>
                </c:pt>
                <c:pt idx="1">
                  <c:v>0</c:v>
                </c:pt>
                <c:pt idx="2">
                  <c:v>0</c:v>
                </c:pt>
              </c:numCache>
            </c:numRef>
          </c:val>
          <c:extLst>
            <c:ext xmlns:c16="http://schemas.microsoft.com/office/drawing/2014/chart" uri="{C3380CC4-5D6E-409C-BE32-E72D297353CC}">
              <c16:uniqueId val="{00000000-6993-49F5-961B-45DDA3464D0C}"/>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v>Miehet</c:v>
          </c:tx>
          <c:spPr>
            <a:solidFill>
              <a:schemeClr val="accent1"/>
            </a:solidFill>
            <a:ln>
              <a:noFill/>
            </a:ln>
            <a:effectLst/>
          </c:spPr>
          <c:invertIfNegative val="0"/>
          <c:cat>
            <c:strRef>
              <c:f>Asiakastilastot!$L$15:$L$23</c:f>
              <c:strCache>
                <c:ptCount val="8"/>
                <c:pt idx="0">
                  <c:v>Kaikki yhteensä</c:v>
                </c:pt>
                <c:pt idx="1">
                  <c:v>Nuoret yhteensä</c:v>
                </c:pt>
                <c:pt idx="3">
                  <c:v>Kaikki yhteensä</c:v>
                </c:pt>
                <c:pt idx="4">
                  <c:v>Nuoret yhteensä</c:v>
                </c:pt>
                <c:pt idx="6">
                  <c:v>Kaikki yhteensä</c:v>
                </c:pt>
                <c:pt idx="7">
                  <c:v>Nuoret yhteensä</c:v>
                </c:pt>
              </c:strCache>
            </c:strRef>
          </c:cat>
          <c:val>
            <c:numRef>
              <c:f>Asiakastilastot!$M$15:$M$23</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6EA6-4E7B-A3D6-DF36377E609B}"/>
            </c:ext>
          </c:extLst>
        </c:ser>
        <c:ser>
          <c:idx val="1"/>
          <c:order val="1"/>
          <c:tx>
            <c:v>Naiset</c:v>
          </c:tx>
          <c:spPr>
            <a:solidFill>
              <a:schemeClr val="accent4">
                <a:lumMod val="75000"/>
              </a:schemeClr>
            </a:solidFill>
            <a:ln>
              <a:noFill/>
            </a:ln>
            <a:effectLst/>
          </c:spPr>
          <c:invertIfNegative val="0"/>
          <c:cat>
            <c:strRef>
              <c:f>Asiakastilastot!$L$15:$L$23</c:f>
              <c:strCache>
                <c:ptCount val="8"/>
                <c:pt idx="0">
                  <c:v>Kaikki yhteensä</c:v>
                </c:pt>
                <c:pt idx="1">
                  <c:v>Nuoret yhteensä</c:v>
                </c:pt>
                <c:pt idx="3">
                  <c:v>Kaikki yhteensä</c:v>
                </c:pt>
                <c:pt idx="4">
                  <c:v>Nuoret yhteensä</c:v>
                </c:pt>
                <c:pt idx="6">
                  <c:v>Kaikki yhteensä</c:v>
                </c:pt>
                <c:pt idx="7">
                  <c:v>Nuoret yhteensä</c:v>
                </c:pt>
              </c:strCache>
            </c:strRef>
          </c:cat>
          <c:val>
            <c:numRef>
              <c:f>Asiakastilastot!$N$15:$N$23</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6EA6-4E7B-A3D6-DF36377E609B}"/>
            </c:ext>
          </c:extLst>
        </c:ser>
        <c:dLbls>
          <c:showLegendKey val="0"/>
          <c:showVal val="0"/>
          <c:showCatName val="0"/>
          <c:showSerName val="0"/>
          <c:showPercent val="0"/>
          <c:showBubbleSize val="0"/>
        </c:dLbls>
        <c:gapWidth val="40"/>
        <c:overlap val="100"/>
        <c:axId val="833592216"/>
        <c:axId val="833591888"/>
      </c:barChart>
      <c:catAx>
        <c:axId val="833592216"/>
        <c:scaling>
          <c:orientation val="minMax"/>
        </c:scaling>
        <c:delete val="1"/>
        <c:axPos val="l"/>
        <c:numFmt formatCode="General" sourceLinked="1"/>
        <c:majorTickMark val="none"/>
        <c:minorTickMark val="none"/>
        <c:tickLblPos val="nextTo"/>
        <c:crossAx val="833591888"/>
        <c:crosses val="autoZero"/>
        <c:auto val="1"/>
        <c:lblAlgn val="ctr"/>
        <c:lblOffset val="100"/>
        <c:noMultiLvlLbl val="0"/>
      </c:catAx>
      <c:valAx>
        <c:axId val="833591888"/>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833592216"/>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Entry>
      <c:legendEntry>
        <c:idx val="1"/>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Entry>
      <c:layout>
        <c:manualLayout>
          <c:xMode val="edge"/>
          <c:yMode val="edge"/>
          <c:x val="2.419843454561052E-2"/>
          <c:y val="3.0769230769230771E-2"/>
          <c:w val="0.92626342704023501"/>
          <c:h val="0.1429493236422370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041-4E85-A7A6-4A723A9B718D}"/>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0041-4E85-A7A6-4A723A9B718D}"/>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0041-4E85-A7A6-4A723A9B718D}"/>
              </c:ext>
            </c:extLst>
          </c:dPt>
          <c:dPt>
            <c:idx val="3"/>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7-0041-4E85-A7A6-4A723A9B718D}"/>
              </c:ext>
            </c:extLst>
          </c:dPt>
          <c:dPt>
            <c:idx val="4"/>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9-0041-4E85-A7A6-4A723A9B718D}"/>
              </c:ext>
            </c:extLst>
          </c:dPt>
          <c:dPt>
            <c:idx val="5"/>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B-0041-4E85-A7A6-4A723A9B718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Asiakastilastot!$A$45:$A$50</c:f>
              <c:strCache>
                <c:ptCount val="6"/>
                <c:pt idx="0">
                  <c:v>Alle 2 kk</c:v>
                </c:pt>
                <c:pt idx="1">
                  <c:v>2-3 kk</c:v>
                </c:pt>
                <c:pt idx="2">
                  <c:v>3-6 kk</c:v>
                </c:pt>
                <c:pt idx="3">
                  <c:v>6 kk - 1 v.</c:v>
                </c:pt>
                <c:pt idx="4">
                  <c:v>Yli 1 v.</c:v>
                </c:pt>
                <c:pt idx="5">
                  <c:v>Ei tietoa</c:v>
                </c:pt>
              </c:strCache>
            </c:strRef>
          </c:cat>
          <c:val>
            <c:numRef>
              <c:f>Asiakastilastot!$C$45:$C$50</c:f>
              <c:numCache>
                <c:formatCode>#\ ##0.0%;\ \-#\ ##0.0%;\ \-\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FA3C-4E8B-ABA2-6E17E0CE49C5}"/>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B99-4DB5-B119-42D0C491D2F9}"/>
              </c:ext>
            </c:extLst>
          </c:dPt>
          <c:dPt>
            <c:idx val="1"/>
            <c:bubble3D val="0"/>
            <c:spPr>
              <a:solidFill>
                <a:schemeClr val="accent3"/>
              </a:solidFill>
              <a:ln w="19050">
                <a:solidFill>
                  <a:schemeClr val="lt1"/>
                </a:solidFill>
              </a:ln>
              <a:effectLst/>
            </c:spPr>
            <c:extLst>
              <c:ext xmlns:c16="http://schemas.microsoft.com/office/drawing/2014/chart" uri="{C3380CC4-5D6E-409C-BE32-E72D297353CC}">
                <c16:uniqueId val="{00000003-AB99-4DB5-B119-42D0C491D2F9}"/>
              </c:ext>
            </c:extLst>
          </c:dPt>
          <c:dPt>
            <c:idx val="2"/>
            <c:bubble3D val="0"/>
            <c:spPr>
              <a:solidFill>
                <a:schemeClr val="accent5"/>
              </a:solidFill>
              <a:ln w="19050">
                <a:solidFill>
                  <a:schemeClr val="lt1"/>
                </a:solidFill>
              </a:ln>
              <a:effectLst/>
            </c:spPr>
            <c:extLst>
              <c:ext xmlns:c16="http://schemas.microsoft.com/office/drawing/2014/chart" uri="{C3380CC4-5D6E-409C-BE32-E72D297353CC}">
                <c16:uniqueId val="{00000005-AB99-4DB5-B119-42D0C491D2F9}"/>
              </c:ext>
            </c:extLst>
          </c:dPt>
          <c:dPt>
            <c:idx val="3"/>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7-AB99-4DB5-B119-42D0C491D2F9}"/>
              </c:ext>
            </c:extLst>
          </c:dPt>
          <c:dPt>
            <c:idx val="4"/>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9-AB99-4DB5-B119-42D0C491D2F9}"/>
              </c:ext>
            </c:extLst>
          </c:dPt>
          <c:dPt>
            <c:idx val="5"/>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0B-AB99-4DB5-B119-42D0C491D2F9}"/>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Asiakastilastot!$A$45:$A$50</c:f>
              <c:strCache>
                <c:ptCount val="6"/>
                <c:pt idx="0">
                  <c:v>Alle 2 kk</c:v>
                </c:pt>
                <c:pt idx="1">
                  <c:v>2-3 kk</c:v>
                </c:pt>
                <c:pt idx="2">
                  <c:v>3-6 kk</c:v>
                </c:pt>
                <c:pt idx="3">
                  <c:v>6 kk - 1 v.</c:v>
                </c:pt>
                <c:pt idx="4">
                  <c:v>Yli 1 v.</c:v>
                </c:pt>
                <c:pt idx="5">
                  <c:v>Ei tietoa</c:v>
                </c:pt>
              </c:strCache>
            </c:strRef>
          </c:cat>
          <c:val>
            <c:numRef>
              <c:f>Asiakastilastot!$E$45:$E$50</c:f>
              <c:numCache>
                <c:formatCode>#\ ##0.0%;\ \-#\ ##0.0%;\ \-\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AB99-4DB5-B119-42D0C491D2F9}"/>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0550755405472236"/>
          <c:y val="4.416306498737943E-2"/>
          <c:w val="0.52212118848780575"/>
          <c:h val="0.88109709335582242"/>
        </c:manualLayout>
      </c:layout>
      <c:barChart>
        <c:barDir val="bar"/>
        <c:grouping val="clustered"/>
        <c:varyColors val="0"/>
        <c:ser>
          <c:idx val="0"/>
          <c:order val="0"/>
          <c:tx>
            <c:strRef>
              <c:f>Asiakastilastot!$B$90</c:f>
              <c:strCache>
                <c:ptCount val="1"/>
                <c:pt idx="0">
                  <c:v> Kaikki valmentautujat</c:v>
                </c:pt>
              </c:strCache>
            </c:strRef>
          </c:tx>
          <c:spPr>
            <a:solidFill>
              <a:schemeClr val="accent1"/>
            </a:solidFill>
            <a:ln w="57150">
              <a:solidFill>
                <a:schemeClr val="accent1"/>
              </a:solidFill>
            </a:ln>
            <a:effectLst/>
          </c:spPr>
          <c:invertIfNegative val="0"/>
          <c:cat>
            <c:strRef>
              <c:f>Asiakastilastot!$A$92:$A$123</c:f>
              <c:strCache>
                <c:ptCount val="32"/>
                <c:pt idx="0">
                  <c:v>Oppilaitos yhteensä</c:v>
                </c:pt>
                <c:pt idx="1">
                  <c:v>Peruskoulu</c:v>
                </c:pt>
                <c:pt idx="2">
                  <c:v>Toisen asteen oppilaitos</c:v>
                </c:pt>
                <c:pt idx="3">
                  <c:v>Muu oppilaitos</c:v>
                </c:pt>
                <c:pt idx="4">
                  <c:v>Oppivelvollisuuden ohjaus ja valvonta</c:v>
                </c:pt>
                <c:pt idx="5">
                  <c:v>Nuorisopalvelut yhteensä</c:v>
                </c:pt>
                <c:pt idx="6">
                  <c:v>Etsivä nuorisotyö</c:v>
                </c:pt>
                <c:pt idx="7">
                  <c:v>Nuorisotoimen palvelut</c:v>
                </c:pt>
                <c:pt idx="8">
                  <c:v>Työllisyyspalvelut yhteensä</c:v>
                </c:pt>
                <c:pt idx="9">
                  <c:v>Ohjaamo</c:v>
                </c:pt>
                <c:pt idx="10">
                  <c:v>Työllisyyspalvelut</c:v>
                </c:pt>
                <c:pt idx="11">
                  <c:v>TYM-yhteistoimintamalli (ent. TYP)</c:v>
                </c:pt>
                <c:pt idx="12">
                  <c:v>TE-palvelut (ennen vuotta 2025)</c:v>
                </c:pt>
                <c:pt idx="13">
                  <c:v>Työllisyyden kuntakokeilu (ennen vuotta 2025)</c:v>
                </c:pt>
                <c:pt idx="14">
                  <c:v>Hyvinvointialueen palvelut yhteensä</c:v>
                </c:pt>
                <c:pt idx="15">
                  <c:v>Sosiaalipalvelut</c:v>
                </c:pt>
                <c:pt idx="16">
                  <c:v>Terveyspalvelut</c:v>
                </c:pt>
                <c:pt idx="17">
                  <c:v>Mielenterveyspalvelu</c:v>
                </c:pt>
                <c:pt idx="18">
                  <c:v>Sosiaali- ja terveyspalvelut (ennen vuotta 2025)</c:v>
                </c:pt>
                <c:pt idx="19">
                  <c:v>Muut julkiset palvelut yhteensä</c:v>
                </c:pt>
                <c:pt idx="20">
                  <c:v>KELA</c:v>
                </c:pt>
                <c:pt idx="21">
                  <c:v>Työeläkelaitos / vakuutusyhtiö</c:v>
                </c:pt>
                <c:pt idx="22">
                  <c:v>Kriminaalihuolto</c:v>
                </c:pt>
                <c:pt idx="23">
                  <c:v>Armeija / Aikalisä</c:v>
                </c:pt>
                <c:pt idx="24">
                  <c:v>Siviilipalvelu</c:v>
                </c:pt>
                <c:pt idx="25">
                  <c:v>Muut yhteensä</c:v>
                </c:pt>
                <c:pt idx="26">
                  <c:v>Suoraan työpajalle</c:v>
                </c:pt>
                <c:pt idx="27">
                  <c:v>3. sektori</c:v>
                </c:pt>
                <c:pt idx="28">
                  <c:v>Muu taho</c:v>
                </c:pt>
                <c:pt idx="29">
                  <c:v>Ei rek. tietoa</c:v>
                </c:pt>
                <c:pt idx="30">
                  <c:v>Ei tietoa</c:v>
                </c:pt>
                <c:pt idx="31">
                  <c:v>Ei kirjattu</c:v>
                </c:pt>
              </c:strCache>
            </c:strRef>
          </c:cat>
          <c:val>
            <c:numRef>
              <c:f>Asiakastilastot!$C$92:$C$123</c:f>
              <c:numCache>
                <c:formatCode>#\ ##0.0\ %;\ \-#\ ##0.0\ %.0;\ \-</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numCache>
            </c:numRef>
          </c:val>
          <c:extLst>
            <c:ext xmlns:c16="http://schemas.microsoft.com/office/drawing/2014/chart" uri="{C3380CC4-5D6E-409C-BE32-E72D297353CC}">
              <c16:uniqueId val="{00000000-34C9-47C2-B145-53D52E6BD6EF}"/>
            </c:ext>
          </c:extLst>
        </c:ser>
        <c:ser>
          <c:idx val="2"/>
          <c:order val="2"/>
          <c:tx>
            <c:strRef>
              <c:f>Asiakastilastot!$F$90</c:f>
              <c:strCache>
                <c:ptCount val="1"/>
                <c:pt idx="0">
                  <c:v>Nuoret valmentautujat</c:v>
                </c:pt>
              </c:strCache>
            </c:strRef>
          </c:tx>
          <c:spPr>
            <a:solidFill>
              <a:schemeClr val="accent3">
                <a:lumMod val="60000"/>
                <a:lumOff val="40000"/>
              </a:schemeClr>
            </a:solidFill>
            <a:ln w="53975">
              <a:solidFill>
                <a:schemeClr val="accent3">
                  <a:lumMod val="60000"/>
                  <a:lumOff val="40000"/>
                </a:schemeClr>
              </a:solidFill>
              <a:round/>
            </a:ln>
            <a:effectLst/>
          </c:spPr>
          <c:invertIfNegative val="0"/>
          <c:dPt>
            <c:idx val="0"/>
            <c:invertIfNegative val="0"/>
            <c:bubble3D val="0"/>
            <c:spPr>
              <a:solidFill>
                <a:schemeClr val="accent3">
                  <a:lumMod val="60000"/>
                  <a:lumOff val="40000"/>
                </a:schemeClr>
              </a:solidFill>
              <a:ln w="53975">
                <a:solidFill>
                  <a:schemeClr val="accent3">
                    <a:lumMod val="60000"/>
                    <a:lumOff val="40000"/>
                  </a:schemeClr>
                </a:solidFill>
                <a:round/>
              </a:ln>
              <a:effectLst>
                <a:softEdge rad="0"/>
              </a:effectLst>
            </c:spPr>
            <c:extLst>
              <c:ext xmlns:c16="http://schemas.microsoft.com/office/drawing/2014/chart" uri="{C3380CC4-5D6E-409C-BE32-E72D297353CC}">
                <c16:uniqueId val="{00000000-C7A8-41EA-B6D1-0401086A3337}"/>
              </c:ext>
            </c:extLst>
          </c:dPt>
          <c:cat>
            <c:strRef>
              <c:f>Asiakastilastot!$A$92:$A$123</c:f>
              <c:strCache>
                <c:ptCount val="32"/>
                <c:pt idx="0">
                  <c:v>Oppilaitos yhteensä</c:v>
                </c:pt>
                <c:pt idx="1">
                  <c:v>Peruskoulu</c:v>
                </c:pt>
                <c:pt idx="2">
                  <c:v>Toisen asteen oppilaitos</c:v>
                </c:pt>
                <c:pt idx="3">
                  <c:v>Muu oppilaitos</c:v>
                </c:pt>
                <c:pt idx="4">
                  <c:v>Oppivelvollisuuden ohjaus ja valvonta</c:v>
                </c:pt>
                <c:pt idx="5">
                  <c:v>Nuorisopalvelut yhteensä</c:v>
                </c:pt>
                <c:pt idx="6">
                  <c:v>Etsivä nuorisotyö</c:v>
                </c:pt>
                <c:pt idx="7">
                  <c:v>Nuorisotoimen palvelut</c:v>
                </c:pt>
                <c:pt idx="8">
                  <c:v>Työllisyyspalvelut yhteensä</c:v>
                </c:pt>
                <c:pt idx="9">
                  <c:v>Ohjaamo</c:v>
                </c:pt>
                <c:pt idx="10">
                  <c:v>Työllisyyspalvelut</c:v>
                </c:pt>
                <c:pt idx="11">
                  <c:v>TYM-yhteistoimintamalli (ent. TYP)</c:v>
                </c:pt>
                <c:pt idx="12">
                  <c:v>TE-palvelut (ennen vuotta 2025)</c:v>
                </c:pt>
                <c:pt idx="13">
                  <c:v>Työllisyyden kuntakokeilu (ennen vuotta 2025)</c:v>
                </c:pt>
                <c:pt idx="14">
                  <c:v>Hyvinvointialueen palvelut yhteensä</c:v>
                </c:pt>
                <c:pt idx="15">
                  <c:v>Sosiaalipalvelut</c:v>
                </c:pt>
                <c:pt idx="16">
                  <c:v>Terveyspalvelut</c:v>
                </c:pt>
                <c:pt idx="17">
                  <c:v>Mielenterveyspalvelu</c:v>
                </c:pt>
                <c:pt idx="18">
                  <c:v>Sosiaali- ja terveyspalvelut (ennen vuotta 2025)</c:v>
                </c:pt>
                <c:pt idx="19">
                  <c:v>Muut julkiset palvelut yhteensä</c:v>
                </c:pt>
                <c:pt idx="20">
                  <c:v>KELA</c:v>
                </c:pt>
                <c:pt idx="21">
                  <c:v>Työeläkelaitos / vakuutusyhtiö</c:v>
                </c:pt>
                <c:pt idx="22">
                  <c:v>Kriminaalihuolto</c:v>
                </c:pt>
                <c:pt idx="23">
                  <c:v>Armeija / Aikalisä</c:v>
                </c:pt>
                <c:pt idx="24">
                  <c:v>Siviilipalvelu</c:v>
                </c:pt>
                <c:pt idx="25">
                  <c:v>Muut yhteensä</c:v>
                </c:pt>
                <c:pt idx="26">
                  <c:v>Suoraan työpajalle</c:v>
                </c:pt>
                <c:pt idx="27">
                  <c:v>3. sektori</c:v>
                </c:pt>
                <c:pt idx="28">
                  <c:v>Muu taho</c:v>
                </c:pt>
                <c:pt idx="29">
                  <c:v>Ei rek. tietoa</c:v>
                </c:pt>
                <c:pt idx="30">
                  <c:v>Ei tietoa</c:v>
                </c:pt>
                <c:pt idx="31">
                  <c:v>Ei kirjattu</c:v>
                </c:pt>
              </c:strCache>
            </c:strRef>
          </c:cat>
          <c:val>
            <c:numRef>
              <c:f>Asiakastilastot!$G$92:$G$123</c:f>
              <c:numCache>
                <c:formatCode>#\ ##0.0\ %;\ \-#\ ##0.0\ %.0;\ \-</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numCache>
            </c:numRef>
          </c:val>
          <c:extLst>
            <c:ext xmlns:c16="http://schemas.microsoft.com/office/drawing/2014/chart" uri="{C3380CC4-5D6E-409C-BE32-E72D297353CC}">
              <c16:uniqueId val="{00000002-34C9-47C2-B145-53D52E6BD6EF}"/>
            </c:ext>
          </c:extLst>
        </c:ser>
        <c:dLbls>
          <c:showLegendKey val="0"/>
          <c:showVal val="0"/>
          <c:showCatName val="0"/>
          <c:showSerName val="0"/>
          <c:showPercent val="0"/>
          <c:showBubbleSize val="0"/>
        </c:dLbls>
        <c:gapWidth val="257"/>
        <c:overlap val="-20"/>
        <c:axId val="1221935776"/>
        <c:axId val="1116328528"/>
        <c:extLst>
          <c:ext xmlns:c15="http://schemas.microsoft.com/office/drawing/2012/chart" uri="{02D57815-91ED-43cb-92C2-25804820EDAC}">
            <c15:filteredBarSeries>
              <c15:ser>
                <c:idx val="1"/>
                <c:order val="1"/>
                <c:tx>
                  <c:strRef>
                    <c:extLst>
                      <c:ext uri="{02D57815-91ED-43cb-92C2-25804820EDAC}">
                        <c15:formulaRef>
                          <c15:sqref>Asiakastilastot!$D$90</c15:sqref>
                        </c15:formulaRef>
                      </c:ext>
                    </c:extLst>
                    <c:strCache>
                      <c:ptCount val="1"/>
                      <c:pt idx="0">
                        <c:v>Kaikki naiset</c:v>
                      </c:pt>
                    </c:strCache>
                  </c:strRef>
                </c:tx>
                <c:spPr>
                  <a:solidFill>
                    <a:schemeClr val="accent2"/>
                  </a:solidFill>
                  <a:ln>
                    <a:noFill/>
                  </a:ln>
                  <a:effectLst/>
                </c:spPr>
                <c:invertIfNegative val="0"/>
                <c:cat>
                  <c:strRef>
                    <c:extLst>
                      <c:ext uri="{02D57815-91ED-43cb-92C2-25804820EDAC}">
                        <c15:formulaRef>
                          <c15:sqref>Asiakastilastot!$A$92:$A$123</c15:sqref>
                        </c15:formulaRef>
                      </c:ext>
                    </c:extLst>
                    <c:strCache>
                      <c:ptCount val="32"/>
                      <c:pt idx="0">
                        <c:v>Oppilaitos yhteensä</c:v>
                      </c:pt>
                      <c:pt idx="1">
                        <c:v>Peruskoulu</c:v>
                      </c:pt>
                      <c:pt idx="2">
                        <c:v>Toisen asteen oppilaitos</c:v>
                      </c:pt>
                      <c:pt idx="3">
                        <c:v>Muu oppilaitos</c:v>
                      </c:pt>
                      <c:pt idx="4">
                        <c:v>Oppivelvollisuuden ohjaus ja valvonta</c:v>
                      </c:pt>
                      <c:pt idx="5">
                        <c:v>Nuorisopalvelut yhteensä</c:v>
                      </c:pt>
                      <c:pt idx="6">
                        <c:v>Etsivä nuorisotyö</c:v>
                      </c:pt>
                      <c:pt idx="7">
                        <c:v>Nuorisotoimen palvelut</c:v>
                      </c:pt>
                      <c:pt idx="8">
                        <c:v>Työllisyyspalvelut yhteensä</c:v>
                      </c:pt>
                      <c:pt idx="9">
                        <c:v>Ohjaamo</c:v>
                      </c:pt>
                      <c:pt idx="10">
                        <c:v>Työllisyyspalvelut</c:v>
                      </c:pt>
                      <c:pt idx="11">
                        <c:v>TYM-yhteistoimintamalli (ent. TYP)</c:v>
                      </c:pt>
                      <c:pt idx="12">
                        <c:v>TE-palvelut (ennen vuotta 2025)</c:v>
                      </c:pt>
                      <c:pt idx="13">
                        <c:v>Työllisyyden kuntakokeilu (ennen vuotta 2025)</c:v>
                      </c:pt>
                      <c:pt idx="14">
                        <c:v>Hyvinvointialueen palvelut yhteensä</c:v>
                      </c:pt>
                      <c:pt idx="15">
                        <c:v>Sosiaalipalvelut</c:v>
                      </c:pt>
                      <c:pt idx="16">
                        <c:v>Terveyspalvelut</c:v>
                      </c:pt>
                      <c:pt idx="17">
                        <c:v>Mielenterveyspalvelu</c:v>
                      </c:pt>
                      <c:pt idx="18">
                        <c:v>Sosiaali- ja terveyspalvelut (ennen vuotta 2025)</c:v>
                      </c:pt>
                      <c:pt idx="19">
                        <c:v>Muut julkiset palvelut yhteensä</c:v>
                      </c:pt>
                      <c:pt idx="20">
                        <c:v>KELA</c:v>
                      </c:pt>
                      <c:pt idx="21">
                        <c:v>Työeläkelaitos / vakuutusyhtiö</c:v>
                      </c:pt>
                      <c:pt idx="22">
                        <c:v>Kriminaalihuolto</c:v>
                      </c:pt>
                      <c:pt idx="23">
                        <c:v>Armeija / Aikalisä</c:v>
                      </c:pt>
                      <c:pt idx="24">
                        <c:v>Siviilipalvelu</c:v>
                      </c:pt>
                      <c:pt idx="25">
                        <c:v>Muut yhteensä</c:v>
                      </c:pt>
                      <c:pt idx="26">
                        <c:v>Suoraan työpajalle</c:v>
                      </c:pt>
                      <c:pt idx="27">
                        <c:v>3. sektori</c:v>
                      </c:pt>
                      <c:pt idx="28">
                        <c:v>Muu taho</c:v>
                      </c:pt>
                      <c:pt idx="29">
                        <c:v>Ei rek. tietoa</c:v>
                      </c:pt>
                      <c:pt idx="30">
                        <c:v>Ei tietoa</c:v>
                      </c:pt>
                      <c:pt idx="31">
                        <c:v>Ei kirjattu</c:v>
                      </c:pt>
                    </c:strCache>
                  </c:strRef>
                </c:cat>
                <c:val>
                  <c:numRef>
                    <c:extLst>
                      <c:ext uri="{02D57815-91ED-43cb-92C2-25804820EDAC}">
                        <c15:formulaRef>
                          <c15:sqref>Asiakastilastot!$D$92:$D$123</c15:sqref>
                        </c15:formulaRef>
                      </c:ext>
                    </c:extLst>
                    <c:numCache>
                      <c:formatCode>#\ ##0;\ \-#\ ##0;\ \-</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numCache>
                  </c:numRef>
                </c:val>
                <c:extLst>
                  <c:ext xmlns:c16="http://schemas.microsoft.com/office/drawing/2014/chart" uri="{C3380CC4-5D6E-409C-BE32-E72D297353CC}">
                    <c16:uniqueId val="{00000001-34C9-47C2-B145-53D52E6BD6EF}"/>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Asiakastilastot!$H$90</c15:sqref>
                        </c15:formulaRef>
                      </c:ext>
                    </c:extLst>
                    <c:strCache>
                      <c:ptCount val="1"/>
                      <c:pt idx="0">
                        <c:v>Nuoret naiset</c:v>
                      </c:pt>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Asiakastilastot!$A$92:$A$123</c15:sqref>
                        </c15:formulaRef>
                      </c:ext>
                    </c:extLst>
                    <c:strCache>
                      <c:ptCount val="32"/>
                      <c:pt idx="0">
                        <c:v>Oppilaitos yhteensä</c:v>
                      </c:pt>
                      <c:pt idx="1">
                        <c:v>Peruskoulu</c:v>
                      </c:pt>
                      <c:pt idx="2">
                        <c:v>Toisen asteen oppilaitos</c:v>
                      </c:pt>
                      <c:pt idx="3">
                        <c:v>Muu oppilaitos</c:v>
                      </c:pt>
                      <c:pt idx="4">
                        <c:v>Oppivelvollisuuden ohjaus ja valvonta</c:v>
                      </c:pt>
                      <c:pt idx="5">
                        <c:v>Nuorisopalvelut yhteensä</c:v>
                      </c:pt>
                      <c:pt idx="6">
                        <c:v>Etsivä nuorisotyö</c:v>
                      </c:pt>
                      <c:pt idx="7">
                        <c:v>Nuorisotoimen palvelut</c:v>
                      </c:pt>
                      <c:pt idx="8">
                        <c:v>Työllisyyspalvelut yhteensä</c:v>
                      </c:pt>
                      <c:pt idx="9">
                        <c:v>Ohjaamo</c:v>
                      </c:pt>
                      <c:pt idx="10">
                        <c:v>Työllisyyspalvelut</c:v>
                      </c:pt>
                      <c:pt idx="11">
                        <c:v>TYM-yhteistoimintamalli (ent. TYP)</c:v>
                      </c:pt>
                      <c:pt idx="12">
                        <c:v>TE-palvelut (ennen vuotta 2025)</c:v>
                      </c:pt>
                      <c:pt idx="13">
                        <c:v>Työllisyyden kuntakokeilu (ennen vuotta 2025)</c:v>
                      </c:pt>
                      <c:pt idx="14">
                        <c:v>Hyvinvointialueen palvelut yhteensä</c:v>
                      </c:pt>
                      <c:pt idx="15">
                        <c:v>Sosiaalipalvelut</c:v>
                      </c:pt>
                      <c:pt idx="16">
                        <c:v>Terveyspalvelut</c:v>
                      </c:pt>
                      <c:pt idx="17">
                        <c:v>Mielenterveyspalvelu</c:v>
                      </c:pt>
                      <c:pt idx="18">
                        <c:v>Sosiaali- ja terveyspalvelut (ennen vuotta 2025)</c:v>
                      </c:pt>
                      <c:pt idx="19">
                        <c:v>Muut julkiset palvelut yhteensä</c:v>
                      </c:pt>
                      <c:pt idx="20">
                        <c:v>KELA</c:v>
                      </c:pt>
                      <c:pt idx="21">
                        <c:v>Työeläkelaitos / vakuutusyhtiö</c:v>
                      </c:pt>
                      <c:pt idx="22">
                        <c:v>Kriminaalihuolto</c:v>
                      </c:pt>
                      <c:pt idx="23">
                        <c:v>Armeija / Aikalisä</c:v>
                      </c:pt>
                      <c:pt idx="24">
                        <c:v>Siviilipalvelu</c:v>
                      </c:pt>
                      <c:pt idx="25">
                        <c:v>Muut yhteensä</c:v>
                      </c:pt>
                      <c:pt idx="26">
                        <c:v>Suoraan työpajalle</c:v>
                      </c:pt>
                      <c:pt idx="27">
                        <c:v>3. sektori</c:v>
                      </c:pt>
                      <c:pt idx="28">
                        <c:v>Muu taho</c:v>
                      </c:pt>
                      <c:pt idx="29">
                        <c:v>Ei rek. tietoa</c:v>
                      </c:pt>
                      <c:pt idx="30">
                        <c:v>Ei tietoa</c:v>
                      </c:pt>
                      <c:pt idx="31">
                        <c:v>Ei kirjattu</c:v>
                      </c:pt>
                    </c:strCache>
                  </c:strRef>
                </c:cat>
                <c:val>
                  <c:numRef>
                    <c:extLst xmlns:c15="http://schemas.microsoft.com/office/drawing/2012/chart">
                      <c:ext xmlns:c15="http://schemas.microsoft.com/office/drawing/2012/chart" uri="{02D57815-91ED-43cb-92C2-25804820EDAC}">
                        <c15:formulaRef>
                          <c15:sqref>Asiakastilastot!$H$92:$H$123</c15:sqref>
                        </c15:formulaRef>
                      </c:ext>
                    </c:extLst>
                    <c:numCache>
                      <c:formatCode>#\ ##0;\ \-#\ ##0;\ \-</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numCache>
                  </c:numRef>
                </c:val>
                <c:extLst xmlns:c15="http://schemas.microsoft.com/office/drawing/2012/chart">
                  <c:ext xmlns:c16="http://schemas.microsoft.com/office/drawing/2014/chart" uri="{C3380CC4-5D6E-409C-BE32-E72D297353CC}">
                    <c16:uniqueId val="{00000003-34C9-47C2-B145-53D52E6BD6EF}"/>
                  </c:ext>
                </c:extLst>
              </c15:ser>
            </c15:filteredBarSeries>
          </c:ext>
        </c:extLst>
      </c:barChart>
      <c:catAx>
        <c:axId val="1221935776"/>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116328528"/>
        <c:crosses val="autoZero"/>
        <c:auto val="1"/>
        <c:lblAlgn val="ctr"/>
        <c:lblOffset val="100"/>
        <c:noMultiLvlLbl val="0"/>
      </c:catAx>
      <c:valAx>
        <c:axId val="1116328528"/>
        <c:scaling>
          <c:orientation val="minMax"/>
        </c:scaling>
        <c:delete val="0"/>
        <c:axPos val="t"/>
        <c:majorGridlines>
          <c:spPr>
            <a:ln w="9525" cap="flat" cmpd="sng" algn="ctr">
              <a:solidFill>
                <a:schemeClr val="tx1">
                  <a:lumMod val="15000"/>
                  <a:lumOff val="85000"/>
                </a:schemeClr>
              </a:solidFill>
              <a:round/>
            </a:ln>
            <a:effectLst/>
          </c:spPr>
        </c:majorGridlines>
        <c:numFmt formatCode="#\ ##0\ %;\ \-#\ ##0\ %.0;\ \-" sourceLinked="0"/>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2219357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6-AC1B-4490-9977-8F8309BCB49C}"/>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7-AC1B-4490-9977-8F8309BCB49C}"/>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8-AC1B-4490-9977-8F8309BCB49C}"/>
              </c:ext>
            </c:extLst>
          </c:dPt>
          <c:dPt>
            <c:idx val="3"/>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9-AC1B-4490-9977-8F8309BCB49C}"/>
              </c:ext>
            </c:extLst>
          </c:dPt>
          <c:dPt>
            <c:idx val="4"/>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A-AC1B-4490-9977-8F8309BCB49C}"/>
              </c:ext>
            </c:extLst>
          </c:dPt>
          <c:dPt>
            <c:idx val="5"/>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B-AC1B-4490-9977-8F8309BCB49C}"/>
              </c:ext>
            </c:extLst>
          </c:dPt>
          <c:dLbls>
            <c:dLbl>
              <c:idx val="5"/>
              <c:layout>
                <c:manualLayout>
                  <c:x val="-3.4847260062073988E-3"/>
                  <c:y val="-1.0810807743262329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B-AC1B-4490-9977-8F8309BCB49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(Asiakastilastot!$A$92,Asiakastilastot!$A$100,Asiakastilastot!$A$106,Asiakastilastot!$A$111,Asiakastilastot!$A$117,Asiakastilastot!$A$121)</c:f>
              <c:strCache>
                <c:ptCount val="6"/>
                <c:pt idx="0">
                  <c:v>Oppilaitos yhteensä</c:v>
                </c:pt>
                <c:pt idx="1">
                  <c:v>Työllisyyspalvelut yhteensä</c:v>
                </c:pt>
                <c:pt idx="2">
                  <c:v>Hyvinvointialueen palvelut yhteensä</c:v>
                </c:pt>
                <c:pt idx="3">
                  <c:v>Muut julkiset palvelut yhteensä</c:v>
                </c:pt>
                <c:pt idx="4">
                  <c:v>Muut yhteensä</c:v>
                </c:pt>
                <c:pt idx="5">
                  <c:v>Ei rek. tietoa</c:v>
                </c:pt>
              </c:strCache>
            </c:strRef>
          </c:cat>
          <c:val>
            <c:numRef>
              <c:f>(Asiakastilastot!$C$92,Asiakastilastot!$C$100,Asiakastilastot!$C$106,Asiakastilastot!$C$111,Asiakastilastot!$C$117,Asiakastilastot!$C$121)</c:f>
              <c:numCache>
                <c:formatCode>#\ ##0.0\ %;\ \-#\ ##0.0\ %.0;\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15-AC1B-4490-9977-8F8309BCB49C}"/>
            </c:ext>
          </c:extLst>
        </c:ser>
        <c:ser>
          <c:idx val="0"/>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9-AC1B-4490-9977-8F8309BCB49C}"/>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B-AC1B-4490-9977-8F8309BCB49C}"/>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D-AC1B-4490-9977-8F8309BCB49C}"/>
              </c:ext>
            </c:extLst>
          </c:dPt>
          <c:dPt>
            <c:idx val="3"/>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F-AC1B-4490-9977-8F8309BCB49C}"/>
              </c:ext>
            </c:extLst>
          </c:dPt>
          <c:dPt>
            <c:idx val="4"/>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1-AC1B-4490-9977-8F8309BCB49C}"/>
              </c:ext>
            </c:extLst>
          </c:dPt>
          <c:dPt>
            <c:idx val="5"/>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13-AC1B-4490-9977-8F8309BCB49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(Asiakastilastot!$A$92,Asiakastilastot!$A$100,Asiakastilastot!$A$106,Asiakastilastot!$A$111,Asiakastilastot!$A$117,Asiakastilastot!$A$121)</c:f>
              <c:strCache>
                <c:ptCount val="6"/>
                <c:pt idx="0">
                  <c:v>Oppilaitos yhteensä</c:v>
                </c:pt>
                <c:pt idx="1">
                  <c:v>Työllisyyspalvelut yhteensä</c:v>
                </c:pt>
                <c:pt idx="2">
                  <c:v>Hyvinvointialueen palvelut yhteensä</c:v>
                </c:pt>
                <c:pt idx="3">
                  <c:v>Muut julkiset palvelut yhteensä</c:v>
                </c:pt>
                <c:pt idx="4">
                  <c:v>Muut yhteensä</c:v>
                </c:pt>
                <c:pt idx="5">
                  <c:v>Ei rek. tietoa</c:v>
                </c:pt>
              </c:strCache>
            </c:strRef>
          </c:cat>
          <c:val>
            <c:numRef>
              <c:f>(Asiakastilastot!$C$92,Asiakastilastot!$C$100,Asiakastilastot!$C$106,Asiakastilastot!$C$111,Asiakastilastot!$C$117,Asiakastilastot!$C$121)</c:f>
              <c:numCache>
                <c:formatCode>#\ ##0.0\ %;\ \-#\ ##0.0\ %.0;\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14-AC1B-4490-9977-8F8309BCB49C}"/>
            </c:ext>
          </c:extLst>
        </c:ser>
        <c:dLbls>
          <c:dLblPos val="outEnd"/>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5-F9CA-43E3-A8D1-E63E25E13724}"/>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1-F9CA-43E3-A8D1-E63E25E13724}"/>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4-F9CA-43E3-A8D1-E63E25E13724}"/>
              </c:ext>
            </c:extLst>
          </c:dPt>
          <c:dPt>
            <c:idx val="3"/>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6-F9CA-43E3-A8D1-E63E25E13724}"/>
              </c:ext>
            </c:extLst>
          </c:dPt>
          <c:dPt>
            <c:idx val="4"/>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F9CA-43E3-A8D1-E63E25E13724}"/>
              </c:ext>
            </c:extLst>
          </c:dPt>
          <c:dPt>
            <c:idx val="5"/>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3-F9CA-43E3-A8D1-E63E25E13724}"/>
              </c:ext>
            </c:extLst>
          </c:dPt>
          <c:dPt>
            <c:idx val="6"/>
            <c:bubble3D val="0"/>
            <c:spPr>
              <a:gradFill rotWithShape="1">
                <a:gsLst>
                  <a:gs pos="0">
                    <a:schemeClr val="accent1">
                      <a:lumMod val="80000"/>
                      <a:lumOff val="20000"/>
                      <a:satMod val="103000"/>
                      <a:lumMod val="102000"/>
                      <a:tint val="94000"/>
                    </a:schemeClr>
                  </a:gs>
                  <a:gs pos="50000">
                    <a:schemeClr val="accent1">
                      <a:lumMod val="80000"/>
                      <a:lumOff val="20000"/>
                      <a:satMod val="110000"/>
                      <a:lumMod val="100000"/>
                      <a:shade val="100000"/>
                    </a:schemeClr>
                  </a:gs>
                  <a:gs pos="100000">
                    <a:schemeClr val="accent1">
                      <a:lumMod val="80000"/>
                      <a:lumOff val="2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2-F9CA-43E3-A8D1-E63E25E1372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dLblPos val="outEnd"/>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Asiakastilastot!$A$31:$A$37</c:f>
              <c:strCache>
                <c:ptCount val="7"/>
                <c:pt idx="0">
                  <c:v>Alle 17 vuotta</c:v>
                </c:pt>
                <c:pt idx="1">
                  <c:v>17-20 vuotta</c:v>
                </c:pt>
                <c:pt idx="2">
                  <c:v>21-24 vuotta</c:v>
                </c:pt>
                <c:pt idx="3">
                  <c:v>25-28 vuotta</c:v>
                </c:pt>
                <c:pt idx="4">
                  <c:v>29-49 vuotta</c:v>
                </c:pt>
                <c:pt idx="5">
                  <c:v>Yli 50 vuotta</c:v>
                </c:pt>
                <c:pt idx="6">
                  <c:v>Ei tietoa</c:v>
                </c:pt>
              </c:strCache>
            </c:strRef>
          </c:cat>
          <c:val>
            <c:numRef>
              <c:f>Asiakastilastot!$C$31:$C$37</c:f>
              <c:numCache>
                <c:formatCode>#\ ##0.0%;\ \-#\ ##0.0%;\ \-\ </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9CA-43E3-A8D1-E63E25E13724}"/>
            </c:ext>
          </c:extLst>
        </c:ser>
        <c:dLbls>
          <c:dLblPos val="outEnd"/>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4.3786696202981673E-2"/>
          <c:y val="5.6335788350771264E-2"/>
          <c:w val="0.89951632456778907"/>
          <c:h val="0.90048449803875608"/>
        </c:manualLayout>
      </c:layout>
      <c:barChart>
        <c:barDir val="bar"/>
        <c:grouping val="clustered"/>
        <c:varyColors val="0"/>
        <c:ser>
          <c:idx val="0"/>
          <c:order val="0"/>
          <c:tx>
            <c:strRef>
              <c:f>Asiakastilastot!$B$152:$C$152</c:f>
              <c:strCache>
                <c:ptCount val="1"/>
                <c:pt idx="0">
                  <c:v>Kaikki valmentautujat</c:v>
                </c:pt>
              </c:strCache>
            </c:strRef>
          </c:tx>
          <c:spPr>
            <a:solidFill>
              <a:schemeClr val="accent1">
                <a:shade val="65000"/>
              </a:schemeClr>
            </a:solidFill>
            <a:ln>
              <a:noFill/>
            </a:ln>
            <a:effectLst/>
          </c:spPr>
          <c:invertIfNegative val="0"/>
          <c:cat>
            <c:strRef>
              <c:f>Asiakastilastot!$A$154:$A$189</c:f>
              <c:strCache>
                <c:ptCount val="36"/>
                <c:pt idx="0">
                  <c:v>Edelleen työpajalla</c:v>
                </c:pt>
                <c:pt idx="1">
                  <c:v>edelleen työpajalla</c:v>
                </c:pt>
                <c:pt idx="2">
                  <c:v>Koulutukseen</c:v>
                </c:pt>
                <c:pt idx="3">
                  <c:v>koulutukseen -tutkintotavoite</c:v>
                </c:pt>
                <c:pt idx="4">
                  <c:v>TUVA-koulutus</c:v>
                </c:pt>
                <c:pt idx="5">
                  <c:v>koulutukseen -kurssit/osatutkinnot</c:v>
                </c:pt>
                <c:pt idx="6">
                  <c:v>oppisopimus</c:v>
                </c:pt>
                <c:pt idx="7">
                  <c:v>koulutukseen*</c:v>
                </c:pt>
                <c:pt idx="8">
                  <c:v>Työelämään</c:v>
                </c:pt>
                <c:pt idx="9">
                  <c:v>työelämään -avoimille</c:v>
                </c:pt>
                <c:pt idx="10">
                  <c:v>työelämään palkkatuella</c:v>
                </c:pt>
                <c:pt idx="11">
                  <c:v>työelämään*</c:v>
                </c:pt>
                <c:pt idx="12">
                  <c:v>Muuhun ohjattuun toimenpiteeseen</c:v>
                </c:pt>
                <c:pt idx="13">
                  <c:v>työkokeilu</c:v>
                </c:pt>
                <c:pt idx="14">
                  <c:v>kuntouttava työtoiminta</c:v>
                </c:pt>
                <c:pt idx="15">
                  <c:v>kuntoutuspalvelut</c:v>
                </c:pt>
                <c:pt idx="16">
                  <c:v>mielenterveyspalvelut</c:v>
                </c:pt>
                <c:pt idx="17">
                  <c:v>päihdekuntoutus</c:v>
                </c:pt>
                <c:pt idx="18">
                  <c:v>muuhun ohjattuun toimenpiteeseen</c:v>
                </c:pt>
                <c:pt idx="19">
                  <c:v>Muualle</c:v>
                </c:pt>
                <c:pt idx="20">
                  <c:v>perhevapaa</c:v>
                </c:pt>
                <c:pt idx="21">
                  <c:v>sairausloma</c:v>
                </c:pt>
                <c:pt idx="22">
                  <c:v>eläke</c:v>
                </c:pt>
                <c:pt idx="23">
                  <c:v>armeija</c:v>
                </c:pt>
                <c:pt idx="24">
                  <c:v>siviilipalvelus</c:v>
                </c:pt>
                <c:pt idx="25">
                  <c:v>muualle</c:v>
                </c:pt>
                <c:pt idx="26">
                  <c:v>Työttömäksi</c:v>
                </c:pt>
                <c:pt idx="27">
                  <c:v>työttömäksi</c:v>
                </c:pt>
                <c:pt idx="28">
                  <c:v>Työllisyyden kuntakokeilu (ennen vuotta 2025)</c:v>
                </c:pt>
                <c:pt idx="29">
                  <c:v>Muu</c:v>
                </c:pt>
                <c:pt idx="30">
                  <c:v>ei aloittanut</c:v>
                </c:pt>
                <c:pt idx="31">
                  <c:v>keskeytynyt ilman lisätietoa</c:v>
                </c:pt>
                <c:pt idx="32">
                  <c:v>muutto toiselle paikkakunnalle</c:v>
                </c:pt>
                <c:pt idx="33">
                  <c:v>Ei tietoa</c:v>
                </c:pt>
                <c:pt idx="34">
                  <c:v>ei tietoa</c:v>
                </c:pt>
                <c:pt idx="35">
                  <c:v>ei seurata</c:v>
                </c:pt>
              </c:strCache>
            </c:strRef>
          </c:cat>
          <c:val>
            <c:numRef>
              <c:f>Asiakastilastot!$C$201:$C$236</c:f>
              <c:numCache>
                <c:formatCode>#\ ##0.0\ %;\ \-#\ ##0.0\ %.0;\ \-</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0-B1A5-4CAE-953A-75469115C796}"/>
            </c:ext>
          </c:extLst>
        </c:ser>
        <c:ser>
          <c:idx val="2"/>
          <c:order val="1"/>
          <c:tx>
            <c:strRef>
              <c:f>Asiakastilastot!$D$152:$E$152</c:f>
              <c:strCache>
                <c:ptCount val="1"/>
                <c:pt idx="0">
                  <c:v>Nuoret valmentautujat</c:v>
                </c:pt>
              </c:strCache>
            </c:strRef>
          </c:tx>
          <c:spPr>
            <a:solidFill>
              <a:schemeClr val="accent3">
                <a:lumMod val="60000"/>
                <a:lumOff val="40000"/>
              </a:schemeClr>
            </a:solidFill>
            <a:ln>
              <a:noFill/>
            </a:ln>
            <a:effectLst/>
          </c:spPr>
          <c:invertIfNegative val="0"/>
          <c:cat>
            <c:strRef>
              <c:f>Asiakastilastot!$A$154:$A$189</c:f>
              <c:strCache>
                <c:ptCount val="36"/>
                <c:pt idx="0">
                  <c:v>Edelleen työpajalla</c:v>
                </c:pt>
                <c:pt idx="1">
                  <c:v>edelleen työpajalla</c:v>
                </c:pt>
                <c:pt idx="2">
                  <c:v>Koulutukseen</c:v>
                </c:pt>
                <c:pt idx="3">
                  <c:v>koulutukseen -tutkintotavoite</c:v>
                </c:pt>
                <c:pt idx="4">
                  <c:v>TUVA-koulutus</c:v>
                </c:pt>
                <c:pt idx="5">
                  <c:v>koulutukseen -kurssit/osatutkinnot</c:v>
                </c:pt>
                <c:pt idx="6">
                  <c:v>oppisopimus</c:v>
                </c:pt>
                <c:pt idx="7">
                  <c:v>koulutukseen*</c:v>
                </c:pt>
                <c:pt idx="8">
                  <c:v>Työelämään</c:v>
                </c:pt>
                <c:pt idx="9">
                  <c:v>työelämään -avoimille</c:v>
                </c:pt>
                <c:pt idx="10">
                  <c:v>työelämään palkkatuella</c:v>
                </c:pt>
                <c:pt idx="11">
                  <c:v>työelämään*</c:v>
                </c:pt>
                <c:pt idx="12">
                  <c:v>Muuhun ohjattuun toimenpiteeseen</c:v>
                </c:pt>
                <c:pt idx="13">
                  <c:v>työkokeilu</c:v>
                </c:pt>
                <c:pt idx="14">
                  <c:v>kuntouttava työtoiminta</c:v>
                </c:pt>
                <c:pt idx="15">
                  <c:v>kuntoutuspalvelut</c:v>
                </c:pt>
                <c:pt idx="16">
                  <c:v>mielenterveyspalvelut</c:v>
                </c:pt>
                <c:pt idx="17">
                  <c:v>päihdekuntoutus</c:v>
                </c:pt>
                <c:pt idx="18">
                  <c:v>muuhun ohjattuun toimenpiteeseen</c:v>
                </c:pt>
                <c:pt idx="19">
                  <c:v>Muualle</c:v>
                </c:pt>
                <c:pt idx="20">
                  <c:v>perhevapaa</c:v>
                </c:pt>
                <c:pt idx="21">
                  <c:v>sairausloma</c:v>
                </c:pt>
                <c:pt idx="22">
                  <c:v>eläke</c:v>
                </c:pt>
                <c:pt idx="23">
                  <c:v>armeija</c:v>
                </c:pt>
                <c:pt idx="24">
                  <c:v>siviilipalvelus</c:v>
                </c:pt>
                <c:pt idx="25">
                  <c:v>muualle</c:v>
                </c:pt>
                <c:pt idx="26">
                  <c:v>Työttömäksi</c:v>
                </c:pt>
                <c:pt idx="27">
                  <c:v>työttömäksi</c:v>
                </c:pt>
                <c:pt idx="28">
                  <c:v>Työllisyyden kuntakokeilu (ennen vuotta 2025)</c:v>
                </c:pt>
                <c:pt idx="29">
                  <c:v>Muu</c:v>
                </c:pt>
                <c:pt idx="30">
                  <c:v>ei aloittanut</c:v>
                </c:pt>
                <c:pt idx="31">
                  <c:v>keskeytynyt ilman lisätietoa</c:v>
                </c:pt>
                <c:pt idx="32">
                  <c:v>muutto toiselle paikkakunnalle</c:v>
                </c:pt>
                <c:pt idx="33">
                  <c:v>Ei tietoa</c:v>
                </c:pt>
                <c:pt idx="34">
                  <c:v>ei tietoa</c:v>
                </c:pt>
                <c:pt idx="35">
                  <c:v>ei seurata</c:v>
                </c:pt>
              </c:strCache>
            </c:strRef>
          </c:cat>
          <c:val>
            <c:numRef>
              <c:f>Asiakastilastot!$E$201:$E$236</c:f>
              <c:numCache>
                <c:formatCode>#\ ##0.0\ %;\ \-#\ ##0.0\ %.0;\ \-</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1-B1A5-4CAE-953A-75469115C796}"/>
            </c:ext>
          </c:extLst>
        </c:ser>
        <c:dLbls>
          <c:showLegendKey val="0"/>
          <c:showVal val="0"/>
          <c:showCatName val="0"/>
          <c:showSerName val="0"/>
          <c:showPercent val="0"/>
          <c:showBubbleSize val="0"/>
        </c:dLbls>
        <c:gapWidth val="65"/>
        <c:axId val="189402624"/>
        <c:axId val="189696256"/>
      </c:barChart>
      <c:catAx>
        <c:axId val="189402624"/>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crossAx val="189696256"/>
        <c:crosses val="autoZero"/>
        <c:auto val="1"/>
        <c:lblAlgn val="ctr"/>
        <c:lblOffset val="100"/>
        <c:noMultiLvlLbl val="0"/>
      </c:catAx>
      <c:valAx>
        <c:axId val="189696256"/>
        <c:scaling>
          <c:orientation val="minMax"/>
        </c:scaling>
        <c:delete val="0"/>
        <c:axPos val="b"/>
        <c:majorGridlines>
          <c:spPr>
            <a:ln w="9525" cap="flat" cmpd="sng" algn="ctr">
              <a:noFill/>
              <a:round/>
            </a:ln>
            <a:effectLst/>
          </c:spPr>
        </c:majorGridlines>
        <c:numFmt formatCode="#\ ##0.0\ %;\ \-#\ ##0.0\ %.0;\ \-"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crossAx val="189402624"/>
        <c:crosses val="max"/>
        <c:crossBetween val="between"/>
      </c:valAx>
      <c:spPr>
        <a:noFill/>
        <a:ln>
          <a:noFill/>
        </a:ln>
        <a:effectLst/>
      </c:spPr>
    </c:plotArea>
    <c:legend>
      <c:legendPos val="b"/>
      <c:layout>
        <c:manualLayout>
          <c:xMode val="edge"/>
          <c:yMode val="edge"/>
          <c:x val="4.2663315512577481E-2"/>
          <c:y val="2.9413940328015613E-3"/>
          <c:w val="0.9"/>
          <c:h val="7.2326483437410896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noFill/>
    <a:ln w="9525" cap="flat" cmpd="sng" algn="ctr">
      <a:noFill/>
      <a:round/>
    </a:ln>
    <a:effectLst/>
  </c:spPr>
  <c:txPr>
    <a:bodyPr/>
    <a:lstStyle/>
    <a:p>
      <a:pPr>
        <a:defRPr sz="1100"/>
      </a:pPr>
      <a:endParaRPr lang="fi-FI"/>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2.7968313915511692E-2"/>
          <c:y val="7.6129333961577561E-2"/>
          <c:w val="0.89491666666666669"/>
          <c:h val="0.83014661337724971"/>
        </c:manualLayout>
      </c:layout>
      <c:barChart>
        <c:barDir val="bar"/>
        <c:grouping val="clustered"/>
        <c:varyColors val="0"/>
        <c:ser>
          <c:idx val="0"/>
          <c:order val="0"/>
          <c:tx>
            <c:strRef>
              <c:f>Toimenpiteet!$C$42</c:f>
              <c:strCache>
                <c:ptCount val="1"/>
                <c:pt idx="0">
                  <c:v>Kaikki valmentautujat</c:v>
                </c:pt>
              </c:strCache>
            </c:strRef>
          </c:tx>
          <c:spPr>
            <a:solidFill>
              <a:schemeClr val="accent1">
                <a:shade val="76000"/>
              </a:schemeClr>
            </a:solidFill>
            <a:ln>
              <a:noFill/>
            </a:ln>
            <a:effectLst/>
          </c:spPr>
          <c:invertIfNegative val="0"/>
          <c:cat>
            <c:strRef>
              <c:f>Toimenpiteet!$B$45:$B$86</c:f>
              <c:strCache>
                <c:ptCount val="42"/>
                <c:pt idx="1">
                  <c:v>Starttivalmennus tai muu matalan kynnyksen palvelu</c:v>
                </c:pt>
                <c:pt idx="2">
                  <c:v>Työelämävalmennus</c:v>
                </c:pt>
                <c:pt idx="3">
                  <c:v>Opiskeluun valmennus</c:v>
                </c:pt>
                <c:pt idx="4">
                  <c:v>Opinnollistava nuorten valmennus koulutuksen ulkopuolella olevalle nuorelle</c:v>
                </c:pt>
                <c:pt idx="5">
                  <c:v>Muu työpajavalmennus sopimuksella</c:v>
                </c:pt>
                <c:pt idx="6">
                  <c:v>Vain alkukartoitus / palveluohjaus</c:v>
                </c:pt>
                <c:pt idx="7">
                  <c:v>Starttijakso</c:v>
                </c:pt>
                <c:pt idx="8">
                  <c:v>Työkokeilu (sisältää valmennusta)</c:v>
                </c:pt>
                <c:pt idx="9">
                  <c:v>Koulutussopimus</c:v>
                </c:pt>
                <c:pt idx="10">
                  <c:v>TET-opiskelijat</c:v>
                </c:pt>
                <c:pt idx="11">
                  <c:v>(Nuorten-) kesätyö</c:v>
                </c:pt>
                <c:pt idx="12">
                  <c:v>Palkkatyö</c:v>
                </c:pt>
                <c:pt idx="13">
                  <c:v>Palkkatuettu työ</c:v>
                </c:pt>
                <c:pt idx="14">
                  <c:v>Muu palvelu ilman mitään sopimusta</c:v>
                </c:pt>
                <c:pt idx="15">
                  <c:v>Peruskoulu / pajakoulu</c:v>
                </c:pt>
                <c:pt idx="16">
                  <c:v>TUVA-koulutus</c:v>
                </c:pt>
                <c:pt idx="17">
                  <c:v>TELMA-koulutus</c:v>
                </c:pt>
                <c:pt idx="18">
                  <c:v>Oppimisen tuki</c:v>
                </c:pt>
                <c:pt idx="19">
                  <c:v>Motivointijakso</c:v>
                </c:pt>
                <c:pt idx="20">
                  <c:v>Oppisopimus / tuettu oppisopimus</c:v>
                </c:pt>
                <c:pt idx="21">
                  <c:v>Työhönvalmennus</c:v>
                </c:pt>
                <c:pt idx="22">
                  <c:v>Uravalmennus</c:v>
                </c:pt>
                <c:pt idx="23">
                  <c:v>Työnhakuvalmennus</c:v>
                </c:pt>
                <c:pt idx="24">
                  <c:v>Työvoimakoulutus</c:v>
                </c:pt>
                <c:pt idx="25">
                  <c:v>Maahanmuuttajan kotoutumistoimenpide</c:v>
                </c:pt>
                <c:pt idx="26">
                  <c:v>55 vuotta täyttäneiden työllistämistuki</c:v>
                </c:pt>
                <c:pt idx="27">
                  <c:v>Jokin muu kunnan palvelu</c:v>
                </c:pt>
                <c:pt idx="28">
                  <c:v>Kuntouttava työtoiminta</c:v>
                </c:pt>
                <c:pt idx="29">
                  <c:v>Sosiaalihuoltolain mukainen sosiaalinen kuntoutus</c:v>
                </c:pt>
                <c:pt idx="30">
                  <c:v>Kehitysvammaisten työ- ja päivätoiminta</c:v>
                </c:pt>
                <c:pt idx="31">
                  <c:v>Muu sosiaalihuollon ennaltaehkäisevä tukitoimi</c:v>
                </c:pt>
                <c:pt idx="32">
                  <c:v>Nuotti-valmennus</c:v>
                </c:pt>
                <c:pt idx="33">
                  <c:v>Ammatillinen kuntoutus: Työkokeilu</c:v>
                </c:pt>
                <c:pt idx="34">
                  <c:v>Ammatillinen kuntoutus: Työhönvalmennus</c:v>
                </c:pt>
                <c:pt idx="35">
                  <c:v>Oma väylä-kuntoutus</c:v>
                </c:pt>
                <c:pt idx="36">
                  <c:v>Jokin muu Kelan kuntoutus</c:v>
                </c:pt>
                <c:pt idx="37">
                  <c:v>Työ- ja toimintakyvyn arviointi</c:v>
                </c:pt>
                <c:pt idx="38">
                  <c:v>Siviilipalvelus (valtio)</c:v>
                </c:pt>
                <c:pt idx="39">
                  <c:v>Jossakin muussa toimenpiteessä</c:v>
                </c:pt>
                <c:pt idx="40">
                  <c:v>Ei tietoa (Jaksolle ei ole kirjattu toimenpidettä)</c:v>
                </c:pt>
                <c:pt idx="41">
                  <c:v>Ei tietoa (Jaksoa ei ole kirjattu lainkaan)</c:v>
                </c:pt>
              </c:strCache>
            </c:strRef>
          </c:cat>
          <c:val>
            <c:numRef>
              <c:f>Toimenpiteet!$C$45:$C$86</c:f>
              <c:numCache>
                <c:formatCode>#\ ##0;\ \-#\ ##0;\ \-\ </c:formatCode>
                <c:ptCount val="42"/>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0-74A7-4950-BD65-3156A5FAA3F9}"/>
            </c:ext>
          </c:extLst>
        </c:ser>
        <c:ser>
          <c:idx val="1"/>
          <c:order val="1"/>
          <c:tx>
            <c:strRef>
              <c:f>Toimenpiteet!$E$42</c:f>
              <c:strCache>
                <c:ptCount val="1"/>
                <c:pt idx="0">
                  <c:v>Nuoret valmentautujat</c:v>
                </c:pt>
              </c:strCache>
            </c:strRef>
          </c:tx>
          <c:spPr>
            <a:solidFill>
              <a:schemeClr val="accent1">
                <a:tint val="77000"/>
              </a:schemeClr>
            </a:solidFill>
            <a:ln>
              <a:noFill/>
            </a:ln>
            <a:effectLst/>
          </c:spPr>
          <c:invertIfNegative val="0"/>
          <c:cat>
            <c:strRef>
              <c:f>Toimenpiteet!$B$45:$B$86</c:f>
              <c:strCache>
                <c:ptCount val="42"/>
                <c:pt idx="1">
                  <c:v>Starttivalmennus tai muu matalan kynnyksen palvelu</c:v>
                </c:pt>
                <c:pt idx="2">
                  <c:v>Työelämävalmennus</c:v>
                </c:pt>
                <c:pt idx="3">
                  <c:v>Opiskeluun valmennus</c:v>
                </c:pt>
                <c:pt idx="4">
                  <c:v>Opinnollistava nuorten valmennus koulutuksen ulkopuolella olevalle nuorelle</c:v>
                </c:pt>
                <c:pt idx="5">
                  <c:v>Muu työpajavalmennus sopimuksella</c:v>
                </c:pt>
                <c:pt idx="6">
                  <c:v>Vain alkukartoitus / palveluohjaus</c:v>
                </c:pt>
                <c:pt idx="7">
                  <c:v>Starttijakso</c:v>
                </c:pt>
                <c:pt idx="8">
                  <c:v>Työkokeilu (sisältää valmennusta)</c:v>
                </c:pt>
                <c:pt idx="9">
                  <c:v>Koulutussopimus</c:v>
                </c:pt>
                <c:pt idx="10">
                  <c:v>TET-opiskelijat</c:v>
                </c:pt>
                <c:pt idx="11">
                  <c:v>(Nuorten-) kesätyö</c:v>
                </c:pt>
                <c:pt idx="12">
                  <c:v>Palkkatyö</c:v>
                </c:pt>
                <c:pt idx="13">
                  <c:v>Palkkatuettu työ</c:v>
                </c:pt>
                <c:pt idx="14">
                  <c:v>Muu palvelu ilman mitään sopimusta</c:v>
                </c:pt>
                <c:pt idx="15">
                  <c:v>Peruskoulu / pajakoulu</c:v>
                </c:pt>
                <c:pt idx="16">
                  <c:v>TUVA-koulutus</c:v>
                </c:pt>
                <c:pt idx="17">
                  <c:v>TELMA-koulutus</c:v>
                </c:pt>
                <c:pt idx="18">
                  <c:v>Oppimisen tuki</c:v>
                </c:pt>
                <c:pt idx="19">
                  <c:v>Motivointijakso</c:v>
                </c:pt>
                <c:pt idx="20">
                  <c:v>Oppisopimus / tuettu oppisopimus</c:v>
                </c:pt>
                <c:pt idx="21">
                  <c:v>Työhönvalmennus</c:v>
                </c:pt>
                <c:pt idx="22">
                  <c:v>Uravalmennus</c:v>
                </c:pt>
                <c:pt idx="23">
                  <c:v>Työnhakuvalmennus</c:v>
                </c:pt>
                <c:pt idx="24">
                  <c:v>Työvoimakoulutus</c:v>
                </c:pt>
                <c:pt idx="25">
                  <c:v>Maahanmuuttajan kotoutumistoimenpide</c:v>
                </c:pt>
                <c:pt idx="26">
                  <c:v>55 vuotta täyttäneiden työllistämistuki</c:v>
                </c:pt>
                <c:pt idx="27">
                  <c:v>Jokin muu kunnan palvelu</c:v>
                </c:pt>
                <c:pt idx="28">
                  <c:v>Kuntouttava työtoiminta</c:v>
                </c:pt>
                <c:pt idx="29">
                  <c:v>Sosiaalihuoltolain mukainen sosiaalinen kuntoutus</c:v>
                </c:pt>
                <c:pt idx="30">
                  <c:v>Kehitysvammaisten työ- ja päivätoiminta</c:v>
                </c:pt>
                <c:pt idx="31">
                  <c:v>Muu sosiaalihuollon ennaltaehkäisevä tukitoimi</c:v>
                </c:pt>
                <c:pt idx="32">
                  <c:v>Nuotti-valmennus</c:v>
                </c:pt>
                <c:pt idx="33">
                  <c:v>Ammatillinen kuntoutus: Työkokeilu</c:v>
                </c:pt>
                <c:pt idx="34">
                  <c:v>Ammatillinen kuntoutus: Työhönvalmennus</c:v>
                </c:pt>
                <c:pt idx="35">
                  <c:v>Oma väylä-kuntoutus</c:v>
                </c:pt>
                <c:pt idx="36">
                  <c:v>Jokin muu Kelan kuntoutus</c:v>
                </c:pt>
                <c:pt idx="37">
                  <c:v>Työ- ja toimintakyvyn arviointi</c:v>
                </c:pt>
                <c:pt idx="38">
                  <c:v>Siviilipalvelus (valtio)</c:v>
                </c:pt>
                <c:pt idx="39">
                  <c:v>Jossakin muussa toimenpiteessä</c:v>
                </c:pt>
                <c:pt idx="40">
                  <c:v>Ei tietoa (Jaksolle ei ole kirjattu toimenpidettä)</c:v>
                </c:pt>
                <c:pt idx="41">
                  <c:v>Ei tietoa (Jaksoa ei ole kirjattu lainkaan)</c:v>
                </c:pt>
              </c:strCache>
            </c:strRef>
          </c:cat>
          <c:val>
            <c:numRef>
              <c:f>Toimenpiteet!$E$45:$E$86</c:f>
              <c:numCache>
                <c:formatCode>#\ ##0;\ \-#\ ##0;\ \-\ </c:formatCode>
                <c:ptCount val="42"/>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1-74A7-4950-BD65-3156A5FAA3F9}"/>
            </c:ext>
          </c:extLst>
        </c:ser>
        <c:dLbls>
          <c:showLegendKey val="0"/>
          <c:showVal val="0"/>
          <c:showCatName val="0"/>
          <c:showSerName val="0"/>
          <c:showPercent val="0"/>
          <c:showBubbleSize val="0"/>
        </c:dLbls>
        <c:gapWidth val="73"/>
        <c:axId val="189402112"/>
        <c:axId val="189694528"/>
      </c:barChart>
      <c:catAx>
        <c:axId val="189402112"/>
        <c:scaling>
          <c:orientation val="maxMin"/>
        </c:scaling>
        <c:delete val="1"/>
        <c:axPos val="l"/>
        <c:numFmt formatCode="General" sourceLinked="1"/>
        <c:majorTickMark val="none"/>
        <c:minorTickMark val="none"/>
        <c:tickLblPos val="nextTo"/>
        <c:crossAx val="189694528"/>
        <c:crosses val="autoZero"/>
        <c:auto val="1"/>
        <c:lblAlgn val="ctr"/>
        <c:lblOffset val="100"/>
        <c:noMultiLvlLbl val="0"/>
      </c:catAx>
      <c:valAx>
        <c:axId val="189694528"/>
        <c:scaling>
          <c:orientation val="minMax"/>
        </c:scaling>
        <c:delete val="0"/>
        <c:axPos val="b"/>
        <c:title>
          <c:tx>
            <c:rich>
              <a:bodyPr rot="0" spcFirstLastPara="1" vertOverflow="ellipsis" vert="horz" wrap="square" anchor="ctr" anchorCtr="1"/>
              <a:lstStyle/>
              <a:p>
                <a:pPr algn="ctr">
                  <a:defRPr sz="1100" b="0" i="0" u="none" strike="noStrike" kern="1200" baseline="0">
                    <a:solidFill>
                      <a:schemeClr val="tx1">
                        <a:lumMod val="65000"/>
                        <a:lumOff val="35000"/>
                      </a:schemeClr>
                    </a:solidFill>
                    <a:latin typeface="+mn-lt"/>
                    <a:ea typeface="+mn-ea"/>
                    <a:cs typeface="+mn-cs"/>
                  </a:defRPr>
                </a:pPr>
                <a:r>
                  <a:rPr lang="fi-FI" sz="1100"/>
                  <a:t>Valmentautujien</a:t>
                </a:r>
                <a:r>
                  <a:rPr lang="fi-FI" sz="1100" baseline="0"/>
                  <a:t> määrä</a:t>
                </a:r>
                <a:endParaRPr lang="fi-FI" sz="1100"/>
              </a:p>
            </c:rich>
          </c:tx>
          <c:layout>
            <c:manualLayout>
              <c:xMode val="edge"/>
              <c:yMode val="edge"/>
              <c:x val="0.29769584313658143"/>
              <c:y val="0.95502891789940536"/>
            </c:manualLayout>
          </c:layout>
          <c:overlay val="0"/>
          <c:spPr>
            <a:noFill/>
            <a:ln>
              <a:noFill/>
            </a:ln>
            <a:effectLst/>
          </c:spPr>
          <c:txPr>
            <a:bodyPr rot="0" spcFirstLastPara="1" vertOverflow="ellipsis" vert="horz" wrap="square" anchor="ctr" anchorCtr="1"/>
            <a:lstStyle/>
            <a:p>
              <a:pPr algn="ctr">
                <a:defRPr sz="1100" b="0" i="0" u="none" strike="noStrike" kern="1200" baseline="0">
                  <a:solidFill>
                    <a:schemeClr val="tx1">
                      <a:lumMod val="65000"/>
                      <a:lumOff val="35000"/>
                    </a:schemeClr>
                  </a:solidFill>
                  <a:latin typeface="+mn-lt"/>
                  <a:ea typeface="+mn-ea"/>
                  <a:cs typeface="+mn-cs"/>
                </a:defRPr>
              </a:pPr>
              <a:endParaRPr lang="fi-FI"/>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crossAx val="189402112"/>
        <c:crosses val="max"/>
        <c:crossBetween val="between"/>
      </c:valAx>
      <c:spPr>
        <a:noFill/>
        <a:ln w="25400">
          <a:noFill/>
        </a:ln>
        <a:effectLst/>
      </c:spPr>
    </c:plotArea>
    <c:legend>
      <c:legendPos val="r"/>
      <c:layout>
        <c:manualLayout>
          <c:xMode val="edge"/>
          <c:yMode val="edge"/>
          <c:x val="4.4771914822864335E-2"/>
          <c:y val="1.951322751712414E-2"/>
          <c:w val="0.86346321407092819"/>
          <c:h val="3.1876546118506294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4552518699472814E-2"/>
          <c:y val="0.12380604619499982"/>
          <c:w val="0.8849487520268372"/>
          <c:h val="0.8282821622536537"/>
        </c:manualLayout>
      </c:layout>
      <c:barChart>
        <c:barDir val="bar"/>
        <c:grouping val="clustered"/>
        <c:varyColors val="0"/>
        <c:ser>
          <c:idx val="0"/>
          <c:order val="0"/>
          <c:tx>
            <c:strRef>
              <c:f>Toimintamenetelmät!$C$12</c:f>
              <c:strCache>
                <c:ptCount val="1"/>
                <c:pt idx="0">
                  <c:v>Kaikki valmentautujat</c:v>
                </c:pt>
              </c:strCache>
            </c:strRef>
          </c:tx>
          <c:spPr>
            <a:solidFill>
              <a:schemeClr val="accent1"/>
            </a:solidFill>
            <a:ln>
              <a:noFill/>
            </a:ln>
            <a:effectLst/>
          </c:spPr>
          <c:invertIfNegative val="0"/>
          <c:cat>
            <c:strRef>
              <c:f>Toimintamenetelmät!$B$17:$B$55</c:f>
              <c:strCache>
                <c:ptCount val="39"/>
                <c:pt idx="0">
                  <c:v>yksilövalmennus</c:v>
                </c:pt>
                <c:pt idx="1">
                  <c:v>työvalmennus</c:v>
                </c:pt>
                <c:pt idx="2">
                  <c:v>ryhmävalmennus</c:v>
                </c:pt>
                <c:pt idx="3">
                  <c:v>työhönvalmennus</c:v>
                </c:pt>
                <c:pt idx="4">
                  <c:v>kuntouttava valmennus</c:v>
                </c:pt>
                <c:pt idx="6">
                  <c:v>etsivä nuorisotyö (työpajan palveluna)</c:v>
                </c:pt>
                <c:pt idx="7">
                  <c:v>työ- ja toimintakyvyn/kuntoutustarpeen arviointi</c:v>
                </c:pt>
                <c:pt idx="8">
                  <c:v>starttivalmennus (matalan kynnyksen palveluna)</c:v>
                </c:pt>
                <c:pt idx="9">
                  <c:v>starttijakso (kartoittava starttivalmennusta lyhempi pajan aloitusjakso)</c:v>
                </c:pt>
                <c:pt idx="10">
                  <c:v>maahanmuuttajien kotouttaminen</c:v>
                </c:pt>
                <c:pt idx="12">
                  <c:v>henkilökohtainen suunnitelma työpajajaksolle </c:v>
                </c:pt>
                <c:pt idx="13">
                  <c:v>osallistuminen oman työpajajakson suunnitteluun </c:v>
                </c:pt>
                <c:pt idx="14">
                  <c:v>osallistuminen oman työpajajakson arviointiin</c:v>
                </c:pt>
                <c:pt idx="15">
                  <c:v>henkilökohtainen jatkosuunnitelma työpajajakson jälkeen </c:v>
                </c:pt>
                <c:pt idx="16">
                  <c:v>valmennuspäiväkirja/portfolio/työmaapäiväkirja</c:v>
                </c:pt>
                <c:pt idx="17">
                  <c:v>sovari teetetty</c:v>
                </c:pt>
                <c:pt idx="18">
                  <c:v>osaaja plus</c:v>
                </c:pt>
                <c:pt idx="19">
                  <c:v>tutkinnon osien suorittaminen</c:v>
                </c:pt>
                <c:pt idx="20">
                  <c:v>osaamistodistus</c:v>
                </c:pt>
                <c:pt idx="22">
                  <c:v>työpaikkatutustumiset ja yritysvierailut</c:v>
                </c:pt>
                <c:pt idx="23">
                  <c:v>seinätön valmennus</c:v>
                </c:pt>
                <c:pt idx="24">
                  <c:v>tutustumiset oppilaitoksiin</c:v>
                </c:pt>
                <c:pt idx="25">
                  <c:v>osallistujien sijoittaminen työpajan ulkopuolisiin työpaikkoihin (työpajajakson aikana)</c:v>
                </c:pt>
                <c:pt idx="27">
                  <c:v>terveys-, ravinto- ja liikuntakasvatus</c:v>
                </c:pt>
                <c:pt idx="28">
                  <c:v>ehkäisevä päihdetyö</c:v>
                </c:pt>
                <c:pt idx="29">
                  <c:v>mielen hyvinvoinnin edistäminen</c:v>
                </c:pt>
                <c:pt idx="30">
                  <c:v>muut (esim. terveyshoitajan päivystysaika työpajalla)</c:v>
                </c:pt>
                <c:pt idx="32">
                  <c:v>korttikurssit (esim. hygieniapassi, tulityökurssi, tieturva)</c:v>
                </c:pt>
                <c:pt idx="33">
                  <c:v>tietotekniikan opetus</c:v>
                </c:pt>
                <c:pt idx="34">
                  <c:v>muut erilliset kurssit ja koulutukset </c:v>
                </c:pt>
                <c:pt idx="35">
                  <c:v>tuettu asuminen</c:v>
                </c:pt>
                <c:pt idx="36">
                  <c:v>nuotta-valmennus</c:v>
                </c:pt>
                <c:pt idx="37">
                  <c:v>työpajanuorten vapaa-ajantoiminta</c:v>
                </c:pt>
                <c:pt idx="38">
                  <c:v>muut</c:v>
                </c:pt>
              </c:strCache>
            </c:strRef>
          </c:cat>
          <c:val>
            <c:numRef>
              <c:f>Toimintamenetelmät!$D$17:$D$55</c:f>
              <c:numCache>
                <c:formatCode>#\ ##0.0%;\ \-#\ ##0.0%;\ \-\ </c:formatCode>
                <c:ptCount val="39"/>
                <c:pt idx="0">
                  <c:v>0</c:v>
                </c:pt>
                <c:pt idx="1">
                  <c:v>0</c:v>
                </c:pt>
                <c:pt idx="2">
                  <c:v>0</c:v>
                </c:pt>
                <c:pt idx="3">
                  <c:v>0</c:v>
                </c:pt>
                <c:pt idx="4">
                  <c:v>0</c:v>
                </c:pt>
                <c:pt idx="6">
                  <c:v>0</c:v>
                </c:pt>
                <c:pt idx="7">
                  <c:v>0</c:v>
                </c:pt>
                <c:pt idx="8">
                  <c:v>0</c:v>
                </c:pt>
                <c:pt idx="9">
                  <c:v>0</c:v>
                </c:pt>
                <c:pt idx="10">
                  <c:v>0</c:v>
                </c:pt>
                <c:pt idx="12">
                  <c:v>0</c:v>
                </c:pt>
                <c:pt idx="13">
                  <c:v>0</c:v>
                </c:pt>
                <c:pt idx="14">
                  <c:v>0</c:v>
                </c:pt>
                <c:pt idx="15">
                  <c:v>0</c:v>
                </c:pt>
                <c:pt idx="16">
                  <c:v>0</c:v>
                </c:pt>
                <c:pt idx="17">
                  <c:v>0</c:v>
                </c:pt>
                <c:pt idx="18">
                  <c:v>0</c:v>
                </c:pt>
                <c:pt idx="19">
                  <c:v>0</c:v>
                </c:pt>
                <c:pt idx="20">
                  <c:v>0</c:v>
                </c:pt>
                <c:pt idx="22">
                  <c:v>0</c:v>
                </c:pt>
                <c:pt idx="23">
                  <c:v>0</c:v>
                </c:pt>
                <c:pt idx="24">
                  <c:v>0</c:v>
                </c:pt>
                <c:pt idx="25">
                  <c:v>0</c:v>
                </c:pt>
                <c:pt idx="27">
                  <c:v>0</c:v>
                </c:pt>
                <c:pt idx="28">
                  <c:v>0</c:v>
                </c:pt>
                <c:pt idx="29">
                  <c:v>0</c:v>
                </c:pt>
                <c:pt idx="30">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0-0657-4B6D-B104-75BA0C962C67}"/>
            </c:ext>
          </c:extLst>
        </c:ser>
        <c:ser>
          <c:idx val="1"/>
          <c:order val="1"/>
          <c:tx>
            <c:strRef>
              <c:f>Toimintamenetelmät!$E$12</c:f>
              <c:strCache>
                <c:ptCount val="1"/>
                <c:pt idx="0">
                  <c:v>Nuoret valmentautujat</c:v>
                </c:pt>
              </c:strCache>
            </c:strRef>
          </c:tx>
          <c:spPr>
            <a:solidFill>
              <a:schemeClr val="accent2"/>
            </a:solidFill>
            <a:ln>
              <a:noFill/>
            </a:ln>
            <a:effectLst/>
          </c:spPr>
          <c:invertIfNegative val="0"/>
          <c:cat>
            <c:strRef>
              <c:f>Toimintamenetelmät!$B$17:$B$55</c:f>
              <c:strCache>
                <c:ptCount val="39"/>
                <c:pt idx="0">
                  <c:v>yksilövalmennus</c:v>
                </c:pt>
                <c:pt idx="1">
                  <c:v>työvalmennus</c:v>
                </c:pt>
                <c:pt idx="2">
                  <c:v>ryhmävalmennus</c:v>
                </c:pt>
                <c:pt idx="3">
                  <c:v>työhönvalmennus</c:v>
                </c:pt>
                <c:pt idx="4">
                  <c:v>kuntouttava valmennus</c:v>
                </c:pt>
                <c:pt idx="6">
                  <c:v>etsivä nuorisotyö (työpajan palveluna)</c:v>
                </c:pt>
                <c:pt idx="7">
                  <c:v>työ- ja toimintakyvyn/kuntoutustarpeen arviointi</c:v>
                </c:pt>
                <c:pt idx="8">
                  <c:v>starttivalmennus (matalan kynnyksen palveluna)</c:v>
                </c:pt>
                <c:pt idx="9">
                  <c:v>starttijakso (kartoittava starttivalmennusta lyhempi pajan aloitusjakso)</c:v>
                </c:pt>
                <c:pt idx="10">
                  <c:v>maahanmuuttajien kotouttaminen</c:v>
                </c:pt>
                <c:pt idx="12">
                  <c:v>henkilökohtainen suunnitelma työpajajaksolle </c:v>
                </c:pt>
                <c:pt idx="13">
                  <c:v>osallistuminen oman työpajajakson suunnitteluun </c:v>
                </c:pt>
                <c:pt idx="14">
                  <c:v>osallistuminen oman työpajajakson arviointiin</c:v>
                </c:pt>
                <c:pt idx="15">
                  <c:v>henkilökohtainen jatkosuunnitelma työpajajakson jälkeen </c:v>
                </c:pt>
                <c:pt idx="16">
                  <c:v>valmennuspäiväkirja/portfolio/työmaapäiväkirja</c:v>
                </c:pt>
                <c:pt idx="17">
                  <c:v>sovari teetetty</c:v>
                </c:pt>
                <c:pt idx="18">
                  <c:v>osaaja plus</c:v>
                </c:pt>
                <c:pt idx="19">
                  <c:v>tutkinnon osien suorittaminen</c:v>
                </c:pt>
                <c:pt idx="20">
                  <c:v>osaamistodistus</c:v>
                </c:pt>
                <c:pt idx="22">
                  <c:v>työpaikkatutustumiset ja yritysvierailut</c:v>
                </c:pt>
                <c:pt idx="23">
                  <c:v>seinätön valmennus</c:v>
                </c:pt>
                <c:pt idx="24">
                  <c:v>tutustumiset oppilaitoksiin</c:v>
                </c:pt>
                <c:pt idx="25">
                  <c:v>osallistujien sijoittaminen työpajan ulkopuolisiin työpaikkoihin (työpajajakson aikana)</c:v>
                </c:pt>
                <c:pt idx="27">
                  <c:v>terveys-, ravinto- ja liikuntakasvatus</c:v>
                </c:pt>
                <c:pt idx="28">
                  <c:v>ehkäisevä päihdetyö</c:v>
                </c:pt>
                <c:pt idx="29">
                  <c:v>mielen hyvinvoinnin edistäminen</c:v>
                </c:pt>
                <c:pt idx="30">
                  <c:v>muut (esim. terveyshoitajan päivystysaika työpajalla)</c:v>
                </c:pt>
                <c:pt idx="32">
                  <c:v>korttikurssit (esim. hygieniapassi, tulityökurssi, tieturva)</c:v>
                </c:pt>
                <c:pt idx="33">
                  <c:v>tietotekniikan opetus</c:v>
                </c:pt>
                <c:pt idx="34">
                  <c:v>muut erilliset kurssit ja koulutukset </c:v>
                </c:pt>
                <c:pt idx="35">
                  <c:v>tuettu asuminen</c:v>
                </c:pt>
                <c:pt idx="36">
                  <c:v>nuotta-valmennus</c:v>
                </c:pt>
                <c:pt idx="37">
                  <c:v>työpajanuorten vapaa-ajantoiminta</c:v>
                </c:pt>
                <c:pt idx="38">
                  <c:v>muut</c:v>
                </c:pt>
              </c:strCache>
            </c:strRef>
          </c:cat>
          <c:val>
            <c:numRef>
              <c:f>Toimintamenetelmät!$F$17:$F$55</c:f>
              <c:numCache>
                <c:formatCode>#\ ##0.0%;\ \-#\ ##0.0%;\ \-\ </c:formatCode>
                <c:ptCount val="39"/>
                <c:pt idx="0">
                  <c:v>0</c:v>
                </c:pt>
                <c:pt idx="1">
                  <c:v>0</c:v>
                </c:pt>
                <c:pt idx="2">
                  <c:v>0</c:v>
                </c:pt>
                <c:pt idx="3">
                  <c:v>0</c:v>
                </c:pt>
                <c:pt idx="4">
                  <c:v>0</c:v>
                </c:pt>
                <c:pt idx="6">
                  <c:v>0</c:v>
                </c:pt>
                <c:pt idx="7">
                  <c:v>0</c:v>
                </c:pt>
                <c:pt idx="8">
                  <c:v>0</c:v>
                </c:pt>
                <c:pt idx="9">
                  <c:v>0</c:v>
                </c:pt>
                <c:pt idx="10">
                  <c:v>0</c:v>
                </c:pt>
                <c:pt idx="12">
                  <c:v>0</c:v>
                </c:pt>
                <c:pt idx="13">
                  <c:v>0</c:v>
                </c:pt>
                <c:pt idx="14">
                  <c:v>0</c:v>
                </c:pt>
                <c:pt idx="15">
                  <c:v>0</c:v>
                </c:pt>
                <c:pt idx="16">
                  <c:v>0</c:v>
                </c:pt>
                <c:pt idx="17">
                  <c:v>0</c:v>
                </c:pt>
                <c:pt idx="18">
                  <c:v>0</c:v>
                </c:pt>
                <c:pt idx="19">
                  <c:v>0</c:v>
                </c:pt>
                <c:pt idx="20">
                  <c:v>0</c:v>
                </c:pt>
                <c:pt idx="22">
                  <c:v>0</c:v>
                </c:pt>
                <c:pt idx="23">
                  <c:v>0</c:v>
                </c:pt>
                <c:pt idx="24">
                  <c:v>0</c:v>
                </c:pt>
                <c:pt idx="25">
                  <c:v>0</c:v>
                </c:pt>
                <c:pt idx="27">
                  <c:v>0</c:v>
                </c:pt>
                <c:pt idx="28">
                  <c:v>0</c:v>
                </c:pt>
                <c:pt idx="29">
                  <c:v>0</c:v>
                </c:pt>
                <c:pt idx="30">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1-0657-4B6D-B104-75BA0C962C67}"/>
            </c:ext>
          </c:extLst>
        </c:ser>
        <c:dLbls>
          <c:showLegendKey val="0"/>
          <c:showVal val="0"/>
          <c:showCatName val="0"/>
          <c:showSerName val="0"/>
          <c:showPercent val="0"/>
          <c:showBubbleSize val="0"/>
        </c:dLbls>
        <c:gapWidth val="73"/>
        <c:axId val="1163423496"/>
        <c:axId val="1163424480"/>
      </c:barChart>
      <c:catAx>
        <c:axId val="1163423496"/>
        <c:scaling>
          <c:orientation val="maxMin"/>
        </c:scaling>
        <c:delete val="1"/>
        <c:axPos val="l"/>
        <c:numFmt formatCode="General" sourceLinked="1"/>
        <c:majorTickMark val="out"/>
        <c:minorTickMark val="none"/>
        <c:tickLblPos val="nextTo"/>
        <c:crossAx val="1163424480"/>
        <c:crosses val="autoZero"/>
        <c:auto val="1"/>
        <c:lblAlgn val="ctr"/>
        <c:lblOffset val="100"/>
        <c:noMultiLvlLbl val="0"/>
      </c:catAx>
      <c:valAx>
        <c:axId val="1163424480"/>
        <c:scaling>
          <c:orientation val="minMax"/>
        </c:scaling>
        <c:delete val="0"/>
        <c:axPos val="t"/>
        <c:majorGridlines>
          <c:spPr>
            <a:ln w="9525" cap="flat" cmpd="sng" algn="ctr">
              <a:noFill/>
              <a:round/>
            </a:ln>
            <a:effectLst/>
          </c:spPr>
        </c:majorGridlines>
        <c:numFmt formatCode="#\ ##0.0%;\ \-#\ ##0.0%;\ \-\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16342349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5.5441825885769042E-2"/>
          <c:y val="2.5332533678990372E-2"/>
          <c:w val="0.87571963340647996"/>
          <c:h val="0.96265545430899757"/>
        </c:manualLayout>
      </c:layout>
      <c:barChart>
        <c:barDir val="bar"/>
        <c:grouping val="stacked"/>
        <c:varyColors val="0"/>
        <c:ser>
          <c:idx val="0"/>
          <c:order val="0"/>
          <c:spPr>
            <a:solidFill>
              <a:schemeClr val="accent3">
                <a:lumMod val="60000"/>
                <a:lumOff val="40000"/>
              </a:schemeClr>
            </a:solidFill>
            <a:ln>
              <a:noFill/>
            </a:ln>
            <a:effectLst/>
          </c:spPr>
          <c:invertIfNegative val="0"/>
          <c:cat>
            <c:strRef>
              <c:f>Ohjaus!$B$17:$B$75</c:f>
              <c:strCache>
                <c:ptCount val="59"/>
                <c:pt idx="0">
                  <c:v>Etsivien tuki ja rinnalla kulkeminen</c:v>
                </c:pt>
                <c:pt idx="1">
                  <c:v>Menetelmällinen työskentely nuoren kanssa</c:v>
                </c:pt>
                <c:pt idx="2">
                  <c:v>Ryhmämuotoinen toiminta</c:v>
                </c:pt>
                <c:pt idx="3">
                  <c:v>Monialainen verkostoyhteistyö</c:v>
                </c:pt>
                <c:pt idx="4">
                  <c:v>Nuotta-valmennus</c:v>
                </c:pt>
                <c:pt idx="5">
                  <c:v>Palveluihin ohjaaminen</c:v>
                </c:pt>
                <c:pt idx="6">
                  <c:v>Tuki viranomaisasioiden hoitamiseen</c:v>
                </c:pt>
                <c:pt idx="7">
                  <c:v>Ohjattu opiskelupaikan haussa</c:v>
                </c:pt>
                <c:pt idx="8">
                  <c:v>Asumiseen liittyvä tuki</c:v>
                </c:pt>
                <c:pt idx="9">
                  <c:v>Työnhaun ohjaus ja neuvonta</c:v>
                </c:pt>
                <c:pt idx="10">
                  <c:v>Yhteiset tutustumiskäynnit</c:v>
                </c:pt>
                <c:pt idx="11">
                  <c:v>Ohjaus toisille etsiville</c:v>
                </c:pt>
                <c:pt idx="12">
                  <c:v>Sovari-kysely toimitettu nuorelle</c:v>
                </c:pt>
                <c:pt idx="14">
                  <c:v>Ohjattu muihin palveluihin / toimenpiteisiin</c:v>
                </c:pt>
                <c:pt idx="15">
                  <c:v>Sosiaalityö ja terveydenhuolto</c:v>
                </c:pt>
                <c:pt idx="16">
                  <c:v>Mielenterveyden hoito</c:v>
                </c:pt>
                <c:pt idx="17">
                  <c:v>Päihde- ja riippuvuushoito</c:v>
                </c:pt>
                <c:pt idx="18">
                  <c:v>Matalan kynnyksen apu mielenterveyteen ja/tai päihdeongelmiin</c:v>
                </c:pt>
                <c:pt idx="19">
                  <c:v>Muut terveyteen liittyvät palvelut</c:v>
                </c:pt>
                <c:pt idx="20">
                  <c:v>Toimeentuloon liittyvät palvelut</c:v>
                </c:pt>
                <c:pt idx="21">
                  <c:v>Velkaneuvonta ja muu talouteen liittyvä neuvonta</c:v>
                </c:pt>
                <c:pt idx="22">
                  <c:v>Lastensuojelu ja jälkihuolto</c:v>
                </c:pt>
                <c:pt idx="23">
                  <c:v>Muu sosiaalityön palvelu</c:v>
                </c:pt>
                <c:pt idx="24">
                  <c:v>Kelan ammatillinen kuntoutus</c:v>
                </c:pt>
                <c:pt idx="25">
                  <c:v>Muu kuntoutus</c:v>
                </c:pt>
                <c:pt idx="26">
                  <c:v>Nuoriso- ja vapaa-ajantoiminta ja 3.sektori</c:v>
                </c:pt>
                <c:pt idx="27">
                  <c:v>Nuorisotoimen palvelut</c:v>
                </c:pt>
                <c:pt idx="28">
                  <c:v>Kulttuuri- ja taidetoiminta</c:v>
                </c:pt>
                <c:pt idx="29">
                  <c:v>Liikunta- ja ulkoilutoiminta</c:v>
                </c:pt>
                <c:pt idx="30">
                  <c:v>Järjestöjen toiminta</c:v>
                </c:pt>
                <c:pt idx="31">
                  <c:v>Muu vapaa-ajan toiminta</c:v>
                </c:pt>
                <c:pt idx="32">
                  <c:v>Opinnot</c:v>
                </c:pt>
                <c:pt idx="33">
                  <c:v>Peruskoulun opinnot</c:v>
                </c:pt>
                <c:pt idx="34">
                  <c:v>TUVA-koulutus</c:v>
                </c:pt>
                <c:pt idx="35">
                  <c:v>Lukion opinnot</c:v>
                </c:pt>
                <c:pt idx="36">
                  <c:v>Ammatilliset perusopinnot</c:v>
                </c:pt>
                <c:pt idx="37">
                  <c:v>Muut ammatilliset opinnot</c:v>
                </c:pt>
                <c:pt idx="38">
                  <c:v>Oppisopimuskoulutus</c:v>
                </c:pt>
                <c:pt idx="39">
                  <c:v>Korkeakouluopinnot</c:v>
                </c:pt>
                <c:pt idx="40">
                  <c:v>Kansanopiston opinnot</c:v>
                </c:pt>
                <c:pt idx="41">
                  <c:v>Muu opiskelu</c:v>
                </c:pt>
                <c:pt idx="42">
                  <c:v>Työllistymistä tukeva toiminta</c:v>
                </c:pt>
                <c:pt idx="43">
                  <c:v>Ilmoittautuminen työttömäksi työnhakijaksi</c:v>
                </c:pt>
                <c:pt idx="44">
                  <c:v>Kuntouttava työtoiminta (muualle kuin työpajaan)</c:v>
                </c:pt>
                <c:pt idx="45">
                  <c:v>Työkokeilu (muualle kuin työpajaan)</c:v>
                </c:pt>
                <c:pt idx="46">
                  <c:v>Starttivalmennus</c:v>
                </c:pt>
                <c:pt idx="47">
                  <c:v>Nuorten työpajatoiminta</c:v>
                </c:pt>
                <c:pt idx="48">
                  <c:v>Ammatinvalinta- ja uraohjaus</c:v>
                </c:pt>
                <c:pt idx="49">
                  <c:v>Kuntakokeilu</c:v>
                </c:pt>
                <c:pt idx="50">
                  <c:v>Muut työelämään liittyvät palvelut</c:v>
                </c:pt>
                <c:pt idx="51">
                  <c:v>Työhön avoimille työmarkkinoille</c:v>
                </c:pt>
                <c:pt idx="52">
                  <c:v>Muut toimenpiteet</c:v>
                </c:pt>
                <c:pt idx="53">
                  <c:v>Ohjaamo</c:v>
                </c:pt>
                <c:pt idx="54">
                  <c:v>Ohjaaminen kotouttamistoimenpiteisiin</c:v>
                </c:pt>
                <c:pt idx="55">
                  <c:v>Varusmiespalvelu</c:v>
                </c:pt>
                <c:pt idx="56">
                  <c:v>Siviilipalvelu</c:v>
                </c:pt>
                <c:pt idx="57">
                  <c:v>Poliisi</c:v>
                </c:pt>
                <c:pt idx="58">
                  <c:v>Muut toimenpiteet</c:v>
                </c:pt>
              </c:strCache>
            </c:strRef>
          </c:cat>
          <c:val>
            <c:numRef>
              <c:f>Ohjaus!$D$17:$D$75</c:f>
              <c:numCache>
                <c:formatCode>0.0\ %</c:formatCode>
                <c:ptCount val="59"/>
                <c:pt idx="0">
                  <c:v>0</c:v>
                </c:pt>
                <c:pt idx="1">
                  <c:v>0</c:v>
                </c:pt>
                <c:pt idx="2">
                  <c:v>0</c:v>
                </c:pt>
                <c:pt idx="3">
                  <c:v>0</c:v>
                </c:pt>
                <c:pt idx="4">
                  <c:v>0</c:v>
                </c:pt>
                <c:pt idx="5">
                  <c:v>0</c:v>
                </c:pt>
                <c:pt idx="6">
                  <c:v>0</c:v>
                </c:pt>
                <c:pt idx="7">
                  <c:v>0</c:v>
                </c:pt>
                <c:pt idx="8">
                  <c:v>0</c:v>
                </c:pt>
                <c:pt idx="9">
                  <c:v>0</c:v>
                </c:pt>
                <c:pt idx="10">
                  <c:v>0</c:v>
                </c:pt>
                <c:pt idx="11">
                  <c:v>0</c:v>
                </c:pt>
                <c:pt idx="12">
                  <c:v>0</c:v>
                </c:pt>
                <c:pt idx="16">
                  <c:v>0</c:v>
                </c:pt>
                <c:pt idx="17">
                  <c:v>0</c:v>
                </c:pt>
                <c:pt idx="18">
                  <c:v>0</c:v>
                </c:pt>
                <c:pt idx="19">
                  <c:v>0</c:v>
                </c:pt>
                <c:pt idx="20">
                  <c:v>0</c:v>
                </c:pt>
                <c:pt idx="21">
                  <c:v>0</c:v>
                </c:pt>
                <c:pt idx="22">
                  <c:v>0</c:v>
                </c:pt>
                <c:pt idx="23">
                  <c:v>0</c:v>
                </c:pt>
                <c:pt idx="24">
                  <c:v>0</c:v>
                </c:pt>
                <c:pt idx="25">
                  <c:v>0</c:v>
                </c:pt>
                <c:pt idx="27">
                  <c:v>0</c:v>
                </c:pt>
                <c:pt idx="28">
                  <c:v>0</c:v>
                </c:pt>
                <c:pt idx="29">
                  <c:v>0</c:v>
                </c:pt>
                <c:pt idx="30">
                  <c:v>0</c:v>
                </c:pt>
                <c:pt idx="31">
                  <c:v>0</c:v>
                </c:pt>
                <c:pt idx="33">
                  <c:v>0</c:v>
                </c:pt>
                <c:pt idx="34">
                  <c:v>0</c:v>
                </c:pt>
                <c:pt idx="35">
                  <c:v>0</c:v>
                </c:pt>
                <c:pt idx="36">
                  <c:v>0</c:v>
                </c:pt>
                <c:pt idx="37">
                  <c:v>0</c:v>
                </c:pt>
                <c:pt idx="38">
                  <c:v>0</c:v>
                </c:pt>
                <c:pt idx="39">
                  <c:v>0</c:v>
                </c:pt>
                <c:pt idx="40">
                  <c:v>0</c:v>
                </c:pt>
                <c:pt idx="41">
                  <c:v>0</c:v>
                </c:pt>
                <c:pt idx="43">
                  <c:v>0</c:v>
                </c:pt>
                <c:pt idx="44">
                  <c:v>0</c:v>
                </c:pt>
                <c:pt idx="45">
                  <c:v>0</c:v>
                </c:pt>
                <c:pt idx="46">
                  <c:v>0</c:v>
                </c:pt>
                <c:pt idx="47">
                  <c:v>0</c:v>
                </c:pt>
                <c:pt idx="48">
                  <c:v>0</c:v>
                </c:pt>
                <c:pt idx="49">
                  <c:v>0</c:v>
                </c:pt>
                <c:pt idx="50">
                  <c:v>0</c:v>
                </c:pt>
                <c:pt idx="51">
                  <c:v>0</c:v>
                </c:pt>
                <c:pt idx="53">
                  <c:v>0</c:v>
                </c:pt>
                <c:pt idx="54">
                  <c:v>0</c:v>
                </c:pt>
                <c:pt idx="55">
                  <c:v>0</c:v>
                </c:pt>
                <c:pt idx="56">
                  <c:v>0</c:v>
                </c:pt>
                <c:pt idx="57">
                  <c:v>0</c:v>
                </c:pt>
                <c:pt idx="58">
                  <c:v>0</c:v>
                </c:pt>
              </c:numCache>
            </c:numRef>
          </c:val>
          <c:extLst>
            <c:ext xmlns:c16="http://schemas.microsoft.com/office/drawing/2014/chart" uri="{C3380CC4-5D6E-409C-BE32-E72D297353CC}">
              <c16:uniqueId val="{00000000-6405-4ADD-BACA-72A7E251B67E}"/>
            </c:ext>
          </c:extLst>
        </c:ser>
        <c:dLbls>
          <c:showLegendKey val="0"/>
          <c:showVal val="0"/>
          <c:showCatName val="0"/>
          <c:showSerName val="0"/>
          <c:showPercent val="0"/>
          <c:showBubbleSize val="0"/>
        </c:dLbls>
        <c:gapWidth val="46"/>
        <c:overlap val="100"/>
        <c:axId val="932937800"/>
        <c:axId val="932945344"/>
      </c:barChart>
      <c:catAx>
        <c:axId val="932937800"/>
        <c:scaling>
          <c:orientation val="maxMin"/>
        </c:scaling>
        <c:delete val="1"/>
        <c:axPos val="l"/>
        <c:numFmt formatCode="General" sourceLinked="1"/>
        <c:majorTickMark val="none"/>
        <c:minorTickMark val="none"/>
        <c:tickLblPos val="nextTo"/>
        <c:crossAx val="932945344"/>
        <c:crosses val="autoZero"/>
        <c:auto val="1"/>
        <c:lblAlgn val="ctr"/>
        <c:lblOffset val="100"/>
        <c:noMultiLvlLbl val="0"/>
      </c:catAx>
      <c:valAx>
        <c:axId val="932945344"/>
        <c:scaling>
          <c:orientation val="minMax"/>
        </c:scaling>
        <c:delete val="0"/>
        <c:axPos val="t"/>
        <c:majorGridlines>
          <c:spPr>
            <a:ln w="9525" cap="flat" cmpd="sng" algn="ctr">
              <a:solidFill>
                <a:schemeClr val="tx1">
                  <a:lumMod val="15000"/>
                  <a:lumOff val="85000"/>
                </a:schemeClr>
              </a:solidFill>
              <a:prstDash val="dash"/>
              <a:round/>
              <a:headEnd type="triangle"/>
            </a:ln>
            <a:effectLst/>
          </c:spPr>
        </c:majorGridlines>
        <c:numFmt formatCode="0.0\ %" sourceLinked="1"/>
        <c:majorTickMark val="none"/>
        <c:minorTickMark val="none"/>
        <c:tickLblPos val="nextTo"/>
        <c:spPr>
          <a:noFill/>
          <a:ln>
            <a:noFill/>
          </a:ln>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fi-FI"/>
          </a:p>
        </c:txPr>
        <c:crossAx val="93293780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v>Nuoret alle 29v</c:v>
          </c:tx>
          <c:spPr>
            <a:solidFill>
              <a:schemeClr val="accent3">
                <a:lumMod val="60000"/>
                <a:lumOff val="40000"/>
              </a:schemeClr>
            </a:solidFill>
            <a:ln>
              <a:noFill/>
            </a:ln>
            <a:effectLst/>
          </c:spPr>
          <c:invertIfNegative val="0"/>
          <c:cat>
            <c:strRef>
              <c:f>Ohjaus!$B$17:$B$29</c:f>
              <c:strCache>
                <c:ptCount val="13"/>
                <c:pt idx="0">
                  <c:v>Etsivien tuki ja rinnalla kulkeminen</c:v>
                </c:pt>
                <c:pt idx="1">
                  <c:v>Menetelmällinen työskentely nuoren kanssa</c:v>
                </c:pt>
                <c:pt idx="2">
                  <c:v>Ryhmämuotoinen toiminta</c:v>
                </c:pt>
                <c:pt idx="3">
                  <c:v>Monialainen verkostoyhteistyö</c:v>
                </c:pt>
                <c:pt idx="4">
                  <c:v>Nuotta-valmennus</c:v>
                </c:pt>
                <c:pt idx="5">
                  <c:v>Palveluihin ohjaaminen</c:v>
                </c:pt>
                <c:pt idx="6">
                  <c:v>Tuki viranomaisasioiden hoitamiseen</c:v>
                </c:pt>
                <c:pt idx="7">
                  <c:v>Ohjattu opiskelupaikan haussa</c:v>
                </c:pt>
                <c:pt idx="8">
                  <c:v>Asumiseen liittyvä tuki</c:v>
                </c:pt>
                <c:pt idx="9">
                  <c:v>Työnhaun ohjaus ja neuvonta</c:v>
                </c:pt>
                <c:pt idx="10">
                  <c:v>Yhteiset tutustumiskäynnit</c:v>
                </c:pt>
                <c:pt idx="11">
                  <c:v>Ohjaus toisille etsiville</c:v>
                </c:pt>
                <c:pt idx="12">
                  <c:v>Sovari-kysely toimitettu nuorelle</c:v>
                </c:pt>
              </c:strCache>
            </c:strRef>
          </c:cat>
          <c:val>
            <c:numRef>
              <c:f>Ohjaus!$C$17:$C$29</c:f>
              <c:numCache>
                <c:formatCode>#\ ##0;\ \-#\ ##0;\ \-\ </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ECCE-4AE7-9FF4-F0831B29C403}"/>
            </c:ext>
          </c:extLst>
        </c:ser>
        <c:ser>
          <c:idx val="1"/>
          <c:order val="1"/>
          <c:tx>
            <c:v>29v ja vanhemmat</c:v>
          </c:tx>
          <c:spPr>
            <a:solidFill>
              <a:schemeClr val="accent2"/>
            </a:solidFill>
            <a:ln>
              <a:noFill/>
            </a:ln>
            <a:effectLst/>
          </c:spPr>
          <c:invertIfNegative val="0"/>
          <c:cat>
            <c:strRef>
              <c:f>Ohjaus!$B$17:$B$29</c:f>
              <c:strCache>
                <c:ptCount val="13"/>
                <c:pt idx="0">
                  <c:v>Etsivien tuki ja rinnalla kulkeminen</c:v>
                </c:pt>
                <c:pt idx="1">
                  <c:v>Menetelmällinen työskentely nuoren kanssa</c:v>
                </c:pt>
                <c:pt idx="2">
                  <c:v>Ryhmämuotoinen toiminta</c:v>
                </c:pt>
                <c:pt idx="3">
                  <c:v>Monialainen verkostoyhteistyö</c:v>
                </c:pt>
                <c:pt idx="4">
                  <c:v>Nuotta-valmennus</c:v>
                </c:pt>
                <c:pt idx="5">
                  <c:v>Palveluihin ohjaaminen</c:v>
                </c:pt>
                <c:pt idx="6">
                  <c:v>Tuki viranomaisasioiden hoitamiseen</c:v>
                </c:pt>
                <c:pt idx="7">
                  <c:v>Ohjattu opiskelupaikan haussa</c:v>
                </c:pt>
                <c:pt idx="8">
                  <c:v>Asumiseen liittyvä tuki</c:v>
                </c:pt>
                <c:pt idx="9">
                  <c:v>Työnhaun ohjaus ja neuvonta</c:v>
                </c:pt>
                <c:pt idx="10">
                  <c:v>Yhteiset tutustumiskäynnit</c:v>
                </c:pt>
                <c:pt idx="11">
                  <c:v>Ohjaus toisille etsiville</c:v>
                </c:pt>
                <c:pt idx="12">
                  <c:v>Sovari-kysely toimitettu nuorelle</c:v>
                </c:pt>
              </c:strCache>
            </c:strRef>
          </c:cat>
          <c:val>
            <c:numRef>
              <c:f>Ohjaus!$G$17:$G$29</c:f>
              <c:numCache>
                <c:formatCode>#\ ##0;\ \-#\ ##0;\ \-\ </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ECCE-4AE7-9FF4-F0831B29C403}"/>
            </c:ext>
          </c:extLst>
        </c:ser>
        <c:dLbls>
          <c:showLegendKey val="0"/>
          <c:showVal val="0"/>
          <c:showCatName val="0"/>
          <c:showSerName val="0"/>
          <c:showPercent val="0"/>
          <c:showBubbleSize val="0"/>
        </c:dLbls>
        <c:gapWidth val="150"/>
        <c:overlap val="100"/>
        <c:axId val="2134385887"/>
        <c:axId val="34336639"/>
      </c:barChart>
      <c:catAx>
        <c:axId val="2134385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4336639"/>
        <c:crosses val="autoZero"/>
        <c:auto val="1"/>
        <c:lblAlgn val="ctr"/>
        <c:lblOffset val="100"/>
        <c:noMultiLvlLbl val="0"/>
      </c:catAx>
      <c:valAx>
        <c:axId val="34336639"/>
        <c:scaling>
          <c:orientation val="minMax"/>
        </c:scaling>
        <c:delete val="0"/>
        <c:axPos val="l"/>
        <c:majorGridlines>
          <c:spPr>
            <a:ln w="9525" cap="flat" cmpd="sng" algn="ctr">
              <a:solidFill>
                <a:schemeClr val="tx1">
                  <a:lumMod val="15000"/>
                  <a:lumOff val="85000"/>
                </a:schemeClr>
              </a:solidFill>
              <a:round/>
            </a:ln>
            <a:effectLst/>
          </c:spPr>
        </c:majorGridlines>
        <c:numFmt formatCode="#0;\ \-#0;\ \-\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2134385887"/>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v>Nuoret alle 29v</c:v>
          </c:tx>
          <c:spPr>
            <a:solidFill>
              <a:schemeClr val="accent3">
                <a:lumMod val="60000"/>
                <a:lumOff val="40000"/>
              </a:schemeClr>
            </a:solidFill>
            <a:ln>
              <a:noFill/>
            </a:ln>
            <a:effectLst/>
          </c:spPr>
          <c:invertIfNegative val="0"/>
          <c:cat>
            <c:strRef>
              <c:f>Ohjaus!$B$33:$B$42</c:f>
              <c:strCache>
                <c:ptCount val="10"/>
                <c:pt idx="0">
                  <c:v>Mielenterveyden hoito</c:v>
                </c:pt>
                <c:pt idx="1">
                  <c:v>Päihde- ja riippuvuushoito</c:v>
                </c:pt>
                <c:pt idx="2">
                  <c:v>Matalan kynnyksen apu mielenterveyteen ja/tai päihdeongelmiin</c:v>
                </c:pt>
                <c:pt idx="3">
                  <c:v>Muut terveyteen liittyvät palvelut</c:v>
                </c:pt>
                <c:pt idx="4">
                  <c:v>Toimeentuloon liittyvät palvelut</c:v>
                </c:pt>
                <c:pt idx="5">
                  <c:v>Velkaneuvonta ja muu talouteen liittyvä neuvonta</c:v>
                </c:pt>
                <c:pt idx="6">
                  <c:v>Lastensuojelu ja jälkihuolto</c:v>
                </c:pt>
                <c:pt idx="7">
                  <c:v>Muu sosiaalityön palvelu</c:v>
                </c:pt>
                <c:pt idx="8">
                  <c:v>Kelan ammatillinen kuntoutus</c:v>
                </c:pt>
                <c:pt idx="9">
                  <c:v>Muu kuntoutus</c:v>
                </c:pt>
              </c:strCache>
            </c:strRef>
          </c:cat>
          <c:val>
            <c:numRef>
              <c:f>Ohjaus!$C$33:$C$42</c:f>
              <c:numCache>
                <c:formatCode>#\ ##0;\ \-#\ ##0;\ \-\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ABF-46B2-A43B-B76C110EA50F}"/>
            </c:ext>
          </c:extLst>
        </c:ser>
        <c:ser>
          <c:idx val="1"/>
          <c:order val="1"/>
          <c:tx>
            <c:v>29v ja vanhemmat</c:v>
          </c:tx>
          <c:spPr>
            <a:solidFill>
              <a:schemeClr val="accent2"/>
            </a:solidFill>
            <a:ln>
              <a:noFill/>
            </a:ln>
            <a:effectLst/>
          </c:spPr>
          <c:invertIfNegative val="0"/>
          <c:cat>
            <c:strRef>
              <c:f>Ohjaus!$B$33:$B$42</c:f>
              <c:strCache>
                <c:ptCount val="10"/>
                <c:pt idx="0">
                  <c:v>Mielenterveyden hoito</c:v>
                </c:pt>
                <c:pt idx="1">
                  <c:v>Päihde- ja riippuvuushoito</c:v>
                </c:pt>
                <c:pt idx="2">
                  <c:v>Matalan kynnyksen apu mielenterveyteen ja/tai päihdeongelmiin</c:v>
                </c:pt>
                <c:pt idx="3">
                  <c:v>Muut terveyteen liittyvät palvelut</c:v>
                </c:pt>
                <c:pt idx="4">
                  <c:v>Toimeentuloon liittyvät palvelut</c:v>
                </c:pt>
                <c:pt idx="5">
                  <c:v>Velkaneuvonta ja muu talouteen liittyvä neuvonta</c:v>
                </c:pt>
                <c:pt idx="6">
                  <c:v>Lastensuojelu ja jälkihuolto</c:v>
                </c:pt>
                <c:pt idx="7">
                  <c:v>Muu sosiaalityön palvelu</c:v>
                </c:pt>
                <c:pt idx="8">
                  <c:v>Kelan ammatillinen kuntoutus</c:v>
                </c:pt>
                <c:pt idx="9">
                  <c:v>Muu kuntoutus</c:v>
                </c:pt>
              </c:strCache>
            </c:strRef>
          </c:cat>
          <c:val>
            <c:numRef>
              <c:f>Ohjaus!$G$33:$G$42</c:f>
              <c:numCache>
                <c:formatCode>#\ ##0;\ \-#\ ##0;\ \-\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ABF-46B2-A43B-B76C110EA50F}"/>
            </c:ext>
          </c:extLst>
        </c:ser>
        <c:dLbls>
          <c:showLegendKey val="0"/>
          <c:showVal val="0"/>
          <c:showCatName val="0"/>
          <c:showSerName val="0"/>
          <c:showPercent val="0"/>
          <c:showBubbleSize val="0"/>
        </c:dLbls>
        <c:gapWidth val="150"/>
        <c:overlap val="100"/>
        <c:axId val="356029679"/>
        <c:axId val="362090495"/>
      </c:barChart>
      <c:catAx>
        <c:axId val="3560296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62090495"/>
        <c:crosses val="autoZero"/>
        <c:auto val="1"/>
        <c:lblAlgn val="ctr"/>
        <c:lblOffset val="100"/>
        <c:noMultiLvlLbl val="0"/>
      </c:catAx>
      <c:valAx>
        <c:axId val="362090495"/>
        <c:scaling>
          <c:orientation val="minMax"/>
        </c:scaling>
        <c:delete val="0"/>
        <c:axPos val="l"/>
        <c:majorGridlines>
          <c:spPr>
            <a:ln w="9525" cap="flat" cmpd="sng" algn="ctr">
              <a:solidFill>
                <a:schemeClr val="tx1">
                  <a:lumMod val="15000"/>
                  <a:lumOff val="85000"/>
                </a:schemeClr>
              </a:solidFill>
              <a:round/>
            </a:ln>
            <a:effectLst/>
          </c:spPr>
        </c:majorGridlines>
        <c:numFmt formatCode="#\ ##0;\ \-#\ ##0;\ \-\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5602967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v>Nuoret alle 29v</c:v>
          </c:tx>
          <c:spPr>
            <a:solidFill>
              <a:schemeClr val="accent3">
                <a:lumMod val="60000"/>
                <a:lumOff val="40000"/>
              </a:schemeClr>
            </a:solidFill>
            <a:ln>
              <a:noFill/>
            </a:ln>
            <a:effectLst/>
          </c:spPr>
          <c:invertIfNegative val="0"/>
          <c:cat>
            <c:strRef>
              <c:f>Ohjaus!$B$44:$B$48</c:f>
              <c:strCache>
                <c:ptCount val="5"/>
                <c:pt idx="0">
                  <c:v>Nuorisotoimen palvelut</c:v>
                </c:pt>
                <c:pt idx="1">
                  <c:v>Kulttuuri- ja taidetoiminta</c:v>
                </c:pt>
                <c:pt idx="2">
                  <c:v>Liikunta- ja ulkoilutoiminta</c:v>
                </c:pt>
                <c:pt idx="3">
                  <c:v>Järjestöjen toiminta</c:v>
                </c:pt>
                <c:pt idx="4">
                  <c:v>Muu vapaa-ajan toiminta</c:v>
                </c:pt>
              </c:strCache>
            </c:strRef>
          </c:cat>
          <c:val>
            <c:numRef>
              <c:f>Ohjaus!$C$44:$C$48</c:f>
              <c:numCache>
                <c:formatCode>#\ ##0;\ \-#\ ##0;\ \-\ </c:formatCode>
                <c:ptCount val="5"/>
                <c:pt idx="0">
                  <c:v>0</c:v>
                </c:pt>
                <c:pt idx="1">
                  <c:v>0</c:v>
                </c:pt>
                <c:pt idx="2">
                  <c:v>0</c:v>
                </c:pt>
                <c:pt idx="3">
                  <c:v>0</c:v>
                </c:pt>
                <c:pt idx="4">
                  <c:v>0</c:v>
                </c:pt>
              </c:numCache>
            </c:numRef>
          </c:val>
          <c:extLst>
            <c:ext xmlns:c16="http://schemas.microsoft.com/office/drawing/2014/chart" uri="{C3380CC4-5D6E-409C-BE32-E72D297353CC}">
              <c16:uniqueId val="{00000000-A756-4AD3-A100-7F4889A74D72}"/>
            </c:ext>
          </c:extLst>
        </c:ser>
        <c:ser>
          <c:idx val="1"/>
          <c:order val="1"/>
          <c:tx>
            <c:v>29v ja vanhemmat</c:v>
          </c:tx>
          <c:spPr>
            <a:solidFill>
              <a:schemeClr val="accent2"/>
            </a:solidFill>
            <a:ln>
              <a:noFill/>
            </a:ln>
            <a:effectLst/>
          </c:spPr>
          <c:invertIfNegative val="0"/>
          <c:cat>
            <c:strRef>
              <c:f>Ohjaus!$B$44:$B$48</c:f>
              <c:strCache>
                <c:ptCount val="5"/>
                <c:pt idx="0">
                  <c:v>Nuorisotoimen palvelut</c:v>
                </c:pt>
                <c:pt idx="1">
                  <c:v>Kulttuuri- ja taidetoiminta</c:v>
                </c:pt>
                <c:pt idx="2">
                  <c:v>Liikunta- ja ulkoilutoiminta</c:v>
                </c:pt>
                <c:pt idx="3">
                  <c:v>Järjestöjen toiminta</c:v>
                </c:pt>
                <c:pt idx="4">
                  <c:v>Muu vapaa-ajan toiminta</c:v>
                </c:pt>
              </c:strCache>
            </c:strRef>
          </c:cat>
          <c:val>
            <c:numRef>
              <c:f>Ohjaus!$G$44:$G$48</c:f>
              <c:numCache>
                <c:formatCode>#\ ##0;\ \-#\ ##0;\ \-\ </c:formatCode>
                <c:ptCount val="5"/>
                <c:pt idx="0">
                  <c:v>0</c:v>
                </c:pt>
                <c:pt idx="1">
                  <c:v>0</c:v>
                </c:pt>
                <c:pt idx="2">
                  <c:v>0</c:v>
                </c:pt>
                <c:pt idx="3">
                  <c:v>0</c:v>
                </c:pt>
                <c:pt idx="4">
                  <c:v>0</c:v>
                </c:pt>
              </c:numCache>
            </c:numRef>
          </c:val>
          <c:extLst>
            <c:ext xmlns:c16="http://schemas.microsoft.com/office/drawing/2014/chart" uri="{C3380CC4-5D6E-409C-BE32-E72D297353CC}">
              <c16:uniqueId val="{00000001-A756-4AD3-A100-7F4889A74D72}"/>
            </c:ext>
          </c:extLst>
        </c:ser>
        <c:dLbls>
          <c:showLegendKey val="0"/>
          <c:showVal val="0"/>
          <c:showCatName val="0"/>
          <c:showSerName val="0"/>
          <c:showPercent val="0"/>
          <c:showBubbleSize val="0"/>
        </c:dLbls>
        <c:gapWidth val="150"/>
        <c:overlap val="100"/>
        <c:axId val="355980031"/>
        <c:axId val="362106335"/>
      </c:barChart>
      <c:catAx>
        <c:axId val="3559800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62106335"/>
        <c:crosses val="autoZero"/>
        <c:auto val="1"/>
        <c:lblAlgn val="ctr"/>
        <c:lblOffset val="100"/>
        <c:noMultiLvlLbl val="0"/>
      </c:catAx>
      <c:valAx>
        <c:axId val="362106335"/>
        <c:scaling>
          <c:orientation val="minMax"/>
        </c:scaling>
        <c:delete val="0"/>
        <c:axPos val="l"/>
        <c:majorGridlines>
          <c:spPr>
            <a:ln w="9525" cap="flat" cmpd="sng" algn="ctr">
              <a:solidFill>
                <a:schemeClr val="tx1">
                  <a:lumMod val="15000"/>
                  <a:lumOff val="85000"/>
                </a:schemeClr>
              </a:solidFill>
              <a:round/>
            </a:ln>
            <a:effectLst/>
          </c:spPr>
        </c:majorGridlines>
        <c:numFmt formatCode="#0;\ \-#0;\ \-\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55980031"/>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v>Nuoret alle 29v</c:v>
          </c:tx>
          <c:spPr>
            <a:solidFill>
              <a:schemeClr val="accent3">
                <a:lumMod val="60000"/>
                <a:lumOff val="40000"/>
              </a:schemeClr>
            </a:solidFill>
            <a:ln>
              <a:noFill/>
            </a:ln>
            <a:effectLst/>
          </c:spPr>
          <c:invertIfNegative val="0"/>
          <c:cat>
            <c:strRef>
              <c:f>Ohjaus!$B$50:$B$58</c:f>
              <c:strCache>
                <c:ptCount val="9"/>
                <c:pt idx="0">
                  <c:v>Peruskoulun opinnot</c:v>
                </c:pt>
                <c:pt idx="1">
                  <c:v>TUVA-koulutus</c:v>
                </c:pt>
                <c:pt idx="2">
                  <c:v>Lukion opinnot</c:v>
                </c:pt>
                <c:pt idx="3">
                  <c:v>Ammatilliset perusopinnot</c:v>
                </c:pt>
                <c:pt idx="4">
                  <c:v>Muut ammatilliset opinnot</c:v>
                </c:pt>
                <c:pt idx="5">
                  <c:v>Oppisopimuskoulutus</c:v>
                </c:pt>
                <c:pt idx="6">
                  <c:v>Korkeakouluopinnot</c:v>
                </c:pt>
                <c:pt idx="7">
                  <c:v>Kansanopiston opinnot</c:v>
                </c:pt>
                <c:pt idx="8">
                  <c:v>Muu opiskelu</c:v>
                </c:pt>
              </c:strCache>
            </c:strRef>
          </c:cat>
          <c:val>
            <c:numRef>
              <c:f>Ohjaus!$C$50:$C$58</c:f>
              <c:numCache>
                <c:formatCode>#\ ##0;\ \-#\ ##0;\ \-\ </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C109-423F-9F3B-744840B6D1E7}"/>
            </c:ext>
          </c:extLst>
        </c:ser>
        <c:ser>
          <c:idx val="1"/>
          <c:order val="1"/>
          <c:tx>
            <c:v>29v ja vanhemmat</c:v>
          </c:tx>
          <c:spPr>
            <a:solidFill>
              <a:schemeClr val="accent2"/>
            </a:solidFill>
            <a:ln>
              <a:noFill/>
            </a:ln>
            <a:effectLst/>
          </c:spPr>
          <c:invertIfNegative val="0"/>
          <c:cat>
            <c:strRef>
              <c:f>Ohjaus!$B$50:$B$58</c:f>
              <c:strCache>
                <c:ptCount val="9"/>
                <c:pt idx="0">
                  <c:v>Peruskoulun opinnot</c:v>
                </c:pt>
                <c:pt idx="1">
                  <c:v>TUVA-koulutus</c:v>
                </c:pt>
                <c:pt idx="2">
                  <c:v>Lukion opinnot</c:v>
                </c:pt>
                <c:pt idx="3">
                  <c:v>Ammatilliset perusopinnot</c:v>
                </c:pt>
                <c:pt idx="4">
                  <c:v>Muut ammatilliset opinnot</c:v>
                </c:pt>
                <c:pt idx="5">
                  <c:v>Oppisopimuskoulutus</c:v>
                </c:pt>
                <c:pt idx="6">
                  <c:v>Korkeakouluopinnot</c:v>
                </c:pt>
                <c:pt idx="7">
                  <c:v>Kansanopiston opinnot</c:v>
                </c:pt>
                <c:pt idx="8">
                  <c:v>Muu opiskelu</c:v>
                </c:pt>
              </c:strCache>
            </c:strRef>
          </c:cat>
          <c:val>
            <c:numRef>
              <c:f>Ohjaus!$G$50:$G$58</c:f>
              <c:numCache>
                <c:formatCode>#\ ##0;\ \-#\ ##0;\ \-\ </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C109-423F-9F3B-744840B6D1E7}"/>
            </c:ext>
          </c:extLst>
        </c:ser>
        <c:dLbls>
          <c:showLegendKey val="0"/>
          <c:showVal val="0"/>
          <c:showCatName val="0"/>
          <c:showSerName val="0"/>
          <c:showPercent val="0"/>
          <c:showBubbleSize val="0"/>
        </c:dLbls>
        <c:gapWidth val="150"/>
        <c:overlap val="100"/>
        <c:axId val="356096031"/>
        <c:axId val="1880423647"/>
      </c:barChart>
      <c:catAx>
        <c:axId val="3560960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880423647"/>
        <c:crosses val="autoZero"/>
        <c:auto val="1"/>
        <c:lblAlgn val="ctr"/>
        <c:lblOffset val="100"/>
        <c:noMultiLvlLbl val="0"/>
      </c:catAx>
      <c:valAx>
        <c:axId val="1880423647"/>
        <c:scaling>
          <c:orientation val="minMax"/>
        </c:scaling>
        <c:delete val="0"/>
        <c:axPos val="l"/>
        <c:majorGridlines>
          <c:spPr>
            <a:ln w="9525" cap="flat" cmpd="sng" algn="ctr">
              <a:solidFill>
                <a:schemeClr val="tx1">
                  <a:lumMod val="15000"/>
                  <a:lumOff val="85000"/>
                </a:schemeClr>
              </a:solidFill>
              <a:round/>
            </a:ln>
            <a:effectLst/>
          </c:spPr>
        </c:majorGridlines>
        <c:numFmt formatCode="#0;\ \-#0;\ \-\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56096031"/>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v>Nuoret alle 29v</c:v>
          </c:tx>
          <c:spPr>
            <a:solidFill>
              <a:schemeClr val="accent3">
                <a:lumMod val="60000"/>
                <a:lumOff val="40000"/>
              </a:schemeClr>
            </a:solidFill>
            <a:ln>
              <a:noFill/>
            </a:ln>
            <a:effectLst/>
          </c:spPr>
          <c:invertIfNegative val="0"/>
          <c:cat>
            <c:strRef>
              <c:f>Ohjaus!$B$60:$B$68</c:f>
              <c:strCache>
                <c:ptCount val="9"/>
                <c:pt idx="0">
                  <c:v>Ilmoittautuminen työttömäksi työnhakijaksi</c:v>
                </c:pt>
                <c:pt idx="1">
                  <c:v>Kuntouttava työtoiminta (muualle kuin työpajaan)</c:v>
                </c:pt>
                <c:pt idx="2">
                  <c:v>Työkokeilu (muualle kuin työpajaan)</c:v>
                </c:pt>
                <c:pt idx="3">
                  <c:v>Starttivalmennus</c:v>
                </c:pt>
                <c:pt idx="4">
                  <c:v>Nuorten työpajatoiminta</c:v>
                </c:pt>
                <c:pt idx="5">
                  <c:v>Ammatinvalinta- ja uraohjaus</c:v>
                </c:pt>
                <c:pt idx="6">
                  <c:v>Kuntakokeilu</c:v>
                </c:pt>
                <c:pt idx="7">
                  <c:v>Muut työelämään liittyvät palvelut</c:v>
                </c:pt>
                <c:pt idx="8">
                  <c:v>Työhön avoimille työmarkkinoille</c:v>
                </c:pt>
              </c:strCache>
            </c:strRef>
          </c:cat>
          <c:val>
            <c:numRef>
              <c:f>Ohjaus!$C$60:$C$68</c:f>
              <c:numCache>
                <c:formatCode>#\ ##0;\ \-#\ ##0;\ \-\ </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3AB9-43EF-A0E1-DDC172A6AF8E}"/>
            </c:ext>
          </c:extLst>
        </c:ser>
        <c:ser>
          <c:idx val="1"/>
          <c:order val="1"/>
          <c:tx>
            <c:v>29v ja vanhemmat</c:v>
          </c:tx>
          <c:spPr>
            <a:solidFill>
              <a:schemeClr val="accent2"/>
            </a:solidFill>
            <a:ln>
              <a:noFill/>
            </a:ln>
            <a:effectLst/>
          </c:spPr>
          <c:invertIfNegative val="0"/>
          <c:cat>
            <c:strRef>
              <c:f>Ohjaus!$B$60:$B$68</c:f>
              <c:strCache>
                <c:ptCount val="9"/>
                <c:pt idx="0">
                  <c:v>Ilmoittautuminen työttömäksi työnhakijaksi</c:v>
                </c:pt>
                <c:pt idx="1">
                  <c:v>Kuntouttava työtoiminta (muualle kuin työpajaan)</c:v>
                </c:pt>
                <c:pt idx="2">
                  <c:v>Työkokeilu (muualle kuin työpajaan)</c:v>
                </c:pt>
                <c:pt idx="3">
                  <c:v>Starttivalmennus</c:v>
                </c:pt>
                <c:pt idx="4">
                  <c:v>Nuorten työpajatoiminta</c:v>
                </c:pt>
                <c:pt idx="5">
                  <c:v>Ammatinvalinta- ja uraohjaus</c:v>
                </c:pt>
                <c:pt idx="6">
                  <c:v>Kuntakokeilu</c:v>
                </c:pt>
                <c:pt idx="7">
                  <c:v>Muut työelämään liittyvät palvelut</c:v>
                </c:pt>
                <c:pt idx="8">
                  <c:v>Työhön avoimille työmarkkinoille</c:v>
                </c:pt>
              </c:strCache>
            </c:strRef>
          </c:cat>
          <c:val>
            <c:numRef>
              <c:f>Ohjaus!$G$60:$G$68</c:f>
              <c:numCache>
                <c:formatCode>#\ ##0;\ \-#\ ##0;\ \-\ </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3AB9-43EF-A0E1-DDC172A6AF8E}"/>
            </c:ext>
          </c:extLst>
        </c:ser>
        <c:dLbls>
          <c:showLegendKey val="0"/>
          <c:showVal val="0"/>
          <c:showCatName val="0"/>
          <c:showSerName val="0"/>
          <c:showPercent val="0"/>
          <c:showBubbleSize val="0"/>
        </c:dLbls>
        <c:gapWidth val="150"/>
        <c:overlap val="100"/>
        <c:axId val="356070975"/>
        <c:axId val="362095295"/>
      </c:barChart>
      <c:catAx>
        <c:axId val="3560709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62095295"/>
        <c:crosses val="autoZero"/>
        <c:auto val="1"/>
        <c:lblAlgn val="ctr"/>
        <c:lblOffset val="100"/>
        <c:noMultiLvlLbl val="0"/>
      </c:catAx>
      <c:valAx>
        <c:axId val="362095295"/>
        <c:scaling>
          <c:orientation val="minMax"/>
        </c:scaling>
        <c:delete val="0"/>
        <c:axPos val="l"/>
        <c:majorGridlines>
          <c:spPr>
            <a:ln w="9525" cap="flat" cmpd="sng" algn="ctr">
              <a:solidFill>
                <a:schemeClr val="tx1">
                  <a:lumMod val="15000"/>
                  <a:lumOff val="85000"/>
                </a:schemeClr>
              </a:solidFill>
              <a:round/>
            </a:ln>
            <a:effectLst/>
          </c:spPr>
        </c:majorGridlines>
        <c:numFmt formatCode="#0;\ \-#0;\ \-\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56070975"/>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v>Nuoret alle 29v</c:v>
          </c:tx>
          <c:spPr>
            <a:solidFill>
              <a:schemeClr val="accent3">
                <a:lumMod val="60000"/>
                <a:lumOff val="40000"/>
              </a:schemeClr>
            </a:solidFill>
            <a:ln>
              <a:noFill/>
            </a:ln>
            <a:effectLst/>
          </c:spPr>
          <c:invertIfNegative val="0"/>
          <c:cat>
            <c:strRef>
              <c:f>Ohjaus!$B$70:$B$75</c:f>
              <c:strCache>
                <c:ptCount val="6"/>
                <c:pt idx="0">
                  <c:v>Ohjaamo</c:v>
                </c:pt>
                <c:pt idx="1">
                  <c:v>Ohjaaminen kotouttamistoimenpiteisiin</c:v>
                </c:pt>
                <c:pt idx="2">
                  <c:v>Varusmiespalvelu</c:v>
                </c:pt>
                <c:pt idx="3">
                  <c:v>Siviilipalvelu</c:v>
                </c:pt>
                <c:pt idx="4">
                  <c:v>Poliisi</c:v>
                </c:pt>
                <c:pt idx="5">
                  <c:v>Muut toimenpiteet</c:v>
                </c:pt>
              </c:strCache>
            </c:strRef>
          </c:cat>
          <c:val>
            <c:numRef>
              <c:f>Ohjaus!$C$70:$C$75</c:f>
              <c:numCache>
                <c:formatCode>#\ ##0;\ \-#\ ##0;\ \-\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FEA5-4F2F-952C-34E7335C9AEA}"/>
            </c:ext>
          </c:extLst>
        </c:ser>
        <c:ser>
          <c:idx val="1"/>
          <c:order val="1"/>
          <c:tx>
            <c:v>29v ja vanhemmat</c:v>
          </c:tx>
          <c:spPr>
            <a:solidFill>
              <a:schemeClr val="accent2"/>
            </a:solidFill>
            <a:ln>
              <a:noFill/>
            </a:ln>
            <a:effectLst/>
          </c:spPr>
          <c:invertIfNegative val="0"/>
          <c:cat>
            <c:strRef>
              <c:f>Ohjaus!$B$70:$B$75</c:f>
              <c:strCache>
                <c:ptCount val="6"/>
                <c:pt idx="0">
                  <c:v>Ohjaamo</c:v>
                </c:pt>
                <c:pt idx="1">
                  <c:v>Ohjaaminen kotouttamistoimenpiteisiin</c:v>
                </c:pt>
                <c:pt idx="2">
                  <c:v>Varusmiespalvelu</c:v>
                </c:pt>
                <c:pt idx="3">
                  <c:v>Siviilipalvelu</c:v>
                </c:pt>
                <c:pt idx="4">
                  <c:v>Poliisi</c:v>
                </c:pt>
                <c:pt idx="5">
                  <c:v>Muut toimenpiteet</c:v>
                </c:pt>
              </c:strCache>
            </c:strRef>
          </c:cat>
          <c:val>
            <c:numRef>
              <c:f>Ohjaus!$G$70:$G$75</c:f>
              <c:numCache>
                <c:formatCode>#\ ##0;\ \-#\ ##0;\ \-\ </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FEA5-4F2F-952C-34E7335C9AEA}"/>
            </c:ext>
          </c:extLst>
        </c:ser>
        <c:dLbls>
          <c:showLegendKey val="0"/>
          <c:showVal val="0"/>
          <c:showCatName val="0"/>
          <c:showSerName val="0"/>
          <c:showPercent val="0"/>
          <c:showBubbleSize val="0"/>
        </c:dLbls>
        <c:gapWidth val="150"/>
        <c:overlap val="100"/>
        <c:axId val="356076543"/>
        <c:axId val="362093375"/>
      </c:barChart>
      <c:catAx>
        <c:axId val="3560765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62093375"/>
        <c:crosses val="autoZero"/>
        <c:auto val="1"/>
        <c:lblAlgn val="ctr"/>
        <c:lblOffset val="100"/>
        <c:noMultiLvlLbl val="0"/>
      </c:catAx>
      <c:valAx>
        <c:axId val="362093375"/>
        <c:scaling>
          <c:orientation val="minMax"/>
        </c:scaling>
        <c:delete val="0"/>
        <c:axPos val="l"/>
        <c:majorGridlines>
          <c:spPr>
            <a:ln w="9525" cap="flat" cmpd="sng" algn="ctr">
              <a:solidFill>
                <a:schemeClr val="tx1">
                  <a:lumMod val="15000"/>
                  <a:lumOff val="85000"/>
                </a:schemeClr>
              </a:solidFill>
              <a:round/>
            </a:ln>
            <a:effectLst/>
          </c:spPr>
        </c:majorGridlines>
        <c:numFmt formatCode="#0;\ \-#0;\ \-\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5607654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barChart>
        <c:barDir val="col"/>
        <c:grouping val="clustered"/>
        <c:varyColors val="0"/>
        <c:ser>
          <c:idx val="0"/>
          <c:order val="0"/>
          <c:spPr>
            <a:solidFill>
              <a:schemeClr val="accent4"/>
            </a:solidFill>
            <a:ln>
              <a:noFill/>
            </a:ln>
            <a:effectLst/>
          </c:spPr>
          <c:invertIfNegative val="0"/>
          <c:cat>
            <c:strRef>
              <c:f>Tilanne!$A$14:$A$25</c:f>
              <c:strCache>
                <c:ptCount val="12"/>
                <c:pt idx="0">
                  <c:v>Peruskoulussa</c:v>
                </c:pt>
                <c:pt idx="1">
                  <c:v>Työssä käyvä</c:v>
                </c:pt>
                <c:pt idx="2">
                  <c:v>Työttömäksi ilmoittautunut työnhakija</c:v>
                </c:pt>
                <c:pt idx="3">
                  <c:v>Työtön, ei työttömäksi ilmoittautunut</c:v>
                </c:pt>
                <c:pt idx="4">
                  <c:v>Opiskelija</c:v>
                </c:pt>
                <c:pt idx="5">
                  <c:v>Kuntoutuksessa</c:v>
                </c:pt>
                <c:pt idx="6">
                  <c:v>Sairaana</c:v>
                </c:pt>
                <c:pt idx="7">
                  <c:v>Eläkkeellä</c:v>
                </c:pt>
                <c:pt idx="8">
                  <c:v>Asevelvollisuus</c:v>
                </c:pt>
                <c:pt idx="9">
                  <c:v>Perhevapaalla kotona (lastenhoito)</c:v>
                </c:pt>
                <c:pt idx="10">
                  <c:v>Kotoutumistoimeenpiteessä</c:v>
                </c:pt>
                <c:pt idx="11">
                  <c:v>Muu</c:v>
                </c:pt>
              </c:strCache>
            </c:strRef>
          </c:cat>
          <c:val>
            <c:numRef>
              <c:f>Tilanne!$B$14:$B$25</c:f>
              <c:numCache>
                <c:formatCode>#\ ##0;\ \-#\ ##0;\ \-\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C45-40C2-958F-CA3A61D9133D}"/>
            </c:ext>
          </c:extLst>
        </c:ser>
        <c:dLbls>
          <c:showLegendKey val="0"/>
          <c:showVal val="0"/>
          <c:showCatName val="0"/>
          <c:showSerName val="0"/>
          <c:showPercent val="0"/>
          <c:showBubbleSize val="0"/>
        </c:dLbls>
        <c:gapWidth val="100"/>
        <c:axId val="484562880"/>
        <c:axId val="484571736"/>
      </c:barChart>
      <c:catAx>
        <c:axId val="484562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fi-FI"/>
          </a:p>
        </c:txPr>
        <c:crossAx val="484571736"/>
        <c:crosses val="autoZero"/>
        <c:auto val="1"/>
        <c:lblAlgn val="ctr"/>
        <c:lblOffset val="100"/>
        <c:noMultiLvlLbl val="0"/>
      </c:catAx>
      <c:valAx>
        <c:axId val="484571736"/>
        <c:scaling>
          <c:orientation val="minMax"/>
        </c:scaling>
        <c:delete val="0"/>
        <c:axPos val="l"/>
        <c:majorGridlines>
          <c:spPr>
            <a:ln w="9525" cap="flat" cmpd="sng" algn="ctr">
              <a:solidFill>
                <a:schemeClr val="tx1">
                  <a:lumMod val="15000"/>
                  <a:lumOff val="85000"/>
                </a:schemeClr>
              </a:solidFill>
              <a:round/>
            </a:ln>
            <a:effectLst/>
          </c:spPr>
        </c:majorGridlines>
        <c:numFmt formatCode="#\ ##0;\ \-#\ ##0;\ \-\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fi-FI"/>
          </a:p>
        </c:txPr>
        <c:crossAx val="48456288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Tilanne!$A$35:$A$49</c:f>
              <c:strCache>
                <c:ptCount val="15"/>
                <c:pt idx="0">
                  <c:v>Palkka</c:v>
                </c:pt>
                <c:pt idx="1">
                  <c:v>Palkkatuki</c:v>
                </c:pt>
                <c:pt idx="2">
                  <c:v>Työttömyysturva</c:v>
                </c:pt>
                <c:pt idx="3">
                  <c:v>Työmarkkinatuki</c:v>
                </c:pt>
                <c:pt idx="4">
                  <c:v>Toimeentulotuki </c:v>
                </c:pt>
                <c:pt idx="5">
                  <c:v>Pitkäaikainen toimeentulotuki</c:v>
                </c:pt>
                <c:pt idx="6">
                  <c:v>Kuntoutusraha</c:v>
                </c:pt>
                <c:pt idx="7">
                  <c:v>Kuntoutustuki</c:v>
                </c:pt>
                <c:pt idx="8">
                  <c:v>Opintotuki</c:v>
                </c:pt>
                <c:pt idx="9">
                  <c:v>Vanhempien tuki</c:v>
                </c:pt>
                <c:pt idx="10">
                  <c:v>Sairauspäiväraha</c:v>
                </c:pt>
                <c:pt idx="11">
                  <c:v>Eläke</c:v>
                </c:pt>
                <c:pt idx="12">
                  <c:v>Vanhempainetuudet</c:v>
                </c:pt>
                <c:pt idx="13">
                  <c:v>Kotoutumistuki</c:v>
                </c:pt>
                <c:pt idx="14">
                  <c:v>Muu</c:v>
                </c:pt>
              </c:strCache>
            </c:strRef>
          </c:cat>
          <c:val>
            <c:numRef>
              <c:f>Tilanne!$B$35:$B$49</c:f>
              <c:numCache>
                <c:formatCode>#\ ##0;\ \-#\ ##0;\ \-\ </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EA1A-4271-86AC-CDD35D77EB48}"/>
            </c:ext>
          </c:extLst>
        </c:ser>
        <c:dLbls>
          <c:showLegendKey val="0"/>
          <c:showVal val="0"/>
          <c:showCatName val="0"/>
          <c:showSerName val="0"/>
          <c:showPercent val="0"/>
          <c:showBubbleSize val="0"/>
        </c:dLbls>
        <c:gapWidth val="100"/>
        <c:axId val="484579936"/>
        <c:axId val="484580264"/>
      </c:barChart>
      <c:catAx>
        <c:axId val="484579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fi-FI"/>
          </a:p>
        </c:txPr>
        <c:crossAx val="484580264"/>
        <c:crosses val="autoZero"/>
        <c:auto val="1"/>
        <c:lblAlgn val="ctr"/>
        <c:lblOffset val="100"/>
        <c:noMultiLvlLbl val="0"/>
      </c:catAx>
      <c:valAx>
        <c:axId val="484580264"/>
        <c:scaling>
          <c:orientation val="minMax"/>
        </c:scaling>
        <c:delete val="0"/>
        <c:axPos val="l"/>
        <c:majorGridlines>
          <c:spPr>
            <a:ln w="9525" cap="flat" cmpd="sng" algn="ctr">
              <a:solidFill>
                <a:schemeClr val="tx1">
                  <a:lumMod val="15000"/>
                  <a:lumOff val="85000"/>
                </a:schemeClr>
              </a:solidFill>
              <a:round/>
            </a:ln>
            <a:effectLst/>
          </c:spPr>
        </c:majorGridlines>
        <c:numFmt formatCode="#\ ##0;\ \-#\ ##0;\ \-\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fi-FI"/>
          </a:p>
        </c:txPr>
        <c:crossAx val="48457993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arChart>
        <c:barDir val="col"/>
        <c:grouping val="clustered"/>
        <c:varyColors val="0"/>
        <c:ser>
          <c:idx val="0"/>
          <c:order val="0"/>
          <c:spPr>
            <a:solidFill>
              <a:schemeClr val="accent3"/>
            </a:solidFill>
            <a:ln>
              <a:noFill/>
            </a:ln>
            <a:effectLst/>
          </c:spPr>
          <c:invertIfNegative val="0"/>
          <c:cat>
            <c:strRef>
              <c:f>Tilanne!$A$59:$A$69</c:f>
              <c:strCache>
                <c:ptCount val="11"/>
                <c:pt idx="0">
                  <c:v>Vanhempien asunnossa</c:v>
                </c:pt>
                <c:pt idx="1">
                  <c:v>Omassa vuokra-asunnossa</c:v>
                </c:pt>
                <c:pt idx="2">
                  <c:v>Omassa omistusasunnossa</c:v>
                </c:pt>
                <c:pt idx="3">
                  <c:v>Sukulaisten luona</c:v>
                </c:pt>
                <c:pt idx="4">
                  <c:v>Kavereiden luona</c:v>
                </c:pt>
                <c:pt idx="5">
                  <c:v>Opiskelija-asunnossa / asuntolassa</c:v>
                </c:pt>
                <c:pt idx="6">
                  <c:v>Asunnoton</c:v>
                </c:pt>
                <c:pt idx="7">
                  <c:v>Tukiasunnossa</c:v>
                </c:pt>
                <c:pt idx="8">
                  <c:v>Laitoksessa</c:v>
                </c:pt>
                <c:pt idx="9">
                  <c:v>Vastaanottokeskuksessa</c:v>
                </c:pt>
                <c:pt idx="10">
                  <c:v>Muu</c:v>
                </c:pt>
              </c:strCache>
            </c:strRef>
          </c:cat>
          <c:val>
            <c:numRef>
              <c:f>Tilanne!$B$59:$B$69</c:f>
              <c:numCache>
                <c:formatCode>#\ ##0;\ \-#\ ##0;\ \-\ </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AC1D-4C63-83A0-268B066B283A}"/>
            </c:ext>
          </c:extLst>
        </c:ser>
        <c:dLbls>
          <c:showLegendKey val="0"/>
          <c:showVal val="0"/>
          <c:showCatName val="0"/>
          <c:showSerName val="0"/>
          <c:showPercent val="0"/>
          <c:showBubbleSize val="0"/>
        </c:dLbls>
        <c:gapWidth val="100"/>
        <c:axId val="484541888"/>
        <c:axId val="484550744"/>
      </c:barChart>
      <c:catAx>
        <c:axId val="484541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fi-FI"/>
          </a:p>
        </c:txPr>
        <c:crossAx val="484550744"/>
        <c:crosses val="autoZero"/>
        <c:auto val="1"/>
        <c:lblAlgn val="ctr"/>
        <c:lblOffset val="100"/>
        <c:noMultiLvlLbl val="0"/>
      </c:catAx>
      <c:valAx>
        <c:axId val="484550744"/>
        <c:scaling>
          <c:orientation val="minMax"/>
        </c:scaling>
        <c:delete val="0"/>
        <c:axPos val="l"/>
        <c:majorGridlines>
          <c:spPr>
            <a:ln w="9525" cap="flat" cmpd="sng" algn="ctr">
              <a:solidFill>
                <a:schemeClr val="tx1">
                  <a:lumMod val="15000"/>
                  <a:lumOff val="85000"/>
                </a:schemeClr>
              </a:solidFill>
              <a:round/>
            </a:ln>
            <a:effectLst/>
          </c:spPr>
        </c:majorGridlines>
        <c:numFmt formatCode="#\ ##0;\ \-#\ ##0;\ \-\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fi-FI"/>
          </a:p>
        </c:txPr>
        <c:crossAx val="48454188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barChart>
        <c:barDir val="col"/>
        <c:grouping val="clustered"/>
        <c:varyColors val="0"/>
        <c:ser>
          <c:idx val="0"/>
          <c:order val="0"/>
          <c:spPr>
            <a:solidFill>
              <a:schemeClr val="accent2"/>
            </a:solidFill>
            <a:ln>
              <a:noFill/>
            </a:ln>
            <a:effectLst/>
          </c:spPr>
          <c:invertIfNegative val="0"/>
          <c:cat>
            <c:strRef>
              <c:f>Tilanne!$A$81:$A$96</c:f>
              <c:strCache>
                <c:ptCount val="16"/>
                <c:pt idx="0">
                  <c:v>Edelleen peruskoulussa</c:v>
                </c:pt>
                <c:pt idx="1">
                  <c:v>Peruskoulu keskeytynyt</c:v>
                </c:pt>
                <c:pt idx="2">
                  <c:v>Peruskoulu suoritettu </c:v>
                </c:pt>
                <c:pt idx="3">
                  <c:v>Suorittamassa lukiota</c:v>
                </c:pt>
                <c:pt idx="4">
                  <c:v>Lukio keskeytynyt</c:v>
                </c:pt>
                <c:pt idx="5">
                  <c:v>Lukion oppimäärä</c:v>
                </c:pt>
                <c:pt idx="6">
                  <c:v>Ylioppilas</c:v>
                </c:pt>
                <c:pt idx="7">
                  <c:v>Suorittamassa 2. asteen ammatillista tutkintoa</c:v>
                </c:pt>
                <c:pt idx="8">
                  <c:v>Keskeytynyt 2. asteen ammatillinen tutkinto</c:v>
                </c:pt>
                <c:pt idx="9">
                  <c:v>2. asteen ammatillinen tutkinto suoritettu</c:v>
                </c:pt>
                <c:pt idx="10">
                  <c:v>Suorittamassa korkeakoulututkintoa</c:v>
                </c:pt>
                <c:pt idx="11">
                  <c:v>Keskeytynyt korkeakoulututkinto </c:v>
                </c:pt>
                <c:pt idx="12">
                  <c:v>Korkeakoulututkinto suoritettu</c:v>
                </c:pt>
                <c:pt idx="13">
                  <c:v>TUVA-koulutus</c:v>
                </c:pt>
                <c:pt idx="14">
                  <c:v>Ulkomailla suoritettu tutkinto</c:v>
                </c:pt>
                <c:pt idx="15">
                  <c:v>Muu</c:v>
                </c:pt>
              </c:strCache>
            </c:strRef>
          </c:cat>
          <c:val>
            <c:numRef>
              <c:f>Tilanne!$B$81:$B$96</c:f>
              <c:numCache>
                <c:formatCode>#\ ##0;\ \-#\ ##0;\ \-\ </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BD3E-46B5-BA21-8160FB2CF917}"/>
            </c:ext>
          </c:extLst>
        </c:ser>
        <c:dLbls>
          <c:showLegendKey val="0"/>
          <c:showVal val="0"/>
          <c:showCatName val="0"/>
          <c:showSerName val="0"/>
          <c:showPercent val="0"/>
          <c:showBubbleSize val="0"/>
        </c:dLbls>
        <c:gapWidth val="100"/>
        <c:axId val="551385280"/>
        <c:axId val="551382328"/>
      </c:barChart>
      <c:catAx>
        <c:axId val="551385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fi-FI"/>
          </a:p>
        </c:txPr>
        <c:crossAx val="551382328"/>
        <c:crosses val="autoZero"/>
        <c:auto val="1"/>
        <c:lblAlgn val="ctr"/>
        <c:lblOffset val="100"/>
        <c:noMultiLvlLbl val="0"/>
      </c:catAx>
      <c:valAx>
        <c:axId val="551382328"/>
        <c:scaling>
          <c:orientation val="minMax"/>
        </c:scaling>
        <c:delete val="0"/>
        <c:axPos val="l"/>
        <c:majorGridlines>
          <c:spPr>
            <a:ln w="9525" cap="flat" cmpd="sng" algn="ctr">
              <a:solidFill>
                <a:schemeClr val="tx1">
                  <a:lumMod val="15000"/>
                  <a:lumOff val="85000"/>
                </a:schemeClr>
              </a:solidFill>
              <a:round/>
            </a:ln>
            <a:effectLst/>
          </c:spPr>
        </c:majorGridlines>
        <c:numFmt formatCode="#\ ##0;\ \-#\ ##0;\ \-\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fi-FI"/>
          </a:p>
        </c:txPr>
        <c:crossAx val="55138528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barChart>
        <c:barDir val="col"/>
        <c:grouping val="clustered"/>
        <c:varyColors val="0"/>
        <c:ser>
          <c:idx val="0"/>
          <c:order val="0"/>
          <c:spPr>
            <a:solidFill>
              <a:schemeClr val="accent6"/>
            </a:solidFill>
            <a:ln>
              <a:noFill/>
            </a:ln>
            <a:effectLst/>
          </c:spPr>
          <c:invertIfNegative val="0"/>
          <c:cat>
            <c:strRef>
              <c:f>Tilanne!$A$107:$A$116</c:f>
              <c:strCache>
                <c:ptCount val="10"/>
                <c:pt idx="0">
                  <c:v>Edelleen peruskoulussa</c:v>
                </c:pt>
                <c:pt idx="1">
                  <c:v>Peruskoulu keskeytynyt</c:v>
                </c:pt>
                <c:pt idx="2">
                  <c:v>Peruskoulu suoritettu </c:v>
                </c:pt>
                <c:pt idx="3">
                  <c:v>Lukion oppimäärä</c:v>
                </c:pt>
                <c:pt idx="4">
                  <c:v>Ylioppilas</c:v>
                </c:pt>
                <c:pt idx="5">
                  <c:v>2. asteen ammatillinen tutkinto suoritettu</c:v>
                </c:pt>
                <c:pt idx="6">
                  <c:v>Ammattikorkeakoulututkinto</c:v>
                </c:pt>
                <c:pt idx="7">
                  <c:v>Yliopistotutkinto</c:v>
                </c:pt>
                <c:pt idx="8">
                  <c:v>Ulkomailla suoritettu tutkinto</c:v>
                </c:pt>
                <c:pt idx="9">
                  <c:v>Muu</c:v>
                </c:pt>
              </c:strCache>
            </c:strRef>
          </c:cat>
          <c:val>
            <c:numRef>
              <c:f>Tilanne!$B$107:$B$116</c:f>
              <c:numCache>
                <c:formatCode>#\ ##0;\ \-#\ ##0;\ \-\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960-4C64-B2BB-E9B6A566AFAA}"/>
            </c:ext>
          </c:extLst>
        </c:ser>
        <c:dLbls>
          <c:showLegendKey val="0"/>
          <c:showVal val="0"/>
          <c:showCatName val="0"/>
          <c:showSerName val="0"/>
          <c:showPercent val="0"/>
          <c:showBubbleSize val="0"/>
        </c:dLbls>
        <c:gapWidth val="100"/>
        <c:axId val="551434808"/>
        <c:axId val="551435136"/>
      </c:barChart>
      <c:catAx>
        <c:axId val="551434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fi-FI"/>
          </a:p>
        </c:txPr>
        <c:crossAx val="551435136"/>
        <c:crosses val="autoZero"/>
        <c:auto val="1"/>
        <c:lblAlgn val="ctr"/>
        <c:lblOffset val="100"/>
        <c:noMultiLvlLbl val="0"/>
      </c:catAx>
      <c:valAx>
        <c:axId val="551435136"/>
        <c:scaling>
          <c:orientation val="minMax"/>
        </c:scaling>
        <c:delete val="0"/>
        <c:axPos val="l"/>
        <c:majorGridlines>
          <c:spPr>
            <a:ln w="9525" cap="flat" cmpd="sng" algn="ctr">
              <a:solidFill>
                <a:schemeClr val="tx1">
                  <a:lumMod val="15000"/>
                  <a:lumOff val="85000"/>
                </a:schemeClr>
              </a:solidFill>
              <a:round/>
            </a:ln>
            <a:effectLst/>
          </c:spPr>
        </c:majorGridlines>
        <c:numFmt formatCode="#\ ##0;\ \-#\ ##0;\ \-\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mn-lt"/>
                <a:ea typeface="+mn-ea"/>
                <a:cs typeface="+mn-cs"/>
              </a:defRPr>
            </a:pPr>
            <a:endParaRPr lang="fi-FI"/>
          </a:p>
        </c:txPr>
        <c:crossAx val="5514348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2328035915505123E-2"/>
          <c:y val="8.8888888888888892E-2"/>
          <c:w val="0.9153439281689898"/>
          <c:h val="0.83333333333333348"/>
        </c:manualLayout>
      </c:layout>
      <c:barChart>
        <c:barDir val="bar"/>
        <c:grouping val="clustered"/>
        <c:varyColors val="0"/>
        <c:ser>
          <c:idx val="0"/>
          <c:order val="0"/>
          <c:spPr>
            <a:solidFill>
              <a:schemeClr val="accent4">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Tavoitteet!$A$21:$A$30</c:f>
              <c:strCache>
                <c:ptCount val="10"/>
                <c:pt idx="0">
                  <c:v>Sosiaalisten taitojen vahvistuminen</c:v>
                </c:pt>
                <c:pt idx="1">
                  <c:v>Itsetuntemuksen vahvistuminen</c:v>
                </c:pt>
                <c:pt idx="2">
                  <c:v>Arjenhallinnan parantuminen</c:v>
                </c:pt>
                <c:pt idx="3">
                  <c:v>Terveellisen elämän edistäminen</c:v>
                </c:pt>
                <c:pt idx="4">
                  <c:v>Lähiyhteisöjen vahvistuminen</c:v>
                </c:pt>
                <c:pt idx="5">
                  <c:v>Osallisuuden lisääminen omassa elämässä</c:v>
                </c:pt>
                <c:pt idx="6">
                  <c:v>Osallistumisen lisääminen vaikuttamisen prosesseihin</c:v>
                </c:pt>
                <c:pt idx="7">
                  <c:v>Pääsy tarpeellisiin palveluihin</c:v>
                </c:pt>
                <c:pt idx="8">
                  <c:v>Siirtyminen koulutukseen</c:v>
                </c:pt>
                <c:pt idx="9">
                  <c:v>Siirtyminen avoimille työmarkkinoille</c:v>
                </c:pt>
              </c:strCache>
            </c:strRef>
          </c:cat>
          <c:val>
            <c:numRef>
              <c:f>Tavoitteet!$D$21:$D$30</c:f>
              <c:numCache>
                <c:formatCode>#\ ##0.0%;\ \-#\ ##0.0%;\ \-\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C06-45DB-B03E-0A076E3ED3AD}"/>
            </c:ext>
          </c:extLst>
        </c:ser>
        <c:dLbls>
          <c:showLegendKey val="0"/>
          <c:showVal val="1"/>
          <c:showCatName val="0"/>
          <c:showSerName val="0"/>
          <c:showPercent val="0"/>
          <c:showBubbleSize val="0"/>
        </c:dLbls>
        <c:gapWidth val="39"/>
        <c:axId val="754485832"/>
        <c:axId val="754481896"/>
      </c:barChart>
      <c:catAx>
        <c:axId val="754485832"/>
        <c:scaling>
          <c:orientation val="maxMin"/>
        </c:scaling>
        <c:delete val="1"/>
        <c:axPos val="l"/>
        <c:numFmt formatCode="General" sourceLinked="0"/>
        <c:majorTickMark val="out"/>
        <c:minorTickMark val="none"/>
        <c:tickLblPos val="nextTo"/>
        <c:crossAx val="754481896"/>
        <c:crosses val="autoZero"/>
        <c:auto val="1"/>
        <c:lblAlgn val="ctr"/>
        <c:lblOffset val="100"/>
        <c:noMultiLvlLbl val="0"/>
      </c:catAx>
      <c:valAx>
        <c:axId val="754481896"/>
        <c:scaling>
          <c:orientation val="minMax"/>
        </c:scaling>
        <c:delete val="1"/>
        <c:axPos val="t"/>
        <c:majorGridlines>
          <c:spPr>
            <a:ln w="9525" cap="flat" cmpd="sng" algn="ctr">
              <a:solidFill>
                <a:schemeClr val="tx1">
                  <a:lumMod val="15000"/>
                  <a:lumOff val="85000"/>
                </a:schemeClr>
              </a:solidFill>
              <a:round/>
            </a:ln>
            <a:effectLst/>
          </c:spPr>
        </c:majorGridlines>
        <c:numFmt formatCode="#\ ##0.0%;\ \-#\ ##0.0%;\ \-\ " sourceLinked="1"/>
        <c:majorTickMark val="out"/>
        <c:minorTickMark val="none"/>
        <c:tickLblPos val="nextTo"/>
        <c:crossAx val="7544858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272329776659645E-2"/>
          <c:y val="0.24129466478096662"/>
          <c:w val="0.91345534044668075"/>
          <c:h val="0.70653363692755378"/>
        </c:manualLayout>
      </c:layout>
      <c:barChart>
        <c:barDir val="bar"/>
        <c:grouping val="stacked"/>
        <c:varyColors val="0"/>
        <c:ser>
          <c:idx val="0"/>
          <c:order val="0"/>
          <c:tx>
            <c:strRef>
              <c:f>Tavoitteet!$G$35</c:f>
              <c:strCache>
                <c:ptCount val="1"/>
                <c:pt idx="0">
                  <c:v>Työskennellään ja saavutettu yhteensä</c:v>
                </c:pt>
              </c:strCache>
            </c:strRef>
          </c:tx>
          <c:spPr>
            <a:solidFill>
              <a:schemeClr val="accent1"/>
            </a:solidFill>
            <a:ln>
              <a:noFill/>
            </a:ln>
            <a:effectLst/>
          </c:spPr>
          <c:invertIfNegative val="0"/>
          <c:dLbls>
            <c:numFmt formatCode="0.0\ %"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Tavoitteet!$A$38:$A$47</c:f>
              <c:strCache>
                <c:ptCount val="10"/>
                <c:pt idx="0">
                  <c:v>Sosiaalisten taitojen vahvistuminen</c:v>
                </c:pt>
                <c:pt idx="1">
                  <c:v>Itsetuntemuksen vahvistuminen</c:v>
                </c:pt>
                <c:pt idx="2">
                  <c:v>Arjenhallinnan parantuminen</c:v>
                </c:pt>
                <c:pt idx="3">
                  <c:v>Terveellisen elämän edistäminen</c:v>
                </c:pt>
                <c:pt idx="4">
                  <c:v>Lähiyhteisöjen vahvistuminen</c:v>
                </c:pt>
                <c:pt idx="5">
                  <c:v>Osallisuuden lisääminen omassa elämässä</c:v>
                </c:pt>
                <c:pt idx="6">
                  <c:v>Osallistumisen lisääminen vaikuttamisen prosesseihin</c:v>
                </c:pt>
                <c:pt idx="7">
                  <c:v>Pääsy tarpeellisiin palveluihin</c:v>
                </c:pt>
                <c:pt idx="8">
                  <c:v>Siirtyminen koulutukseen</c:v>
                </c:pt>
                <c:pt idx="9">
                  <c:v>Siirtyminen avoimille työmarkkinoille</c:v>
                </c:pt>
              </c:strCache>
            </c:strRef>
          </c:cat>
          <c:val>
            <c:numRef>
              <c:f>Tavoitteet!$H$38:$H$47</c:f>
              <c:numCache>
                <c:formatCode>#\ ##0.0%;\ \-#\ ##0.0%;\ \-\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AB5-4DFD-A949-A5E708546832}"/>
            </c:ext>
          </c:extLst>
        </c:ser>
        <c:dLbls>
          <c:dLblPos val="ctr"/>
          <c:showLegendKey val="0"/>
          <c:showVal val="1"/>
          <c:showCatName val="0"/>
          <c:showSerName val="0"/>
          <c:showPercent val="0"/>
          <c:showBubbleSize val="0"/>
        </c:dLbls>
        <c:gapWidth val="40"/>
        <c:overlap val="100"/>
        <c:axId val="786447272"/>
        <c:axId val="786442352"/>
      </c:barChart>
      <c:catAx>
        <c:axId val="786447272"/>
        <c:scaling>
          <c:orientation val="maxMin"/>
        </c:scaling>
        <c:delete val="1"/>
        <c:axPos val="l"/>
        <c:numFmt formatCode="General" sourceLinked="1"/>
        <c:majorTickMark val="none"/>
        <c:minorTickMark val="none"/>
        <c:tickLblPos val="nextTo"/>
        <c:crossAx val="786442352"/>
        <c:crosses val="autoZero"/>
        <c:auto val="1"/>
        <c:lblAlgn val="ctr"/>
        <c:lblOffset val="100"/>
        <c:noMultiLvlLbl val="0"/>
      </c:catAx>
      <c:valAx>
        <c:axId val="786442352"/>
        <c:scaling>
          <c:orientation val="minMax"/>
        </c:scaling>
        <c:delete val="1"/>
        <c:axPos val="t"/>
        <c:majorGridlines>
          <c:spPr>
            <a:ln w="9525" cap="flat" cmpd="sng" algn="ctr">
              <a:solidFill>
                <a:schemeClr val="tx1">
                  <a:lumMod val="15000"/>
                  <a:lumOff val="85000"/>
                </a:schemeClr>
              </a:solidFill>
              <a:round/>
            </a:ln>
            <a:effectLst/>
          </c:spPr>
        </c:majorGridlines>
        <c:numFmt formatCode="#\ ##0.0%;\ \-#\ ##0.0%;\ \-\ " sourceLinked="1"/>
        <c:majorTickMark val="none"/>
        <c:minorTickMark val="none"/>
        <c:tickLblPos val="nextTo"/>
        <c:crossAx val="78644727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Tavoitteet!$C$53</c:f>
              <c:strCache>
                <c:ptCount val="1"/>
                <c:pt idx="0">
                  <c:v>Työskennellään</c:v>
                </c:pt>
              </c:strCache>
            </c:strRef>
          </c:tx>
          <c:spPr>
            <a:solidFill>
              <a:schemeClr val="accent4">
                <a:lumMod val="75000"/>
              </a:schemeClr>
            </a:solidFill>
            <a:ln>
              <a:noFill/>
            </a:ln>
            <a:effectLst/>
          </c:spPr>
          <c:invertIfNegative val="0"/>
          <c:dLbls>
            <c:numFmt formatCode="0.0\ %"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fi-FI"/>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Tavoitteet!$A$56:$A$65</c:f>
              <c:strCache>
                <c:ptCount val="10"/>
                <c:pt idx="0">
                  <c:v>Sosiaalisten taitojen vahvistuminen</c:v>
                </c:pt>
                <c:pt idx="1">
                  <c:v>Itsetuntemuksen vahvistuminen</c:v>
                </c:pt>
                <c:pt idx="2">
                  <c:v>Arjenhallinnan parantuminen</c:v>
                </c:pt>
                <c:pt idx="3">
                  <c:v>Terveellisen elämän edistäminen</c:v>
                </c:pt>
                <c:pt idx="4">
                  <c:v>Lähiyhteisöjen vahvistuminen</c:v>
                </c:pt>
                <c:pt idx="5">
                  <c:v>Osallisuuden lisääminen omassa elämässä</c:v>
                </c:pt>
                <c:pt idx="6">
                  <c:v>Osallistumisen lisääminen vaikuttamisen prosesseihin</c:v>
                </c:pt>
                <c:pt idx="7">
                  <c:v>Pääsy tarpeellisiin palveluihin</c:v>
                </c:pt>
                <c:pt idx="8">
                  <c:v>Siirtyminen koulutukseen</c:v>
                </c:pt>
                <c:pt idx="9">
                  <c:v>Siirtyminen avoimille työmarkkinoille</c:v>
                </c:pt>
              </c:strCache>
            </c:strRef>
          </c:cat>
          <c:val>
            <c:numRef>
              <c:f>Tavoitteet!$D$56:$D$65</c:f>
              <c:numCache>
                <c:formatCode>#\ ##0.0%;\ \-#\ ##0.0%;\ \-\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3EB-43D3-9048-97245BB8E0CD}"/>
            </c:ext>
          </c:extLst>
        </c:ser>
        <c:ser>
          <c:idx val="1"/>
          <c:order val="1"/>
          <c:tx>
            <c:strRef>
              <c:f>Tavoitteet!$E$53</c:f>
              <c:strCache>
                <c:ptCount val="1"/>
                <c:pt idx="0">
                  <c:v>Saavutettu</c:v>
                </c:pt>
              </c:strCache>
            </c:strRef>
          </c:tx>
          <c:spPr>
            <a:solidFill>
              <a:schemeClr val="accent3"/>
            </a:solidFill>
            <a:ln>
              <a:noFill/>
            </a:ln>
            <a:effectLst/>
          </c:spPr>
          <c:invertIfNegative val="0"/>
          <c:dLbls>
            <c:numFmt formatCode="0.0\ %"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fi-FI"/>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Tavoitteet!$A$56:$A$65</c:f>
              <c:strCache>
                <c:ptCount val="10"/>
                <c:pt idx="0">
                  <c:v>Sosiaalisten taitojen vahvistuminen</c:v>
                </c:pt>
                <c:pt idx="1">
                  <c:v>Itsetuntemuksen vahvistuminen</c:v>
                </c:pt>
                <c:pt idx="2">
                  <c:v>Arjenhallinnan parantuminen</c:v>
                </c:pt>
                <c:pt idx="3">
                  <c:v>Terveellisen elämän edistäminen</c:v>
                </c:pt>
                <c:pt idx="4">
                  <c:v>Lähiyhteisöjen vahvistuminen</c:v>
                </c:pt>
                <c:pt idx="5">
                  <c:v>Osallisuuden lisääminen omassa elämässä</c:v>
                </c:pt>
                <c:pt idx="6">
                  <c:v>Osallistumisen lisääminen vaikuttamisen prosesseihin</c:v>
                </c:pt>
                <c:pt idx="7">
                  <c:v>Pääsy tarpeellisiin palveluihin</c:v>
                </c:pt>
                <c:pt idx="8">
                  <c:v>Siirtyminen koulutukseen</c:v>
                </c:pt>
                <c:pt idx="9">
                  <c:v>Siirtyminen avoimille työmarkkinoille</c:v>
                </c:pt>
              </c:strCache>
            </c:strRef>
          </c:cat>
          <c:val>
            <c:numRef>
              <c:f>Tavoitteet!$F$56:$F$65</c:f>
              <c:numCache>
                <c:formatCode>#\ ##0.0%;\ \-#\ ##0.0%;\ \-\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3EB-43D3-9048-97245BB8E0CD}"/>
            </c:ext>
          </c:extLst>
        </c:ser>
        <c:dLbls>
          <c:dLblPos val="ctr"/>
          <c:showLegendKey val="0"/>
          <c:showVal val="1"/>
          <c:showCatName val="0"/>
          <c:showSerName val="0"/>
          <c:showPercent val="0"/>
          <c:showBubbleSize val="0"/>
        </c:dLbls>
        <c:gapWidth val="40"/>
        <c:overlap val="100"/>
        <c:axId val="786447272"/>
        <c:axId val="786442352"/>
      </c:barChart>
      <c:catAx>
        <c:axId val="786447272"/>
        <c:scaling>
          <c:orientation val="maxMin"/>
        </c:scaling>
        <c:delete val="1"/>
        <c:axPos val="l"/>
        <c:numFmt formatCode="General" sourceLinked="1"/>
        <c:majorTickMark val="none"/>
        <c:minorTickMark val="none"/>
        <c:tickLblPos val="nextTo"/>
        <c:crossAx val="786442352"/>
        <c:crosses val="autoZero"/>
        <c:auto val="1"/>
        <c:lblAlgn val="ctr"/>
        <c:lblOffset val="100"/>
        <c:noMultiLvlLbl val="0"/>
      </c:catAx>
      <c:valAx>
        <c:axId val="786442352"/>
        <c:scaling>
          <c:orientation val="minMax"/>
        </c:scaling>
        <c:delete val="1"/>
        <c:axPos val="t"/>
        <c:majorGridlines>
          <c:spPr>
            <a:ln w="9525" cap="flat" cmpd="sng" algn="ctr">
              <a:solidFill>
                <a:schemeClr val="tx1">
                  <a:lumMod val="15000"/>
                  <a:lumOff val="85000"/>
                </a:schemeClr>
              </a:solidFill>
              <a:round/>
            </a:ln>
            <a:effectLst/>
          </c:spPr>
        </c:majorGridlines>
        <c:numFmt formatCode="#\ ##0.0%;\ \-#\ ##0.0%;\ \-\ " sourceLinked="1"/>
        <c:majorTickMark val="none"/>
        <c:minorTickMark val="none"/>
        <c:tickLblPos val="nextTo"/>
        <c:crossAx val="786447272"/>
        <c:crosses val="autoZero"/>
        <c:crossBetween val="between"/>
      </c:valAx>
      <c:spPr>
        <a:noFill/>
        <a:ln>
          <a:noFill/>
        </a:ln>
        <a:effectLst/>
      </c:spPr>
    </c:plotArea>
    <c:legend>
      <c:legendPos val="t"/>
      <c:layout>
        <c:manualLayout>
          <c:xMode val="edge"/>
          <c:yMode val="edge"/>
          <c:x val="0.13651282863800765"/>
          <c:y val="3.1128404669260701E-2"/>
          <c:w val="0.7367007227480401"/>
          <c:h val="8.754925089616716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2328035915505123E-2"/>
          <c:y val="8.8888888888888892E-2"/>
          <c:w val="0.9153439281689898"/>
          <c:h val="0.83333333333333348"/>
        </c:manualLayout>
      </c:layout>
      <c:barChart>
        <c:barDir val="bar"/>
        <c:grouping val="clustered"/>
        <c:varyColors val="0"/>
        <c:ser>
          <c:idx val="0"/>
          <c:order val="0"/>
          <c:spPr>
            <a:solidFill>
              <a:schemeClr val="accent4">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Tavoitteet!$A$21:$A$30</c:f>
              <c:strCache>
                <c:ptCount val="10"/>
                <c:pt idx="0">
                  <c:v>Sosiaalisten taitojen vahvistuminen</c:v>
                </c:pt>
                <c:pt idx="1">
                  <c:v>Itsetuntemuksen vahvistuminen</c:v>
                </c:pt>
                <c:pt idx="2">
                  <c:v>Arjenhallinnan parantuminen</c:v>
                </c:pt>
                <c:pt idx="3">
                  <c:v>Terveellisen elämän edistäminen</c:v>
                </c:pt>
                <c:pt idx="4">
                  <c:v>Lähiyhteisöjen vahvistuminen</c:v>
                </c:pt>
                <c:pt idx="5">
                  <c:v>Osallisuuden lisääminen omassa elämässä</c:v>
                </c:pt>
                <c:pt idx="6">
                  <c:v>Osallistumisen lisääminen vaikuttamisen prosesseihin</c:v>
                </c:pt>
                <c:pt idx="7">
                  <c:v>Pääsy tarpeellisiin palveluihin</c:v>
                </c:pt>
                <c:pt idx="8">
                  <c:v>Siirtyminen koulutukseen</c:v>
                </c:pt>
                <c:pt idx="9">
                  <c:v>Siirtyminen avoimille työmarkkinoille</c:v>
                </c:pt>
              </c:strCache>
            </c:strRef>
          </c:cat>
          <c:val>
            <c:numRef>
              <c:f>Tavoitteet!$AN$21:$AN$30</c:f>
              <c:numCache>
                <c:formatCode>#\ ##0.0%;\ \-#\ ##0.0%;\ \-\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433-4E02-9C9D-43695C61D457}"/>
            </c:ext>
          </c:extLst>
        </c:ser>
        <c:dLbls>
          <c:showLegendKey val="0"/>
          <c:showVal val="1"/>
          <c:showCatName val="0"/>
          <c:showSerName val="0"/>
          <c:showPercent val="0"/>
          <c:showBubbleSize val="0"/>
        </c:dLbls>
        <c:gapWidth val="39"/>
        <c:axId val="754485832"/>
        <c:axId val="754481896"/>
      </c:barChart>
      <c:catAx>
        <c:axId val="754485832"/>
        <c:scaling>
          <c:orientation val="maxMin"/>
        </c:scaling>
        <c:delete val="1"/>
        <c:axPos val="l"/>
        <c:numFmt formatCode="General" sourceLinked="0"/>
        <c:majorTickMark val="out"/>
        <c:minorTickMark val="none"/>
        <c:tickLblPos val="nextTo"/>
        <c:crossAx val="754481896"/>
        <c:crosses val="autoZero"/>
        <c:auto val="1"/>
        <c:lblAlgn val="ctr"/>
        <c:lblOffset val="100"/>
        <c:noMultiLvlLbl val="0"/>
      </c:catAx>
      <c:valAx>
        <c:axId val="754481896"/>
        <c:scaling>
          <c:orientation val="minMax"/>
        </c:scaling>
        <c:delete val="1"/>
        <c:axPos val="t"/>
        <c:majorGridlines>
          <c:spPr>
            <a:ln w="9525" cap="flat" cmpd="sng" algn="ctr">
              <a:solidFill>
                <a:schemeClr val="tx1">
                  <a:lumMod val="15000"/>
                  <a:lumOff val="85000"/>
                </a:schemeClr>
              </a:solidFill>
              <a:round/>
            </a:ln>
            <a:effectLst/>
          </c:spPr>
        </c:majorGridlines>
        <c:numFmt formatCode="#\ ##0.0%;\ \-#\ ##0.0%;\ \-\ " sourceLinked="1"/>
        <c:majorTickMark val="out"/>
        <c:minorTickMark val="none"/>
        <c:tickLblPos val="nextTo"/>
        <c:crossAx val="7544858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272329776659645E-2"/>
          <c:y val="0.24129466478096662"/>
          <c:w val="0.91345534044668075"/>
          <c:h val="0.70653363692755378"/>
        </c:manualLayout>
      </c:layout>
      <c:barChart>
        <c:barDir val="bar"/>
        <c:grouping val="stacked"/>
        <c:varyColors val="0"/>
        <c:ser>
          <c:idx val="0"/>
          <c:order val="0"/>
          <c:tx>
            <c:strRef>
              <c:f>Tavoitteet!$G$35</c:f>
              <c:strCache>
                <c:ptCount val="1"/>
                <c:pt idx="0">
                  <c:v>Työskennellään ja saavutettu yhteensä</c:v>
                </c:pt>
              </c:strCache>
            </c:strRef>
          </c:tx>
          <c:spPr>
            <a:solidFill>
              <a:schemeClr val="accent1"/>
            </a:solidFill>
            <a:ln>
              <a:noFill/>
            </a:ln>
            <a:effectLst/>
          </c:spPr>
          <c:invertIfNegative val="0"/>
          <c:dLbls>
            <c:numFmt formatCode="0.0\ %"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Tavoitteet!$A$38:$A$47</c:f>
              <c:strCache>
                <c:ptCount val="10"/>
                <c:pt idx="0">
                  <c:v>Sosiaalisten taitojen vahvistuminen</c:v>
                </c:pt>
                <c:pt idx="1">
                  <c:v>Itsetuntemuksen vahvistuminen</c:v>
                </c:pt>
                <c:pt idx="2">
                  <c:v>Arjenhallinnan parantuminen</c:v>
                </c:pt>
                <c:pt idx="3">
                  <c:v>Terveellisen elämän edistäminen</c:v>
                </c:pt>
                <c:pt idx="4">
                  <c:v>Lähiyhteisöjen vahvistuminen</c:v>
                </c:pt>
                <c:pt idx="5">
                  <c:v>Osallisuuden lisääminen omassa elämässä</c:v>
                </c:pt>
                <c:pt idx="6">
                  <c:v>Osallistumisen lisääminen vaikuttamisen prosesseihin</c:v>
                </c:pt>
                <c:pt idx="7">
                  <c:v>Pääsy tarpeellisiin palveluihin</c:v>
                </c:pt>
                <c:pt idx="8">
                  <c:v>Siirtyminen koulutukseen</c:v>
                </c:pt>
                <c:pt idx="9">
                  <c:v>Siirtyminen avoimille työmarkkinoille</c:v>
                </c:pt>
              </c:strCache>
            </c:strRef>
          </c:cat>
          <c:val>
            <c:numRef>
              <c:f>Tavoitteet!$AR$38:$AR$47</c:f>
              <c:numCache>
                <c:formatCode>#\ ##0.0%;\ \-#\ ##0.0%;\ \-\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B4E-46EB-8634-7D920653F4D4}"/>
            </c:ext>
          </c:extLst>
        </c:ser>
        <c:dLbls>
          <c:dLblPos val="ctr"/>
          <c:showLegendKey val="0"/>
          <c:showVal val="1"/>
          <c:showCatName val="0"/>
          <c:showSerName val="0"/>
          <c:showPercent val="0"/>
          <c:showBubbleSize val="0"/>
        </c:dLbls>
        <c:gapWidth val="40"/>
        <c:overlap val="100"/>
        <c:axId val="786447272"/>
        <c:axId val="786442352"/>
      </c:barChart>
      <c:catAx>
        <c:axId val="786447272"/>
        <c:scaling>
          <c:orientation val="maxMin"/>
        </c:scaling>
        <c:delete val="1"/>
        <c:axPos val="l"/>
        <c:numFmt formatCode="General" sourceLinked="1"/>
        <c:majorTickMark val="none"/>
        <c:minorTickMark val="none"/>
        <c:tickLblPos val="nextTo"/>
        <c:crossAx val="786442352"/>
        <c:crosses val="autoZero"/>
        <c:auto val="1"/>
        <c:lblAlgn val="ctr"/>
        <c:lblOffset val="100"/>
        <c:noMultiLvlLbl val="0"/>
      </c:catAx>
      <c:valAx>
        <c:axId val="786442352"/>
        <c:scaling>
          <c:orientation val="minMax"/>
        </c:scaling>
        <c:delete val="1"/>
        <c:axPos val="t"/>
        <c:majorGridlines>
          <c:spPr>
            <a:ln w="9525" cap="flat" cmpd="sng" algn="ctr">
              <a:solidFill>
                <a:schemeClr val="tx1">
                  <a:lumMod val="15000"/>
                  <a:lumOff val="85000"/>
                </a:schemeClr>
              </a:solidFill>
              <a:round/>
            </a:ln>
            <a:effectLst/>
          </c:spPr>
        </c:majorGridlines>
        <c:numFmt formatCode="#\ ##0.0%;\ \-#\ ##0.0%;\ \-\ " sourceLinked="1"/>
        <c:majorTickMark val="none"/>
        <c:minorTickMark val="none"/>
        <c:tickLblPos val="nextTo"/>
        <c:crossAx val="78644727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Tavoitteet!$C$53</c:f>
              <c:strCache>
                <c:ptCount val="1"/>
                <c:pt idx="0">
                  <c:v>Työskennellään</c:v>
                </c:pt>
              </c:strCache>
            </c:strRef>
          </c:tx>
          <c:spPr>
            <a:solidFill>
              <a:schemeClr val="accent4">
                <a:lumMod val="75000"/>
              </a:schemeClr>
            </a:solidFill>
            <a:ln>
              <a:noFill/>
            </a:ln>
            <a:effectLst/>
          </c:spPr>
          <c:invertIfNegative val="0"/>
          <c:dLbls>
            <c:numFmt formatCode="0.0\ %"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fi-FI"/>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Tavoitteet!$A$56:$A$65</c:f>
              <c:strCache>
                <c:ptCount val="10"/>
                <c:pt idx="0">
                  <c:v>Sosiaalisten taitojen vahvistuminen</c:v>
                </c:pt>
                <c:pt idx="1">
                  <c:v>Itsetuntemuksen vahvistuminen</c:v>
                </c:pt>
                <c:pt idx="2">
                  <c:v>Arjenhallinnan parantuminen</c:v>
                </c:pt>
                <c:pt idx="3">
                  <c:v>Terveellisen elämän edistäminen</c:v>
                </c:pt>
                <c:pt idx="4">
                  <c:v>Lähiyhteisöjen vahvistuminen</c:v>
                </c:pt>
                <c:pt idx="5">
                  <c:v>Osallisuuden lisääminen omassa elämässä</c:v>
                </c:pt>
                <c:pt idx="6">
                  <c:v>Osallistumisen lisääminen vaikuttamisen prosesseihin</c:v>
                </c:pt>
                <c:pt idx="7">
                  <c:v>Pääsy tarpeellisiin palveluihin</c:v>
                </c:pt>
                <c:pt idx="8">
                  <c:v>Siirtyminen koulutukseen</c:v>
                </c:pt>
                <c:pt idx="9">
                  <c:v>Siirtyminen avoimille työmarkkinoille</c:v>
                </c:pt>
              </c:strCache>
            </c:strRef>
          </c:cat>
          <c:val>
            <c:numRef>
              <c:f>Tavoitteet!$AN$56:$AN$65</c:f>
              <c:numCache>
                <c:formatCode>#\ ##0.0%;\ \-#\ ##0.0%;\ \-\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194-4AE8-97B9-3E6444D50996}"/>
            </c:ext>
          </c:extLst>
        </c:ser>
        <c:ser>
          <c:idx val="1"/>
          <c:order val="1"/>
          <c:tx>
            <c:strRef>
              <c:f>Tavoitteet!$E$53</c:f>
              <c:strCache>
                <c:ptCount val="1"/>
                <c:pt idx="0">
                  <c:v>Saavutettu</c:v>
                </c:pt>
              </c:strCache>
            </c:strRef>
          </c:tx>
          <c:spPr>
            <a:solidFill>
              <a:schemeClr val="accent3"/>
            </a:solidFill>
            <a:ln>
              <a:noFill/>
            </a:ln>
            <a:effectLst/>
          </c:spPr>
          <c:invertIfNegative val="0"/>
          <c:dLbls>
            <c:numFmt formatCode="0.0\ %"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fi-FI"/>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Tavoitteet!$A$56:$A$65</c:f>
              <c:strCache>
                <c:ptCount val="10"/>
                <c:pt idx="0">
                  <c:v>Sosiaalisten taitojen vahvistuminen</c:v>
                </c:pt>
                <c:pt idx="1">
                  <c:v>Itsetuntemuksen vahvistuminen</c:v>
                </c:pt>
                <c:pt idx="2">
                  <c:v>Arjenhallinnan parantuminen</c:v>
                </c:pt>
                <c:pt idx="3">
                  <c:v>Terveellisen elämän edistäminen</c:v>
                </c:pt>
                <c:pt idx="4">
                  <c:v>Lähiyhteisöjen vahvistuminen</c:v>
                </c:pt>
                <c:pt idx="5">
                  <c:v>Osallisuuden lisääminen omassa elämässä</c:v>
                </c:pt>
                <c:pt idx="6">
                  <c:v>Osallistumisen lisääminen vaikuttamisen prosesseihin</c:v>
                </c:pt>
                <c:pt idx="7">
                  <c:v>Pääsy tarpeellisiin palveluihin</c:v>
                </c:pt>
                <c:pt idx="8">
                  <c:v>Siirtyminen koulutukseen</c:v>
                </c:pt>
                <c:pt idx="9">
                  <c:v>Siirtyminen avoimille työmarkkinoille</c:v>
                </c:pt>
              </c:strCache>
            </c:strRef>
          </c:cat>
          <c:val>
            <c:numRef>
              <c:f>Tavoitteet!$AP$56:$AP$65</c:f>
              <c:numCache>
                <c:formatCode>#\ ##0.0%;\ \-#\ ##0.0%;\ \-\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194-4AE8-97B9-3E6444D50996}"/>
            </c:ext>
          </c:extLst>
        </c:ser>
        <c:dLbls>
          <c:dLblPos val="ctr"/>
          <c:showLegendKey val="0"/>
          <c:showVal val="1"/>
          <c:showCatName val="0"/>
          <c:showSerName val="0"/>
          <c:showPercent val="0"/>
          <c:showBubbleSize val="0"/>
        </c:dLbls>
        <c:gapWidth val="40"/>
        <c:overlap val="100"/>
        <c:axId val="786447272"/>
        <c:axId val="786442352"/>
      </c:barChart>
      <c:catAx>
        <c:axId val="786447272"/>
        <c:scaling>
          <c:orientation val="maxMin"/>
        </c:scaling>
        <c:delete val="1"/>
        <c:axPos val="l"/>
        <c:numFmt formatCode="General" sourceLinked="1"/>
        <c:majorTickMark val="none"/>
        <c:minorTickMark val="none"/>
        <c:tickLblPos val="nextTo"/>
        <c:crossAx val="786442352"/>
        <c:crosses val="autoZero"/>
        <c:auto val="1"/>
        <c:lblAlgn val="ctr"/>
        <c:lblOffset val="100"/>
        <c:noMultiLvlLbl val="0"/>
      </c:catAx>
      <c:valAx>
        <c:axId val="786442352"/>
        <c:scaling>
          <c:orientation val="minMax"/>
        </c:scaling>
        <c:delete val="1"/>
        <c:axPos val="t"/>
        <c:majorGridlines>
          <c:spPr>
            <a:ln w="9525" cap="flat" cmpd="sng" algn="ctr">
              <a:solidFill>
                <a:schemeClr val="tx1">
                  <a:lumMod val="15000"/>
                  <a:lumOff val="85000"/>
                </a:schemeClr>
              </a:solidFill>
              <a:round/>
            </a:ln>
            <a:effectLst/>
          </c:spPr>
        </c:majorGridlines>
        <c:numFmt formatCode="#\ ##0.0%;\ \-#\ ##0.0%;\ \-\ " sourceLinked="1"/>
        <c:majorTickMark val="none"/>
        <c:minorTickMark val="none"/>
        <c:tickLblPos val="nextTo"/>
        <c:crossAx val="786447272"/>
        <c:crosses val="autoZero"/>
        <c:crossBetween val="between"/>
      </c:valAx>
      <c:spPr>
        <a:noFill/>
        <a:ln>
          <a:noFill/>
        </a:ln>
        <a:effectLst/>
      </c:spPr>
    </c:plotArea>
    <c:legend>
      <c:legendPos val="t"/>
      <c:layout>
        <c:manualLayout>
          <c:xMode val="edge"/>
          <c:yMode val="edge"/>
          <c:x val="0.13651282863800765"/>
          <c:y val="3.1128404669260701E-2"/>
          <c:w val="0.7367007227480401"/>
          <c:h val="8.754925089616716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i-FI"/>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_xlchart.v1.8</cx:f>
      </cx:strDim>
      <cx:numDim type="size">
        <cx:f>_xlchart.v1.9</cx:f>
      </cx:numDim>
    </cx:data>
  </cx:chartData>
  <cx:chart>
    <cx:title pos="t" align="ctr" overlay="0">
      <cx:tx>
        <cx:txData>
          <cx:v>Kaikkien työpajalla olleiden valmentautujien äidinkieli</cx:v>
        </cx:txData>
      </cx:tx>
      <cx:txPr>
        <a:bodyPr spcFirstLastPara="1" vertOverflow="ellipsis" horzOverflow="overflow" wrap="square" lIns="0" tIns="0" rIns="0" bIns="0" anchor="ctr" anchorCtr="1"/>
        <a:lstStyle/>
        <a:p>
          <a:pPr algn="ctr" rtl="0">
            <a:defRPr>
              <a:solidFill>
                <a:schemeClr val="tx1"/>
              </a:solidFill>
            </a:defRPr>
          </a:pPr>
          <a:r>
            <a:rPr lang="fi-FI" sz="1400" b="0" i="0" u="none" strike="noStrike" baseline="0">
              <a:solidFill>
                <a:schemeClr val="tx1"/>
              </a:solidFill>
              <a:latin typeface="Calibri" panose="020F0502020204030204"/>
            </a:rPr>
            <a:t>Kaikkien työpajalla olleiden valmentautujien äidinkieli</a:t>
          </a:r>
        </a:p>
      </cx:txPr>
    </cx:title>
    <cx:plotArea>
      <cx:plotAreaRegion>
        <cx:series layoutId="sunburst" uniqueId="{F07AEB9E-D6D7-460F-AE3B-29CA86C39A1F}">
          <cx:dataLabels pos="ctr">
            <cx:txPr>
              <a:bodyPr spcFirstLastPara="1" vertOverflow="ellipsis" horzOverflow="overflow" wrap="square" lIns="0" tIns="0" rIns="0" bIns="0" anchor="ctr" anchorCtr="1"/>
              <a:lstStyle/>
              <a:p>
                <a:pPr algn="ctr" rtl="0">
                  <a:defRPr>
                    <a:solidFill>
                      <a:schemeClr val="tx1"/>
                    </a:solidFill>
                  </a:defRPr>
                </a:pPr>
                <a:endParaRPr lang="fi-FI" sz="900" b="0" i="0" u="none" strike="noStrike" baseline="0">
                  <a:solidFill>
                    <a:schemeClr val="tx1"/>
                  </a:solidFill>
                  <a:latin typeface="Calibri" panose="020F0502020204030204"/>
                </a:endParaRPr>
              </a:p>
            </cx:txPr>
            <cx:visibility seriesName="0" categoryName="1" value="1"/>
            <cx:separator>, </cx:separator>
          </cx:dataLabels>
          <cx:dataId val="0"/>
        </cx:series>
      </cx:plotAreaRegion>
    </cx:plotArea>
    <cx:legend pos="r" align="ctr" overlay="0">
      <cx:txPr>
        <a:bodyPr spcFirstLastPara="1" vertOverflow="ellipsis" horzOverflow="overflow" wrap="square" lIns="0" tIns="0" rIns="0" bIns="0" anchor="ctr" anchorCtr="1"/>
        <a:lstStyle/>
        <a:p>
          <a:pPr algn="ctr" rtl="0">
            <a:defRPr>
              <a:solidFill>
                <a:schemeClr val="tx1"/>
              </a:solidFill>
            </a:defRPr>
          </a:pPr>
          <a:endParaRPr lang="fi-FI" sz="900" b="0" i="0" u="none" strike="noStrike" baseline="0">
            <a:solidFill>
              <a:schemeClr val="tx1"/>
            </a:solidFill>
            <a:latin typeface="Calibri" panose="020F0502020204030204"/>
          </a:endParaRPr>
        </a:p>
      </cx:txPr>
    </cx:legend>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_xlchart.v1.4</cx:f>
      </cx:strDim>
      <cx:numDim type="size">
        <cx:f>_xlchart.v1.5</cx:f>
      </cx:numDim>
    </cx:data>
  </cx:chartData>
  <cx:chart>
    <cx:title pos="t" align="ctr" overlay="0">
      <cx:tx>
        <cx:txData>
          <cx:v>NUORTEN valmentautujien koulutustaustat</cx:v>
        </cx:txData>
      </cx:tx>
      <cx:txPr>
        <a:bodyPr spcFirstLastPara="1" vertOverflow="ellipsis" horzOverflow="overflow" wrap="square" lIns="0" tIns="0" rIns="0" bIns="0" anchor="ctr" anchorCtr="1"/>
        <a:lstStyle/>
        <a:p>
          <a:pPr algn="ctr" rtl="0">
            <a:defRPr/>
          </a:pPr>
          <a:r>
            <a:rPr lang="fi-FI" sz="1400" b="0" i="0" u="none" strike="noStrike" baseline="0">
              <a:solidFill>
                <a:sysClr val="windowText" lastClr="000000"/>
              </a:solidFill>
              <a:latin typeface="Calibri" panose="020F0502020204030204"/>
            </a:rPr>
            <a:t>NUORTEN valmentautujien koulutustaustat</a:t>
          </a:r>
        </a:p>
      </cx:txPr>
    </cx:title>
    <cx:plotArea>
      <cx:plotAreaRegion>
        <cx:series layoutId="sunburst" uniqueId="{B7E650E2-374C-436F-A665-83B14125F77C}">
          <cx:dataLabels>
            <cx:txPr>
              <a:bodyPr spcFirstLastPara="1" vertOverflow="ellipsis" horzOverflow="overflow" wrap="square" lIns="0" tIns="0" rIns="0" bIns="0" anchor="ctr" anchorCtr="1"/>
              <a:lstStyle/>
              <a:p>
                <a:pPr algn="ctr" rtl="0">
                  <a:defRPr>
                    <a:solidFill>
                      <a:schemeClr val="tx1"/>
                    </a:solidFill>
                  </a:defRPr>
                </a:pPr>
                <a:endParaRPr lang="fi-FI" sz="900" b="0" i="0" u="none" strike="noStrike" baseline="0">
                  <a:solidFill>
                    <a:schemeClr val="tx1"/>
                  </a:solidFill>
                  <a:latin typeface="Calibri" panose="020F0502020204030204"/>
                </a:endParaRPr>
              </a:p>
            </cx:txPr>
            <cx:visibility seriesName="0" categoryName="1" value="1"/>
            <cx:separator>, </cx:separator>
          </cx:dataLabels>
          <cx:dataId val="0"/>
        </cx:series>
      </cx:plotAreaRegion>
    </cx:plotArea>
    <cx:legend pos="r" align="ctr" overlay="0">
      <cx:txPr>
        <a:bodyPr spcFirstLastPara="1" vertOverflow="ellipsis" horzOverflow="overflow" wrap="square" lIns="0" tIns="0" rIns="0" bIns="0" anchor="ctr" anchorCtr="1"/>
        <a:lstStyle/>
        <a:p>
          <a:pPr algn="ctr" rtl="0">
            <a:defRPr>
              <a:solidFill>
                <a:schemeClr val="tx1"/>
              </a:solidFill>
            </a:defRPr>
          </a:pPr>
          <a:endParaRPr lang="fi-FI" sz="900" b="0" i="0" u="none" strike="noStrike" baseline="0">
            <a:solidFill>
              <a:schemeClr val="tx1"/>
            </a:solidFill>
            <a:latin typeface="Calibri" panose="020F0502020204030204"/>
          </a:endParaRPr>
        </a:p>
      </cx:txPr>
    </cx:legend>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_xlchart.v1.1</cx:f>
      </cx:numDim>
    </cx:data>
  </cx:chartData>
  <cx:chart>
    <cx:title pos="t" align="ctr" overlay="0">
      <cx:tx>
        <cx:txData>
          <cx:v>Mitä kautta NUORET valmentautujat ovat ohjautuneet työpajalle?</cx:v>
        </cx:txData>
      </cx:tx>
      <cx:txPr>
        <a:bodyPr spcFirstLastPara="1" vertOverflow="ellipsis" horzOverflow="overflow" wrap="square" lIns="0" tIns="0" rIns="0" bIns="0" anchor="ctr" anchorCtr="1"/>
        <a:lstStyle/>
        <a:p>
          <a:pPr rtl="0">
            <a:defRPr sz="1400">
              <a:solidFill>
                <a:schemeClr val="tx1"/>
              </a:solidFill>
            </a:defRPr>
          </a:pPr>
          <a:r>
            <a:rPr lang="fi-FI" sz="1400" b="0" i="0" baseline="0">
              <a:solidFill>
                <a:schemeClr val="tx1"/>
              </a:solidFill>
              <a:effectLst/>
            </a:rPr>
            <a:t>Mitä kautta NUORET valmentautujat ovat ohjautuneet työpajalle?</a:t>
          </a:r>
        </a:p>
      </cx:txPr>
    </cx:title>
    <cx:plotArea>
      <cx:plotAreaRegion>
        <cx:series layoutId="sunburst" uniqueId="{3D499DE4-C512-43FB-A12A-059D03B5C52D}">
          <cx:dataLabels pos="ctr">
            <cx:txPr>
              <a:bodyPr spcFirstLastPara="1" vertOverflow="ellipsis" horzOverflow="overflow" wrap="square" lIns="0" tIns="0" rIns="0" bIns="0" anchor="ctr" anchorCtr="1"/>
              <a:lstStyle/>
              <a:p>
                <a:pPr algn="ctr" rtl="0">
                  <a:defRPr>
                    <a:solidFill>
                      <a:schemeClr val="tx1"/>
                    </a:solidFill>
                  </a:defRPr>
                </a:pPr>
                <a:endParaRPr lang="fi-FI" sz="900" b="0" i="0" u="none" strike="noStrike" baseline="0">
                  <a:solidFill>
                    <a:schemeClr val="tx1"/>
                  </a:solidFill>
                  <a:latin typeface="Calibri" panose="020F0502020204030204"/>
                </a:endParaRPr>
              </a:p>
            </cx:txPr>
            <cx:visibility seriesName="0" categoryName="1" value="1"/>
            <cx:separator>, </cx:separator>
          </cx:dataLabels>
          <cx:dataId val="0"/>
        </cx:series>
      </cx:plotAreaRegion>
    </cx:plotArea>
    <cx:legend pos="r" align="ctr" overlay="0">
      <cx:txPr>
        <a:bodyPr spcFirstLastPara="1" vertOverflow="ellipsis" horzOverflow="overflow" wrap="square" lIns="0" tIns="0" rIns="0" bIns="0" anchor="ctr" anchorCtr="1"/>
        <a:lstStyle/>
        <a:p>
          <a:pPr algn="ctr" rtl="0">
            <a:defRPr>
              <a:solidFill>
                <a:schemeClr val="tx1"/>
              </a:solidFill>
            </a:defRPr>
          </a:pPr>
          <a:endParaRPr lang="fi-FI" sz="900" b="0" i="0" u="none" strike="noStrike" baseline="0">
            <a:solidFill>
              <a:schemeClr val="tx1"/>
            </a:solidFill>
            <a:latin typeface="Calibri" panose="020F0502020204030204"/>
          </a:endParaRPr>
        </a:p>
      </cx:txPr>
    </cx:legend>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_xlchart.v1.2</cx:f>
      </cx:strDim>
      <cx:numDim type="size">
        <cx:f>_xlchart.v1.3</cx:f>
      </cx:numDim>
    </cx:data>
  </cx:chartData>
  <cx:chart>
    <cx:title pos="t" align="ctr" overlay="0">
      <cx:tx>
        <cx:rich>
          <a:bodyPr spcFirstLastPara="1" vertOverflow="ellipsis" horzOverflow="overflow" wrap="square" lIns="0" tIns="0" rIns="0" bIns="0" anchor="ctr" anchorCtr="1"/>
          <a:lstStyle/>
          <a:p>
            <a:pPr algn="ctr" rtl="0">
              <a:defRPr/>
            </a:pPr>
            <a:r>
              <a:rPr lang="fi-FI" sz="1400" b="0" i="0" u="none" strike="noStrike" baseline="0">
                <a:solidFill>
                  <a:sysClr val="windowText" lastClr="000000">
                    <a:lumMod val="65000"/>
                    <a:lumOff val="35000"/>
                  </a:sysClr>
                </a:solidFill>
                <a:latin typeface="Calibri" panose="020F0502020204030204"/>
              </a:rPr>
              <a:t>Kaikki valmentautujat toimenpiteittäin</a:t>
            </a:r>
          </a:p>
          <a:p>
            <a:pPr algn="ctr" rtl="0">
              <a:defRPr/>
            </a:pPr>
            <a:endParaRPr lang="fi-FI" sz="1400" b="0" i="0" u="none" strike="noStrike" baseline="0">
              <a:solidFill>
                <a:sysClr val="windowText" lastClr="000000">
                  <a:lumMod val="65000"/>
                  <a:lumOff val="35000"/>
                </a:sysClr>
              </a:solidFill>
              <a:latin typeface="Calibri" panose="020F0502020204030204"/>
            </a:endParaRPr>
          </a:p>
        </cx:rich>
      </cx:tx>
    </cx:title>
    <cx:plotArea>
      <cx:plotAreaRegion>
        <cx:series layoutId="treemap" uniqueId="{083E727F-516A-4FB9-A2B6-5F0B8C36AB87}">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chart>
</cx:chartSpace>
</file>

<file path=xl/charts/chartEx5.xml><?xml version="1.0" encoding="utf-8"?>
<cx:chartSpace xmlns:a="http://schemas.openxmlformats.org/drawingml/2006/main" xmlns:r="http://schemas.openxmlformats.org/officeDocument/2006/relationships" xmlns:cx="http://schemas.microsoft.com/office/drawing/2014/chartex">
  <cx:chartData>
    <cx:data id="0">
      <cx:strDim type="cat">
        <cx:f>_xlchart.v1.6</cx:f>
      </cx:strDim>
      <cx:numDim type="size">
        <cx:f>_xlchart.v1.7</cx:f>
      </cx:numDim>
    </cx:data>
  </cx:chartData>
  <cx:chart>
    <cx:title pos="t" align="ctr" overlay="0">
      <cx:tx>
        <cx:rich>
          <a:bodyPr spcFirstLastPara="1" vertOverflow="ellipsis" horzOverflow="overflow" wrap="square" lIns="0" tIns="0" rIns="0" bIns="0" anchor="ctr" anchorCtr="1"/>
          <a:lstStyle/>
          <a:p>
            <a:pPr algn="ctr" rtl="0">
              <a:defRPr/>
            </a:pPr>
            <a:r>
              <a:rPr lang="fi-FI" sz="1400" b="0" i="0" u="none" strike="noStrike" baseline="0">
                <a:solidFill>
                  <a:sysClr val="windowText" lastClr="000000">
                    <a:lumMod val="65000"/>
                    <a:lumOff val="35000"/>
                  </a:sysClr>
                </a:solidFill>
                <a:latin typeface="Calibri" panose="020F0502020204030204"/>
              </a:rPr>
              <a:t>NUORET valmentautujat toimenpiteittäin</a:t>
            </a:r>
          </a:p>
          <a:p>
            <a:pPr algn="ctr" rtl="0">
              <a:defRPr/>
            </a:pPr>
            <a:endParaRPr lang="fi-FI" sz="1400" b="0" i="0" u="none" strike="noStrike" baseline="0">
              <a:solidFill>
                <a:sysClr val="windowText" lastClr="000000">
                  <a:lumMod val="65000"/>
                  <a:lumOff val="35000"/>
                </a:sysClr>
              </a:solidFill>
              <a:latin typeface="Calibri" panose="020F0502020204030204"/>
            </a:endParaRPr>
          </a:p>
        </cx:rich>
      </cx:tx>
    </cx:title>
    <cx:plotArea>
      <cx:plotAreaRegion>
        <cx:series layoutId="treemap" uniqueId="{B41440FA-78C1-42C7-BFA6-DF4B4C3AC812}">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chart>
</cx:chartSpace>
</file>

<file path=xl/charts/chartEx6.xml><?xml version="1.0" encoding="utf-8"?>
<cx:chartSpace xmlns:a="http://schemas.openxmlformats.org/drawingml/2006/main" xmlns:r="http://schemas.openxmlformats.org/officeDocument/2006/relationships" xmlns:cx="http://schemas.microsoft.com/office/drawing/2014/chartex">
  <cx:chartData>
    <cx:data id="0">
      <cx:numDim type="val">
        <cx:f>_xlchart.v2.10</cx:f>
      </cx:numDim>
    </cx:data>
  </cx:chartData>
  <cx:chart>
    <cx:plotArea>
      <cx:plotAreaRegion>
        <cx:series layoutId="funnel" uniqueId="{F33BC79E-91BE-4E72-9875-F17A908B6D7D}">
          <cx:data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0" value="1"/>
          </cx:dataLabels>
          <cx:dataId val="0"/>
        </cx:series>
      </cx:plotAreaRegion>
      <cx:axis id="0" hidden="1">
        <cx:catScaling gapWidth="0.0599999987"/>
        <cx:tickLabels/>
      </cx:axis>
      <cx:axis id="1" hidden="1">
        <cx:valScaling/>
        <cx:tickLabels/>
      </cx:axis>
    </cx:plotArea>
  </cx:chart>
  <cx:spPr>
    <a:ln>
      <a:noFill/>
    </a:ln>
  </cx:spPr>
</cx:chartSpace>
</file>

<file path=xl/charts/chartEx7.xml><?xml version="1.0" encoding="utf-8"?>
<cx:chartSpace xmlns:a="http://schemas.openxmlformats.org/drawingml/2006/main" xmlns:r="http://schemas.openxmlformats.org/officeDocument/2006/relationships" xmlns:cx="http://schemas.microsoft.com/office/drawing/2014/chartex">
  <cx:chartData>
    <cx:data id="0">
      <cx:strDim type="cat">
        <cx:f>_xlchart.v1.13</cx:f>
      </cx:strDim>
      <cx:numDim type="size">
        <cx:f>_xlchart.v1.14</cx:f>
      </cx:numDim>
    </cx:data>
  </cx:chartData>
  <cx:chart>
    <cx:plotArea>
      <cx:plotAreaRegion>
        <cx:series layoutId="treemap" uniqueId="{B4254799-4183-42E0-A1D5-6944678E88ED}">
          <cx:dataLabels>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legend pos="b"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chartSpace>
</file>

<file path=xl/charts/chartEx8.xml><?xml version="1.0" encoding="utf-8"?>
<cx:chartSpace xmlns:a="http://schemas.openxmlformats.org/drawingml/2006/main" xmlns:r="http://schemas.openxmlformats.org/officeDocument/2006/relationships" xmlns:cx="http://schemas.microsoft.com/office/drawing/2014/chartex">
  <cx:chartData>
    <cx:data id="0">
      <cx:strDim type="cat">
        <cx:f>_xlchart.v1.11</cx:f>
      </cx:strDim>
      <cx:numDim type="size">
        <cx:f>_xlchart.v1.12</cx:f>
      </cx:numDim>
    </cx:data>
  </cx:chartData>
  <cx:chart>
    <cx:plotArea>
      <cx:plotAreaRegion>
        <cx:series layoutId="treemap" uniqueId="{6CBBE443-859E-4B55-BF77-435B2276511D}">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legend pos="b"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chartSpace>
</file>

<file path=xl/charts/chartEx9.xml><?xml version="1.0" encoding="utf-8"?>
<cx:chartSpace xmlns:a="http://schemas.openxmlformats.org/drawingml/2006/main" xmlns:r="http://schemas.openxmlformats.org/officeDocument/2006/relationships" xmlns:cx="http://schemas.microsoft.com/office/drawing/2014/chartex">
  <cx:chartData>
    <cx:data id="0">
      <cx:strDim type="cat">
        <cx:f>_xlchart.v1.17</cx:f>
      </cx:strDim>
      <cx:numDim type="size">
        <cx:f>_xlchart.v1.18</cx:f>
      </cx:numDim>
    </cx:data>
  </cx:chartData>
  <cx:chart>
    <cx:title pos="t" align="ctr" overlay="0">
      <cx:tx>
        <cx:txData>
          <cx:v>Nuoria ohjattu muihin palveluihin / toimenpiteisiin</cx:v>
        </cx:txData>
      </cx:tx>
      <cx:txPr>
        <a:bodyPr spcFirstLastPara="1" vertOverflow="ellipsis" horzOverflow="overflow" wrap="square" lIns="0" tIns="0" rIns="0" bIns="0" anchor="ctr" anchorCtr="1"/>
        <a:lstStyle/>
        <a:p>
          <a:pPr algn="ctr" rtl="0">
            <a:defRPr/>
          </a:pPr>
          <a:r>
            <a:rPr lang="fi-FI" sz="1400" b="0" i="0" u="none" strike="noStrike" baseline="0">
              <a:solidFill>
                <a:sysClr val="windowText" lastClr="000000">
                  <a:lumMod val="65000"/>
                  <a:lumOff val="35000"/>
                </a:sysClr>
              </a:solidFill>
              <a:latin typeface="Calibri" panose="020F0502020204030204"/>
            </a:rPr>
            <a:t>Nuoria ohjattu muihin palveluihin / toimenpiteisiin</a:t>
          </a:r>
        </a:p>
      </cx:txPr>
    </cx:title>
    <cx:plotArea>
      <cx:plotAreaRegion>
        <cx:series layoutId="treemap" uniqueId="{FC623DEA-5994-4631-BD5B-CD38FD0C277F}">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chart>
</cx:chartSpace>
</file>

<file path=xl/charts/chartEx10.xml><?xml version="1.0" encoding="utf-8"?>
<cx:chartSpace xmlns:a="http://schemas.openxmlformats.org/drawingml/2006/main" xmlns:r="http://schemas.openxmlformats.org/officeDocument/2006/relationships" xmlns:cx="http://schemas.microsoft.com/office/drawing/2014/chartex">
  <cx:chartData>
    <cx:data id="0">
      <cx:strDim type="cat">
        <cx:f>_xlchart.v1.15</cx:f>
      </cx:strDim>
      <cx:numDim type="size">
        <cx:f>_xlchart.v1.16</cx:f>
      </cx:numDim>
    </cx:data>
  </cx:chartData>
  <cx:chart>
    <cx:title pos="t" align="ctr" overlay="0">
      <cx:tx>
        <cx:txData>
          <cx:v>Nuorten asiakkuuteen liittyvät toimenpiteet ja ohjaukset </cx:v>
        </cx:txData>
      </cx:tx>
      <cx:txPr>
        <a:bodyPr spcFirstLastPara="1" vertOverflow="ellipsis" horzOverflow="overflow" wrap="square" lIns="0" tIns="0" rIns="0" bIns="0" anchor="ctr" anchorCtr="1"/>
        <a:lstStyle/>
        <a:p>
          <a:pPr algn="ctr" rtl="0">
            <a:defRPr/>
          </a:pPr>
          <a:r>
            <a:rPr lang="fi-FI" sz="1400" b="0" i="0" u="none" strike="noStrike" baseline="0">
              <a:solidFill>
                <a:sysClr val="windowText" lastClr="000000">
                  <a:lumMod val="65000"/>
                  <a:lumOff val="35000"/>
                </a:sysClr>
              </a:solidFill>
              <a:latin typeface="Calibri" panose="020F0502020204030204"/>
            </a:rPr>
            <a:t>Nuorten asiakkuuteen liittyvät toimenpiteet ja ohjaukset </a:t>
          </a:r>
        </a:p>
      </cx:txPr>
    </cx:title>
    <cx:plotArea>
      <cx:plotAreaRegion>
        <cx:series layoutId="treemap" uniqueId="{E7441C6B-6D85-4153-B668-F984A54DF9EB}">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chart>
</cx:chartSpace>
</file>

<file path=xl/charts/chartEx11.xml><?xml version="1.0" encoding="utf-8"?>
<cx:chartSpace xmlns:a="http://schemas.openxmlformats.org/drawingml/2006/main" xmlns:r="http://schemas.openxmlformats.org/officeDocument/2006/relationships" xmlns:cx="http://schemas.microsoft.com/office/drawing/2014/chartex">
  <cx:chartData>
    <cx:data id="0">
      <cx:strDim type="cat">
        <cx:f>_xlchart.v1.29</cx:f>
      </cx:strDim>
      <cx:numDim type="size">
        <cx:f>_xlchart.v1.30</cx:f>
      </cx:numDim>
    </cx:data>
  </cx:chartData>
  <cx:chart>
    <cx:plotArea>
      <cx:plotAreaRegion>
        <cx:series layoutId="treemap" uniqueId="{344985A9-2048-4C70-92EA-FC3C92CD3AED}">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legend pos="r"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spPr>
    <a:ln>
      <a:noFill/>
    </a:ln>
  </cx:spPr>
</cx:chartSpace>
</file>

<file path=xl/charts/chartEx12.xml><?xml version="1.0" encoding="utf-8"?>
<cx:chartSpace xmlns:a="http://schemas.openxmlformats.org/drawingml/2006/main" xmlns:r="http://schemas.openxmlformats.org/officeDocument/2006/relationships" xmlns:cx="http://schemas.microsoft.com/office/drawing/2014/chartex">
  <cx:chartData>
    <cx:data id="0">
      <cx:strDim type="cat">
        <cx:f>_xlchart.v1.33</cx:f>
      </cx:strDim>
      <cx:numDim type="size">
        <cx:f>_xlchart.v1.34</cx:f>
      </cx:numDim>
    </cx:data>
  </cx:chartData>
  <cx:chart>
    <cx:plotArea>
      <cx:plotAreaRegion>
        <cx:series layoutId="treemap" uniqueId="{A907CCEF-1D6B-4103-9686-7B0F06B7CDA8}">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legend pos="r"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spPr>
    <a:ln>
      <a:noFill/>
    </a:ln>
  </cx:spPr>
</cx:chartSpace>
</file>

<file path=xl/charts/chartEx13.xml><?xml version="1.0" encoding="utf-8"?>
<cx:chartSpace xmlns:a="http://schemas.openxmlformats.org/drawingml/2006/main" xmlns:r="http://schemas.openxmlformats.org/officeDocument/2006/relationships" xmlns:cx="http://schemas.microsoft.com/office/drawing/2014/chartex">
  <cx:chartData>
    <cx:data id="0">
      <cx:strDim type="cat">
        <cx:f>_xlchart.v1.37</cx:f>
      </cx:strDim>
      <cx:numDim type="size">
        <cx:f>_xlchart.v1.38</cx:f>
      </cx:numDim>
    </cx:data>
  </cx:chartData>
  <cx:chart>
    <cx:plotArea>
      <cx:plotAreaRegion>
        <cx:series layoutId="treemap" uniqueId="{FC53F106-3A8C-4045-9D76-7B28DE96D722}">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legend pos="r"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spPr>
    <a:ln>
      <a:noFill/>
    </a:ln>
  </cx:spPr>
</cx:chartSpace>
</file>

<file path=xl/charts/chartEx14.xml><?xml version="1.0" encoding="utf-8"?>
<cx:chartSpace xmlns:a="http://schemas.openxmlformats.org/drawingml/2006/main" xmlns:r="http://schemas.openxmlformats.org/officeDocument/2006/relationships" xmlns:cx="http://schemas.microsoft.com/office/drawing/2014/chartex">
  <cx:chartData>
    <cx:data id="0">
      <cx:strDim type="cat">
        <cx:f>_xlchart.v1.35</cx:f>
      </cx:strDim>
      <cx:numDim type="size">
        <cx:f>_xlchart.v1.36</cx:f>
      </cx:numDim>
    </cx:data>
  </cx:chartData>
  <cx:chart>
    <cx:plotArea>
      <cx:plotAreaRegion>
        <cx:series layoutId="treemap" uniqueId="{4A34D79C-3C6E-4FAE-8424-0E3446C89CB6}">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legend pos="r"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spPr>
    <a:ln>
      <a:noFill/>
    </a:ln>
  </cx:spPr>
</cx:chartSpace>
</file>

<file path=xl/charts/chartEx15.xml><?xml version="1.0" encoding="utf-8"?>
<cx:chartSpace xmlns:a="http://schemas.openxmlformats.org/drawingml/2006/main" xmlns:r="http://schemas.openxmlformats.org/officeDocument/2006/relationships" xmlns:cx="http://schemas.microsoft.com/office/drawing/2014/chartex">
  <cx:chartData>
    <cx:data id="0">
      <cx:strDim type="cat">
        <cx:f>_xlchart.v1.19</cx:f>
      </cx:strDim>
      <cx:numDim type="size">
        <cx:f>_xlchart.v1.20</cx:f>
      </cx:numDim>
    </cx:data>
  </cx:chartData>
  <cx:chart>
    <cx:plotArea>
      <cx:plotAreaRegion>
        <cx:series layoutId="treemap" uniqueId="{C223AA52-A5DD-48CD-A8A4-7DF2848C1E2D}">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legend pos="r"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spPr>
    <a:ln>
      <a:noFill/>
    </a:ln>
  </cx:spPr>
</cx:chartSpace>
</file>

<file path=xl/charts/chartEx16.xml><?xml version="1.0" encoding="utf-8"?>
<cx:chartSpace xmlns:a="http://schemas.openxmlformats.org/drawingml/2006/main" xmlns:r="http://schemas.openxmlformats.org/officeDocument/2006/relationships" xmlns:cx="http://schemas.microsoft.com/office/drawing/2014/chartex">
  <cx:chartData>
    <cx:data id="0">
      <cx:strDim type="cat">
        <cx:f>_xlchart.v1.31</cx:f>
      </cx:strDim>
      <cx:numDim type="size">
        <cx:f>_xlchart.v1.32</cx:f>
      </cx:numDim>
    </cx:data>
  </cx:chartData>
  <cx:chart>
    <cx:plotArea>
      <cx:plotAreaRegion>
        <cx:series layoutId="treemap" uniqueId="{B7EDABB3-8213-4224-AAAD-CA272A3EC732}">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legend pos="r"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spPr>
    <a:ln>
      <a:noFill/>
    </a:ln>
  </cx:spPr>
</cx:chartSpace>
</file>

<file path=xl/charts/chartEx17.xml><?xml version="1.0" encoding="utf-8"?>
<cx:chartSpace xmlns:a="http://schemas.openxmlformats.org/drawingml/2006/main" xmlns:r="http://schemas.openxmlformats.org/officeDocument/2006/relationships" xmlns:cx="http://schemas.microsoft.com/office/drawing/2014/chartex">
  <cx:chartData>
    <cx:data id="0">
      <cx:strDim type="cat">
        <cx:f>_xlchart.v1.21</cx:f>
      </cx:strDim>
      <cx:numDim type="size">
        <cx:f>_xlchart.v1.22</cx:f>
      </cx:numDim>
    </cx:data>
  </cx:chartData>
  <cx:chart>
    <cx:plotArea>
      <cx:plotAreaRegion>
        <cx:series layoutId="treemap" uniqueId="{0704D38B-2C5F-4AD8-A825-448CAC719848}">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legend pos="r"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spPr>
    <a:ln>
      <a:noFill/>
    </a:ln>
  </cx:spPr>
</cx:chartSpace>
</file>

<file path=xl/charts/chartEx18.xml><?xml version="1.0" encoding="utf-8"?>
<cx:chartSpace xmlns:a="http://schemas.openxmlformats.org/drawingml/2006/main" xmlns:r="http://schemas.openxmlformats.org/officeDocument/2006/relationships" xmlns:cx="http://schemas.microsoft.com/office/drawing/2014/chartex">
  <cx:chartData>
    <cx:data id="0">
      <cx:strDim type="cat">
        <cx:f>_xlchart.v1.23</cx:f>
      </cx:strDim>
      <cx:numDim type="size">
        <cx:f>_xlchart.v1.24</cx:f>
      </cx:numDim>
    </cx:data>
  </cx:chartData>
  <cx:chart>
    <cx:plotArea>
      <cx:plotAreaRegion>
        <cx:series layoutId="treemap" uniqueId="{2FC6AB5E-518C-4888-8FC4-1B3728C92EDD}">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legend pos="r"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spPr>
    <a:ln>
      <a:noFill/>
    </a:ln>
  </cx:spPr>
</cx:chartSpace>
</file>

<file path=xl/charts/chartEx19.xml><?xml version="1.0" encoding="utf-8"?>
<cx:chartSpace xmlns:a="http://schemas.openxmlformats.org/drawingml/2006/main" xmlns:r="http://schemas.openxmlformats.org/officeDocument/2006/relationships" xmlns:cx="http://schemas.microsoft.com/office/drawing/2014/chartex">
  <cx:chartData>
    <cx:data id="0">
      <cx:strDim type="cat">
        <cx:f>_xlchart.v1.27</cx:f>
      </cx:strDim>
      <cx:numDim type="size">
        <cx:f>_xlchart.v1.28</cx:f>
      </cx:numDim>
    </cx:data>
  </cx:chartData>
  <cx:chart>
    <cx:plotArea>
      <cx:plotAreaRegion>
        <cx:series layoutId="treemap" uniqueId="{0FCF3FD0-07C2-4EE6-A408-56770E8E3EA2}">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legend pos="r"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spPr>
    <a:ln>
      <a:noFill/>
    </a:ln>
  </cx:spPr>
</cx:chartSpace>
</file>

<file path=xl/charts/chartEx20.xml><?xml version="1.0" encoding="utf-8"?>
<cx:chartSpace xmlns:a="http://schemas.openxmlformats.org/drawingml/2006/main" xmlns:r="http://schemas.openxmlformats.org/officeDocument/2006/relationships" xmlns:cx="http://schemas.microsoft.com/office/drawing/2014/chartex">
  <cx:chartData>
    <cx:data id="0">
      <cx:strDim type="cat">
        <cx:f>_xlchart.v1.25</cx:f>
      </cx:strDim>
      <cx:numDim type="size">
        <cx:f>_xlchart.v1.26</cx:f>
      </cx:numDim>
    </cx:data>
  </cx:chartData>
  <cx:chart>
    <cx:plotArea>
      <cx:plotAreaRegion>
        <cx:series layoutId="treemap" uniqueId="{636E1D84-691D-4D73-AA24-D1A62D8E628F}">
          <cx:dataLabels pos="inEnd">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visibility seriesName="0" categoryName="1" value="1"/>
            <cx:separator>, </cx:separator>
          </cx:dataLabels>
          <cx:dataId val="0"/>
          <cx:layoutPr>
            <cx:parentLabelLayout val="overlapping"/>
          </cx:layoutPr>
        </cx:series>
      </cx:plotAreaRegion>
    </cx:plotArea>
    <cx:legend pos="r" align="ctr" overlay="0">
      <cx:txPr>
        <a:bodyPr vertOverflow="overflow" horzOverflow="overflow" wrap="square" lIns="0" tIns="0" rIns="0" bIns="0"/>
        <a:lstStyle/>
        <a:p>
          <a:pPr algn="ctr" rtl="0">
            <a:defRPr sz="1200" b="0" i="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a:p>
      </cx:txPr>
    </cx:legend>
  </cx:chart>
  <cx:spPr>
    <a:ln>
      <a:noFill/>
    </a:ln>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withinLinear" id="14">
  <a:schemeClr val="accent1"/>
</cs:colorStyle>
</file>

<file path=xl/charts/colors4.xml><?xml version="1.0" encoding="utf-8"?>
<cs:colorStyle xmlns:cs="http://schemas.microsoft.com/office/drawing/2012/chartStyle" xmlns:a="http://schemas.openxmlformats.org/drawingml/2006/main" meth="withinLinear" id="16">
  <a:schemeClr val="accent3"/>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 id="16">
  <a:schemeClr val="accent3"/>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 id="14">
  <a:schemeClr val="accent1"/>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withinLinear" id="14">
  <a:schemeClr val="accent1"/>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withinLinear" id="14">
  <a:schemeClr val="accent1"/>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withinLinear" id="14">
  <a:schemeClr val="accent1"/>
</cs:colorStyle>
</file>

<file path=xl/charts/colors23.xml><?xml version="1.0" encoding="utf-8"?>
<cs:colorStyle xmlns:cs="http://schemas.microsoft.com/office/drawing/2012/chartStyle" xmlns:a="http://schemas.openxmlformats.org/drawingml/2006/main" meth="withinLinear" id="14">
  <a:schemeClr val="accent1"/>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withinLinear" id="18">
  <a:schemeClr val="accent5"/>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withinLinear" id="17">
  <a:schemeClr val="accent4"/>
</cs:colorStyle>
</file>

<file path=xl/charts/colors37.xml><?xml version="1.0" encoding="utf-8"?>
<cs:colorStyle xmlns:cs="http://schemas.microsoft.com/office/drawing/2012/chartStyle" xmlns:a="http://schemas.openxmlformats.org/drawingml/2006/main" meth="withinLinear" id="14">
  <a:schemeClr val="accent1"/>
</cs:colorStyle>
</file>

<file path=xl/charts/colors38.xml><?xml version="1.0" encoding="utf-8"?>
<cs:colorStyle xmlns:cs="http://schemas.microsoft.com/office/drawing/2012/chartStyle" xmlns:a="http://schemas.openxmlformats.org/drawingml/2006/main" meth="withinLinear" id="16">
  <a:schemeClr val="accent3"/>
</cs:colorStyle>
</file>

<file path=xl/charts/colors39.xml><?xml version="1.0" encoding="utf-8"?>
<cs:colorStyle xmlns:cs="http://schemas.microsoft.com/office/drawing/2012/chartStyle" xmlns:a="http://schemas.openxmlformats.org/drawingml/2006/main" meth="withinLinear" id="15">
  <a:schemeClr val="accent2"/>
</cs:colorStyle>
</file>

<file path=xl/charts/colors40.xml><?xml version="1.0" encoding="utf-8"?>
<cs:colorStyle xmlns:cs="http://schemas.microsoft.com/office/drawing/2012/chartStyle" xmlns:a="http://schemas.openxmlformats.org/drawingml/2006/main" meth="withinLinear" id="19">
  <a:schemeClr val="accent6"/>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84">
  <cs:axisTitle>
    <cs:lnRef idx="0"/>
    <cs:fillRef idx="0"/>
    <cs:effectRef idx="0"/>
    <cs:fontRef idx="minor">
      <a:schemeClr val="tx1">
        <a:lumMod val="50000"/>
        <a:lumOff val="50000"/>
      </a:schemeClr>
    </cs:fontRef>
    <cs:defRPr sz="900"/>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cs:chartArea>
  <cs:dataLabel>
    <cs:lnRef idx="0"/>
    <cs:fillRef idx="0"/>
    <cs:effectRef idx="0"/>
    <cs:fontRef idx="minor">
      <a:schemeClr val="tx1">
        <a:lumMod val="50000"/>
        <a:lumOff val="50000"/>
      </a:schemeClr>
    </cs:fontRef>
    <cs:defRPr sz="900"/>
  </cs:dataLabel>
  <cs:dataLabelCallout>
    <cs:lnRef idx="0"/>
    <cs:fillRef idx="0"/>
    <cs:effectRef idx="0"/>
    <cs:fontRef idx="minor">
      <a:schemeClr val="dk1">
        <a:lumMod val="50000"/>
        <a:lumOff val="50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ln w="9525" cap="flat" cmpd="sng" algn="ctr">
        <a:solidFill>
          <a:schemeClr val="phClr">
            <a:alpha val="50000"/>
          </a:schemeClr>
        </a:solidFill>
        <a:round/>
      </a:ln>
    </cs:spPr>
  </cs:dataPoint>
  <cs:dataPoint3D>
    <cs:lnRef idx="0">
      <cs:styleClr val="auto"/>
    </cs:lnRef>
    <cs:fillRef idx="0">
      <cs:styleClr val="auto"/>
    </cs:fillRef>
    <cs:effectRef idx="0"/>
    <cs:fontRef idx="minor">
      <a:schemeClr val="dk1"/>
    </cs:fontRef>
    <cs:spPr>
      <a:solidFill>
        <a:schemeClr val="phClr"/>
      </a:solidFill>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4"/>
  <cs:dataPointWireframe>
    <cs:lnRef idx="0">
      <cs:styleClr val="auto"/>
    </cs:lnRef>
    <cs:fillRef idx="0"/>
    <cs:effectRef idx="0"/>
    <cs:fontRef idx="minor">
      <a:schemeClr val="dk1"/>
    </cs:fontRef>
    <cs:spPr>
      <a:ln w="2857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50000"/>
        <a:lumOff val="50000"/>
      </a:schemeClr>
    </cs:fontRef>
    <cs:defRPr sz="9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dk1"/>
    </cs:fontRef>
    <cs:spPr>
      <a:ln w="9525" cap="flat">
        <a:solidFill>
          <a:srgbClr val="D9D9D9"/>
        </a:solidFill>
        <a:round/>
      </a:ln>
    </cs:spPr>
  </cs:seriesLine>
  <cs:title>
    <cs:lnRef idx="0"/>
    <cs:fillRef idx="0"/>
    <cs:effectRef idx="0"/>
    <cs:fontRef idx="minor">
      <a:schemeClr val="tx1">
        <a:lumMod val="50000"/>
        <a:lumOff val="50000"/>
      </a:schemeClr>
    </cs:fontRef>
    <cs:defRPr sz="1400" cap="none" spc="2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50000"/>
        <a:lumOff val="50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50000"/>
        <a:lumOff val="50000"/>
      </a:schemeClr>
    </cs:fontRef>
    <cs:defRPr sz="9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84">
  <cs:axisTitle>
    <cs:lnRef idx="0"/>
    <cs:fillRef idx="0"/>
    <cs:effectRef idx="0"/>
    <cs:fontRef idx="minor">
      <a:schemeClr val="tx1">
        <a:lumMod val="50000"/>
        <a:lumOff val="50000"/>
      </a:schemeClr>
    </cs:fontRef>
    <cs:defRPr sz="900"/>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cs:chartArea>
  <cs:dataLabel>
    <cs:lnRef idx="0"/>
    <cs:fillRef idx="0"/>
    <cs:effectRef idx="0"/>
    <cs:fontRef idx="minor">
      <a:schemeClr val="tx1">
        <a:lumMod val="50000"/>
        <a:lumOff val="50000"/>
      </a:schemeClr>
    </cs:fontRef>
    <cs:defRPr sz="900"/>
  </cs:dataLabel>
  <cs:dataLabelCallout>
    <cs:lnRef idx="0"/>
    <cs:fillRef idx="0"/>
    <cs:effectRef idx="0"/>
    <cs:fontRef idx="minor">
      <a:schemeClr val="dk1">
        <a:lumMod val="50000"/>
        <a:lumOff val="50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ln w="9525" cap="flat" cmpd="sng" algn="ctr">
        <a:solidFill>
          <a:schemeClr val="phClr">
            <a:alpha val="50000"/>
          </a:schemeClr>
        </a:solidFill>
        <a:round/>
      </a:ln>
    </cs:spPr>
  </cs:dataPoint>
  <cs:dataPoint3D>
    <cs:lnRef idx="0">
      <cs:styleClr val="auto"/>
    </cs:lnRef>
    <cs:fillRef idx="0">
      <cs:styleClr val="auto"/>
    </cs:fillRef>
    <cs:effectRef idx="0"/>
    <cs:fontRef idx="minor">
      <a:schemeClr val="dk1"/>
    </cs:fontRef>
    <cs:spPr>
      <a:solidFill>
        <a:schemeClr val="phClr"/>
      </a:solidFill>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4"/>
  <cs:dataPointWireframe>
    <cs:lnRef idx="0">
      <cs:styleClr val="auto"/>
    </cs:lnRef>
    <cs:fillRef idx="0"/>
    <cs:effectRef idx="0"/>
    <cs:fontRef idx="minor">
      <a:schemeClr val="dk1"/>
    </cs:fontRef>
    <cs:spPr>
      <a:ln w="2857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50000"/>
        <a:lumOff val="50000"/>
      </a:schemeClr>
    </cs:fontRef>
    <cs:defRPr sz="9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dk1"/>
    </cs:fontRef>
    <cs:spPr>
      <a:ln w="9525" cap="flat">
        <a:solidFill>
          <a:srgbClr val="D9D9D9"/>
        </a:solidFill>
        <a:round/>
      </a:ln>
    </cs:spPr>
  </cs:seriesLine>
  <cs:title>
    <cs:lnRef idx="0"/>
    <cs:fillRef idx="0"/>
    <cs:effectRef idx="0"/>
    <cs:fontRef idx="minor">
      <a:schemeClr val="tx1">
        <a:lumMod val="50000"/>
        <a:lumOff val="50000"/>
      </a:schemeClr>
    </cs:fontRef>
    <cs:defRPr sz="1400" cap="none" spc="2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50000"/>
        <a:lumOff val="50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50000"/>
        <a:lumOff val="50000"/>
      </a:schemeClr>
    </cs:fontRef>
    <cs:defRPr sz="9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84">
  <cs:axisTitle>
    <cs:lnRef idx="0"/>
    <cs:fillRef idx="0"/>
    <cs:effectRef idx="0"/>
    <cs:fontRef idx="minor">
      <a:schemeClr val="tx1">
        <a:lumMod val="50000"/>
        <a:lumOff val="50000"/>
      </a:schemeClr>
    </cs:fontRef>
    <cs:defRPr sz="900"/>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cs:chartArea>
  <cs:dataLabel>
    <cs:lnRef idx="0"/>
    <cs:fillRef idx="0"/>
    <cs:effectRef idx="0"/>
    <cs:fontRef idx="minor">
      <a:schemeClr val="tx1">
        <a:lumMod val="50000"/>
        <a:lumOff val="50000"/>
      </a:schemeClr>
    </cs:fontRef>
    <cs:defRPr sz="900"/>
  </cs:dataLabel>
  <cs:dataLabelCallout>
    <cs:lnRef idx="0"/>
    <cs:fillRef idx="0"/>
    <cs:effectRef idx="0"/>
    <cs:fontRef idx="minor">
      <a:schemeClr val="dk1">
        <a:lumMod val="50000"/>
        <a:lumOff val="50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ln w="9525" cap="flat" cmpd="sng" algn="ctr">
        <a:solidFill>
          <a:schemeClr val="phClr">
            <a:alpha val="50000"/>
          </a:schemeClr>
        </a:solidFill>
        <a:round/>
      </a:ln>
    </cs:spPr>
  </cs:dataPoint>
  <cs:dataPoint3D>
    <cs:lnRef idx="0">
      <cs:styleClr val="auto"/>
    </cs:lnRef>
    <cs:fillRef idx="0">
      <cs:styleClr val="auto"/>
    </cs:fillRef>
    <cs:effectRef idx="0"/>
    <cs:fontRef idx="minor">
      <a:schemeClr val="dk1"/>
    </cs:fontRef>
    <cs:spPr>
      <a:solidFill>
        <a:schemeClr val="phClr"/>
      </a:solidFill>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4"/>
  <cs:dataPointWireframe>
    <cs:lnRef idx="0">
      <cs:styleClr val="auto"/>
    </cs:lnRef>
    <cs:fillRef idx="0"/>
    <cs:effectRef idx="0"/>
    <cs:fontRef idx="minor">
      <a:schemeClr val="dk1"/>
    </cs:fontRef>
    <cs:spPr>
      <a:ln w="2857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15000"/>
            <a:lumOff val="85000"/>
            <a:lumOff val="10000"/>
          </a:schemeClr>
        </a:solidFill>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50000"/>
        <a:lumOff val="50000"/>
      </a:schemeClr>
    </cs:fontRef>
    <cs:defRPr sz="9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dk1"/>
    </cs:fontRef>
    <cs:spPr>
      <a:ln w="9525" cap="flat">
        <a:solidFill>
          <a:srgbClr val="D9D9D9"/>
        </a:solidFill>
        <a:round/>
      </a:ln>
    </cs:spPr>
  </cs:seriesLine>
  <cs:title>
    <cs:lnRef idx="0"/>
    <cs:fillRef idx="0"/>
    <cs:effectRef idx="0"/>
    <cs:fontRef idx="minor">
      <a:schemeClr val="tx1">
        <a:lumMod val="50000"/>
        <a:lumOff val="50000"/>
      </a:schemeClr>
    </cs:fontRef>
    <cs:defRPr sz="1400" cap="none" spc="2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50000"/>
        <a:lumOff val="50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50000"/>
        <a:lumOff val="50000"/>
      </a:schemeClr>
    </cs:fontRef>
    <cs:defRPr sz="9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419">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1.xml><?xml version="1.0" encoding="utf-8"?>
<cs:chartStyle xmlns:cs="http://schemas.microsoft.com/office/drawing/2012/chartStyle" xmlns:a="http://schemas.openxmlformats.org/drawingml/2006/main" id="344">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5.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9.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7.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8.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9.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0.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1.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2.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3.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4.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5.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6.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7.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8.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9.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0.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1.xml><?xml version="1.0" encoding="utf-8"?>
<cs:chartStyle xmlns:cs="http://schemas.microsoft.com/office/drawing/2012/chartStyle" xmlns:a="http://schemas.openxmlformats.org/drawingml/2006/main" id="310">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800" b="1"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3.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4.xml><?xml version="1.0" encoding="utf-8"?>
<cs:chartStyle xmlns:cs="http://schemas.microsoft.com/office/drawing/2012/chartStyle" xmlns:a="http://schemas.openxmlformats.org/drawingml/2006/main" id="310">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800" b="1"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5.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56.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microsoft.com/office/2014/relationships/chartEx" Target="../charts/chartEx3.xml"/><Relationship Id="rId3" Type="http://schemas.openxmlformats.org/officeDocument/2006/relationships/chart" Target="../charts/chart2.xml"/><Relationship Id="rId7" Type="http://schemas.openxmlformats.org/officeDocument/2006/relationships/chart" Target="../charts/chart4.xml"/><Relationship Id="rId2" Type="http://schemas.openxmlformats.org/officeDocument/2006/relationships/chart" Target="../charts/chart1.xml"/><Relationship Id="rId1" Type="http://schemas.openxmlformats.org/officeDocument/2006/relationships/hyperlink" Target="https://par-jarjestelma.fi/tiedonsiirto/" TargetMode="External"/><Relationship Id="rId6" Type="http://schemas.openxmlformats.org/officeDocument/2006/relationships/chart" Target="../charts/chart3.xml"/><Relationship Id="rId5" Type="http://schemas.microsoft.com/office/2014/relationships/chartEx" Target="../charts/chartEx2.xml"/><Relationship Id="rId10" Type="http://schemas.microsoft.com/office/2014/relationships/chartEx" Target="../charts/chartEx5.xml"/><Relationship Id="rId4" Type="http://schemas.microsoft.com/office/2014/relationships/chartEx" Target="../charts/chartEx1.xml"/><Relationship Id="rId9" Type="http://schemas.microsoft.com/office/2014/relationships/chartEx" Target="../charts/chartEx4.xml"/></Relationships>
</file>

<file path=xl/drawings/_rels/drawing2.xml.rels><?xml version="1.0" encoding="UTF-8" standalone="yes"?>
<Relationships xmlns="http://schemas.openxmlformats.org/package/2006/relationships"><Relationship Id="rId1" Type="http://schemas.openxmlformats.org/officeDocument/2006/relationships/hyperlink" Target="https://docs.google.com/spreadsheets/d/11XsxgabT1VkXGbt8rKDj7hLTxycgMUnr/edit?usp=sharing&amp;ouid=108112807371717172746&amp;rtpof=true&amp;sd=true" TargetMode="External"/></Relationships>
</file>

<file path=xl/drawings/_rels/drawing4.xml.rels><?xml version="1.0" encoding="UTF-8" standalone="yes"?>
<Relationships xmlns="http://schemas.openxmlformats.org/package/2006/relationships"><Relationship Id="rId8" Type="http://schemas.openxmlformats.org/officeDocument/2006/relationships/chart" Target="../charts/chart12.xml"/><Relationship Id="rId13" Type="http://schemas.openxmlformats.org/officeDocument/2006/relationships/chart" Target="../charts/chart16.xml"/><Relationship Id="rId3" Type="http://schemas.openxmlformats.org/officeDocument/2006/relationships/chart" Target="../charts/chart7.xml"/><Relationship Id="rId7" Type="http://schemas.openxmlformats.org/officeDocument/2006/relationships/chart" Target="../charts/chart11.xml"/><Relationship Id="rId12" Type="http://schemas.openxmlformats.org/officeDocument/2006/relationships/chart" Target="../charts/chart15.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11" Type="http://schemas.openxmlformats.org/officeDocument/2006/relationships/chart" Target="../charts/chart14.xml"/><Relationship Id="rId5" Type="http://schemas.openxmlformats.org/officeDocument/2006/relationships/chart" Target="../charts/chart9.xml"/><Relationship Id="rId10" Type="http://schemas.openxmlformats.org/officeDocument/2006/relationships/chart" Target="../charts/chart13.xml"/><Relationship Id="rId4" Type="http://schemas.openxmlformats.org/officeDocument/2006/relationships/chart" Target="../charts/chart8.xml"/><Relationship Id="rId9" Type="http://schemas.microsoft.com/office/2014/relationships/chartEx" Target="../charts/chartEx6.xml"/></Relationships>
</file>

<file path=xl/drawings/_rels/drawing5.xml.rels><?xml version="1.0" encoding="UTF-8" standalone="yes"?>
<Relationships xmlns="http://schemas.openxmlformats.org/package/2006/relationships"><Relationship Id="rId3" Type="http://schemas.microsoft.com/office/2014/relationships/chartEx" Target="../charts/chartEx8.xml"/><Relationship Id="rId2" Type="http://schemas.microsoft.com/office/2014/relationships/chartEx" Target="../charts/chartEx7.xml"/><Relationship Id="rId1" Type="http://schemas.openxmlformats.org/officeDocument/2006/relationships/chart" Target="../charts/chart1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7.xml.rels><?xml version="1.0" encoding="UTF-8" standalone="yes"?>
<Relationships xmlns="http://schemas.openxmlformats.org/package/2006/relationships"><Relationship Id="rId8" Type="http://schemas.openxmlformats.org/officeDocument/2006/relationships/chart" Target="../charts/chart24.xml"/><Relationship Id="rId3" Type="http://schemas.microsoft.com/office/2014/relationships/chartEx" Target="../charts/chartEx10.xml"/><Relationship Id="rId7" Type="http://schemas.openxmlformats.org/officeDocument/2006/relationships/chart" Target="../charts/chart23.xml"/><Relationship Id="rId2" Type="http://schemas.microsoft.com/office/2014/relationships/chartEx" Target="../charts/chartEx9.xml"/><Relationship Id="rId1" Type="http://schemas.openxmlformats.org/officeDocument/2006/relationships/chart" Target="../charts/chart19.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 Id="rId9" Type="http://schemas.openxmlformats.org/officeDocument/2006/relationships/chart" Target="../charts/chart25.xml"/></Relationships>
</file>

<file path=xl/drawings/_rels/drawing8.xml.rels><?xml version="1.0" encoding="UTF-8" standalone="yes"?>
<Relationships xmlns="http://schemas.openxmlformats.org/package/2006/relationships"><Relationship Id="rId8" Type="http://schemas.microsoft.com/office/2014/relationships/chartEx" Target="../charts/chartEx13.xml"/><Relationship Id="rId13" Type="http://schemas.microsoft.com/office/2014/relationships/chartEx" Target="../charts/chartEx18.xml"/><Relationship Id="rId3" Type="http://schemas.openxmlformats.org/officeDocument/2006/relationships/chart" Target="../charts/chart28.xml"/><Relationship Id="rId7" Type="http://schemas.microsoft.com/office/2014/relationships/chartEx" Target="../charts/chartEx12.xml"/><Relationship Id="rId12" Type="http://schemas.microsoft.com/office/2014/relationships/chartEx" Target="../charts/chartEx17.xml"/><Relationship Id="rId2" Type="http://schemas.openxmlformats.org/officeDocument/2006/relationships/chart" Target="../charts/chart27.xml"/><Relationship Id="rId1" Type="http://schemas.openxmlformats.org/officeDocument/2006/relationships/chart" Target="../charts/chart26.xml"/><Relationship Id="rId6" Type="http://schemas.microsoft.com/office/2014/relationships/chartEx" Target="../charts/chartEx11.xml"/><Relationship Id="rId11" Type="http://schemas.microsoft.com/office/2014/relationships/chartEx" Target="../charts/chartEx16.xml"/><Relationship Id="rId5" Type="http://schemas.openxmlformats.org/officeDocument/2006/relationships/chart" Target="../charts/chart30.xml"/><Relationship Id="rId15" Type="http://schemas.microsoft.com/office/2014/relationships/chartEx" Target="../charts/chartEx20.xml"/><Relationship Id="rId10" Type="http://schemas.microsoft.com/office/2014/relationships/chartEx" Target="../charts/chartEx15.xml"/><Relationship Id="rId4" Type="http://schemas.openxmlformats.org/officeDocument/2006/relationships/chart" Target="../charts/chart29.xml"/><Relationship Id="rId9" Type="http://schemas.microsoft.com/office/2014/relationships/chartEx" Target="../charts/chartEx14.xml"/><Relationship Id="rId14" Type="http://schemas.microsoft.com/office/2014/relationships/chartEx" Target="../charts/chartEx19.xml"/></Relationships>
</file>

<file path=xl/drawings/_rels/drawing9.xml.rels><?xml version="1.0" encoding="UTF-8" standalone="yes"?>
<Relationships xmlns="http://schemas.openxmlformats.org/package/2006/relationships"><Relationship Id="rId3" Type="http://schemas.openxmlformats.org/officeDocument/2006/relationships/chart" Target="../charts/chart33.xm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chart" Target="../charts/chart36.xml"/><Relationship Id="rId5" Type="http://schemas.openxmlformats.org/officeDocument/2006/relationships/chart" Target="../charts/chart35.xml"/><Relationship Id="rId4" Type="http://schemas.openxmlformats.org/officeDocument/2006/relationships/chart" Target="../charts/chart34.xml"/></Relationships>
</file>

<file path=xl/drawings/drawing1.xml><?xml version="1.0" encoding="utf-8"?>
<xdr:wsDr xmlns:xdr="http://schemas.openxmlformats.org/drawingml/2006/spreadsheetDrawing" xmlns:a="http://schemas.openxmlformats.org/drawingml/2006/main">
  <xdr:twoCellAnchor editAs="absolute">
    <xdr:from>
      <xdr:col>0</xdr:col>
      <xdr:colOff>38100</xdr:colOff>
      <xdr:row>0</xdr:row>
      <xdr:rowOff>49053</xdr:rowOff>
    </xdr:from>
    <xdr:to>
      <xdr:col>4</xdr:col>
      <xdr:colOff>419101</xdr:colOff>
      <xdr:row>7</xdr:row>
      <xdr:rowOff>85725</xdr:rowOff>
    </xdr:to>
    <xdr:sp macro="" textlink="">
      <xdr:nvSpPr>
        <xdr:cNvPr id="2" name="Tekstiruutu 1">
          <a:hlinkClick xmlns:r="http://schemas.openxmlformats.org/officeDocument/2006/relationships" r:id="rId1"/>
          <a:extLst>
            <a:ext uri="{FF2B5EF4-FFF2-40B4-BE49-F238E27FC236}">
              <a16:creationId xmlns:a16="http://schemas.microsoft.com/office/drawing/2014/main" id="{5F19BB3B-36B9-4A75-AAA8-D470F89387D6}"/>
            </a:ext>
          </a:extLst>
        </xdr:cNvPr>
        <xdr:cNvSpPr txBox="1"/>
      </xdr:nvSpPr>
      <xdr:spPr>
        <a:xfrm>
          <a:off x="38100" y="49053"/>
          <a:ext cx="9525001" cy="2036922"/>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fi-FI" sz="1100" b="1" baseline="0">
              <a:solidFill>
                <a:schemeClr val="dk1"/>
              </a:solidFill>
              <a:effectLst/>
              <a:latin typeface="+mn-lt"/>
              <a:ea typeface="+mn-ea"/>
              <a:cs typeface="+mn-cs"/>
            </a:rPr>
            <a:t>VUOSIPARKISTA: </a:t>
          </a:r>
          <a:r>
            <a:rPr lang="fi-FI" sz="1100" b="0" baseline="0">
              <a:solidFill>
                <a:schemeClr val="dk1"/>
              </a:solidFill>
              <a:effectLst/>
              <a:latin typeface="+mn-lt"/>
              <a:ea typeface="+mn-ea"/>
              <a:cs typeface="+mn-cs"/>
            </a:rPr>
            <a:t>Asiakastilastoja EI muuteta Parkki-sivulla Excelissä, vaan PAR-järjestelmän kautta asiakaskohtaisesti, jonka jälkeen tilastot otetaan uudestaan.</a:t>
          </a:r>
        </a:p>
        <a:p>
          <a:pPr eaLnBrk="1" fontAlgn="auto" latinLnBrk="0" hangingPunct="1"/>
          <a:endParaRPr lang="fi-FI" sz="1100" b="0" baseline="0">
            <a:solidFill>
              <a:schemeClr val="dk1"/>
            </a:solidFill>
            <a:effectLst/>
            <a:latin typeface="+mn-lt"/>
            <a:ea typeface="+mn-ea"/>
            <a:cs typeface="+mn-cs"/>
          </a:endParaRPr>
        </a:p>
        <a:p>
          <a:pPr eaLnBrk="1" fontAlgn="auto" latinLnBrk="0" hangingPunct="1"/>
          <a:r>
            <a:rPr lang="fi-FI" sz="1100" b="0" baseline="0">
              <a:solidFill>
                <a:schemeClr val="dk1"/>
              </a:solidFill>
              <a:effectLst/>
              <a:latin typeface="+mn-lt"/>
              <a:ea typeface="+mn-ea"/>
              <a:cs typeface="+mn-cs"/>
            </a:rPr>
            <a:t>TARKISTETUT tilastot lähetetään aina osoitteeseen </a:t>
          </a:r>
          <a:r>
            <a:rPr lang="fi-FI" sz="1100" b="1" baseline="0">
              <a:solidFill>
                <a:schemeClr val="dk1"/>
              </a:solidFill>
              <a:effectLst/>
              <a:latin typeface="+mn-lt"/>
              <a:ea typeface="+mn-ea"/>
              <a:cs typeface="+mn-cs"/>
            </a:rPr>
            <a:t>https://par-jarjestelma.fi/tiedonsiirto/</a:t>
          </a:r>
          <a:endParaRPr lang="fi-FI">
            <a:effectLst/>
          </a:endParaRPr>
        </a:p>
        <a:p>
          <a:pPr eaLnBrk="1" fontAlgn="auto" latinLnBrk="0" hangingPunct="1"/>
          <a:endParaRPr lang="fi-FI" sz="1100" b="1" baseline="0">
            <a:solidFill>
              <a:schemeClr val="dk1"/>
            </a:solidFill>
            <a:effectLst/>
            <a:latin typeface="+mn-lt"/>
            <a:ea typeface="+mn-ea"/>
            <a:cs typeface="+mn-cs"/>
          </a:endParaRPr>
        </a:p>
        <a:p>
          <a:pPr eaLnBrk="1" fontAlgn="auto" latinLnBrk="0" hangingPunct="1"/>
          <a:r>
            <a:rPr lang="fi-FI" sz="1100" b="0" baseline="0">
              <a:solidFill>
                <a:schemeClr val="dk1"/>
              </a:solidFill>
              <a:effectLst/>
              <a:latin typeface="+mn-lt"/>
              <a:ea typeface="+mn-ea"/>
              <a:cs typeface="+mn-cs"/>
            </a:rPr>
            <a:t>Erityistapauksissa ota yhteyttä </a:t>
          </a:r>
          <a:r>
            <a:rPr lang="fi-FI" sz="1100" b="1">
              <a:solidFill>
                <a:schemeClr val="dk1"/>
              </a:solidFill>
              <a:effectLst/>
              <a:latin typeface="+mn-lt"/>
              <a:ea typeface="+mn-ea"/>
              <a:cs typeface="+mn-cs"/>
            </a:rPr>
            <a:t>tuulikki.nieminen@avi.fi</a:t>
          </a:r>
          <a:r>
            <a:rPr lang="fi-FI" sz="1100" b="1" baseline="0">
              <a:solidFill>
                <a:schemeClr val="dk1"/>
              </a:solidFill>
              <a:effectLst/>
              <a:latin typeface="+mn-lt"/>
              <a:ea typeface="+mn-ea"/>
              <a:cs typeface="+mn-cs"/>
            </a:rPr>
            <a:t> </a:t>
          </a:r>
          <a:r>
            <a:rPr lang="fi-FI" sz="1100" b="0" baseline="0">
              <a:solidFill>
                <a:schemeClr val="dk1"/>
              </a:solidFill>
              <a:effectLst/>
              <a:latin typeface="+mn-lt"/>
              <a:ea typeface="+mn-ea"/>
              <a:cs typeface="+mn-cs"/>
            </a:rPr>
            <a:t>otsikolla </a:t>
          </a:r>
          <a:r>
            <a:rPr lang="fi-FI" sz="1100" b="1" baseline="0">
              <a:solidFill>
                <a:schemeClr val="dk1"/>
              </a:solidFill>
              <a:effectLst/>
              <a:latin typeface="+mn-lt"/>
              <a:ea typeface="+mn-ea"/>
              <a:cs typeface="+mn-cs"/>
            </a:rPr>
            <a:t>"VUOSITILASTO + kunnan nimi" tai kirjoita lisäselvitys tiedonsiirron yhteyteen</a:t>
          </a:r>
        </a:p>
        <a:p>
          <a:pPr eaLnBrk="1" fontAlgn="auto" latinLnBrk="0" hangingPunct="1"/>
          <a:r>
            <a:rPr lang="fi-FI" sz="1100" b="1"/>
            <a:t>_________________________________________________________________________</a:t>
          </a:r>
        </a:p>
        <a:p>
          <a:r>
            <a:rPr lang="fi-FI" sz="1100" b="1" baseline="0"/>
            <a:t>HUOM! </a:t>
          </a:r>
          <a:r>
            <a:rPr lang="fi-FI" sz="1100" baseline="0"/>
            <a:t>Jos tarkistelet lukuja aikaisemmille vuosille niin huomaathan, että tilasto on aina tilannekuva, joka muuttuu asiakasprosessin myötä.</a:t>
          </a:r>
        </a:p>
        <a:p>
          <a:endParaRPr lang="fi-FI" sz="1100" baseline="0"/>
        </a:p>
        <a:p>
          <a:r>
            <a:rPr lang="fi-FI" sz="1100" b="1">
              <a:solidFill>
                <a:schemeClr val="dk1"/>
              </a:solidFill>
              <a:effectLst/>
              <a:latin typeface="+mn-lt"/>
              <a:ea typeface="+mn-ea"/>
              <a:cs typeface="+mn-cs"/>
            </a:rPr>
            <a:t>Parkkii haetaan aina KAIKKI tiedot</a:t>
          </a:r>
          <a:r>
            <a:rPr lang="fi-FI" sz="1100" b="1" baseline="0">
              <a:solidFill>
                <a:schemeClr val="dk1"/>
              </a:solidFill>
              <a:effectLst/>
              <a:latin typeface="+mn-lt"/>
              <a:ea typeface="+mn-ea"/>
              <a:cs typeface="+mn-cs"/>
            </a:rPr>
            <a:t>: </a:t>
          </a:r>
          <a:r>
            <a:rPr lang="fi-FI" sz="1100" baseline="0">
              <a:solidFill>
                <a:schemeClr val="dk1"/>
              </a:solidFill>
              <a:effectLst/>
              <a:latin typeface="+mn-lt"/>
              <a:ea typeface="+mn-ea"/>
              <a:cs typeface="+mn-cs"/>
            </a:rPr>
            <a:t>kunnat, yksiköt, asiakkuudet ja toimenpiteet. </a:t>
          </a:r>
          <a:endParaRPr lang="fi-FI">
            <a:effectLst/>
          </a:endParaRPr>
        </a:p>
        <a:p>
          <a:r>
            <a:rPr lang="fi-FI" sz="1100" baseline="0">
              <a:solidFill>
                <a:schemeClr val="dk1"/>
              </a:solidFill>
              <a:effectLst/>
              <a:latin typeface="+mn-lt"/>
              <a:ea typeface="+mn-ea"/>
              <a:cs typeface="+mn-cs"/>
            </a:rPr>
            <a:t>Voit kuitenkin suodattaa tietoja myös tällä sivulla omiin tarpeisiisi haluamallasi tavalla muuttamalla hakuarvoja - myös hakuaikaa.</a:t>
          </a:r>
          <a:endParaRPr lang="fi-FI" sz="1100" baseline="0"/>
        </a:p>
      </xdr:txBody>
    </xdr:sp>
    <xdr:clientData fPrintsWithSheet="0"/>
  </xdr:twoCellAnchor>
  <xdr:twoCellAnchor>
    <xdr:from>
      <xdr:col>5</xdr:col>
      <xdr:colOff>47625</xdr:colOff>
      <xdr:row>108</xdr:row>
      <xdr:rowOff>47625</xdr:rowOff>
    </xdr:from>
    <xdr:to>
      <xdr:col>10</xdr:col>
      <xdr:colOff>0</xdr:colOff>
      <xdr:row>113</xdr:row>
      <xdr:rowOff>161925</xdr:rowOff>
    </xdr:to>
    <xdr:sp macro="" textlink="">
      <xdr:nvSpPr>
        <xdr:cNvPr id="3" name="Tekstiruutu 2">
          <a:extLst>
            <a:ext uri="{FF2B5EF4-FFF2-40B4-BE49-F238E27FC236}">
              <a16:creationId xmlns:a16="http://schemas.microsoft.com/office/drawing/2014/main" id="{9AB34E6F-5AEA-49B7-9F27-632455783937}"/>
            </a:ext>
          </a:extLst>
        </xdr:cNvPr>
        <xdr:cNvSpPr txBox="1"/>
      </xdr:nvSpPr>
      <xdr:spPr>
        <a:xfrm>
          <a:off x="9801225" y="21488400"/>
          <a:ext cx="5267325"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000">
              <a:solidFill>
                <a:schemeClr val="dk1"/>
              </a:solidFill>
              <a:effectLst/>
              <a:latin typeface="+mn-lt"/>
              <a:ea typeface="+mn-ea"/>
              <a:cs typeface="+mn-cs"/>
            </a:rPr>
            <a:t>Valmentautujalla voi olla esim.</a:t>
          </a:r>
          <a:r>
            <a:rPr lang="fi-FI" sz="1000" baseline="0">
              <a:solidFill>
                <a:schemeClr val="dk1"/>
              </a:solidFill>
              <a:effectLst/>
              <a:latin typeface="+mn-lt"/>
              <a:ea typeface="+mn-ea"/>
              <a:cs typeface="+mn-cs"/>
            </a:rPr>
            <a:t> useita kuntouttavan työtoiminnan sopimusjaksoja yhden vuoden aikana, mutta laskuriin tulee näkyviin vain 1 kuntouttava työtoiminta/valmentautuja. </a:t>
          </a:r>
        </a:p>
        <a:p>
          <a:endParaRPr lang="fi-FI" sz="1000">
            <a:effectLst/>
          </a:endParaRPr>
        </a:p>
        <a:p>
          <a:r>
            <a:rPr lang="fi-FI" sz="1000" baseline="0">
              <a:solidFill>
                <a:schemeClr val="dk1"/>
              </a:solidFill>
              <a:effectLst/>
              <a:latin typeface="+mn-lt"/>
              <a:ea typeface="+mn-ea"/>
              <a:cs typeface="+mn-cs"/>
            </a:rPr>
            <a:t>Toimenpide-lehdellä on näkyvissä oletuksena sama laskutapa. </a:t>
          </a:r>
        </a:p>
        <a:p>
          <a:r>
            <a:rPr lang="fi-FI" sz="1000" baseline="0">
              <a:solidFill>
                <a:schemeClr val="dk1"/>
              </a:solidFill>
              <a:effectLst/>
              <a:latin typeface="+mn-lt"/>
              <a:ea typeface="+mn-ea"/>
              <a:cs typeface="+mn-cs"/>
            </a:rPr>
            <a:t>HUOM! Voit myös hakea toimenpiteet kaikilta jaksoilta toimenpide-lehdellä, joten esim. kuntouttava työtoiminta voi näkyä useasti, kuten ennenkin!</a:t>
          </a:r>
          <a:endParaRPr lang="fi-FI" sz="1000">
            <a:effectLst/>
          </a:endParaRPr>
        </a:p>
      </xdr:txBody>
    </xdr:sp>
    <xdr:clientData/>
  </xdr:twoCellAnchor>
  <xdr:twoCellAnchor>
    <xdr:from>
      <xdr:col>5</xdr:col>
      <xdr:colOff>219074</xdr:colOff>
      <xdr:row>25</xdr:row>
      <xdr:rowOff>76200</xdr:rowOff>
    </xdr:from>
    <xdr:to>
      <xdr:col>10</xdr:col>
      <xdr:colOff>407295</xdr:colOff>
      <xdr:row>34</xdr:row>
      <xdr:rowOff>114299</xdr:rowOff>
    </xdr:to>
    <xdr:graphicFrame macro="">
      <xdr:nvGraphicFramePr>
        <xdr:cNvPr id="8" name="Kaavio 7">
          <a:extLst>
            <a:ext uri="{FF2B5EF4-FFF2-40B4-BE49-F238E27FC236}">
              <a16:creationId xmlns:a16="http://schemas.microsoft.com/office/drawing/2014/main" id="{4EC2B9F8-0B38-4C2A-B38F-C8A6DB03531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190499</xdr:colOff>
      <xdr:row>12</xdr:row>
      <xdr:rowOff>104775</xdr:rowOff>
    </xdr:from>
    <xdr:to>
      <xdr:col>10</xdr:col>
      <xdr:colOff>400050</xdr:colOff>
      <xdr:row>23</xdr:row>
      <xdr:rowOff>100012</xdr:rowOff>
    </xdr:to>
    <xdr:graphicFrame macro="">
      <xdr:nvGraphicFramePr>
        <xdr:cNvPr id="9" name="Kaavio 8">
          <a:extLst>
            <a:ext uri="{FF2B5EF4-FFF2-40B4-BE49-F238E27FC236}">
              <a16:creationId xmlns:a16="http://schemas.microsoft.com/office/drawing/2014/main" id="{1A461140-350C-4AE1-A52F-61FEE12163B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5</xdr:col>
      <xdr:colOff>190500</xdr:colOff>
      <xdr:row>36</xdr:row>
      <xdr:rowOff>152399</xdr:rowOff>
    </xdr:from>
    <xdr:to>
      <xdr:col>10</xdr:col>
      <xdr:colOff>381000</xdr:colOff>
      <xdr:row>59</xdr:row>
      <xdr:rowOff>66674</xdr:rowOff>
    </xdr:to>
    <mc:AlternateContent xmlns:mc="http://schemas.openxmlformats.org/markup-compatibility/2006">
      <mc:Choice xmlns:cx1="http://schemas.microsoft.com/office/drawing/2015/9/8/chartex" Requires="cx1">
        <xdr:graphicFrame macro="">
          <xdr:nvGraphicFramePr>
            <xdr:cNvPr id="11" name="Kaavio 10">
              <a:extLst>
                <a:ext uri="{FF2B5EF4-FFF2-40B4-BE49-F238E27FC236}">
                  <a16:creationId xmlns:a16="http://schemas.microsoft.com/office/drawing/2014/main" id="{707AB965-CD21-4864-998D-FF85A69B219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9944100" y="7867649"/>
              <a:ext cx="5505450" cy="4295775"/>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editAs="absolute">
    <xdr:from>
      <xdr:col>5</xdr:col>
      <xdr:colOff>123825</xdr:colOff>
      <xdr:row>91</xdr:row>
      <xdr:rowOff>114300</xdr:rowOff>
    </xdr:from>
    <xdr:to>
      <xdr:col>10</xdr:col>
      <xdr:colOff>447675</xdr:colOff>
      <xdr:row>106</xdr:row>
      <xdr:rowOff>38100</xdr:rowOff>
    </xdr:to>
    <mc:AlternateContent xmlns:mc="http://schemas.openxmlformats.org/markup-compatibility/2006">
      <mc:Choice xmlns:cx1="http://schemas.microsoft.com/office/drawing/2015/9/8/chartex" Requires="cx1">
        <xdr:graphicFrame macro="">
          <xdr:nvGraphicFramePr>
            <xdr:cNvPr id="13" name="Kaavio 12">
              <a:extLst>
                <a:ext uri="{FF2B5EF4-FFF2-40B4-BE49-F238E27FC236}">
                  <a16:creationId xmlns:a16="http://schemas.microsoft.com/office/drawing/2014/main" id="{B0737857-E4DA-4732-84D8-5DC33F7F99E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xfrm>
              <a:off x="9877425" y="18316575"/>
              <a:ext cx="5638800" cy="2781300"/>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9</xdr:col>
      <xdr:colOff>95250</xdr:colOff>
      <xdr:row>156</xdr:row>
      <xdr:rowOff>114299</xdr:rowOff>
    </xdr:from>
    <xdr:to>
      <xdr:col>12</xdr:col>
      <xdr:colOff>1866899</xdr:colOff>
      <xdr:row>170</xdr:row>
      <xdr:rowOff>104774</xdr:rowOff>
    </xdr:to>
    <xdr:graphicFrame macro="">
      <xdr:nvGraphicFramePr>
        <xdr:cNvPr id="16" name="Kaavio 15">
          <a:extLst>
            <a:ext uri="{FF2B5EF4-FFF2-40B4-BE49-F238E27FC236}">
              <a16:creationId xmlns:a16="http://schemas.microsoft.com/office/drawing/2014/main" id="{9B4F6BAB-90D5-4984-B6CB-7926125841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104774</xdr:colOff>
      <xdr:row>171</xdr:row>
      <xdr:rowOff>114300</xdr:rowOff>
    </xdr:from>
    <xdr:to>
      <xdr:col>12</xdr:col>
      <xdr:colOff>1876425</xdr:colOff>
      <xdr:row>185</xdr:row>
      <xdr:rowOff>95249</xdr:rowOff>
    </xdr:to>
    <xdr:graphicFrame macro="">
      <xdr:nvGraphicFramePr>
        <xdr:cNvPr id="17" name="Kaavio 16">
          <a:extLst>
            <a:ext uri="{FF2B5EF4-FFF2-40B4-BE49-F238E27FC236}">
              <a16:creationId xmlns:a16="http://schemas.microsoft.com/office/drawing/2014/main" id="{E924DD7F-0DD0-4A61-8E06-1A0ADD88CC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5</xdr:col>
      <xdr:colOff>104775</xdr:colOff>
      <xdr:row>61</xdr:row>
      <xdr:rowOff>85725</xdr:rowOff>
    </xdr:from>
    <xdr:to>
      <xdr:col>10</xdr:col>
      <xdr:colOff>466724</xdr:colOff>
      <xdr:row>89</xdr:row>
      <xdr:rowOff>85725</xdr:rowOff>
    </xdr:to>
    <mc:AlternateContent xmlns:mc="http://schemas.openxmlformats.org/markup-compatibility/2006">
      <mc:Choice xmlns:cx1="http://schemas.microsoft.com/office/drawing/2015/9/8/chartex" Requires="cx1">
        <xdr:graphicFrame macro="">
          <xdr:nvGraphicFramePr>
            <xdr:cNvPr id="5" name="Kaavio 4">
              <a:extLst>
                <a:ext uri="{FF2B5EF4-FFF2-40B4-BE49-F238E27FC236}">
                  <a16:creationId xmlns:a16="http://schemas.microsoft.com/office/drawing/2014/main" id="{1D96FEB7-5E25-4CFC-A692-B2F41EFBACC7}"/>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8"/>
            </a:graphicData>
          </a:graphic>
        </xdr:graphicFrame>
      </mc:Choice>
      <mc:Fallback>
        <xdr:sp macro="" textlink="">
          <xdr:nvSpPr>
            <xdr:cNvPr id="0" name=""/>
            <xdr:cNvSpPr>
              <a:spLocks noTextEdit="1"/>
            </xdr:cNvSpPr>
          </xdr:nvSpPr>
          <xdr:spPr>
            <a:xfrm>
              <a:off x="9858375" y="12563475"/>
              <a:ext cx="5676899" cy="5343525"/>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editAs="absolute">
    <xdr:from>
      <xdr:col>4</xdr:col>
      <xdr:colOff>542925</xdr:colOff>
      <xdr:row>0</xdr:row>
      <xdr:rowOff>57151</xdr:rowOff>
    </xdr:from>
    <xdr:to>
      <xdr:col>12</xdr:col>
      <xdr:colOff>33338</xdr:colOff>
      <xdr:row>0</xdr:row>
      <xdr:rowOff>666750</xdr:rowOff>
    </xdr:to>
    <xdr:sp macro="" textlink="">
      <xdr:nvSpPr>
        <xdr:cNvPr id="4" name="Tekstiruutu 3">
          <a:extLst>
            <a:ext uri="{FF2B5EF4-FFF2-40B4-BE49-F238E27FC236}">
              <a16:creationId xmlns:a16="http://schemas.microsoft.com/office/drawing/2014/main" id="{89FE2A8E-2CBF-45E4-B95F-B0CE8F7AB2AC}"/>
            </a:ext>
          </a:extLst>
        </xdr:cNvPr>
        <xdr:cNvSpPr txBox="1"/>
      </xdr:nvSpPr>
      <xdr:spPr>
        <a:xfrm>
          <a:off x="9686925" y="57151"/>
          <a:ext cx="6634163" cy="609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i-FI" sz="1100"/>
            <a:t>HUOM! Kun hakuaikaa</a:t>
          </a:r>
          <a:r>
            <a:rPr lang="fi-FI" sz="1100" baseline="0"/>
            <a:t> muutetaan Asiakastilastot-lehdellä, niin hakuaika vaihtuu kaikkiin taulukoihin. </a:t>
          </a:r>
        </a:p>
        <a:p>
          <a:pPr algn="ctr"/>
          <a:r>
            <a:rPr lang="fi-FI" sz="1100" baseline="0"/>
            <a:t>Kaavojen päivittäminen kestää hetken.</a:t>
          </a:r>
        </a:p>
        <a:p>
          <a:pPr algn="ctr"/>
          <a:r>
            <a:rPr lang="fi-FI" sz="1100" b="1" baseline="0">
              <a:solidFill>
                <a:srgbClr val="002060"/>
              </a:solidFill>
            </a:rPr>
            <a:t>Muut arvot vaihdetaan sivukohtaisesti! Jaksoperusteinen laskenta löytyy vain Parkki-lehdellä.</a:t>
          </a:r>
          <a:endParaRPr lang="fi-FI" sz="1100" b="1">
            <a:solidFill>
              <a:srgbClr val="002060"/>
            </a:solidFill>
          </a:endParaRPr>
        </a:p>
      </xdr:txBody>
    </xdr:sp>
    <xdr:clientData fPrintsWithSheet="0"/>
  </xdr:twoCellAnchor>
  <xdr:twoCellAnchor editAs="absolute">
    <xdr:from>
      <xdr:col>5</xdr:col>
      <xdr:colOff>84947</xdr:colOff>
      <xdr:row>114</xdr:row>
      <xdr:rowOff>94667</xdr:rowOff>
    </xdr:from>
    <xdr:to>
      <xdr:col>10</xdr:col>
      <xdr:colOff>408796</xdr:colOff>
      <xdr:row>132</xdr:row>
      <xdr:rowOff>106913</xdr:rowOff>
    </xdr:to>
    <mc:AlternateContent xmlns:mc="http://schemas.openxmlformats.org/markup-compatibility/2006">
      <mc:Choice xmlns:cx1="http://schemas.microsoft.com/office/drawing/2015/9/8/chartex" Requires="cx1">
        <xdr:graphicFrame macro="">
          <xdr:nvGraphicFramePr>
            <xdr:cNvPr id="6" name="Kaavio 5">
              <a:extLst>
                <a:ext uri="{FF2B5EF4-FFF2-40B4-BE49-F238E27FC236}">
                  <a16:creationId xmlns:a16="http://schemas.microsoft.com/office/drawing/2014/main" id="{0596DA2B-86C7-0ADF-60DB-202B7554BD1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9"/>
            </a:graphicData>
          </a:graphic>
        </xdr:graphicFrame>
      </mc:Choice>
      <mc:Fallback>
        <xdr:sp macro="" textlink="">
          <xdr:nvSpPr>
            <xdr:cNvPr id="0" name=""/>
            <xdr:cNvSpPr>
              <a:spLocks noTextEdit="1"/>
            </xdr:cNvSpPr>
          </xdr:nvSpPr>
          <xdr:spPr>
            <a:xfrm>
              <a:off x="9838547" y="22678442"/>
              <a:ext cx="5638799" cy="3441246"/>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editAs="absolute">
    <xdr:from>
      <xdr:col>5</xdr:col>
      <xdr:colOff>94473</xdr:colOff>
      <xdr:row>133</xdr:row>
      <xdr:rowOff>85335</xdr:rowOff>
    </xdr:from>
    <xdr:to>
      <xdr:col>10</xdr:col>
      <xdr:colOff>427847</xdr:colOff>
      <xdr:row>152</xdr:row>
      <xdr:rowOff>97193</xdr:rowOff>
    </xdr:to>
    <mc:AlternateContent xmlns:mc="http://schemas.openxmlformats.org/markup-compatibility/2006">
      <mc:Choice xmlns:cx1="http://schemas.microsoft.com/office/drawing/2015/9/8/chartex" Requires="cx1">
        <xdr:graphicFrame macro="">
          <xdr:nvGraphicFramePr>
            <xdr:cNvPr id="7" name="Kaavio 6">
              <a:extLst>
                <a:ext uri="{FF2B5EF4-FFF2-40B4-BE49-F238E27FC236}">
                  <a16:creationId xmlns:a16="http://schemas.microsoft.com/office/drawing/2014/main" id="{3DE88E44-B779-8E79-3D82-1C13EE77DEF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0"/>
            </a:graphicData>
          </a:graphic>
        </xdr:graphicFrame>
      </mc:Choice>
      <mc:Fallback>
        <xdr:sp macro="" textlink="">
          <xdr:nvSpPr>
            <xdr:cNvPr id="0" name=""/>
            <xdr:cNvSpPr>
              <a:spLocks noTextEdit="1"/>
            </xdr:cNvSpPr>
          </xdr:nvSpPr>
          <xdr:spPr>
            <a:xfrm>
              <a:off x="9848073" y="26288610"/>
              <a:ext cx="5648324" cy="3631358"/>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7</xdr:col>
      <xdr:colOff>200708</xdr:colOff>
      <xdr:row>13</xdr:row>
      <xdr:rowOff>23471</xdr:rowOff>
    </xdr:from>
    <xdr:to>
      <xdr:col>13</xdr:col>
      <xdr:colOff>726281</xdr:colOff>
      <xdr:row>21</xdr:row>
      <xdr:rowOff>178594</xdr:rowOff>
    </xdr:to>
    <xdr:sp macro="" textlink="">
      <xdr:nvSpPr>
        <xdr:cNvPr id="4" name="Tekstiruutu 3">
          <a:extLst>
            <a:ext uri="{FF2B5EF4-FFF2-40B4-BE49-F238E27FC236}">
              <a16:creationId xmlns:a16="http://schemas.microsoft.com/office/drawing/2014/main" id="{1E61D1B0-E969-428A-82A7-804E65972C6D}"/>
            </a:ext>
          </a:extLst>
        </xdr:cNvPr>
        <xdr:cNvSpPr txBox="1">
          <a:spLocks noChangeAspect="1"/>
        </xdr:cNvSpPr>
      </xdr:nvSpPr>
      <xdr:spPr>
        <a:xfrm>
          <a:off x="8975614" y="2523784"/>
          <a:ext cx="6050073" cy="2238716"/>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400" b="1"/>
            <a:t>TARKISTA</a:t>
          </a:r>
          <a:r>
            <a:rPr lang="fi-FI" sz="1400" b="1" baseline="0"/>
            <a:t> HENKILÖSTÖLUVUT AINA TAMMIKUUSSA! </a:t>
          </a:r>
        </a:p>
        <a:p>
          <a:r>
            <a:rPr lang="fi-FI" sz="1200" b="1" baseline="0">
              <a:solidFill>
                <a:srgbClr val="FF0000"/>
              </a:solidFill>
            </a:rPr>
            <a:t>Tee tarvittaessa muutokset suoraan TÄHÄN Exceliin, mikäli kaikkia henkilöstön lukuja ei saada suoraan PAR-järjestelmästä.</a:t>
          </a:r>
        </a:p>
        <a:p>
          <a:endParaRPr lang="fi-FI" sz="1200" b="1" baseline="0"/>
        </a:p>
        <a:p>
          <a:r>
            <a:rPr lang="fi-FI" sz="1200" b="1" baseline="0"/>
            <a:t>HUOM! </a:t>
          </a:r>
          <a:r>
            <a:rPr lang="fi-FI" sz="1200" b="0" baseline="0"/>
            <a:t>PAR-järjestelmään kirjattujen työntekijöiden tietoihin voi merkitä valinnan "Työntekijää ei tilastoida", mikäli henkilö on laskennan kannalta ylimääräinen.</a:t>
          </a:r>
        </a:p>
        <a:p>
          <a:endParaRPr lang="fi-FI" sz="1200" b="1" baseline="0"/>
        </a:p>
        <a:p>
          <a:pPr marL="0" marR="0" lvl="0" indent="0" defTabSz="914400" eaLnBrk="1" fontAlgn="auto" latinLnBrk="0" hangingPunct="1">
            <a:lnSpc>
              <a:spcPct val="100000"/>
            </a:lnSpc>
            <a:spcBef>
              <a:spcPts val="0"/>
            </a:spcBef>
            <a:spcAft>
              <a:spcPts val="0"/>
            </a:spcAft>
            <a:buClrTx/>
            <a:buSzTx/>
            <a:buFontTx/>
            <a:buNone/>
            <a:tabLst/>
            <a:defRPr/>
          </a:pPr>
          <a:r>
            <a:rPr lang="fi-FI" sz="1100" b="1" baseline="0">
              <a:solidFill>
                <a:schemeClr val="dk1"/>
              </a:solidFill>
              <a:effectLst/>
              <a:latin typeface="+mn-lt"/>
              <a:ea typeface="+mn-ea"/>
              <a:cs typeface="+mn-cs"/>
            </a:rPr>
            <a:t>Henkilötyövuodet (HTV) on täsmättävä kysymyksissä 1-2 </a:t>
          </a:r>
          <a:r>
            <a:rPr lang="fi-FI" sz="1100" b="0" baseline="0">
              <a:solidFill>
                <a:schemeClr val="dk1"/>
              </a:solidFill>
              <a:effectLst/>
              <a:latin typeface="+mn-lt"/>
              <a:ea typeface="+mn-ea"/>
              <a:cs typeface="+mn-cs"/>
            </a:rPr>
            <a:t>(luvuissa voi olla desimaaleja!)</a:t>
          </a:r>
          <a:endParaRPr lang="fi-FI">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b="1" baseline="0">
              <a:solidFill>
                <a:schemeClr val="dk1"/>
              </a:solidFill>
              <a:effectLst/>
              <a:latin typeface="+mn-lt"/>
              <a:ea typeface="+mn-ea"/>
              <a:cs typeface="+mn-cs"/>
            </a:rPr>
            <a:t>Henkilöstön määrän (HLÖ) on täsmättävä kysymyksissä 1-4 </a:t>
          </a:r>
          <a:r>
            <a:rPr lang="fi-FI" sz="1100" b="0" baseline="0">
              <a:solidFill>
                <a:schemeClr val="dk1"/>
              </a:solidFill>
              <a:effectLst/>
              <a:latin typeface="+mn-lt"/>
              <a:ea typeface="+mn-ea"/>
              <a:cs typeface="+mn-cs"/>
            </a:rPr>
            <a:t>(ei desimaalilukuja!)</a:t>
          </a:r>
          <a:br>
            <a:rPr lang="fi-FI" sz="1100" b="0" baseline="0">
              <a:solidFill>
                <a:schemeClr val="dk1"/>
              </a:solidFill>
              <a:effectLst/>
              <a:latin typeface="+mn-lt"/>
              <a:ea typeface="+mn-ea"/>
              <a:cs typeface="+mn-cs"/>
            </a:rPr>
          </a:br>
          <a:r>
            <a:rPr lang="fi-FI" sz="1100" b="0" baseline="0">
              <a:solidFill>
                <a:schemeClr val="dk1"/>
              </a:solidFill>
              <a:effectLst/>
              <a:latin typeface="+mn-lt"/>
              <a:ea typeface="+mn-ea"/>
              <a:cs typeface="+mn-cs"/>
            </a:rPr>
            <a:t>Mikäli summat Yhteensä-soluissa eivät täsmää toisiinsa, niin soluissa A5-A8 näkyy kommentti "Tarkasta" ja ohje tarkastettavasta tiedosta.</a:t>
          </a:r>
          <a:endParaRPr lang="fi-FI" sz="1200">
            <a:effectLst/>
          </a:endParaRPr>
        </a:p>
      </xdr:txBody>
    </xdr:sp>
    <xdr:clientData fLocksWithSheet="0" fPrintsWithSheet="0"/>
  </xdr:twoCellAnchor>
  <xdr:twoCellAnchor editAs="absolute">
    <xdr:from>
      <xdr:col>0</xdr:col>
      <xdr:colOff>819148</xdr:colOff>
      <xdr:row>0</xdr:row>
      <xdr:rowOff>45243</xdr:rowOff>
    </xdr:from>
    <xdr:to>
      <xdr:col>10</xdr:col>
      <xdr:colOff>59530</xdr:colOff>
      <xdr:row>2</xdr:row>
      <xdr:rowOff>161925</xdr:rowOff>
    </xdr:to>
    <xdr:sp macro="" textlink="">
      <xdr:nvSpPr>
        <xdr:cNvPr id="5" name="Tekstiruutu 4">
          <a:extLst>
            <a:ext uri="{FF2B5EF4-FFF2-40B4-BE49-F238E27FC236}">
              <a16:creationId xmlns:a16="http://schemas.microsoft.com/office/drawing/2014/main" id="{FA2551B6-7E8B-4670-A9D2-2D98C125F4CC}"/>
            </a:ext>
          </a:extLst>
        </xdr:cNvPr>
        <xdr:cNvSpPr txBox="1">
          <a:spLocks noChangeAspect="1"/>
        </xdr:cNvSpPr>
      </xdr:nvSpPr>
      <xdr:spPr>
        <a:xfrm>
          <a:off x="819148" y="45243"/>
          <a:ext cx="10789445" cy="509588"/>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i-FI" sz="1200" b="1"/>
            <a:t>Tämän sivun luvut luetaan virallisena raporttina vuoden 2025 osalta.</a:t>
          </a:r>
          <a:endParaRPr lang="fi-FI" sz="1200"/>
        </a:p>
        <a:p>
          <a:pPr algn="ctr"/>
          <a:r>
            <a:rPr lang="fi-FI" sz="1200"/>
            <a:t>KUN</a:t>
          </a:r>
          <a:r>
            <a:rPr lang="fi-FI" sz="1200" baseline="0"/>
            <a:t> OLET TARKISTANUT JA MAHDOLLISESTI TÄYDENTÄNYT LUKUJA (Par-järjestelmään tai suoraan tähän Exceliin) </a:t>
          </a:r>
          <a:r>
            <a:rPr lang="fi-FI" sz="1200" b="1" u="sng" baseline="0"/>
            <a:t>NIIN VALITSE: </a:t>
          </a:r>
          <a:r>
            <a:rPr lang="fi-FI" sz="1200" baseline="0"/>
            <a:t>"Kyllä, tarkistettu"</a:t>
          </a:r>
          <a:endParaRPr lang="fi-FI" sz="1200"/>
        </a:p>
      </xdr:txBody>
    </xdr:sp>
    <xdr:clientData fLocksWithSheet="0" fPrintsWithSheet="0"/>
  </xdr:twoCellAnchor>
  <xdr:twoCellAnchor>
    <xdr:from>
      <xdr:col>7</xdr:col>
      <xdr:colOff>382588</xdr:colOff>
      <xdr:row>2</xdr:row>
      <xdr:rowOff>158220</xdr:rowOff>
    </xdr:from>
    <xdr:to>
      <xdr:col>7</xdr:col>
      <xdr:colOff>692150</xdr:colOff>
      <xdr:row>4</xdr:row>
      <xdr:rowOff>148695</xdr:rowOff>
    </xdr:to>
    <xdr:sp macro="" textlink="">
      <xdr:nvSpPr>
        <xdr:cNvPr id="6" name="Nuoli: Alas 5">
          <a:extLst>
            <a:ext uri="{FF2B5EF4-FFF2-40B4-BE49-F238E27FC236}">
              <a16:creationId xmlns:a16="http://schemas.microsoft.com/office/drawing/2014/main" id="{290B5BC7-897A-4786-9EAE-895D32F8AF7B}"/>
            </a:ext>
          </a:extLst>
        </xdr:cNvPr>
        <xdr:cNvSpPr/>
      </xdr:nvSpPr>
      <xdr:spPr>
        <a:xfrm>
          <a:off x="9157494" y="551126"/>
          <a:ext cx="309562" cy="371475"/>
        </a:xfrm>
        <a:prstGeom prst="downArrow">
          <a:avLst/>
        </a:prstGeom>
        <a:solidFill>
          <a:schemeClr val="accent3">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i-FI" sz="1100"/>
        </a:p>
      </xdr:txBody>
    </xdr:sp>
    <xdr:clientData/>
  </xdr:twoCellAnchor>
  <xdr:twoCellAnchor editAs="absolute">
    <xdr:from>
      <xdr:col>7</xdr:col>
      <xdr:colOff>180975</xdr:colOff>
      <xdr:row>22</xdr:row>
      <xdr:rowOff>47625</xdr:rowOff>
    </xdr:from>
    <xdr:to>
      <xdr:col>13</xdr:col>
      <xdr:colOff>723900</xdr:colOff>
      <xdr:row>26</xdr:row>
      <xdr:rowOff>47625</xdr:rowOff>
    </xdr:to>
    <xdr:sp macro="" textlink="">
      <xdr:nvSpPr>
        <xdr:cNvPr id="8" name="Tekstiruutu 7">
          <a:hlinkClick xmlns:r="http://schemas.openxmlformats.org/officeDocument/2006/relationships" r:id="rId1"/>
          <a:extLst>
            <a:ext uri="{FF2B5EF4-FFF2-40B4-BE49-F238E27FC236}">
              <a16:creationId xmlns:a16="http://schemas.microsoft.com/office/drawing/2014/main" id="{86BEB45E-779A-46E8-ACD4-E77A5685FD06}"/>
            </a:ext>
          </a:extLst>
        </xdr:cNvPr>
        <xdr:cNvSpPr txBox="1">
          <a:spLocks noChangeAspect="1"/>
        </xdr:cNvSpPr>
      </xdr:nvSpPr>
      <xdr:spPr>
        <a:xfrm>
          <a:off x="8955881" y="4822031"/>
          <a:ext cx="6067425"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fi-FI" sz="1100" b="1" i="0" u="none" strike="noStrike">
              <a:solidFill>
                <a:schemeClr val="dk1"/>
              </a:solidFill>
              <a:effectLst/>
              <a:latin typeface="+mn-lt"/>
              <a:ea typeface="+mn-ea"/>
              <a:cs typeface="+mn-cs"/>
            </a:rPr>
            <a:t>Henkilötyövuodet (HTV)</a:t>
          </a:r>
        </a:p>
        <a:p>
          <a:r>
            <a:rPr lang="fi-FI" sz="1100" b="1" i="0" u="none" strike="noStrike">
              <a:solidFill>
                <a:schemeClr val="dk1"/>
              </a:solidFill>
              <a:effectLst/>
              <a:latin typeface="+mn-lt"/>
              <a:ea typeface="+mn-ea"/>
              <a:cs typeface="+mn-cs"/>
            </a:rPr>
            <a:t>HTV: </a:t>
          </a:r>
          <a:r>
            <a:rPr lang="fi-FI" sz="1100" b="0" i="0" u="none" strike="noStrike">
              <a:solidFill>
                <a:schemeClr val="dk1"/>
              </a:solidFill>
              <a:effectLst/>
              <a:latin typeface="+mn-lt"/>
              <a:ea typeface="+mn-ea"/>
              <a:cs typeface="+mn-cs"/>
            </a:rPr>
            <a:t>Henkilötyövuodet</a:t>
          </a:r>
          <a:r>
            <a:rPr lang="fi-FI" sz="1100" b="0" i="0" u="none" strike="noStrike" baseline="0">
              <a:solidFill>
                <a:schemeClr val="dk1"/>
              </a:solidFill>
              <a:effectLst/>
              <a:latin typeface="+mn-lt"/>
              <a:ea typeface="+mn-ea"/>
              <a:cs typeface="+mn-cs"/>
            </a:rPr>
            <a:t> merkitään jokaisen työntekijän osalta kohdistuen koko vuodelle. </a:t>
          </a:r>
        </a:p>
        <a:p>
          <a:r>
            <a:rPr lang="fi-FI" sz="1100" b="1" i="0" u="none" strike="noStrike" baseline="0">
              <a:solidFill>
                <a:schemeClr val="dk1"/>
              </a:solidFill>
              <a:effectLst/>
              <a:latin typeface="+mn-lt"/>
              <a:ea typeface="+mn-ea"/>
              <a:cs typeface="+mn-cs"/>
            </a:rPr>
            <a:t>HTV arvio: </a:t>
          </a:r>
          <a:r>
            <a:rPr lang="fi-FI" sz="1100" b="0" i="0" u="none" strike="noStrike" baseline="0">
              <a:solidFill>
                <a:schemeClr val="dk1"/>
              </a:solidFill>
              <a:effectLst/>
              <a:latin typeface="+mn-lt"/>
              <a:ea typeface="+mn-ea"/>
              <a:cs typeface="+mn-cs"/>
            </a:rPr>
            <a:t>Lisäksi merkitään arvio henkilötyövuosista kohdistuen työhön alle 29-vuotiaiden valmentautujien kanssa. Valmentaja voi tehdä 0-100 % työtä nuorten kanssa. Arvio riittää.</a:t>
          </a:r>
        </a:p>
        <a:p>
          <a:r>
            <a:rPr lang="fi-FI" sz="1100" b="0" i="0" baseline="0">
              <a:solidFill>
                <a:schemeClr val="dk1"/>
              </a:solidFill>
              <a:effectLst/>
              <a:latin typeface="+mn-lt"/>
              <a:ea typeface="+mn-ea"/>
              <a:cs typeface="+mn-cs"/>
            </a:rPr>
            <a:t>MIkäli sinulla on vaikeuksia kohdistaa HTV arvio työtehtäviin, niin kirjoita vain summa (solut B36 ja C36)</a:t>
          </a:r>
        </a:p>
        <a:p>
          <a:endParaRPr lang="fi-FI">
            <a:effectLst/>
          </a:endParaRPr>
        </a:p>
        <a:p>
          <a:r>
            <a:rPr lang="fi-FI" sz="1100" b="0" i="0" baseline="0">
              <a:solidFill>
                <a:schemeClr val="dk1"/>
              </a:solidFill>
              <a:effectLst/>
              <a:latin typeface="+mn-lt"/>
              <a:ea typeface="+mn-ea"/>
              <a:cs typeface="+mn-cs"/>
            </a:rPr>
            <a:t>HTV-laskuri löytyy toiselta välilehdeltä</a:t>
          </a:r>
          <a:endParaRPr lang="fi-FI">
            <a:effectLst/>
          </a:endParaRPr>
        </a:p>
      </xdr:txBody>
    </xdr:sp>
    <xdr:clientData fPrintsWithSheet="0"/>
  </xdr:twoCellAnchor>
  <xdr:twoCellAnchor editAs="absolute">
    <xdr:from>
      <xdr:col>7</xdr:col>
      <xdr:colOff>178596</xdr:colOff>
      <xdr:row>26</xdr:row>
      <xdr:rowOff>107156</xdr:rowOff>
    </xdr:from>
    <xdr:to>
      <xdr:col>13</xdr:col>
      <xdr:colOff>721521</xdr:colOff>
      <xdr:row>40</xdr:row>
      <xdr:rowOff>11907</xdr:rowOff>
    </xdr:to>
    <xdr:sp macro="" textlink="">
      <xdr:nvSpPr>
        <xdr:cNvPr id="9" name="Tekstiruutu 8">
          <a:extLst>
            <a:ext uri="{FF2B5EF4-FFF2-40B4-BE49-F238E27FC236}">
              <a16:creationId xmlns:a16="http://schemas.microsoft.com/office/drawing/2014/main" id="{AB7F951B-66AA-4C63-95BF-B4C6A54469D5}"/>
            </a:ext>
          </a:extLst>
        </xdr:cNvPr>
        <xdr:cNvSpPr txBox="1">
          <a:spLocks noChangeAspect="1"/>
        </xdr:cNvSpPr>
      </xdr:nvSpPr>
      <xdr:spPr>
        <a:xfrm>
          <a:off x="8953502" y="6215062"/>
          <a:ext cx="6067425" cy="2571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i="0" u="none" strike="noStrike">
              <a:solidFill>
                <a:schemeClr val="dk1"/>
              </a:solidFill>
              <a:effectLst/>
              <a:latin typeface="+mn-lt"/>
              <a:ea typeface="+mn-ea"/>
              <a:cs typeface="+mn-cs"/>
            </a:rPr>
            <a:t>Henkilöstön määrä</a:t>
          </a:r>
        </a:p>
        <a:p>
          <a:endParaRPr lang="fi-FI" sz="1100" b="1" i="0" u="none" strike="noStrike">
            <a:solidFill>
              <a:schemeClr val="dk1"/>
            </a:solidFill>
            <a:effectLst/>
            <a:latin typeface="+mn-lt"/>
            <a:ea typeface="+mn-ea"/>
            <a:cs typeface="+mn-cs"/>
          </a:endParaRPr>
        </a:p>
        <a:p>
          <a:r>
            <a:rPr lang="fi-FI" sz="1100" b="0" i="0" u="none" strike="noStrike" baseline="30000">
              <a:solidFill>
                <a:schemeClr val="dk1"/>
              </a:solidFill>
              <a:effectLst/>
              <a:latin typeface="+mn-lt"/>
              <a:ea typeface="+mn-ea"/>
              <a:cs typeface="+mn-cs"/>
            </a:rPr>
            <a:t>1</a:t>
          </a:r>
          <a:r>
            <a:rPr lang="fi-FI" sz="1100" b="0" i="0" u="none" strike="noStrike">
              <a:solidFill>
                <a:schemeClr val="dk1"/>
              </a:solidFill>
              <a:effectLst/>
              <a:latin typeface="+mn-lt"/>
              <a:ea typeface="+mn-ea"/>
              <a:cs typeface="+mn-cs"/>
            </a:rPr>
            <a:t>) Vakituisilla tarkoitetaan tässä seuraavia henkilöitä: </a:t>
          </a:r>
          <a:r>
            <a:rPr lang="fi-FI" sz="1100">
              <a:effectLst/>
            </a:rPr>
            <a:t> </a:t>
          </a:r>
        </a:p>
        <a:p>
          <a:r>
            <a:rPr lang="fi-FI" sz="1100" b="0" i="0" u="none" strike="noStrike">
              <a:solidFill>
                <a:schemeClr val="dk1"/>
              </a:solidFill>
              <a:effectLst/>
              <a:latin typeface="+mn-lt"/>
              <a:ea typeface="+mn-ea"/>
              <a:cs typeface="+mn-cs"/>
            </a:rPr>
            <a:t>	Toistaiseksi voimassaolevassa työsuhteessa </a:t>
          </a:r>
          <a:r>
            <a:rPr lang="fi-FI" sz="1100">
              <a:effectLst/>
            </a:rPr>
            <a:t> </a:t>
          </a:r>
        </a:p>
        <a:p>
          <a:r>
            <a:rPr lang="fi-FI" sz="1100" b="0" i="0" baseline="30000">
              <a:solidFill>
                <a:schemeClr val="dk1"/>
              </a:solidFill>
              <a:effectLst/>
              <a:latin typeface="+mn-lt"/>
              <a:ea typeface="+mn-ea"/>
              <a:cs typeface="+mn-cs"/>
            </a:rPr>
            <a:t>2</a:t>
          </a:r>
          <a:r>
            <a:rPr lang="fi-FI" sz="1100" b="0" i="0">
              <a:solidFill>
                <a:schemeClr val="dk1"/>
              </a:solidFill>
              <a:effectLst/>
              <a:latin typeface="+mn-lt"/>
              <a:ea typeface="+mn-ea"/>
              <a:cs typeface="+mn-cs"/>
            </a:rPr>
            <a:t>) Projektirahoituksella palkattu määräaikainen:</a:t>
          </a:r>
          <a:endParaRPr lang="fi-FI">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b="0" i="0">
              <a:solidFill>
                <a:schemeClr val="dk1"/>
              </a:solidFill>
              <a:effectLst/>
              <a:latin typeface="+mn-lt"/>
              <a:ea typeface="+mn-ea"/>
              <a:cs typeface="+mn-cs"/>
            </a:rPr>
            <a:t>	Tähän kohtaan ei merkitä AVI:n työpajatoiminnan valtionavustuksella palkattuja tai </a:t>
          </a:r>
        </a:p>
        <a:p>
          <a:pPr marL="0" marR="0" lvl="0" indent="0" defTabSz="914400" eaLnBrk="1" fontAlgn="auto" latinLnBrk="0" hangingPunct="1">
            <a:lnSpc>
              <a:spcPct val="100000"/>
            </a:lnSpc>
            <a:spcBef>
              <a:spcPts val="0"/>
            </a:spcBef>
            <a:spcAft>
              <a:spcPts val="0"/>
            </a:spcAft>
            <a:buClrTx/>
            <a:buSzTx/>
            <a:buFontTx/>
            <a:buNone/>
            <a:tabLst/>
            <a:defRPr/>
          </a:pPr>
          <a:r>
            <a:rPr lang="fi-FI" sz="1100" b="0" i="0">
              <a:solidFill>
                <a:schemeClr val="dk1"/>
              </a:solidFill>
              <a:effectLst/>
              <a:latin typeface="+mn-lt"/>
              <a:ea typeface="+mn-ea"/>
              <a:cs typeface="+mn-cs"/>
            </a:rPr>
            <a:t>	etsivän nuorisotyön valtionavustuksella palkattuja</a:t>
          </a:r>
          <a:endParaRPr lang="fi-FI" sz="1100">
            <a:effectLst/>
          </a:endParaRPr>
        </a:p>
        <a:p>
          <a:r>
            <a:rPr lang="fi-FI" sz="1100" b="0" i="0" u="none" strike="noStrike" baseline="30000">
              <a:solidFill>
                <a:schemeClr val="dk1"/>
              </a:solidFill>
              <a:effectLst/>
              <a:latin typeface="+mn-lt"/>
              <a:ea typeface="+mn-ea"/>
              <a:cs typeface="+mn-cs"/>
            </a:rPr>
            <a:t>3</a:t>
          </a:r>
          <a:r>
            <a:rPr lang="fi-FI" sz="1100" b="0" i="0" u="none" strike="noStrike">
              <a:solidFill>
                <a:schemeClr val="dk1"/>
              </a:solidFill>
              <a:effectLst/>
              <a:latin typeface="+mn-lt"/>
              <a:ea typeface="+mn-ea"/>
              <a:cs typeface="+mn-cs"/>
            </a:rPr>
            <a:t>) Muulla määräaikaisuudella (aikaisemmin vakituisluonteinen) tarkoitetaan tässä seuraavia henkilöitä: </a:t>
          </a:r>
          <a:r>
            <a:rPr lang="fi-FI" sz="1100">
              <a:effectLst/>
            </a:rPr>
            <a:t> </a:t>
          </a:r>
        </a:p>
        <a:p>
          <a:r>
            <a:rPr lang="fi-FI" sz="1100" b="0" i="0" u="none" strike="noStrike">
              <a:solidFill>
                <a:schemeClr val="dk1"/>
              </a:solidFill>
              <a:effectLst/>
              <a:latin typeface="+mn-lt"/>
              <a:ea typeface="+mn-ea"/>
              <a:cs typeface="+mn-cs"/>
            </a:rPr>
            <a:t>	Yli kaksi vuotta työpajalla työskennelleitä tai </a:t>
          </a:r>
          <a:r>
            <a:rPr lang="fi-FI" sz="1100">
              <a:effectLst/>
            </a:rPr>
            <a:t> </a:t>
          </a:r>
        </a:p>
        <a:p>
          <a:r>
            <a:rPr lang="fi-FI" sz="1100" b="0" i="0" u="none" strike="noStrike">
              <a:solidFill>
                <a:schemeClr val="dk1"/>
              </a:solidFill>
              <a:effectLst/>
              <a:latin typeface="+mn-lt"/>
              <a:ea typeface="+mn-ea"/>
              <a:cs typeface="+mn-cs"/>
            </a:rPr>
            <a:t>	OKM:n / AVI:n myöntämän työpajatoiminnan valtionavustuksella palkattuja tai </a:t>
          </a:r>
          <a:r>
            <a:rPr lang="fi-FI" sz="1100">
              <a:effectLst/>
            </a:rPr>
            <a:t> </a:t>
          </a:r>
        </a:p>
        <a:p>
          <a:r>
            <a:rPr lang="fi-FI" sz="1100" b="0" i="0" u="none" strike="noStrike">
              <a:solidFill>
                <a:schemeClr val="dk1"/>
              </a:solidFill>
              <a:effectLst/>
              <a:latin typeface="+mn-lt"/>
              <a:ea typeface="+mn-ea"/>
              <a:cs typeface="+mn-cs"/>
            </a:rPr>
            <a:t>	OKM:n / AVI:n etsivän nuorisotyön valtionavustuksella palkattuja </a:t>
          </a:r>
        </a:p>
        <a:p>
          <a:r>
            <a:rPr lang="fi-FI" sz="1100" b="0" i="0" u="none" strike="noStrike">
              <a:solidFill>
                <a:schemeClr val="dk1"/>
              </a:solidFill>
              <a:effectLst/>
              <a:latin typeface="+mn-lt"/>
              <a:ea typeface="+mn-ea"/>
              <a:cs typeface="+mn-cs"/>
            </a:rPr>
            <a:t>	etsivän nuorisotyön tekijöitä</a:t>
          </a:r>
          <a:endParaRPr lang="fi-FI" sz="1100">
            <a:effectLst/>
          </a:endParaRPr>
        </a:p>
        <a:p>
          <a:r>
            <a:rPr lang="fi-FI" sz="1100" b="0" i="0" u="none" strike="noStrike" baseline="30000">
              <a:solidFill>
                <a:schemeClr val="dk1"/>
              </a:solidFill>
              <a:effectLst/>
              <a:latin typeface="+mn-lt"/>
              <a:ea typeface="+mn-ea"/>
              <a:cs typeface="+mn-cs"/>
            </a:rPr>
            <a:t>4</a:t>
          </a:r>
          <a:r>
            <a:rPr lang="fi-FI" sz="1100" b="0" i="0" u="none" strike="noStrike">
              <a:solidFill>
                <a:schemeClr val="dk1"/>
              </a:solidFill>
              <a:effectLst/>
              <a:latin typeface="+mn-lt"/>
              <a:ea typeface="+mn-ea"/>
              <a:cs typeface="+mn-cs"/>
            </a:rPr>
            <a:t>) Palkkatuella työllistettyjä:</a:t>
          </a:r>
        </a:p>
        <a:p>
          <a:r>
            <a:rPr lang="fi-FI" sz="1100" b="0" i="0" u="none" strike="noStrike">
              <a:solidFill>
                <a:schemeClr val="dk1"/>
              </a:solidFill>
              <a:effectLst/>
              <a:latin typeface="+mn-lt"/>
              <a:ea typeface="+mn-ea"/>
              <a:cs typeface="+mn-cs"/>
            </a:rPr>
            <a:t>	Tähän vain valmennustehtävissä toimivat</a:t>
          </a:r>
          <a:r>
            <a:rPr lang="fi-FI" sz="1100">
              <a:effectLst/>
            </a:rPr>
            <a:t> </a:t>
          </a:r>
          <a:endParaRPr lang="fi-FI" sz="1100"/>
        </a:p>
      </xdr:txBody>
    </xdr:sp>
    <xdr:clientData fPrintsWithSheet="0"/>
  </xdr:twoCellAnchor>
  <xdr:twoCellAnchor editAs="absolute">
    <xdr:from>
      <xdr:col>7</xdr:col>
      <xdr:colOff>166689</xdr:colOff>
      <xdr:row>40</xdr:row>
      <xdr:rowOff>78580</xdr:rowOff>
    </xdr:from>
    <xdr:to>
      <xdr:col>13</xdr:col>
      <xdr:colOff>709614</xdr:colOff>
      <xdr:row>50</xdr:row>
      <xdr:rowOff>26192</xdr:rowOff>
    </xdr:to>
    <xdr:sp macro="" textlink="">
      <xdr:nvSpPr>
        <xdr:cNvPr id="10" name="Tekstiruutu 9">
          <a:extLst>
            <a:ext uri="{FF2B5EF4-FFF2-40B4-BE49-F238E27FC236}">
              <a16:creationId xmlns:a16="http://schemas.microsoft.com/office/drawing/2014/main" id="{F1E41C0B-57C6-4C65-A357-70411D37DF15}"/>
            </a:ext>
          </a:extLst>
        </xdr:cNvPr>
        <xdr:cNvSpPr txBox="1">
          <a:spLocks noChangeAspect="1"/>
        </xdr:cNvSpPr>
      </xdr:nvSpPr>
      <xdr:spPr>
        <a:xfrm>
          <a:off x="8941595" y="8853486"/>
          <a:ext cx="6067425" cy="2066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fi-FI" sz="1100" b="1" i="0" u="none" strike="noStrike">
              <a:solidFill>
                <a:schemeClr val="dk1"/>
              </a:solidFill>
              <a:effectLst/>
              <a:latin typeface="+mn-lt"/>
              <a:ea typeface="+mn-ea"/>
              <a:cs typeface="+mn-cs"/>
            </a:rPr>
            <a:t>Millaisissa tehtävissä henkilöstö toimi?</a:t>
          </a:r>
        </a:p>
        <a:p>
          <a:pPr marL="0" indent="0"/>
          <a:endParaRPr lang="fi-FI" sz="1100" b="1" i="0" u="none" strike="noStrike">
            <a:solidFill>
              <a:schemeClr val="dk1"/>
            </a:solidFill>
            <a:effectLst/>
            <a:latin typeface="+mn-lt"/>
            <a:ea typeface="+mn-ea"/>
            <a:cs typeface="+mn-cs"/>
          </a:endParaRPr>
        </a:p>
        <a:p>
          <a:r>
            <a:rPr lang="fi-FI" sz="1100" b="0" i="0" u="none" strike="noStrike">
              <a:solidFill>
                <a:schemeClr val="dk1"/>
              </a:solidFill>
              <a:effectLst/>
              <a:latin typeface="+mn-lt"/>
              <a:ea typeface="+mn-ea"/>
              <a:cs typeface="+mn-cs"/>
            </a:rPr>
            <a:t>- </a:t>
          </a:r>
          <a:r>
            <a:rPr lang="fi-FI" sz="1100" b="1" i="0" u="none" strike="noStrike">
              <a:solidFill>
                <a:schemeClr val="dk1"/>
              </a:solidFill>
              <a:effectLst/>
              <a:latin typeface="+mn-lt"/>
              <a:ea typeface="+mn-ea"/>
              <a:cs typeface="+mn-cs"/>
            </a:rPr>
            <a:t>Työvalmentaja</a:t>
          </a:r>
          <a:r>
            <a:rPr lang="fi-FI" sz="1100" b="0" i="0" u="none" strike="noStrike">
              <a:solidFill>
                <a:schemeClr val="dk1"/>
              </a:solidFill>
              <a:effectLst/>
              <a:latin typeface="+mn-lt"/>
              <a:ea typeface="+mn-ea"/>
              <a:cs typeface="+mn-cs"/>
            </a:rPr>
            <a:t> (ml työnohjaajat ja -suunnittelijat) </a:t>
          </a:r>
        </a:p>
        <a:p>
          <a:r>
            <a:rPr lang="fi-FI" sz="1100" b="0" i="0" u="none" strike="noStrike">
              <a:solidFill>
                <a:schemeClr val="dk1"/>
              </a:solidFill>
              <a:effectLst/>
              <a:latin typeface="+mn-lt"/>
              <a:ea typeface="+mn-ea"/>
              <a:cs typeface="+mn-cs"/>
            </a:rPr>
            <a:t>- </a:t>
          </a:r>
          <a:r>
            <a:rPr lang="fi-FI" sz="1100" b="1" i="0" u="none" strike="noStrike">
              <a:solidFill>
                <a:schemeClr val="dk1"/>
              </a:solidFill>
              <a:effectLst/>
              <a:latin typeface="+mn-lt"/>
              <a:ea typeface="+mn-ea"/>
              <a:cs typeface="+mn-cs"/>
            </a:rPr>
            <a:t>Yksilövalmentaja</a:t>
          </a:r>
          <a:r>
            <a:rPr lang="fi-FI" sz="1100" b="0" i="0" u="none" strike="noStrike">
              <a:solidFill>
                <a:schemeClr val="dk1"/>
              </a:solidFill>
              <a:effectLst/>
              <a:latin typeface="+mn-lt"/>
              <a:ea typeface="+mn-ea"/>
              <a:cs typeface="+mn-cs"/>
            </a:rPr>
            <a:t> (ml psykiatrinen sairaanhoitaja, kuraattori, pajakoulun ohjaaja, terveydenhoitaja, liikunnanohjaajat tai muut yksilövalmennusta tukevat palvelut)</a:t>
          </a:r>
        </a:p>
        <a:p>
          <a:r>
            <a:rPr lang="fi-FI" sz="1100" b="0" i="0" u="none" strike="noStrike">
              <a:solidFill>
                <a:schemeClr val="dk1"/>
              </a:solidFill>
              <a:effectLst/>
              <a:latin typeface="+mn-lt"/>
              <a:ea typeface="+mn-ea"/>
              <a:cs typeface="+mn-cs"/>
            </a:rPr>
            <a:t>-</a:t>
          </a:r>
          <a:r>
            <a:rPr lang="fi-FI" sz="1100" b="0" i="0" u="none" strike="noStrike" baseline="0">
              <a:solidFill>
                <a:schemeClr val="dk1"/>
              </a:solidFill>
              <a:effectLst/>
              <a:latin typeface="+mn-lt"/>
              <a:ea typeface="+mn-ea"/>
              <a:cs typeface="+mn-cs"/>
            </a:rPr>
            <a:t> </a:t>
          </a:r>
          <a:r>
            <a:rPr lang="fi-FI" sz="1100" b="1">
              <a:solidFill>
                <a:schemeClr val="dk1"/>
              </a:solidFill>
              <a:effectLst/>
              <a:latin typeface="+mn-lt"/>
              <a:ea typeface="+mn-ea"/>
              <a:cs typeface="+mn-cs"/>
            </a:rPr>
            <a:t>Työhönvalmentaja </a:t>
          </a:r>
          <a:r>
            <a:rPr lang="fi-FI" sz="1100">
              <a:solidFill>
                <a:schemeClr val="dk1"/>
              </a:solidFill>
              <a:effectLst/>
              <a:latin typeface="+mn-lt"/>
              <a:ea typeface="+mn-ea"/>
              <a:cs typeface="+mn-cs"/>
            </a:rPr>
            <a:t>(Valmennus työpajan ulkopuolisessa työpaikassa)</a:t>
          </a:r>
          <a:endParaRPr lang="fi-FI" sz="1100" b="0" i="0" u="none" strike="noStrike">
            <a:solidFill>
              <a:schemeClr val="dk1"/>
            </a:solidFill>
            <a:effectLst/>
            <a:latin typeface="+mn-lt"/>
            <a:ea typeface="+mn-ea"/>
            <a:cs typeface="+mn-cs"/>
          </a:endParaRPr>
        </a:p>
        <a:p>
          <a:r>
            <a:rPr lang="fi-FI" sz="1100" b="0" i="0" u="none" strike="noStrike">
              <a:solidFill>
                <a:schemeClr val="dk1"/>
              </a:solidFill>
              <a:effectLst/>
              <a:latin typeface="+mn-lt"/>
              <a:ea typeface="+mn-ea"/>
              <a:cs typeface="+mn-cs"/>
            </a:rPr>
            <a:t>- </a:t>
          </a:r>
          <a:r>
            <a:rPr lang="fi-FI" sz="1100" b="1" i="0" u="none" strike="noStrike">
              <a:solidFill>
                <a:schemeClr val="dk1"/>
              </a:solidFill>
              <a:effectLst/>
              <a:latin typeface="+mn-lt"/>
              <a:ea typeface="+mn-ea"/>
              <a:cs typeface="+mn-cs"/>
            </a:rPr>
            <a:t>Etsivä nuorisotyöntekijä </a:t>
          </a:r>
          <a:r>
            <a:rPr lang="fi-FI" sz="1100" b="0" i="0" u="none" strike="noStrike">
              <a:solidFill>
                <a:schemeClr val="dk1"/>
              </a:solidFill>
              <a:effectLst/>
              <a:latin typeface="+mn-lt"/>
              <a:ea typeface="+mn-ea"/>
              <a:cs typeface="+mn-cs"/>
            </a:rPr>
            <a:t>(jos etsivä nuorisotyöntekijän palkka maksetaan työpajan kustannusarviosta) </a:t>
          </a:r>
        </a:p>
        <a:p>
          <a:r>
            <a:rPr lang="fi-FI" sz="1100" b="0" i="0" u="none" strike="noStrike">
              <a:solidFill>
                <a:schemeClr val="dk1"/>
              </a:solidFill>
              <a:effectLst/>
              <a:latin typeface="+mn-lt"/>
              <a:ea typeface="+mn-ea"/>
              <a:cs typeface="+mn-cs"/>
            </a:rPr>
            <a:t>- </a:t>
          </a:r>
          <a:r>
            <a:rPr lang="fi-FI" sz="1100" b="1" i="0" u="none" strike="noStrike">
              <a:solidFill>
                <a:schemeClr val="dk1"/>
              </a:solidFill>
              <a:effectLst/>
              <a:latin typeface="+mn-lt"/>
              <a:ea typeface="+mn-ea"/>
              <a:cs typeface="+mn-cs"/>
            </a:rPr>
            <a:t>Johtotehtävät </a:t>
          </a:r>
          <a:r>
            <a:rPr lang="fi-FI" sz="1100" b="0" i="0" u="none" strike="noStrike">
              <a:solidFill>
                <a:schemeClr val="dk1"/>
              </a:solidFill>
              <a:effectLst/>
              <a:latin typeface="+mn-lt"/>
              <a:ea typeface="+mn-ea"/>
              <a:cs typeface="+mn-cs"/>
            </a:rPr>
            <a:t>(myös hankkeen johtotehtävässä toimiva) </a:t>
          </a:r>
        </a:p>
        <a:p>
          <a:r>
            <a:rPr lang="fi-FI" sz="1100" b="0" i="0" u="none" strike="noStrike">
              <a:solidFill>
                <a:schemeClr val="dk1"/>
              </a:solidFill>
              <a:effectLst/>
              <a:latin typeface="+mn-lt"/>
              <a:ea typeface="+mn-ea"/>
              <a:cs typeface="+mn-cs"/>
            </a:rPr>
            <a:t>- </a:t>
          </a:r>
          <a:r>
            <a:rPr lang="fi-FI" sz="1100" b="1" i="0" u="none" strike="noStrike">
              <a:solidFill>
                <a:schemeClr val="dk1"/>
              </a:solidFill>
              <a:effectLst/>
              <a:latin typeface="+mn-lt"/>
              <a:ea typeface="+mn-ea"/>
              <a:cs typeface="+mn-cs"/>
            </a:rPr>
            <a:t>Kehittämis- ja suunnittelutehtävät </a:t>
          </a:r>
        </a:p>
        <a:p>
          <a:r>
            <a:rPr lang="fi-FI" sz="1100" b="0" i="0" u="none" strike="noStrike">
              <a:solidFill>
                <a:schemeClr val="dk1"/>
              </a:solidFill>
              <a:effectLst/>
              <a:latin typeface="+mn-lt"/>
              <a:ea typeface="+mn-ea"/>
              <a:cs typeface="+mn-cs"/>
            </a:rPr>
            <a:t>- </a:t>
          </a:r>
          <a:r>
            <a:rPr lang="fi-FI" sz="1100" b="1" i="0" u="none" strike="noStrike">
              <a:solidFill>
                <a:schemeClr val="dk1"/>
              </a:solidFill>
              <a:effectLst/>
              <a:latin typeface="+mn-lt"/>
              <a:ea typeface="+mn-ea"/>
              <a:cs typeface="+mn-cs"/>
            </a:rPr>
            <a:t>Muut hallinnon tehtävät </a:t>
          </a:r>
          <a:r>
            <a:rPr lang="fi-FI" sz="1100" b="0" i="0" u="none" strike="noStrike">
              <a:solidFill>
                <a:schemeClr val="dk1"/>
              </a:solidFill>
              <a:effectLst/>
              <a:latin typeface="+mn-lt"/>
              <a:ea typeface="+mn-ea"/>
              <a:cs typeface="+mn-cs"/>
            </a:rPr>
            <a:t>(Kirjanpito, taloushallinto jne.) </a:t>
          </a:r>
        </a:p>
        <a:p>
          <a:r>
            <a:rPr lang="fi-FI" sz="1100" b="0" i="0" u="none" strike="noStrike">
              <a:solidFill>
                <a:schemeClr val="dk1"/>
              </a:solidFill>
              <a:effectLst/>
              <a:latin typeface="+mn-lt"/>
              <a:ea typeface="+mn-ea"/>
              <a:cs typeface="+mn-cs"/>
            </a:rPr>
            <a:t>- </a:t>
          </a:r>
          <a:r>
            <a:rPr lang="fi-FI" sz="1100" b="1" i="0" u="none" strike="noStrike">
              <a:solidFill>
                <a:schemeClr val="dk1"/>
              </a:solidFill>
              <a:effectLst/>
              <a:latin typeface="+mn-lt"/>
              <a:ea typeface="+mn-ea"/>
              <a:cs typeface="+mn-cs"/>
            </a:rPr>
            <a:t>Muissa tehtävissä </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17</xdr:col>
      <xdr:colOff>59532</xdr:colOff>
      <xdr:row>14</xdr:row>
      <xdr:rowOff>76201</xdr:rowOff>
    </xdr:from>
    <xdr:to>
      <xdr:col>18</xdr:col>
      <xdr:colOff>345282</xdr:colOff>
      <xdr:row>17</xdr:row>
      <xdr:rowOff>183357</xdr:rowOff>
    </xdr:to>
    <xdr:sp macro="" textlink="">
      <xdr:nvSpPr>
        <xdr:cNvPr id="2" name="Tekstiruutu 1">
          <a:extLst>
            <a:ext uri="{FF2B5EF4-FFF2-40B4-BE49-F238E27FC236}">
              <a16:creationId xmlns:a16="http://schemas.microsoft.com/office/drawing/2014/main" id="{9217F9F0-2473-48E4-9C5F-5BB9DE2098C7}"/>
            </a:ext>
          </a:extLst>
        </xdr:cNvPr>
        <xdr:cNvSpPr txBox="1"/>
      </xdr:nvSpPr>
      <xdr:spPr>
        <a:xfrm>
          <a:off x="11851482" y="2743201"/>
          <a:ext cx="895350" cy="6786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Asiakas voi näkyä vain kerran.</a:t>
          </a:r>
        </a:p>
      </xdr:txBody>
    </xdr:sp>
    <xdr:clientData fPrintsWithSheet="0"/>
  </xdr:twoCellAnchor>
  <xdr:twoCellAnchor>
    <xdr:from>
      <xdr:col>17</xdr:col>
      <xdr:colOff>47625</xdr:colOff>
      <xdr:row>21</xdr:row>
      <xdr:rowOff>76200</xdr:rowOff>
    </xdr:from>
    <xdr:to>
      <xdr:col>18</xdr:col>
      <xdr:colOff>333375</xdr:colOff>
      <xdr:row>24</xdr:row>
      <xdr:rowOff>183356</xdr:rowOff>
    </xdr:to>
    <xdr:sp macro="" textlink="">
      <xdr:nvSpPr>
        <xdr:cNvPr id="3" name="Tekstiruutu 2">
          <a:extLst>
            <a:ext uri="{FF2B5EF4-FFF2-40B4-BE49-F238E27FC236}">
              <a16:creationId xmlns:a16="http://schemas.microsoft.com/office/drawing/2014/main" id="{42D7E02C-D65B-4D00-981B-66279AF2DBDD}"/>
            </a:ext>
          </a:extLst>
        </xdr:cNvPr>
        <xdr:cNvSpPr txBox="1"/>
      </xdr:nvSpPr>
      <xdr:spPr>
        <a:xfrm>
          <a:off x="11839575" y="4076700"/>
          <a:ext cx="895350" cy="6786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Asiakas voi näkyä vain kerran.</a:t>
          </a:r>
        </a:p>
      </xdr:txBody>
    </xdr:sp>
    <xdr:clientData fPrintsWithSheet="0"/>
  </xdr:twoCellAnchor>
  <xdr:twoCellAnchor>
    <xdr:from>
      <xdr:col>17</xdr:col>
      <xdr:colOff>45243</xdr:colOff>
      <xdr:row>26</xdr:row>
      <xdr:rowOff>183355</xdr:rowOff>
    </xdr:from>
    <xdr:to>
      <xdr:col>20</xdr:col>
      <xdr:colOff>190500</xdr:colOff>
      <xdr:row>32</xdr:row>
      <xdr:rowOff>104774</xdr:rowOff>
    </xdr:to>
    <xdr:sp macro="" textlink="">
      <xdr:nvSpPr>
        <xdr:cNvPr id="4" name="Tekstiruutu 3">
          <a:extLst>
            <a:ext uri="{FF2B5EF4-FFF2-40B4-BE49-F238E27FC236}">
              <a16:creationId xmlns:a16="http://schemas.microsoft.com/office/drawing/2014/main" id="{AD2893BB-7A78-46AB-BB72-B161EA04B929}"/>
            </a:ext>
          </a:extLst>
        </xdr:cNvPr>
        <xdr:cNvSpPr txBox="1"/>
      </xdr:nvSpPr>
      <xdr:spPr>
        <a:xfrm>
          <a:off x="11980068" y="5136355"/>
          <a:ext cx="1974057" cy="10644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Yksi</a:t>
          </a:r>
          <a:r>
            <a:rPr lang="fi-FI" sz="1100" baseline="0"/>
            <a:t> a</a:t>
          </a:r>
          <a:r>
            <a:rPr lang="fi-FI" sz="1100"/>
            <a:t>siakas voi näkyä usealla jaksolla.</a:t>
          </a:r>
        </a:p>
        <a:p>
          <a:r>
            <a:rPr lang="fi-FI" sz="1100"/>
            <a:t>Jakso näkyy vain sen kuukauden kohdalla, jolloin se on alkanut.</a:t>
          </a:r>
        </a:p>
      </xdr:txBody>
    </xdr:sp>
    <xdr:clientData fPrintsWithSheet="0"/>
  </xdr:twoCellAnchor>
  <xdr:twoCellAnchor>
    <xdr:from>
      <xdr:col>17</xdr:col>
      <xdr:colOff>59532</xdr:colOff>
      <xdr:row>33</xdr:row>
      <xdr:rowOff>171450</xdr:rowOff>
    </xdr:from>
    <xdr:to>
      <xdr:col>20</xdr:col>
      <xdr:colOff>195396</xdr:colOff>
      <xdr:row>39</xdr:row>
      <xdr:rowOff>85725</xdr:rowOff>
    </xdr:to>
    <xdr:sp macro="" textlink="">
      <xdr:nvSpPr>
        <xdr:cNvPr id="6" name="Tekstiruutu 5">
          <a:extLst>
            <a:ext uri="{FF2B5EF4-FFF2-40B4-BE49-F238E27FC236}">
              <a16:creationId xmlns:a16="http://schemas.microsoft.com/office/drawing/2014/main" id="{AAFB0C99-FFD7-4B83-A45A-2FE4E125603F}"/>
            </a:ext>
          </a:extLst>
        </xdr:cNvPr>
        <xdr:cNvSpPr txBox="1"/>
      </xdr:nvSpPr>
      <xdr:spPr>
        <a:xfrm>
          <a:off x="11994357" y="6457950"/>
          <a:ext cx="1964664" cy="1057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Yksi</a:t>
          </a:r>
          <a:r>
            <a:rPr lang="fi-FI" sz="1100" baseline="0"/>
            <a:t> a</a:t>
          </a:r>
          <a:r>
            <a:rPr lang="fi-FI" sz="1100"/>
            <a:t>siakas voi näkyä usealla jaksolla.</a:t>
          </a:r>
        </a:p>
        <a:p>
          <a:r>
            <a:rPr lang="fi-FI" sz="1100"/>
            <a:t>Yksi jakso näkyy kaikkien niiden kuukausien kohdalla jolloin se on käynnissä.</a:t>
          </a:r>
        </a:p>
      </xdr:txBody>
    </xdr:sp>
    <xdr:clientData fPrintsWithSheet="0"/>
  </xdr:twoCellAnchor>
  <xdr:twoCellAnchor>
    <xdr:from>
      <xdr:col>13</xdr:col>
      <xdr:colOff>571502</xdr:colOff>
      <xdr:row>7</xdr:row>
      <xdr:rowOff>183356</xdr:rowOff>
    </xdr:from>
    <xdr:to>
      <xdr:col>18</xdr:col>
      <xdr:colOff>297656</xdr:colOff>
      <xdr:row>12</xdr:row>
      <xdr:rowOff>59531</xdr:rowOff>
    </xdr:to>
    <xdr:sp macro="" textlink="">
      <xdr:nvSpPr>
        <xdr:cNvPr id="5" name="Tekstiruutu 4">
          <a:extLst>
            <a:ext uri="{FF2B5EF4-FFF2-40B4-BE49-F238E27FC236}">
              <a16:creationId xmlns:a16="http://schemas.microsoft.com/office/drawing/2014/main" id="{2D4AC791-A9FA-4D87-8635-60BE3E116126}"/>
            </a:ext>
          </a:extLst>
        </xdr:cNvPr>
        <xdr:cNvSpPr txBox="1"/>
      </xdr:nvSpPr>
      <xdr:spPr>
        <a:xfrm>
          <a:off x="10013158" y="1516856"/>
          <a:ext cx="2845592" cy="82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t>ks. aika =</a:t>
          </a:r>
        </a:p>
        <a:p>
          <a:r>
            <a:rPr lang="fi-FI" sz="1100" b="1"/>
            <a:t>Hae koko vuosi </a:t>
          </a:r>
          <a:r>
            <a:rPr lang="fi-FI" sz="1100"/>
            <a:t>jos tarkastelet lukuja "kaikki yhteensä" ja/tai</a:t>
          </a:r>
          <a:r>
            <a:rPr lang="fi-FI" sz="1100" baseline="0"/>
            <a:t> jos tarkastelet lukuja</a:t>
          </a:r>
          <a:r>
            <a:rPr lang="fi-FI" sz="1100"/>
            <a:t> "edelliseltä vuodelta jatkavat"!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33679</xdr:colOff>
      <xdr:row>42</xdr:row>
      <xdr:rowOff>9526</xdr:rowOff>
    </xdr:from>
    <xdr:to>
      <xdr:col>11</xdr:col>
      <xdr:colOff>676274</xdr:colOff>
      <xdr:row>51</xdr:row>
      <xdr:rowOff>9526</xdr:rowOff>
    </xdr:to>
    <xdr:graphicFrame macro="">
      <xdr:nvGraphicFramePr>
        <xdr:cNvPr id="3" name="Kaavio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28575</xdr:colOff>
      <xdr:row>128</xdr:row>
      <xdr:rowOff>123825</xdr:rowOff>
    </xdr:from>
    <xdr:to>
      <xdr:col>16</xdr:col>
      <xdr:colOff>685799</xdr:colOff>
      <xdr:row>147</xdr:row>
      <xdr:rowOff>76200</xdr:rowOff>
    </xdr:to>
    <xdr:graphicFrame macro="">
      <xdr:nvGraphicFramePr>
        <xdr:cNvPr id="6" name="Kaavio 5">
          <a:extLst>
            <a:ext uri="{FF2B5EF4-FFF2-40B4-BE49-F238E27FC236}">
              <a16:creationId xmlns:a16="http://schemas.microsoft.com/office/drawing/2014/main" id="{00000000-0008-0000-0C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81642</xdr:colOff>
      <xdr:row>150</xdr:row>
      <xdr:rowOff>163287</xdr:rowOff>
    </xdr:from>
    <xdr:to>
      <xdr:col>10</xdr:col>
      <xdr:colOff>612320</xdr:colOff>
      <xdr:row>190</xdr:row>
      <xdr:rowOff>122465</xdr:rowOff>
    </xdr:to>
    <xdr:graphicFrame macro="">
      <xdr:nvGraphicFramePr>
        <xdr:cNvPr id="4" name="Kaavio 3">
          <a:extLst>
            <a:ext uri="{FF2B5EF4-FFF2-40B4-BE49-F238E27FC236}">
              <a16:creationId xmlns:a16="http://schemas.microsoft.com/office/drawing/2014/main" id="{00000000-0008-0000-0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51027</xdr:colOff>
      <xdr:row>26</xdr:row>
      <xdr:rowOff>131311</xdr:rowOff>
    </xdr:from>
    <xdr:to>
      <xdr:col>11</xdr:col>
      <xdr:colOff>763701</xdr:colOff>
      <xdr:row>39</xdr:row>
      <xdr:rowOff>131311</xdr:rowOff>
    </xdr:to>
    <xdr:graphicFrame macro="">
      <xdr:nvGraphicFramePr>
        <xdr:cNvPr id="10" name="Kaavio 9">
          <a:extLst>
            <a:ext uri="{FF2B5EF4-FFF2-40B4-BE49-F238E27FC236}">
              <a16:creationId xmlns:a16="http://schemas.microsoft.com/office/drawing/2014/main" id="{76557594-1084-4BEE-BC14-215A3353D4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38100</xdr:colOff>
      <xdr:row>58</xdr:row>
      <xdr:rowOff>57150</xdr:rowOff>
    </xdr:from>
    <xdr:to>
      <xdr:col>5</xdr:col>
      <xdr:colOff>733425</xdr:colOff>
      <xdr:row>69</xdr:row>
      <xdr:rowOff>152400</xdr:rowOff>
    </xdr:to>
    <xdr:graphicFrame macro="">
      <xdr:nvGraphicFramePr>
        <xdr:cNvPr id="9" name="Kaavio 8">
          <a:extLst>
            <a:ext uri="{FF2B5EF4-FFF2-40B4-BE49-F238E27FC236}">
              <a16:creationId xmlns:a16="http://schemas.microsoft.com/office/drawing/2014/main" id="{4B473016-0FA2-480E-8AFC-F7E2BEFBCB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27214</xdr:colOff>
      <xdr:row>11</xdr:row>
      <xdr:rowOff>136071</xdr:rowOff>
    </xdr:from>
    <xdr:to>
      <xdr:col>10</xdr:col>
      <xdr:colOff>585107</xdr:colOff>
      <xdr:row>24</xdr:row>
      <xdr:rowOff>104774</xdr:rowOff>
    </xdr:to>
    <xdr:graphicFrame macro="">
      <xdr:nvGraphicFramePr>
        <xdr:cNvPr id="11" name="Kaavio 10">
          <a:extLst>
            <a:ext uri="{FF2B5EF4-FFF2-40B4-BE49-F238E27FC236}">
              <a16:creationId xmlns:a16="http://schemas.microsoft.com/office/drawing/2014/main" id="{2F4E36E2-C253-4222-BDF4-688E9D6824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130968</xdr:colOff>
      <xdr:row>151</xdr:row>
      <xdr:rowOff>59531</xdr:rowOff>
    </xdr:from>
    <xdr:to>
      <xdr:col>14</xdr:col>
      <xdr:colOff>261937</xdr:colOff>
      <xdr:row>161</xdr:row>
      <xdr:rowOff>107156</xdr:rowOff>
    </xdr:to>
    <xdr:sp macro="" textlink="">
      <xdr:nvSpPr>
        <xdr:cNvPr id="2" name="Tekstiruutu 1">
          <a:extLst>
            <a:ext uri="{FF2B5EF4-FFF2-40B4-BE49-F238E27FC236}">
              <a16:creationId xmlns:a16="http://schemas.microsoft.com/office/drawing/2014/main" id="{D1393291-63F9-4979-8A2D-647496B7F4A7}"/>
            </a:ext>
          </a:extLst>
        </xdr:cNvPr>
        <xdr:cNvSpPr txBox="1"/>
      </xdr:nvSpPr>
      <xdr:spPr>
        <a:xfrm>
          <a:off x="10489406" y="27110531"/>
          <a:ext cx="2190750" cy="1571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Sijoittuminen</a:t>
          </a:r>
          <a:r>
            <a:rPr lang="fi-FI" sz="1100" baseline="0"/>
            <a:t> lasketaan aina uusimmalta jaksolta.</a:t>
          </a:r>
        </a:p>
        <a:p>
          <a:endParaRPr lang="fi-FI" sz="1100" baseline="0"/>
        </a:p>
        <a:p>
          <a:r>
            <a:rPr lang="fi-FI" sz="1100" baseline="0"/>
            <a:t>Mikäli hakuajan päättymispäivä on pienempi kuin asiakasjakson päättymispäivä, niin asiakas lasketaan kohtaan "edelleen työpajalla".</a:t>
          </a:r>
          <a:endParaRPr lang="fi-FI" sz="1100"/>
        </a:p>
      </xdr:txBody>
    </xdr:sp>
    <xdr:clientData fPrintsWithSheet="0"/>
  </xdr:twoCellAnchor>
  <xdr:twoCellAnchor>
    <xdr:from>
      <xdr:col>12</xdr:col>
      <xdr:colOff>47626</xdr:colOff>
      <xdr:row>42</xdr:row>
      <xdr:rowOff>57150</xdr:rowOff>
    </xdr:from>
    <xdr:to>
      <xdr:col>16</xdr:col>
      <xdr:colOff>666750</xdr:colOff>
      <xdr:row>50</xdr:row>
      <xdr:rowOff>161925</xdr:rowOff>
    </xdr:to>
    <xdr:graphicFrame macro="">
      <xdr:nvGraphicFramePr>
        <xdr:cNvPr id="7" name="Kaavio 6">
          <a:extLst>
            <a:ext uri="{FF2B5EF4-FFF2-40B4-BE49-F238E27FC236}">
              <a16:creationId xmlns:a16="http://schemas.microsoft.com/office/drawing/2014/main" id="{0C55FB40-FFF4-4DD7-8567-8F097F707C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xdr:col>
      <xdr:colOff>54769</xdr:colOff>
      <xdr:row>53</xdr:row>
      <xdr:rowOff>47624</xdr:rowOff>
    </xdr:from>
    <xdr:to>
      <xdr:col>16</xdr:col>
      <xdr:colOff>638175</xdr:colOff>
      <xdr:row>61</xdr:row>
      <xdr:rowOff>142875</xdr:rowOff>
    </xdr:to>
    <xdr:graphicFrame macro="">
      <xdr:nvGraphicFramePr>
        <xdr:cNvPr id="14" name="Kaavio 13">
          <a:extLst>
            <a:ext uri="{FF2B5EF4-FFF2-40B4-BE49-F238E27FC236}">
              <a16:creationId xmlns:a16="http://schemas.microsoft.com/office/drawing/2014/main" id="{879DBF0B-0B42-4905-BF24-D7B25B38DB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95249</xdr:colOff>
      <xdr:row>14</xdr:row>
      <xdr:rowOff>98820</xdr:rowOff>
    </xdr:from>
    <xdr:to>
      <xdr:col>14</xdr:col>
      <xdr:colOff>495300</xdr:colOff>
      <xdr:row>23</xdr:row>
      <xdr:rowOff>166686</xdr:rowOff>
    </xdr:to>
    <mc:AlternateContent xmlns:mc="http://schemas.openxmlformats.org/markup-compatibility/2006">
      <mc:Choice xmlns:cx2="http://schemas.microsoft.com/office/drawing/2015/10/21/chartex" Requires="cx2">
        <xdr:graphicFrame macro="">
          <xdr:nvGraphicFramePr>
            <xdr:cNvPr id="15" name="Kaavio 14">
              <a:extLst>
                <a:ext uri="{FF2B5EF4-FFF2-40B4-BE49-F238E27FC236}">
                  <a16:creationId xmlns:a16="http://schemas.microsoft.com/office/drawing/2014/main" id="{D9580B02-8627-4BB1-8DE8-0FFFB9340A05}"/>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9"/>
            </a:graphicData>
          </a:graphic>
        </xdr:graphicFrame>
      </mc:Choice>
      <mc:Fallback>
        <xdr:sp macro="" textlink="">
          <xdr:nvSpPr>
            <xdr:cNvPr id="0" name=""/>
            <xdr:cNvSpPr>
              <a:spLocks noTextEdit="1"/>
            </xdr:cNvSpPr>
          </xdr:nvSpPr>
          <xdr:spPr>
            <a:xfrm>
              <a:off x="10458449" y="2765820"/>
              <a:ext cx="2466976" cy="1782366"/>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9</xdr:col>
      <xdr:colOff>42862</xdr:colOff>
      <xdr:row>89</xdr:row>
      <xdr:rowOff>123826</xdr:rowOff>
    </xdr:from>
    <xdr:to>
      <xdr:col>16</xdr:col>
      <xdr:colOff>657224</xdr:colOff>
      <xdr:row>125</xdr:row>
      <xdr:rowOff>47625</xdr:rowOff>
    </xdr:to>
    <xdr:graphicFrame macro="">
      <xdr:nvGraphicFramePr>
        <xdr:cNvPr id="17" name="Kaavio 16">
          <a:extLst>
            <a:ext uri="{FF2B5EF4-FFF2-40B4-BE49-F238E27FC236}">
              <a16:creationId xmlns:a16="http://schemas.microsoft.com/office/drawing/2014/main" id="{7E153AE6-39C6-69B5-3A1C-7FBB658FE44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76200</xdr:colOff>
      <xdr:row>66</xdr:row>
      <xdr:rowOff>66674</xdr:rowOff>
    </xdr:from>
    <xdr:to>
      <xdr:col>16</xdr:col>
      <xdr:colOff>600075</xdr:colOff>
      <xdr:row>87</xdr:row>
      <xdr:rowOff>161925</xdr:rowOff>
    </xdr:to>
    <xdr:graphicFrame macro="">
      <xdr:nvGraphicFramePr>
        <xdr:cNvPr id="18" name="Kaavio 17">
          <a:extLst>
            <a:ext uri="{FF2B5EF4-FFF2-40B4-BE49-F238E27FC236}">
              <a16:creationId xmlns:a16="http://schemas.microsoft.com/office/drawing/2014/main" id="{F249113D-2F73-468C-5C3D-15AC467AE53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12</xdr:col>
      <xdr:colOff>71438</xdr:colOff>
      <xdr:row>29</xdr:row>
      <xdr:rowOff>9525</xdr:rowOff>
    </xdr:from>
    <xdr:to>
      <xdr:col>17</xdr:col>
      <xdr:colOff>1</xdr:colOff>
      <xdr:row>39</xdr:row>
      <xdr:rowOff>161925</xdr:rowOff>
    </xdr:to>
    <xdr:graphicFrame macro="">
      <xdr:nvGraphicFramePr>
        <xdr:cNvPr id="22" name="Kaavio 21">
          <a:extLst>
            <a:ext uri="{FF2B5EF4-FFF2-40B4-BE49-F238E27FC236}">
              <a16:creationId xmlns:a16="http://schemas.microsoft.com/office/drawing/2014/main" id="{BFE7270B-C37C-C16A-D093-11D6FC6F68D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xdr:col>
      <xdr:colOff>81642</xdr:colOff>
      <xdr:row>197</xdr:row>
      <xdr:rowOff>163287</xdr:rowOff>
    </xdr:from>
    <xdr:to>
      <xdr:col>11</xdr:col>
      <xdr:colOff>2720</xdr:colOff>
      <xdr:row>237</xdr:row>
      <xdr:rowOff>122465</xdr:rowOff>
    </xdr:to>
    <xdr:graphicFrame macro="">
      <xdr:nvGraphicFramePr>
        <xdr:cNvPr id="5" name="Kaavio 4">
          <a:extLst>
            <a:ext uri="{FF2B5EF4-FFF2-40B4-BE49-F238E27FC236}">
              <a16:creationId xmlns:a16="http://schemas.microsoft.com/office/drawing/2014/main" id="{579DCB26-B57F-4DE2-B390-F261E11332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2</xdr:col>
      <xdr:colOff>571500</xdr:colOff>
      <xdr:row>0</xdr:row>
      <xdr:rowOff>142875</xdr:rowOff>
    </xdr:from>
    <xdr:to>
      <xdr:col>11</xdr:col>
      <xdr:colOff>652463</xdr:colOff>
      <xdr:row>3</xdr:row>
      <xdr:rowOff>104774</xdr:rowOff>
    </xdr:to>
    <xdr:sp macro="" textlink="">
      <xdr:nvSpPr>
        <xdr:cNvPr id="12" name="Tekstiruutu 11">
          <a:extLst>
            <a:ext uri="{FF2B5EF4-FFF2-40B4-BE49-F238E27FC236}">
              <a16:creationId xmlns:a16="http://schemas.microsoft.com/office/drawing/2014/main" id="{5758C466-770E-49BF-A385-1025E5EB788E}"/>
            </a:ext>
          </a:extLst>
        </xdr:cNvPr>
        <xdr:cNvSpPr txBox="1"/>
      </xdr:nvSpPr>
      <xdr:spPr>
        <a:xfrm>
          <a:off x="4381500" y="142875"/>
          <a:ext cx="6634163" cy="5333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i-FI" sz="1100"/>
            <a:t>HUOM! Kun hakuaikaa</a:t>
          </a:r>
          <a:r>
            <a:rPr lang="fi-FI" sz="1100" baseline="0"/>
            <a:t> muutetaan niin se vaihtuu kaikkiin taulukoihin. Kaavojen päivittäminen kestää hetken!</a:t>
          </a:r>
        </a:p>
        <a:p>
          <a:pPr algn="ctr"/>
          <a:r>
            <a:rPr lang="fi-FI" sz="1100" b="1" baseline="0">
              <a:solidFill>
                <a:srgbClr val="002060"/>
              </a:solidFill>
            </a:rPr>
            <a:t>Muut arvot voidaan vaihtaa sivukohtaisesti!</a:t>
          </a:r>
          <a:endParaRPr lang="fi-FI" sz="1100" b="1">
            <a:solidFill>
              <a:srgbClr val="002060"/>
            </a:solidFill>
          </a:endParaRP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6</xdr:col>
      <xdr:colOff>1</xdr:colOff>
      <xdr:row>40</xdr:row>
      <xdr:rowOff>635</xdr:rowOff>
    </xdr:from>
    <xdr:to>
      <xdr:col>11</xdr:col>
      <xdr:colOff>638176</xdr:colOff>
      <xdr:row>90</xdr:row>
      <xdr:rowOff>170068</xdr:rowOff>
    </xdr:to>
    <xdr:graphicFrame macro="">
      <xdr:nvGraphicFramePr>
        <xdr:cNvPr id="2" name="Kaavio 1">
          <a:extLst>
            <a:ext uri="{FF2B5EF4-FFF2-40B4-BE49-F238E27FC236}">
              <a16:creationId xmlns:a16="http://schemas.microsoft.com/office/drawing/2014/main" id="{4D02238B-F678-4963-8B83-82DF5B8A14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358067</xdr:colOff>
      <xdr:row>192</xdr:row>
      <xdr:rowOff>75091</xdr:rowOff>
    </xdr:from>
    <xdr:to>
      <xdr:col>27</xdr:col>
      <xdr:colOff>360656</xdr:colOff>
      <xdr:row>195</xdr:row>
      <xdr:rowOff>101723</xdr:rowOff>
    </xdr:to>
    <xdr:sp macro="" textlink="">
      <xdr:nvSpPr>
        <xdr:cNvPr id="3" name="Tekstiruutu 2">
          <a:extLst>
            <a:ext uri="{FF2B5EF4-FFF2-40B4-BE49-F238E27FC236}">
              <a16:creationId xmlns:a16="http://schemas.microsoft.com/office/drawing/2014/main" id="{CBA9FF16-F590-48B5-B7E8-2FAB913D294C}"/>
            </a:ext>
          </a:extLst>
        </xdr:cNvPr>
        <xdr:cNvSpPr txBox="1"/>
      </xdr:nvSpPr>
      <xdr:spPr>
        <a:xfrm>
          <a:off x="19361829" y="13086426"/>
          <a:ext cx="3331715" cy="6092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t>ks. aika =</a:t>
          </a:r>
        </a:p>
        <a:p>
          <a:r>
            <a:rPr lang="fi-FI" sz="1100" u="sng"/>
            <a:t>Hae koko vuosi</a:t>
          </a:r>
          <a:r>
            <a:rPr lang="fi-FI" sz="1100" u="none"/>
            <a:t> </a:t>
          </a:r>
          <a:r>
            <a:rPr lang="fi-FI" sz="1100"/>
            <a:t>jos tarkastelet lukuja "yhteensä" ja edelliseltä vuodelta jatkavat!</a:t>
          </a:r>
        </a:p>
      </xdr:txBody>
    </xdr:sp>
    <xdr:clientData fPrintsWithSheet="0"/>
  </xdr:twoCellAnchor>
  <xdr:twoCellAnchor>
    <xdr:from>
      <xdr:col>12</xdr:col>
      <xdr:colOff>38098</xdr:colOff>
      <xdr:row>44</xdr:row>
      <xdr:rowOff>85725</xdr:rowOff>
    </xdr:from>
    <xdr:to>
      <xdr:col>19</xdr:col>
      <xdr:colOff>542924</xdr:colOff>
      <xdr:row>72</xdr:row>
      <xdr:rowOff>0</xdr:rowOff>
    </xdr:to>
    <mc:AlternateContent xmlns:mc="http://schemas.openxmlformats.org/markup-compatibility/2006">
      <mc:Choice xmlns:cx1="http://schemas.microsoft.com/office/drawing/2015/9/8/chartex" Requires="cx1">
        <xdr:graphicFrame macro="">
          <xdr:nvGraphicFramePr>
            <xdr:cNvPr id="4" name="Kaavio 3">
              <a:extLst>
                <a:ext uri="{FF2B5EF4-FFF2-40B4-BE49-F238E27FC236}">
                  <a16:creationId xmlns:a16="http://schemas.microsoft.com/office/drawing/2014/main" id="{1021F175-D530-4CC0-B4BA-DB1CB4131961}"/>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2449173" y="2752725"/>
              <a:ext cx="5295901" cy="5248275"/>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12</xdr:col>
      <xdr:colOff>57150</xdr:colOff>
      <xdr:row>77</xdr:row>
      <xdr:rowOff>0</xdr:rowOff>
    </xdr:from>
    <xdr:to>
      <xdr:col>19</xdr:col>
      <xdr:colOff>533400</xdr:colOff>
      <xdr:row>90</xdr:row>
      <xdr:rowOff>161924</xdr:rowOff>
    </xdr:to>
    <mc:AlternateContent xmlns:mc="http://schemas.openxmlformats.org/markup-compatibility/2006">
      <mc:Choice xmlns:cx1="http://schemas.microsoft.com/office/drawing/2015/9/8/chartex" Requires="cx1">
        <xdr:graphicFrame macro="">
          <xdr:nvGraphicFramePr>
            <xdr:cNvPr id="5" name="Kaavio 4">
              <a:extLst>
                <a:ext uri="{FF2B5EF4-FFF2-40B4-BE49-F238E27FC236}">
                  <a16:creationId xmlns:a16="http://schemas.microsoft.com/office/drawing/2014/main" id="{0DD0DA22-1F99-4CC5-88CC-82041D72F2F1}"/>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12468225" y="8953500"/>
              <a:ext cx="5267325" cy="2638424"/>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xdr:from>
      <xdr:col>6</xdr:col>
      <xdr:colOff>23813</xdr:colOff>
      <xdr:row>10</xdr:row>
      <xdr:rowOff>190499</xdr:rowOff>
    </xdr:from>
    <xdr:to>
      <xdr:col>11</xdr:col>
      <xdr:colOff>785812</xdr:colOff>
      <xdr:row>56</xdr:row>
      <xdr:rowOff>190498</xdr:rowOff>
    </xdr:to>
    <xdr:graphicFrame macro="">
      <xdr:nvGraphicFramePr>
        <xdr:cNvPr id="2" name="Kaavio 1">
          <a:extLst>
            <a:ext uri="{FF2B5EF4-FFF2-40B4-BE49-F238E27FC236}">
              <a16:creationId xmlns:a16="http://schemas.microsoft.com/office/drawing/2014/main" id="{45CB24DA-9E1D-44AB-B2BB-5160902A55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74083</xdr:colOff>
      <xdr:row>10</xdr:row>
      <xdr:rowOff>176892</xdr:rowOff>
    </xdr:from>
    <xdr:to>
      <xdr:col>17</xdr:col>
      <xdr:colOff>468690</xdr:colOff>
      <xdr:row>29</xdr:row>
      <xdr:rowOff>13607</xdr:rowOff>
    </xdr:to>
    <xdr:sp macro="" textlink="">
      <xdr:nvSpPr>
        <xdr:cNvPr id="4" name="Tekstiruutu 3">
          <a:extLst>
            <a:ext uri="{FF2B5EF4-FFF2-40B4-BE49-F238E27FC236}">
              <a16:creationId xmlns:a16="http://schemas.microsoft.com/office/drawing/2014/main" id="{87FEEC9E-D0BD-4CB3-8F90-62DA2C9FE25F}"/>
            </a:ext>
          </a:extLst>
        </xdr:cNvPr>
        <xdr:cNvSpPr txBox="1"/>
      </xdr:nvSpPr>
      <xdr:spPr>
        <a:xfrm>
          <a:off x="14443226" y="2081892"/>
          <a:ext cx="3456214" cy="34562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t>Tilastoon lasketaan</a:t>
          </a:r>
          <a:r>
            <a:rPr lang="fi-FI" sz="1100" b="1" baseline="0"/>
            <a:t> vain niiden </a:t>
          </a:r>
          <a:r>
            <a:rPr lang="fi-FI" sz="1100" b="1"/>
            <a:t>asiakkaiden</a:t>
          </a:r>
          <a:r>
            <a:rPr lang="fi-FI" sz="1100" b="1" baseline="0"/>
            <a:t> palvelut,</a:t>
          </a:r>
          <a:r>
            <a:rPr lang="fi-FI" sz="1100" b="1"/>
            <a:t> jotka ovat aktiivisina hakuajalla.</a:t>
          </a:r>
        </a:p>
        <a:p>
          <a:endParaRPr lang="fi-FI" sz="1100" b="1"/>
        </a:p>
        <a:p>
          <a:r>
            <a:rPr lang="fi-FI" sz="1100" baseline="0"/>
            <a:t>Näiltä asiakkailta:</a:t>
          </a:r>
        </a:p>
        <a:p>
          <a:r>
            <a:rPr lang="fi-FI" sz="1100" baseline="0">
              <a:solidFill>
                <a:schemeClr val="dk1"/>
              </a:solidFill>
              <a:effectLst/>
              <a:latin typeface="+mn-lt"/>
              <a:ea typeface="+mn-ea"/>
              <a:cs typeface="+mn-cs"/>
            </a:rPr>
            <a:t>1) Palvelut, joilla on selkeä aloitus- ja lopetuspäivä lasketaan tilastoon normaalisti,  jos nämä päivämäärät osuvat hakuajalle.</a:t>
          </a:r>
        </a:p>
        <a:p>
          <a:endParaRPr lang="fi-FI" sz="1100" baseline="0">
            <a:solidFill>
              <a:schemeClr val="dk1"/>
            </a:solidFill>
            <a:effectLst/>
            <a:latin typeface="+mn-lt"/>
            <a:ea typeface="+mn-ea"/>
            <a:cs typeface="+mn-cs"/>
          </a:endParaRPr>
        </a:p>
        <a:p>
          <a:r>
            <a:rPr lang="fi-FI" sz="1100" baseline="0"/>
            <a:t>2) Tilastoon lasketaan myös kaikki palvelut, jotka ovat alkaneet maksimissaan vuosi ennen hakuaikaa, jos niitä ei ole päätetty. </a:t>
          </a:r>
        </a:p>
        <a:p>
          <a:endParaRPr lang="fi-FI" sz="1100" baseline="0"/>
        </a:p>
        <a:p>
          <a:r>
            <a:rPr lang="fi-FI" sz="1100" baseline="0"/>
            <a:t>Jos haluat nähdä vain hakuajalla alkaneet palvelut - valitse Uudet &gt; Palvelut.</a:t>
          </a:r>
        </a:p>
        <a:p>
          <a:endParaRPr lang="fi-FI" sz="1100" baseline="0"/>
        </a:p>
        <a:p>
          <a:r>
            <a:rPr lang="fi-FI" sz="1100" baseline="0"/>
            <a:t>HUom: Sama palvelu voi näkyä tilastossa useaan kertaan yhdelle asiakkaalle mikäli se on merkitty samalle hakuajalle useita kertoja.</a:t>
          </a:r>
          <a:endParaRPr lang="fi-FI" sz="1100"/>
        </a:p>
      </xdr:txBody>
    </xdr:sp>
    <xdr:clientData fPrintsWithSheet="0"/>
  </xdr:twoCellAnchor>
  <xdr:twoCellAnchor>
    <xdr:from>
      <xdr:col>15</xdr:col>
      <xdr:colOff>81644</xdr:colOff>
      <xdr:row>114</xdr:row>
      <xdr:rowOff>27214</xdr:rowOff>
    </xdr:from>
    <xdr:to>
      <xdr:col>16</xdr:col>
      <xdr:colOff>585108</xdr:colOff>
      <xdr:row>120</xdr:row>
      <xdr:rowOff>0</xdr:rowOff>
    </xdr:to>
    <xdr:sp macro="" textlink="">
      <xdr:nvSpPr>
        <xdr:cNvPr id="5" name="Tekstiruutu 4">
          <a:extLst>
            <a:ext uri="{FF2B5EF4-FFF2-40B4-BE49-F238E27FC236}">
              <a16:creationId xmlns:a16="http://schemas.microsoft.com/office/drawing/2014/main" id="{63F2605B-890B-45F5-BAC4-551E27A4A082}"/>
            </a:ext>
          </a:extLst>
        </xdr:cNvPr>
        <xdr:cNvSpPr txBox="1"/>
      </xdr:nvSpPr>
      <xdr:spPr>
        <a:xfrm>
          <a:off x="16287751" y="19839214"/>
          <a:ext cx="1115786" cy="11157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Sama palvelu voi esiintyä niin kauan</a:t>
          </a:r>
          <a:r>
            <a:rPr lang="fi-FI" sz="1100" baseline="0"/>
            <a:t> kunnes hakuaika päättyy</a:t>
          </a:r>
        </a:p>
        <a:p>
          <a:endParaRPr lang="fi-FI" sz="1100"/>
        </a:p>
      </xdr:txBody>
    </xdr:sp>
    <xdr:clientData fPrintsWithSheet="0"/>
  </xdr:twoCellAnchor>
  <xdr:twoCellAnchor>
    <xdr:from>
      <xdr:col>17</xdr:col>
      <xdr:colOff>53067</xdr:colOff>
      <xdr:row>65</xdr:row>
      <xdr:rowOff>140153</xdr:rowOff>
    </xdr:from>
    <xdr:to>
      <xdr:col>44</xdr:col>
      <xdr:colOff>266359</xdr:colOff>
      <xdr:row>71</xdr:row>
      <xdr:rowOff>171109</xdr:rowOff>
    </xdr:to>
    <xdr:sp macro="" textlink="">
      <xdr:nvSpPr>
        <xdr:cNvPr id="8" name="Tekstiruutu 7">
          <a:extLst>
            <a:ext uri="{FF2B5EF4-FFF2-40B4-BE49-F238E27FC236}">
              <a16:creationId xmlns:a16="http://schemas.microsoft.com/office/drawing/2014/main" id="{45CCDDA8-55C6-4F19-9488-043758E81DF3}"/>
            </a:ext>
          </a:extLst>
        </xdr:cNvPr>
        <xdr:cNvSpPr txBox="1"/>
      </xdr:nvSpPr>
      <xdr:spPr>
        <a:xfrm>
          <a:off x="17502867" y="12522653"/>
          <a:ext cx="1432492" cy="117395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t>ks. aika =</a:t>
          </a:r>
        </a:p>
        <a:p>
          <a:r>
            <a:rPr lang="fi-FI" sz="1100" u="sng"/>
            <a:t>Hae koko vuos</a:t>
          </a:r>
          <a:r>
            <a:rPr lang="fi-FI" sz="1100" u="none"/>
            <a:t>i </a:t>
          </a:r>
          <a:r>
            <a:rPr lang="fi-FI" sz="1100"/>
            <a:t>jos tarkastelet lukuja "yhteensä" ja edelliseltä vuodelta jatkavat!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7</xdr:col>
      <xdr:colOff>9049</xdr:colOff>
      <xdr:row>14</xdr:row>
      <xdr:rowOff>118586</xdr:rowOff>
    </xdr:from>
    <xdr:to>
      <xdr:col>8</xdr:col>
      <xdr:colOff>1032034</xdr:colOff>
      <xdr:row>75</xdr:row>
      <xdr:rowOff>152876</xdr:rowOff>
    </xdr:to>
    <xdr:graphicFrame macro="">
      <xdr:nvGraphicFramePr>
        <xdr:cNvPr id="2" name="Kaavio 1">
          <a:extLst>
            <a:ext uri="{FF2B5EF4-FFF2-40B4-BE49-F238E27FC236}">
              <a16:creationId xmlns:a16="http://schemas.microsoft.com/office/drawing/2014/main" id="{4D7DC2AA-C198-48D3-AAAD-D2CC4AFDCC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34</xdr:col>
      <xdr:colOff>325531</xdr:colOff>
      <xdr:row>6</xdr:row>
      <xdr:rowOff>112662</xdr:rowOff>
    </xdr:from>
    <xdr:to>
      <xdr:col>38</xdr:col>
      <xdr:colOff>429138</xdr:colOff>
      <xdr:row>10</xdr:row>
      <xdr:rowOff>488899</xdr:rowOff>
    </xdr:to>
    <xdr:sp macro="" textlink="">
      <xdr:nvSpPr>
        <xdr:cNvPr id="9" name="Tekstiruutu 8">
          <a:extLst>
            <a:ext uri="{FF2B5EF4-FFF2-40B4-BE49-F238E27FC236}">
              <a16:creationId xmlns:a16="http://schemas.microsoft.com/office/drawing/2014/main" id="{9DB7E498-7724-456B-BF11-50C89589D054}"/>
            </a:ext>
          </a:extLst>
        </xdr:cNvPr>
        <xdr:cNvSpPr txBox="1"/>
      </xdr:nvSpPr>
      <xdr:spPr>
        <a:xfrm>
          <a:off x="27443206" y="1255662"/>
          <a:ext cx="2532482" cy="14049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lisää loppurivi, Enterissä on jo makrolla</a:t>
          </a:r>
        </a:p>
        <a:p>
          <a:r>
            <a:rPr lang="fi-FI" sz="1100"/>
            <a:t>JA : AU</a:t>
          </a:r>
        </a:p>
      </xdr:txBody>
    </xdr:sp>
    <xdr:clientData/>
  </xdr:twoCellAnchor>
  <xdr:twoCellAnchor>
    <xdr:from>
      <xdr:col>2</xdr:col>
      <xdr:colOff>102871</xdr:colOff>
      <xdr:row>78</xdr:row>
      <xdr:rowOff>3360</xdr:rowOff>
    </xdr:from>
    <xdr:to>
      <xdr:col>14</xdr:col>
      <xdr:colOff>495300</xdr:colOff>
      <xdr:row>83</xdr:row>
      <xdr:rowOff>1568822</xdr:rowOff>
    </xdr:to>
    <mc:AlternateContent xmlns:mc="http://schemas.openxmlformats.org/markup-compatibility/2006">
      <mc:Choice xmlns:cx1="http://schemas.microsoft.com/office/drawing/2015/9/8/chartex" Requires="cx1">
        <xdr:graphicFrame macro="">
          <xdr:nvGraphicFramePr>
            <xdr:cNvPr id="10" name="Kaavio 9">
              <a:extLst>
                <a:ext uri="{FF2B5EF4-FFF2-40B4-BE49-F238E27FC236}">
                  <a16:creationId xmlns:a16="http://schemas.microsoft.com/office/drawing/2014/main" id="{364B33B3-BCFC-4BCB-AEB9-63FC6D17911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5132071" y="15881535"/>
              <a:ext cx="9650729" cy="3918137"/>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0</xdr:col>
      <xdr:colOff>0</xdr:colOff>
      <xdr:row>78</xdr:row>
      <xdr:rowOff>3361</xdr:rowOff>
    </xdr:from>
    <xdr:to>
      <xdr:col>2</xdr:col>
      <xdr:colOff>87630</xdr:colOff>
      <xdr:row>83</xdr:row>
      <xdr:rowOff>1568823</xdr:rowOff>
    </xdr:to>
    <mc:AlternateContent xmlns:mc="http://schemas.openxmlformats.org/markup-compatibility/2006">
      <mc:Choice xmlns:cx1="http://schemas.microsoft.com/office/drawing/2015/9/8/chartex" Requires="cx1">
        <xdr:graphicFrame macro="">
          <xdr:nvGraphicFramePr>
            <xdr:cNvPr id="11" name="Kaavio 10">
              <a:extLst>
                <a:ext uri="{FF2B5EF4-FFF2-40B4-BE49-F238E27FC236}">
                  <a16:creationId xmlns:a16="http://schemas.microsoft.com/office/drawing/2014/main" id="{48E10208-04A9-41E1-9610-AE26B61BB637}"/>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0" y="15881536"/>
              <a:ext cx="5116830" cy="3918137"/>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0</xdr:col>
      <xdr:colOff>61911</xdr:colOff>
      <xdr:row>87</xdr:row>
      <xdr:rowOff>47624</xdr:rowOff>
    </xdr:from>
    <xdr:to>
      <xdr:col>6</xdr:col>
      <xdr:colOff>523875</xdr:colOff>
      <xdr:row>103</xdr:row>
      <xdr:rowOff>152399</xdr:rowOff>
    </xdr:to>
    <xdr:graphicFrame macro="">
      <xdr:nvGraphicFramePr>
        <xdr:cNvPr id="13" name="Kaavio 12">
          <a:extLst>
            <a:ext uri="{FF2B5EF4-FFF2-40B4-BE49-F238E27FC236}">
              <a16:creationId xmlns:a16="http://schemas.microsoft.com/office/drawing/2014/main" id="{4C65C23A-842D-E7FD-CB67-DAC3BF0F05E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38100</xdr:colOff>
      <xdr:row>87</xdr:row>
      <xdr:rowOff>28574</xdr:rowOff>
    </xdr:from>
    <xdr:to>
      <xdr:col>12</xdr:col>
      <xdr:colOff>457200</xdr:colOff>
      <xdr:row>103</xdr:row>
      <xdr:rowOff>152399</xdr:rowOff>
    </xdr:to>
    <xdr:graphicFrame macro="">
      <xdr:nvGraphicFramePr>
        <xdr:cNvPr id="14" name="Kaavio 13">
          <a:extLst>
            <a:ext uri="{FF2B5EF4-FFF2-40B4-BE49-F238E27FC236}">
              <a16:creationId xmlns:a16="http://schemas.microsoft.com/office/drawing/2014/main" id="{DA3367A3-AD33-0266-B323-0EF1463D49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57150</xdr:colOff>
      <xdr:row>107</xdr:row>
      <xdr:rowOff>38099</xdr:rowOff>
    </xdr:from>
    <xdr:to>
      <xdr:col>12</xdr:col>
      <xdr:colOff>428625</xdr:colOff>
      <xdr:row>123</xdr:row>
      <xdr:rowOff>180974</xdr:rowOff>
    </xdr:to>
    <xdr:graphicFrame macro="">
      <xdr:nvGraphicFramePr>
        <xdr:cNvPr id="15" name="Kaavio 14">
          <a:extLst>
            <a:ext uri="{FF2B5EF4-FFF2-40B4-BE49-F238E27FC236}">
              <a16:creationId xmlns:a16="http://schemas.microsoft.com/office/drawing/2014/main" id="{526B60A5-4673-B823-18CE-C40D3A5B329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38099</xdr:colOff>
      <xdr:row>107</xdr:row>
      <xdr:rowOff>38099</xdr:rowOff>
    </xdr:from>
    <xdr:to>
      <xdr:col>6</xdr:col>
      <xdr:colOff>561974</xdr:colOff>
      <xdr:row>123</xdr:row>
      <xdr:rowOff>180974</xdr:rowOff>
    </xdr:to>
    <xdr:graphicFrame macro="">
      <xdr:nvGraphicFramePr>
        <xdr:cNvPr id="16" name="Kaavio 15">
          <a:extLst>
            <a:ext uri="{FF2B5EF4-FFF2-40B4-BE49-F238E27FC236}">
              <a16:creationId xmlns:a16="http://schemas.microsoft.com/office/drawing/2014/main" id="{6360C0F0-3D8B-C418-B599-F81CA44140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38100</xdr:colOff>
      <xdr:row>127</xdr:row>
      <xdr:rowOff>57149</xdr:rowOff>
    </xdr:from>
    <xdr:to>
      <xdr:col>6</xdr:col>
      <xdr:colOff>552450</xdr:colOff>
      <xdr:row>143</xdr:row>
      <xdr:rowOff>123824</xdr:rowOff>
    </xdr:to>
    <xdr:graphicFrame macro="">
      <xdr:nvGraphicFramePr>
        <xdr:cNvPr id="17" name="Kaavio 16">
          <a:extLst>
            <a:ext uri="{FF2B5EF4-FFF2-40B4-BE49-F238E27FC236}">
              <a16:creationId xmlns:a16="http://schemas.microsoft.com/office/drawing/2014/main" id="{998E31A9-D6D6-BB16-D252-4F28D552E0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xdr:col>
      <xdr:colOff>47624</xdr:colOff>
      <xdr:row>127</xdr:row>
      <xdr:rowOff>57149</xdr:rowOff>
    </xdr:from>
    <xdr:to>
      <xdr:col>12</xdr:col>
      <xdr:colOff>457199</xdr:colOff>
      <xdr:row>143</xdr:row>
      <xdr:rowOff>123824</xdr:rowOff>
    </xdr:to>
    <xdr:graphicFrame macro="">
      <xdr:nvGraphicFramePr>
        <xdr:cNvPr id="18" name="Kaavio 17">
          <a:extLst>
            <a:ext uri="{FF2B5EF4-FFF2-40B4-BE49-F238E27FC236}">
              <a16:creationId xmlns:a16="http://schemas.microsoft.com/office/drawing/2014/main" id="{B57A57BF-C720-BEE5-67A7-B2A9AF09AE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77389</xdr:colOff>
      <xdr:row>12</xdr:row>
      <xdr:rowOff>104774</xdr:rowOff>
    </xdr:from>
    <xdr:to>
      <xdr:col>6</xdr:col>
      <xdr:colOff>4649389</xdr:colOff>
      <xdr:row>28</xdr:row>
      <xdr:rowOff>119062</xdr:rowOff>
    </xdr:to>
    <xdr:graphicFrame macro="">
      <xdr:nvGraphicFramePr>
        <xdr:cNvPr id="2" name="Kaavio 1">
          <a:extLst>
            <a:ext uri="{FF2B5EF4-FFF2-40B4-BE49-F238E27FC236}">
              <a16:creationId xmlns:a16="http://schemas.microsoft.com/office/drawing/2014/main" id="{A3D31E1B-DCD3-46D9-AB14-E1FA57692F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113109</xdr:colOff>
      <xdr:row>33</xdr:row>
      <xdr:rowOff>116680</xdr:rowOff>
    </xdr:from>
    <xdr:to>
      <xdr:col>6</xdr:col>
      <xdr:colOff>4685109</xdr:colOff>
      <xdr:row>52</xdr:row>
      <xdr:rowOff>83344</xdr:rowOff>
    </xdr:to>
    <xdr:graphicFrame macro="">
      <xdr:nvGraphicFramePr>
        <xdr:cNvPr id="3" name="Kaavio 2">
          <a:extLst>
            <a:ext uri="{FF2B5EF4-FFF2-40B4-BE49-F238E27FC236}">
              <a16:creationId xmlns:a16="http://schemas.microsoft.com/office/drawing/2014/main" id="{3BF188BC-9C1D-41C9-A49B-FA7A475481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77390</xdr:colOff>
      <xdr:row>57</xdr:row>
      <xdr:rowOff>116682</xdr:rowOff>
    </xdr:from>
    <xdr:to>
      <xdr:col>6</xdr:col>
      <xdr:colOff>4649390</xdr:colOff>
      <xdr:row>72</xdr:row>
      <xdr:rowOff>107156</xdr:rowOff>
    </xdr:to>
    <xdr:graphicFrame macro="">
      <xdr:nvGraphicFramePr>
        <xdr:cNvPr id="4" name="Kaavio 3">
          <a:extLst>
            <a:ext uri="{FF2B5EF4-FFF2-40B4-BE49-F238E27FC236}">
              <a16:creationId xmlns:a16="http://schemas.microsoft.com/office/drawing/2014/main" id="{A9FAF616-55C6-4643-A032-9A1B709475F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65483</xdr:colOff>
      <xdr:row>79</xdr:row>
      <xdr:rowOff>140493</xdr:rowOff>
    </xdr:from>
    <xdr:to>
      <xdr:col>6</xdr:col>
      <xdr:colOff>4637483</xdr:colOff>
      <xdr:row>99</xdr:row>
      <xdr:rowOff>95250</xdr:rowOff>
    </xdr:to>
    <xdr:graphicFrame macro="">
      <xdr:nvGraphicFramePr>
        <xdr:cNvPr id="5" name="Kaavio 4">
          <a:extLst>
            <a:ext uri="{FF2B5EF4-FFF2-40B4-BE49-F238E27FC236}">
              <a16:creationId xmlns:a16="http://schemas.microsoft.com/office/drawing/2014/main" id="{31F229C9-79B3-459A-9377-37E9D2B2F1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89296</xdr:colOff>
      <xdr:row>105</xdr:row>
      <xdr:rowOff>33336</xdr:rowOff>
    </xdr:from>
    <xdr:to>
      <xdr:col>6</xdr:col>
      <xdr:colOff>4661296</xdr:colOff>
      <xdr:row>119</xdr:row>
      <xdr:rowOff>142873</xdr:rowOff>
    </xdr:to>
    <xdr:graphicFrame macro="">
      <xdr:nvGraphicFramePr>
        <xdr:cNvPr id="6" name="Kaavio 5">
          <a:extLst>
            <a:ext uri="{FF2B5EF4-FFF2-40B4-BE49-F238E27FC236}">
              <a16:creationId xmlns:a16="http://schemas.microsoft.com/office/drawing/2014/main" id="{A7E6DBCE-EE1C-4B56-B356-E05EE77519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59531</xdr:colOff>
      <xdr:row>12</xdr:row>
      <xdr:rowOff>63102</xdr:rowOff>
    </xdr:from>
    <xdr:to>
      <xdr:col>6</xdr:col>
      <xdr:colOff>4631531</xdr:colOff>
      <xdr:row>28</xdr:row>
      <xdr:rowOff>119061</xdr:rowOff>
    </xdr:to>
    <mc:AlternateContent xmlns:mc="http://schemas.openxmlformats.org/markup-compatibility/2006">
      <mc:Choice xmlns:cx1="http://schemas.microsoft.com/office/drawing/2015/9/8/chartex" Requires="cx1">
        <xdr:graphicFrame macro="">
          <xdr:nvGraphicFramePr>
            <xdr:cNvPr id="7" name="Kaavio 6">
              <a:extLst>
                <a:ext uri="{FF2B5EF4-FFF2-40B4-BE49-F238E27FC236}">
                  <a16:creationId xmlns:a16="http://schemas.microsoft.com/office/drawing/2014/main" id="{58A88484-DA78-4DB5-AC38-B8486883CE01}"/>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6355556" y="2606277"/>
              <a:ext cx="4572000" cy="3103959"/>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6</xdr:col>
      <xdr:colOff>83344</xdr:colOff>
      <xdr:row>33</xdr:row>
      <xdr:rowOff>51197</xdr:rowOff>
    </xdr:from>
    <xdr:to>
      <xdr:col>6</xdr:col>
      <xdr:colOff>4655344</xdr:colOff>
      <xdr:row>52</xdr:row>
      <xdr:rowOff>119063</xdr:rowOff>
    </xdr:to>
    <mc:AlternateContent xmlns:mc="http://schemas.openxmlformats.org/markup-compatibility/2006">
      <mc:Choice xmlns:cx1="http://schemas.microsoft.com/office/drawing/2015/9/8/chartex" Requires="cx1">
        <xdr:graphicFrame macro="">
          <xdr:nvGraphicFramePr>
            <xdr:cNvPr id="8" name="Kaavio 7">
              <a:extLst>
                <a:ext uri="{FF2B5EF4-FFF2-40B4-BE49-F238E27FC236}">
                  <a16:creationId xmlns:a16="http://schemas.microsoft.com/office/drawing/2014/main" id="{1FC7BF57-9FB5-47BD-B6B2-9E4F43D7E0B9}"/>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7"/>
            </a:graphicData>
          </a:graphic>
        </xdr:graphicFrame>
      </mc:Choice>
      <mc:Fallback>
        <xdr:sp macro="" textlink="">
          <xdr:nvSpPr>
            <xdr:cNvPr id="0" name=""/>
            <xdr:cNvSpPr>
              <a:spLocks noTextEdit="1"/>
            </xdr:cNvSpPr>
          </xdr:nvSpPr>
          <xdr:spPr>
            <a:xfrm>
              <a:off x="6379369" y="6728222"/>
              <a:ext cx="4572000" cy="3687366"/>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6</xdr:col>
      <xdr:colOff>101203</xdr:colOff>
      <xdr:row>57</xdr:row>
      <xdr:rowOff>39289</xdr:rowOff>
    </xdr:from>
    <xdr:to>
      <xdr:col>6</xdr:col>
      <xdr:colOff>4673203</xdr:colOff>
      <xdr:row>72</xdr:row>
      <xdr:rowOff>142874</xdr:rowOff>
    </xdr:to>
    <mc:AlternateContent xmlns:mc="http://schemas.openxmlformats.org/markup-compatibility/2006">
      <mc:Choice xmlns:cx1="http://schemas.microsoft.com/office/drawing/2015/9/8/chartex" Requires="cx1">
        <xdr:graphicFrame macro="">
          <xdr:nvGraphicFramePr>
            <xdr:cNvPr id="9" name="Kaavio 8">
              <a:extLst>
                <a:ext uri="{FF2B5EF4-FFF2-40B4-BE49-F238E27FC236}">
                  <a16:creationId xmlns:a16="http://schemas.microsoft.com/office/drawing/2014/main" id="{46BDBCE1-7A68-4470-828F-23144D5A1DE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8"/>
            </a:graphicData>
          </a:graphic>
        </xdr:graphicFrame>
      </mc:Choice>
      <mc:Fallback>
        <xdr:sp macro="" textlink="">
          <xdr:nvSpPr>
            <xdr:cNvPr id="0" name=""/>
            <xdr:cNvSpPr>
              <a:spLocks noTextEdit="1"/>
            </xdr:cNvSpPr>
          </xdr:nvSpPr>
          <xdr:spPr>
            <a:xfrm>
              <a:off x="6397228" y="11421664"/>
              <a:ext cx="4572000" cy="2961085"/>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6</xdr:col>
      <xdr:colOff>65483</xdr:colOff>
      <xdr:row>79</xdr:row>
      <xdr:rowOff>39290</xdr:rowOff>
    </xdr:from>
    <xdr:to>
      <xdr:col>6</xdr:col>
      <xdr:colOff>4637483</xdr:colOff>
      <xdr:row>99</xdr:row>
      <xdr:rowOff>119062</xdr:rowOff>
    </xdr:to>
    <mc:AlternateContent xmlns:mc="http://schemas.openxmlformats.org/markup-compatibility/2006">
      <mc:Choice xmlns:cx1="http://schemas.microsoft.com/office/drawing/2015/9/8/chartex" Requires="cx1">
        <xdr:graphicFrame macro="">
          <xdr:nvGraphicFramePr>
            <xdr:cNvPr id="10" name="Kaavio 9">
              <a:extLst>
                <a:ext uri="{FF2B5EF4-FFF2-40B4-BE49-F238E27FC236}">
                  <a16:creationId xmlns:a16="http://schemas.microsoft.com/office/drawing/2014/main" id="{7CD86440-08B0-4C3E-A0DF-1034CAD892A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9"/>
            </a:graphicData>
          </a:graphic>
        </xdr:graphicFrame>
      </mc:Choice>
      <mc:Fallback>
        <xdr:sp macro="" textlink="">
          <xdr:nvSpPr>
            <xdr:cNvPr id="0" name=""/>
            <xdr:cNvSpPr>
              <a:spLocks noTextEdit="1"/>
            </xdr:cNvSpPr>
          </xdr:nvSpPr>
          <xdr:spPr>
            <a:xfrm>
              <a:off x="6361508" y="15746015"/>
              <a:ext cx="4572000" cy="3889772"/>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6</xdr:col>
      <xdr:colOff>89296</xdr:colOff>
      <xdr:row>105</xdr:row>
      <xdr:rowOff>39290</xdr:rowOff>
    </xdr:from>
    <xdr:to>
      <xdr:col>6</xdr:col>
      <xdr:colOff>4661296</xdr:colOff>
      <xdr:row>119</xdr:row>
      <xdr:rowOff>115490</xdr:rowOff>
    </xdr:to>
    <mc:AlternateContent xmlns:mc="http://schemas.openxmlformats.org/markup-compatibility/2006">
      <mc:Choice xmlns:cx1="http://schemas.microsoft.com/office/drawing/2015/9/8/chartex" Requires="cx1">
        <xdr:graphicFrame macro="">
          <xdr:nvGraphicFramePr>
            <xdr:cNvPr id="11" name="Kaavio 10">
              <a:extLst>
                <a:ext uri="{FF2B5EF4-FFF2-40B4-BE49-F238E27FC236}">
                  <a16:creationId xmlns:a16="http://schemas.microsoft.com/office/drawing/2014/main" id="{61B7E402-36C3-4C1F-8E62-DD45C5C331B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0"/>
            </a:graphicData>
          </a:graphic>
        </xdr:graphicFrame>
      </mc:Choice>
      <mc:Fallback>
        <xdr:sp macro="" textlink="">
          <xdr:nvSpPr>
            <xdr:cNvPr id="0" name=""/>
            <xdr:cNvSpPr>
              <a:spLocks noTextEdit="1"/>
            </xdr:cNvSpPr>
          </xdr:nvSpPr>
          <xdr:spPr>
            <a:xfrm>
              <a:off x="6385321" y="20832365"/>
              <a:ext cx="4572000" cy="2743200"/>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14</xdr:col>
      <xdr:colOff>89296</xdr:colOff>
      <xdr:row>12</xdr:row>
      <xdr:rowOff>51196</xdr:rowOff>
    </xdr:from>
    <xdr:to>
      <xdr:col>14</xdr:col>
      <xdr:colOff>4661296</xdr:colOff>
      <xdr:row>28</xdr:row>
      <xdr:rowOff>142873</xdr:rowOff>
    </xdr:to>
    <mc:AlternateContent xmlns:mc="http://schemas.openxmlformats.org/markup-compatibility/2006">
      <mc:Choice xmlns:cx1="http://schemas.microsoft.com/office/drawing/2015/9/8/chartex" Requires="cx1">
        <xdr:graphicFrame macro="">
          <xdr:nvGraphicFramePr>
            <xdr:cNvPr id="32" name="Kaavio 31">
              <a:extLst>
                <a:ext uri="{FF2B5EF4-FFF2-40B4-BE49-F238E27FC236}">
                  <a16:creationId xmlns:a16="http://schemas.microsoft.com/office/drawing/2014/main" id="{343EE700-020D-4C3A-A839-B8EC159C790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1"/>
            </a:graphicData>
          </a:graphic>
        </xdr:graphicFrame>
      </mc:Choice>
      <mc:Fallback>
        <xdr:sp macro="" textlink="">
          <xdr:nvSpPr>
            <xdr:cNvPr id="0" name=""/>
            <xdr:cNvSpPr>
              <a:spLocks noTextEdit="1"/>
            </xdr:cNvSpPr>
          </xdr:nvSpPr>
          <xdr:spPr>
            <a:xfrm>
              <a:off x="16291321" y="2594371"/>
              <a:ext cx="4572000" cy="3139677"/>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14</xdr:col>
      <xdr:colOff>101203</xdr:colOff>
      <xdr:row>33</xdr:row>
      <xdr:rowOff>51196</xdr:rowOff>
    </xdr:from>
    <xdr:to>
      <xdr:col>14</xdr:col>
      <xdr:colOff>4673203</xdr:colOff>
      <xdr:row>52</xdr:row>
      <xdr:rowOff>166688</xdr:rowOff>
    </xdr:to>
    <mc:AlternateContent xmlns:mc="http://schemas.openxmlformats.org/markup-compatibility/2006">
      <mc:Choice xmlns:cx1="http://schemas.microsoft.com/office/drawing/2015/9/8/chartex" Requires="cx1">
        <xdr:graphicFrame macro="">
          <xdr:nvGraphicFramePr>
            <xdr:cNvPr id="33" name="Kaavio 32">
              <a:extLst>
                <a:ext uri="{FF2B5EF4-FFF2-40B4-BE49-F238E27FC236}">
                  <a16:creationId xmlns:a16="http://schemas.microsoft.com/office/drawing/2014/main" id="{043D64AA-64AD-4BB7-83B1-913C2D0E2F85}"/>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2"/>
            </a:graphicData>
          </a:graphic>
        </xdr:graphicFrame>
      </mc:Choice>
      <mc:Fallback>
        <xdr:sp macro="" textlink="">
          <xdr:nvSpPr>
            <xdr:cNvPr id="0" name=""/>
            <xdr:cNvSpPr>
              <a:spLocks noTextEdit="1"/>
            </xdr:cNvSpPr>
          </xdr:nvSpPr>
          <xdr:spPr>
            <a:xfrm>
              <a:off x="16303228" y="6728221"/>
              <a:ext cx="4572000" cy="3734992"/>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14</xdr:col>
      <xdr:colOff>77390</xdr:colOff>
      <xdr:row>57</xdr:row>
      <xdr:rowOff>39289</xdr:rowOff>
    </xdr:from>
    <xdr:to>
      <xdr:col>14</xdr:col>
      <xdr:colOff>4649390</xdr:colOff>
      <xdr:row>72</xdr:row>
      <xdr:rowOff>154780</xdr:rowOff>
    </xdr:to>
    <mc:AlternateContent xmlns:mc="http://schemas.openxmlformats.org/markup-compatibility/2006">
      <mc:Choice xmlns:cx1="http://schemas.microsoft.com/office/drawing/2015/9/8/chartex" Requires="cx1">
        <xdr:graphicFrame macro="">
          <xdr:nvGraphicFramePr>
            <xdr:cNvPr id="34" name="Kaavio 33">
              <a:extLst>
                <a:ext uri="{FF2B5EF4-FFF2-40B4-BE49-F238E27FC236}">
                  <a16:creationId xmlns:a16="http://schemas.microsoft.com/office/drawing/2014/main" id="{D7713D79-CCEB-4C52-8E36-BDCC0069F39C}"/>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3"/>
            </a:graphicData>
          </a:graphic>
        </xdr:graphicFrame>
      </mc:Choice>
      <mc:Fallback>
        <xdr:sp macro="" textlink="">
          <xdr:nvSpPr>
            <xdr:cNvPr id="0" name=""/>
            <xdr:cNvSpPr>
              <a:spLocks noTextEdit="1"/>
            </xdr:cNvSpPr>
          </xdr:nvSpPr>
          <xdr:spPr>
            <a:xfrm>
              <a:off x="16279415" y="11421664"/>
              <a:ext cx="4572000" cy="2972991"/>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14</xdr:col>
      <xdr:colOff>77390</xdr:colOff>
      <xdr:row>79</xdr:row>
      <xdr:rowOff>39289</xdr:rowOff>
    </xdr:from>
    <xdr:to>
      <xdr:col>14</xdr:col>
      <xdr:colOff>4649390</xdr:colOff>
      <xdr:row>99</xdr:row>
      <xdr:rowOff>154781</xdr:rowOff>
    </xdr:to>
    <mc:AlternateContent xmlns:mc="http://schemas.openxmlformats.org/markup-compatibility/2006">
      <mc:Choice xmlns:cx1="http://schemas.microsoft.com/office/drawing/2015/9/8/chartex" Requires="cx1">
        <xdr:graphicFrame macro="">
          <xdr:nvGraphicFramePr>
            <xdr:cNvPr id="35" name="Kaavio 34">
              <a:extLst>
                <a:ext uri="{FF2B5EF4-FFF2-40B4-BE49-F238E27FC236}">
                  <a16:creationId xmlns:a16="http://schemas.microsoft.com/office/drawing/2014/main" id="{7B3D00CC-4B0F-4600-BCEE-772D0AA8076A}"/>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4"/>
            </a:graphicData>
          </a:graphic>
        </xdr:graphicFrame>
      </mc:Choice>
      <mc:Fallback>
        <xdr:sp macro="" textlink="">
          <xdr:nvSpPr>
            <xdr:cNvPr id="0" name=""/>
            <xdr:cNvSpPr>
              <a:spLocks noTextEdit="1"/>
            </xdr:cNvSpPr>
          </xdr:nvSpPr>
          <xdr:spPr>
            <a:xfrm>
              <a:off x="16279415" y="15746014"/>
              <a:ext cx="4572000" cy="3925492"/>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twoCellAnchor>
    <xdr:from>
      <xdr:col>14</xdr:col>
      <xdr:colOff>65483</xdr:colOff>
      <xdr:row>105</xdr:row>
      <xdr:rowOff>75008</xdr:rowOff>
    </xdr:from>
    <xdr:to>
      <xdr:col>14</xdr:col>
      <xdr:colOff>4637483</xdr:colOff>
      <xdr:row>119</xdr:row>
      <xdr:rowOff>151208</xdr:rowOff>
    </xdr:to>
    <mc:AlternateContent xmlns:mc="http://schemas.openxmlformats.org/markup-compatibility/2006">
      <mc:Choice xmlns:cx1="http://schemas.microsoft.com/office/drawing/2015/9/8/chartex" Requires="cx1">
        <xdr:graphicFrame macro="">
          <xdr:nvGraphicFramePr>
            <xdr:cNvPr id="36" name="Kaavio 35">
              <a:extLst>
                <a:ext uri="{FF2B5EF4-FFF2-40B4-BE49-F238E27FC236}">
                  <a16:creationId xmlns:a16="http://schemas.microsoft.com/office/drawing/2014/main" id="{A347EE90-6D39-428D-BFB8-240F19B2D3D8}"/>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5"/>
            </a:graphicData>
          </a:graphic>
        </xdr:graphicFrame>
      </mc:Choice>
      <mc:Fallback>
        <xdr:sp macro="" textlink="">
          <xdr:nvSpPr>
            <xdr:cNvPr id="0" name=""/>
            <xdr:cNvSpPr>
              <a:spLocks noTextEdit="1"/>
            </xdr:cNvSpPr>
          </xdr:nvSpPr>
          <xdr:spPr>
            <a:xfrm>
              <a:off x="16267508" y="20868083"/>
              <a:ext cx="4572000" cy="2743200"/>
            </a:xfrm>
            <a:prstGeom prst="rect">
              <a:avLst/>
            </a:prstGeom>
            <a:solidFill>
              <a:prstClr val="white"/>
            </a:solidFill>
            <a:ln w="1">
              <a:solidFill>
                <a:prstClr val="green"/>
              </a:solidFill>
            </a:ln>
          </xdr:spPr>
          <xdr:txBody>
            <a:bodyPr vertOverflow="clip" horzOverflow="clip"/>
            <a:lstStyle/>
            <a:p>
              <a:r>
                <a:rPr lang="fi-FI" sz="1100"/>
                <a:t>Tämä kaavio ei ole käytettävissä tässä Excel-versiossa.
Kaavio ei enää toimi, jos tätä muotoa muokataan tai tämä työkirja tallennetaan eri tiedostomuotoon.</a:t>
              </a:r>
            </a:p>
          </xdr:txBody>
        </xdr:sp>
      </mc:Fallback>
    </mc:AlternateContent>
    <xdr:clientData/>
  </xdr:twoCellAnchor>
</xdr:wsDr>
</file>

<file path=xl/drawings/drawing9.xml><?xml version="1.0" encoding="utf-8"?>
<xdr:wsDr xmlns:xdr="http://schemas.openxmlformats.org/drawingml/2006/spreadsheetDrawing" xmlns:a="http://schemas.openxmlformats.org/drawingml/2006/main">
  <xdr:twoCellAnchor>
    <xdr:from>
      <xdr:col>6</xdr:col>
      <xdr:colOff>28576</xdr:colOff>
      <xdr:row>19</xdr:row>
      <xdr:rowOff>0</xdr:rowOff>
    </xdr:from>
    <xdr:to>
      <xdr:col>10</xdr:col>
      <xdr:colOff>590551</xdr:colOff>
      <xdr:row>31</xdr:row>
      <xdr:rowOff>0</xdr:rowOff>
    </xdr:to>
    <xdr:graphicFrame macro="">
      <xdr:nvGraphicFramePr>
        <xdr:cNvPr id="2" name="Kaavio 1">
          <a:extLst>
            <a:ext uri="{FF2B5EF4-FFF2-40B4-BE49-F238E27FC236}">
              <a16:creationId xmlns:a16="http://schemas.microsoft.com/office/drawing/2014/main" id="{19AB8D40-3D0B-4EF5-9739-DBBCC9AC7F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535889</xdr:colOff>
      <xdr:row>34</xdr:row>
      <xdr:rowOff>304800</xdr:rowOff>
    </xdr:from>
    <xdr:to>
      <xdr:col>13</xdr:col>
      <xdr:colOff>106680</xdr:colOff>
      <xdr:row>47</xdr:row>
      <xdr:rowOff>134522</xdr:rowOff>
    </xdr:to>
    <xdr:graphicFrame macro="">
      <xdr:nvGraphicFramePr>
        <xdr:cNvPr id="3" name="Kaavio 2">
          <a:extLst>
            <a:ext uri="{FF2B5EF4-FFF2-40B4-BE49-F238E27FC236}">
              <a16:creationId xmlns:a16="http://schemas.microsoft.com/office/drawing/2014/main" id="{0A295787-01EE-42AD-B52C-EEB7C2CC10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4395</xdr:colOff>
      <xdr:row>52</xdr:row>
      <xdr:rowOff>323850</xdr:rowOff>
    </xdr:from>
    <xdr:to>
      <xdr:col>12</xdr:col>
      <xdr:colOff>586153</xdr:colOff>
      <xdr:row>65</xdr:row>
      <xdr:rowOff>153864</xdr:rowOff>
    </xdr:to>
    <xdr:graphicFrame macro="">
      <xdr:nvGraphicFramePr>
        <xdr:cNvPr id="4" name="Kaavio 3">
          <a:extLst>
            <a:ext uri="{FF2B5EF4-FFF2-40B4-BE49-F238E27FC236}">
              <a16:creationId xmlns:a16="http://schemas.microsoft.com/office/drawing/2014/main" id="{98116FBF-6780-40C4-8D5F-B7564529A1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42</xdr:col>
      <xdr:colOff>28576</xdr:colOff>
      <xdr:row>19</xdr:row>
      <xdr:rowOff>0</xdr:rowOff>
    </xdr:from>
    <xdr:to>
      <xdr:col>46</xdr:col>
      <xdr:colOff>590551</xdr:colOff>
      <xdr:row>31</xdr:row>
      <xdr:rowOff>0</xdr:rowOff>
    </xdr:to>
    <xdr:graphicFrame macro="">
      <xdr:nvGraphicFramePr>
        <xdr:cNvPr id="8" name="Kaavio 7">
          <a:extLst>
            <a:ext uri="{FF2B5EF4-FFF2-40B4-BE49-F238E27FC236}">
              <a16:creationId xmlns:a16="http://schemas.microsoft.com/office/drawing/2014/main" id="{C6AD1545-3AB0-4F19-A5E0-3EB9DBADF9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43</xdr:col>
      <xdr:colOff>535889</xdr:colOff>
      <xdr:row>34</xdr:row>
      <xdr:rowOff>304800</xdr:rowOff>
    </xdr:from>
    <xdr:to>
      <xdr:col>49</xdr:col>
      <xdr:colOff>106680</xdr:colOff>
      <xdr:row>47</xdr:row>
      <xdr:rowOff>134522</xdr:rowOff>
    </xdr:to>
    <xdr:graphicFrame macro="">
      <xdr:nvGraphicFramePr>
        <xdr:cNvPr id="9" name="Kaavio 8">
          <a:extLst>
            <a:ext uri="{FF2B5EF4-FFF2-40B4-BE49-F238E27FC236}">
              <a16:creationId xmlns:a16="http://schemas.microsoft.com/office/drawing/2014/main" id="{0A71A4CF-ECCB-460D-9894-9EE391F989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44</xdr:col>
      <xdr:colOff>4395</xdr:colOff>
      <xdr:row>53</xdr:row>
      <xdr:rowOff>0</xdr:rowOff>
    </xdr:from>
    <xdr:to>
      <xdr:col>48</xdr:col>
      <xdr:colOff>586153</xdr:colOff>
      <xdr:row>65</xdr:row>
      <xdr:rowOff>153864</xdr:rowOff>
    </xdr:to>
    <xdr:graphicFrame macro="">
      <xdr:nvGraphicFramePr>
        <xdr:cNvPr id="10" name="Kaavio 9">
          <a:extLst>
            <a:ext uri="{FF2B5EF4-FFF2-40B4-BE49-F238E27FC236}">
              <a16:creationId xmlns:a16="http://schemas.microsoft.com/office/drawing/2014/main" id="{2E24BFB9-DB0C-4A40-B56A-E2E5191DA8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49</xdr:col>
      <xdr:colOff>333373</xdr:colOff>
      <xdr:row>2</xdr:row>
      <xdr:rowOff>0</xdr:rowOff>
    </xdr:from>
    <xdr:to>
      <xdr:col>57</xdr:col>
      <xdr:colOff>190498</xdr:colOff>
      <xdr:row>20</xdr:row>
      <xdr:rowOff>59531</xdr:rowOff>
    </xdr:to>
    <xdr:sp macro="" textlink="">
      <xdr:nvSpPr>
        <xdr:cNvPr id="2" name="Tekstiruutu 1">
          <a:extLst>
            <a:ext uri="{FF2B5EF4-FFF2-40B4-BE49-F238E27FC236}">
              <a16:creationId xmlns:a16="http://schemas.microsoft.com/office/drawing/2014/main" id="{00000000-0008-0000-0900-000002000000}"/>
            </a:ext>
          </a:extLst>
        </xdr:cNvPr>
        <xdr:cNvSpPr txBox="1"/>
      </xdr:nvSpPr>
      <xdr:spPr>
        <a:xfrm>
          <a:off x="32408811" y="381000"/>
          <a:ext cx="4714875" cy="34885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Suodata ensin järjestykseen, jossa asiakkaat </a:t>
          </a:r>
          <a:r>
            <a:rPr lang="fi-FI" sz="1100" baseline="0"/>
            <a:t> peräkkäin ja sitten vanhimmasta uusimpaan</a:t>
          </a:r>
        </a:p>
        <a:p>
          <a:r>
            <a:rPr lang="fi-FI" sz="1100" baseline="0">
              <a:solidFill>
                <a:srgbClr val="FF0000"/>
              </a:solidFill>
            </a:rPr>
            <a:t>- halutaan ihan ensimmäinen tilanne</a:t>
          </a:r>
        </a:p>
        <a:p>
          <a:r>
            <a:rPr lang="fi-FI" sz="1100" baseline="0"/>
            <a:t>- halutaan aikavälin ensimmäinen tilanne</a:t>
          </a:r>
        </a:p>
        <a:p>
          <a:r>
            <a:rPr lang="fi-FI" sz="1100" baseline="0">
              <a:solidFill>
                <a:srgbClr val="FF0000"/>
              </a:solidFill>
            </a:rPr>
            <a:t>- halutaan (aikavälin? nyt ei ole aikaväli ehtoa) viimeinen tilanne</a:t>
          </a:r>
        </a:p>
        <a:p>
          <a:r>
            <a:rPr lang="fi-FI" sz="1100" baseline="0"/>
            <a:t>- halutaan kaikista viimeisin tilanne</a:t>
          </a:r>
        </a:p>
        <a:p>
          <a:endParaRPr lang="fi-FI" sz="1100" baseline="0"/>
        </a:p>
        <a:p>
          <a:pPr marL="0" marR="0" indent="0" defTabSz="914400" eaLnBrk="1" fontAlgn="auto" latinLnBrk="0" hangingPunct="1">
            <a:lnSpc>
              <a:spcPct val="100000"/>
            </a:lnSpc>
            <a:spcBef>
              <a:spcPts val="0"/>
            </a:spcBef>
            <a:spcAft>
              <a:spcPts val="0"/>
            </a:spcAft>
            <a:buClrTx/>
            <a:buSzTx/>
            <a:buFontTx/>
            <a:buNone/>
            <a:tabLst/>
            <a:defRPr/>
          </a:pPr>
          <a:r>
            <a:rPr lang="fi-FI" sz="1100" baseline="0"/>
            <a:t>Suositellaan täyttämään ai</a:t>
          </a:r>
          <a:r>
            <a:rPr lang="fi-FI" sz="1100" baseline="0">
              <a:solidFill>
                <a:schemeClr val="dk1"/>
              </a:solidFill>
              <a:effectLst/>
              <a:latin typeface="+mn-lt"/>
              <a:ea typeface="+mn-ea"/>
              <a:cs typeface="+mn-cs"/>
            </a:rPr>
            <a:t>na kaikki kohdat / tilanne-sivu</a:t>
          </a:r>
          <a:endParaRPr lang="fi-FI">
            <a:effectLst/>
          </a:endParaRPr>
        </a:p>
        <a:p>
          <a:endParaRPr lang="fi-FI" sz="1100" baseline="0"/>
        </a:p>
        <a:p>
          <a:r>
            <a:rPr lang="fi-FI" sz="1100" baseline="0"/>
            <a:t>Ensimmäinen rivi tärkein!!</a:t>
          </a:r>
        </a:p>
        <a:p>
          <a:endParaRPr lang="fi-FI" sz="1100" baseline="0"/>
        </a:p>
        <a:p>
          <a:r>
            <a:rPr lang="fi-FI" sz="1100" baseline="0"/>
            <a:t>muutos 12.8.2024</a:t>
          </a:r>
        </a:p>
        <a:p>
          <a:r>
            <a:rPr lang="fi-FI" sz="1100" baseline="0"/>
            <a:t>halutaan hakuajan eka sopiva tilanne. lähinpänä aloituspäivää oleva ajankohta valitaan ensimmäiseksi</a:t>
          </a:r>
        </a:p>
        <a:p>
          <a:endParaRPr lang="fi-FI" sz="1100" baseline="0"/>
        </a:p>
        <a:p>
          <a:endParaRPr lang="fi-FI"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99339</xdr:colOff>
      <xdr:row>17</xdr:row>
      <xdr:rowOff>76969</xdr:rowOff>
    </xdr:from>
    <xdr:to>
      <xdr:col>7</xdr:col>
      <xdr:colOff>362573</xdr:colOff>
      <xdr:row>19</xdr:row>
      <xdr:rowOff>17797</xdr:rowOff>
    </xdr:to>
    <xdr:sp macro="" textlink="">
      <xdr:nvSpPr>
        <xdr:cNvPr id="2" name="Tekstiruutu 1">
          <a:extLst>
            <a:ext uri="{FF2B5EF4-FFF2-40B4-BE49-F238E27FC236}">
              <a16:creationId xmlns:a16="http://schemas.microsoft.com/office/drawing/2014/main" id="{00000000-0008-0000-0700-000002000000}"/>
            </a:ext>
          </a:extLst>
        </xdr:cNvPr>
        <xdr:cNvSpPr txBox="1"/>
      </xdr:nvSpPr>
      <xdr:spPr>
        <a:xfrm>
          <a:off x="3726536" y="663863"/>
          <a:ext cx="2341416" cy="344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a:t>Toimenpiteet (palvelut)</a:t>
          </a:r>
          <a:endParaRPr lang="fi-FI" sz="1100" b="1" i="0" u="none" strike="noStrike">
            <a:solidFill>
              <a:schemeClr val="dk1"/>
            </a:solidFill>
            <a:effectLst/>
            <a:latin typeface="+mn-lt"/>
            <a:ea typeface="+mn-ea"/>
            <a:cs typeface="+mn-cs"/>
          </a:endParaRPr>
        </a:p>
        <a:p>
          <a:r>
            <a:rPr lang="fi-FI" sz="1100" b="1" i="0" u="none" strike="noStrike">
              <a:solidFill>
                <a:schemeClr val="dk1"/>
              </a:solidFill>
              <a:effectLst/>
              <a:latin typeface="+mn-lt"/>
              <a:ea typeface="+mn-ea"/>
              <a:cs typeface="+mn-cs"/>
            </a:rPr>
            <a:t>Kirjaa</a:t>
          </a:r>
          <a:r>
            <a:rPr lang="fi-FI" sz="1100" b="1" i="0" u="none" strike="noStrike" baseline="0">
              <a:solidFill>
                <a:schemeClr val="dk1"/>
              </a:solidFill>
              <a:effectLst/>
              <a:latin typeface="+mn-lt"/>
              <a:ea typeface="+mn-ea"/>
              <a:cs typeface="+mn-cs"/>
            </a:rPr>
            <a:t> aina valtakunnallinen muuttuja. Omat toimenpiteet lasketaan erikseen!! Ei valtakunnalliseen taulukkoon</a:t>
          </a:r>
        </a:p>
        <a:p>
          <a:endParaRPr lang="fi-FI" sz="1100" b="1" i="0" u="none" strike="noStrike" baseline="0">
            <a:solidFill>
              <a:schemeClr val="dk1"/>
            </a:solidFill>
            <a:effectLst/>
            <a:latin typeface="+mn-lt"/>
            <a:ea typeface="+mn-ea"/>
            <a:cs typeface="+mn-cs"/>
          </a:endParaRPr>
        </a:p>
        <a:p>
          <a:r>
            <a:rPr lang="fi-FI" sz="1100" b="1" i="0" u="none" strike="noStrike" baseline="0">
              <a:solidFill>
                <a:schemeClr val="dk1"/>
              </a:solidFill>
              <a:effectLst/>
              <a:latin typeface="+mn-lt"/>
              <a:ea typeface="+mn-ea"/>
              <a:cs typeface="+mn-cs"/>
            </a:rPr>
            <a:t>Työharjoittelua ja työelämävalmennusta ei pitäisi olla, ei oteta mukaan laskurissa!</a:t>
          </a:r>
          <a:endParaRPr lang="fi-FI" sz="1100"/>
        </a:p>
      </xdr:txBody>
    </xdr:sp>
    <xdr:clientData/>
  </xdr:twoCellAnchor>
</xdr:wsDr>
</file>

<file path=xl/persons/person.xml><?xml version="1.0" encoding="utf-8"?>
<personList xmlns="http://schemas.microsoft.com/office/spreadsheetml/2018/threadedcomments" xmlns:x="http://schemas.openxmlformats.org/spreadsheetml/2006/main">
  <person displayName="Nieminen Tuulikki (AVI)" id="{3D099455-B387-4799-9A6D-2ECC74F75FA9}" userId="S::tuulikki.nieminen@avi.fi::d2091a36-2c30-4cf0-a4ea-d29861d372af" providerId="AD"/>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0</v>
    <v>3</v>
  </rv>
</rvData>
</file>

<file path=xl/richData/rdrichvaluestructure.xml><?xml version="1.0" encoding="utf-8"?>
<rvStructures xmlns="http://schemas.microsoft.com/office/spreadsheetml/2017/richdata" count="1">
  <s t="_error">
    <k n="colOffset" t="i"/>
    <k n="errorType" t="i"/>
    <k n="rwOffset"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47677F-A110-4DF4-BF35-685D59D98888}" name="Taulukko13" displayName="Taulukko13" ref="J5:P12" totalsRowCount="1" headerRowDxfId="60" dataDxfId="59" totalsRowDxfId="58">
  <autoFilter ref="J5:P11" xr:uid="{45AA9CC2-9EC9-4C7C-AC94-E093056D850D}"/>
  <tableColumns count="7">
    <tableColumn id="1" xr3:uid="{1BC0BBE2-E408-460C-ADDC-74699FB38421}" name="Nimi" totalsRowLabel="Summa" dataDxfId="57" totalsRowDxfId="56"/>
    <tableColumn id="6" xr3:uid="{31527A06-274B-4C7B-A2E0-991E8287C04C}" name="Työ alkanut _x000a_(1 vuoden aikana)" dataDxfId="55" totalsRowDxfId="54"/>
    <tableColumn id="7" xr3:uid="{8370AAD6-9972-48BE-9ABE-2817A524ED21}" name="Työ loppunut _x000a_(1 vuoden aikana)" dataDxfId="53" totalsRowDxfId="52"/>
    <tableColumn id="2" xr3:uid="{784151D1-E864-4BE1-ADAC-E425FCFB273E}" name="Päiviä" dataDxfId="51" totalsRowDxfId="50">
      <calculatedColumnFormula>_xlfn.DAYS(L6,K6)</calculatedColumnFormula>
    </tableColumn>
    <tableColumn id="3" xr3:uid="{EFC1AD49-BBC5-4736-B740-C892B8346227}" name="Laskettu htv" dataDxfId="49" totalsRowDxfId="48">
      <calculatedColumnFormula>M6/365</calculatedColumnFormula>
    </tableColumn>
    <tableColumn id="4" xr3:uid="{61C6A329-F0D6-4174-870B-F6B79D2FD697}" name="Työaika-prosentti" dataDxfId="47" totalsRowDxfId="46"/>
    <tableColumn id="5" xr3:uid="{E93F0B3E-339C-47F9-9857-92755BA6B10A}" name="HTV" totalsRowFunction="sum" dataDxfId="45" totalsRowDxfId="44">
      <calculatedColumnFormula>ROUND(N6*O6,2)</calculatedColumnFormula>
    </tableColumn>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6C9F69C-753B-4A3F-A4BD-F1B55A1578ED}" name="Taulukko133" displayName="Taulukko133" ref="A5:G12" totalsRowCount="1" headerRowDxfId="43" dataDxfId="42" totalsRowDxfId="41">
  <autoFilter ref="A5:G11" xr:uid="{ED710DEC-9E79-4B4A-B054-D1245989B159}"/>
  <tableColumns count="7">
    <tableColumn id="1" xr3:uid="{35AE6E71-AA34-42FB-9945-1FA2ED84F22A}" name="Nimi" totalsRowLabel="Summa" dataDxfId="40" totalsRowDxfId="39"/>
    <tableColumn id="6" xr3:uid="{0AABCD53-49A4-4777-8799-0D412A6BF882}" name="Työ alkanut _x000a_(1 vuoden aikana)" dataDxfId="38" totalsRowDxfId="37"/>
    <tableColumn id="7" xr3:uid="{2780664F-526E-406F-97F7-7477977ED84F}" name="Työ loppunut _x000a_(1 vuoden aikana)" dataDxfId="36" totalsRowDxfId="35"/>
    <tableColumn id="2" xr3:uid="{D3D39C7A-CC2D-4DE8-9E1C-D317D5ECA26C}" name="Päiviä" dataDxfId="34" totalsRowDxfId="33">
      <calculatedColumnFormula>_xlfn.DAYS(C6,B6)</calculatedColumnFormula>
    </tableColumn>
    <tableColumn id="3" xr3:uid="{1D693A28-7D96-4BE8-8D4F-024333352B91}" name="Laskettu htv" dataDxfId="32" totalsRowDxfId="31">
      <calculatedColumnFormula>D6/365</calculatedColumnFormula>
    </tableColumn>
    <tableColumn id="4" xr3:uid="{3CA3FCAE-2EFC-43C9-972F-27C80EAC7F30}" name="Työaika-prosentti" dataDxfId="30" totalsRowDxfId="29"/>
    <tableColumn id="5" xr3:uid="{49C3EB71-5639-4463-8790-67ACFD01199F}" name="HTV" totalsRowFunction="sum" dataDxfId="28" totalsRowDxfId="27">
      <calculatedColumnFormula>ROUND(E6*F6,2)</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teema">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V7" dT="2023-09-18T09:20:47.37" personId="{3D099455-B387-4799-9A6D-2ECC74F75FA9}" id="{7BC9CEA4-0293-434D-B96D-6D8BEDABB706}">
    <text xml:space="preserve">Jos haetaan jaksoista niin tämä on "tähti*, muuten haettu jakso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3.bin"/><Relationship Id="rId1" Type="http://schemas.openxmlformats.org/officeDocument/2006/relationships/hyperlink" Target="https://www.youtube.com/watch?v=3sJG_xIwlWU"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ul17">
    <tabColor rgb="FF92D050"/>
    <pageSetUpPr fitToPage="1"/>
  </sheetPr>
  <dimension ref="A1:AK204"/>
  <sheetViews>
    <sheetView showGridLines="0" tabSelected="1" zoomScale="105" zoomScaleNormal="100" workbookViewId="0">
      <selection activeCell="A9" sqref="A9"/>
    </sheetView>
  </sheetViews>
  <sheetFormatPr defaultRowHeight="15" x14ac:dyDescent="0.25"/>
  <cols>
    <col min="1" max="1" width="25.140625" customWidth="1"/>
    <col min="2" max="2" width="84" bestFit="1" customWidth="1"/>
    <col min="3" max="4" width="14" customWidth="1"/>
    <col min="6" max="6" width="37.85546875" bestFit="1" customWidth="1"/>
    <col min="7" max="7" width="9.140625" customWidth="1"/>
    <col min="8" max="8" width="8.85546875" customWidth="1"/>
    <col min="9" max="9" width="14.7109375" customWidth="1"/>
    <col min="10" max="12" width="9.140625" customWidth="1"/>
    <col min="13" max="13" width="29.5703125" customWidth="1"/>
    <col min="14" max="16" width="8.5703125" customWidth="1"/>
    <col min="17" max="17" width="13.140625" customWidth="1"/>
    <col min="18" max="18" width="9.140625" customWidth="1"/>
    <col min="19" max="20" width="9.140625" hidden="1" customWidth="1"/>
    <col min="21" max="21" width="9.28515625" hidden="1" customWidth="1"/>
    <col min="22" max="22" width="9.140625" hidden="1" customWidth="1"/>
    <col min="23" max="23" width="30.42578125" hidden="1" customWidth="1"/>
    <col min="24" max="24" width="9.140625" hidden="1" customWidth="1"/>
    <col min="25" max="25" width="35.28515625" hidden="1" customWidth="1"/>
    <col min="26" max="28" width="9.140625" hidden="1" customWidth="1"/>
    <col min="29" max="29" width="37.140625" hidden="1" customWidth="1"/>
    <col min="30" max="30" width="24.85546875" hidden="1" customWidth="1"/>
    <col min="31" max="37" width="9.140625" hidden="1" customWidth="1"/>
    <col min="38" max="39" width="9.140625" customWidth="1"/>
  </cols>
  <sheetData>
    <row r="1" spans="1:37" ht="67.5" customHeight="1" x14ac:dyDescent="0.25">
      <c r="A1" s="793" t="str">
        <f>F1</f>
        <v xml:space="preserve">Hakuarvot: </v>
      </c>
      <c r="F1" s="66" t="s">
        <v>0</v>
      </c>
      <c r="S1" s="91" t="s">
        <v>1</v>
      </c>
      <c r="T1" s="91" t="s">
        <v>1</v>
      </c>
      <c r="U1" s="91" t="s">
        <v>1</v>
      </c>
      <c r="V1" s="91" t="s">
        <v>1</v>
      </c>
      <c r="W1" s="91" t="s">
        <v>1</v>
      </c>
      <c r="X1" s="91" t="s">
        <v>1</v>
      </c>
      <c r="Y1" s="100" t="str">
        <f>IF(F5="","*",INDEX(AE5:AE61,MATCH(F5,AD5:AD61,0)))</f>
        <v>*</v>
      </c>
      <c r="Z1" s="92" t="s">
        <v>1</v>
      </c>
      <c r="AA1" s="92" t="s">
        <v>1</v>
      </c>
      <c r="AB1" s="92" t="s">
        <v>1</v>
      </c>
      <c r="AC1" s="92" t="s">
        <v>1</v>
      </c>
      <c r="AD1" s="92" t="s">
        <v>1</v>
      </c>
      <c r="AE1" s="92" t="s">
        <v>1</v>
      </c>
      <c r="AF1" s="92" t="s">
        <v>1</v>
      </c>
      <c r="AG1" s="92" t="s">
        <v>1</v>
      </c>
      <c r="AH1" s="92" t="s">
        <v>1</v>
      </c>
      <c r="AI1" s="92" t="s">
        <v>1</v>
      </c>
      <c r="AJ1" s="92" t="s">
        <v>1</v>
      </c>
      <c r="AK1" s="92" t="s">
        <v>1</v>
      </c>
    </row>
    <row r="2" spans="1:37" x14ac:dyDescent="0.25">
      <c r="A2" s="380">
        <f t="shared" ref="A2:A7" si="0">F2</f>
        <v>46023</v>
      </c>
      <c r="F2" s="360">
        <f>Asiakastilastot!$A$2</f>
        <v>46023</v>
      </c>
      <c r="G2" t="s">
        <v>2</v>
      </c>
      <c r="V2" s="95" t="s">
        <v>3</v>
      </c>
      <c r="X2" s="95" t="s">
        <v>4</v>
      </c>
      <c r="Y2" s="100" t="str">
        <f>IF(F6=X3,"OK","*")</f>
        <v>*</v>
      </c>
      <c r="Z2" s="409" t="s">
        <v>5</v>
      </c>
      <c r="AA2" s="168" t="s">
        <v>6</v>
      </c>
      <c r="AB2" s="169" t="s">
        <v>7</v>
      </c>
      <c r="AC2" s="168" t="s">
        <v>6</v>
      </c>
      <c r="AD2" s="169" t="s">
        <v>8</v>
      </c>
    </row>
    <row r="3" spans="1:37" x14ac:dyDescent="0.25">
      <c r="A3" s="380">
        <f t="shared" si="0"/>
        <v>46387</v>
      </c>
      <c r="F3" s="780">
        <f>Asiakastilastot!$A$3</f>
        <v>46387</v>
      </c>
      <c r="G3" t="s">
        <v>9</v>
      </c>
      <c r="V3" s="95" t="s">
        <v>10</v>
      </c>
      <c r="X3" s="95" t="s">
        <v>11</v>
      </c>
      <c r="Z3" s="409" t="s">
        <v>12</v>
      </c>
      <c r="AA3" s="168" t="s">
        <v>13</v>
      </c>
      <c r="AB3" s="169" t="e">
        <f>INDEX(Data_Omakoodi!K:K,MATCH($AB$2,Data_Omakoodi!$I:$I,0))</f>
        <v>#N/A</v>
      </c>
      <c r="AC3" s="168" t="s">
        <v>13</v>
      </c>
      <c r="AD3" s="169" t="e">
        <f>INDEX(Data_Omakoodi!K:K,MATCH($AD$2,Data_Omakoodi!$I:$I,0))</f>
        <v>#N/A</v>
      </c>
      <c r="AG3" t="s">
        <v>14</v>
      </c>
      <c r="AI3" s="228"/>
      <c r="AJ3" t="s">
        <v>15</v>
      </c>
    </row>
    <row r="4" spans="1:37" x14ac:dyDescent="0.25">
      <c r="A4" s="380" t="str">
        <f t="shared" si="0"/>
        <v>Kaikki kunnat</v>
      </c>
      <c r="F4" s="378" t="s">
        <v>16</v>
      </c>
      <c r="G4" t="s">
        <v>17</v>
      </c>
      <c r="I4" s="378" t="s">
        <v>3</v>
      </c>
      <c r="J4" t="s">
        <v>18</v>
      </c>
      <c r="X4" s="95" t="s">
        <v>19</v>
      </c>
      <c r="Y4" s="100" t="str">
        <f>IF(F7="","*",IF(F7=X2,"*",IF(F7=X3,X9,"*")))</f>
        <v>*</v>
      </c>
      <c r="AA4" s="168" t="s">
        <v>20</v>
      </c>
      <c r="AB4" s="169" t="str">
        <f>IFERROR(MATCH($AB$2,Data_Omakoodi!$I:$I,0),"")</f>
        <v/>
      </c>
      <c r="AC4" s="168" t="s">
        <v>20</v>
      </c>
      <c r="AD4" s="169" t="str">
        <f>IFERROR(MATCH($AB$2,Data_Omakoodi!$I:$I,0),"")</f>
        <v/>
      </c>
      <c r="AG4" s="768"/>
      <c r="AH4" s="768" t="s">
        <v>21</v>
      </c>
      <c r="AI4" s="228"/>
      <c r="AJ4" s="768"/>
      <c r="AK4" s="768" t="s">
        <v>21</v>
      </c>
    </row>
    <row r="5" spans="1:37" x14ac:dyDescent="0.25">
      <c r="A5" s="380" t="str">
        <f t="shared" si="0"/>
        <v>Kaikki yksiköt</v>
      </c>
      <c r="F5" s="378" t="s">
        <v>22</v>
      </c>
      <c r="G5" t="s">
        <v>23</v>
      </c>
      <c r="I5" s="378" t="s">
        <v>3</v>
      </c>
      <c r="J5" t="s">
        <v>24</v>
      </c>
      <c r="U5" s="100" t="str">
        <f>IF(W5="*","*","OK")</f>
        <v>*</v>
      </c>
      <c r="V5" t="s">
        <v>25</v>
      </c>
      <c r="W5" s="100" t="str">
        <f>IF($I$4="","*",IF($I$4=$V$2,"*",$Y$6))</f>
        <v>*</v>
      </c>
      <c r="Y5" s="100" t="str">
        <f>IF(F6="","*",IF(F6=X2,"*",IF(F6=X4,X9,"*")))</f>
        <v>*</v>
      </c>
      <c r="AA5" s="168" t="s">
        <v>26</v>
      </c>
      <c r="AB5" s="169" t="s">
        <v>16</v>
      </c>
      <c r="AC5" s="168" t="s">
        <v>26</v>
      </c>
      <c r="AD5" s="169" t="s">
        <v>22</v>
      </c>
      <c r="AE5" s="168" t="s">
        <v>26</v>
      </c>
      <c r="AG5" s="768" t="str">
        <f>TEXT(AD5,"@")</f>
        <v>Kaikki yksiköt</v>
      </c>
      <c r="AH5" s="768">
        <f>IF(AG5&lt;&gt;"",ROW(),"")</f>
        <v>5</v>
      </c>
      <c r="AJ5" s="768" t="str">
        <f>TEXT(AB5,"@")</f>
        <v>Kaikki kunnat</v>
      </c>
      <c r="AK5" s="768">
        <f>IF(AJ5&lt;&gt;"",ROW(),"")</f>
        <v>5</v>
      </c>
    </row>
    <row r="6" spans="1:37" x14ac:dyDescent="0.25">
      <c r="A6" s="380" t="str">
        <f t="shared" si="0"/>
        <v>Kaikki</v>
      </c>
      <c r="F6" s="378" t="s">
        <v>4</v>
      </c>
      <c r="G6" s="177" t="s">
        <v>27</v>
      </c>
      <c r="U6" s="100" t="str">
        <f>IF(W6="*","*","OK")</f>
        <v>*</v>
      </c>
      <c r="V6" t="s">
        <v>28</v>
      </c>
      <c r="W6" s="100" t="str">
        <f>IF($I$5="","*",IF($I$5=$V$2,"*",$Y$1))</f>
        <v>*</v>
      </c>
      <c r="Y6" s="100" t="str">
        <f>IF(F4="","*",INDEX(AA5:AA61,MATCH(F4,AB5:AB61,0)))</f>
        <v>*</v>
      </c>
      <c r="AA6" s="168" t="s">
        <v>29</v>
      </c>
      <c r="AB6" s="170" t="s">
        <v>30</v>
      </c>
      <c r="AC6" s="168" t="s">
        <v>29</v>
      </c>
      <c r="AD6" s="170" t="s">
        <v>31</v>
      </c>
      <c r="AE6" s="168" t="s">
        <v>29</v>
      </c>
      <c r="AG6" s="768" t="str">
        <f t="shared" ref="AG6:AG23" si="1">TEXT(AD6,"@")</f>
        <v>Ei yksiköitä</v>
      </c>
      <c r="AH6" s="768">
        <f t="shared" ref="AH6:AH24" si="2">IF(AG6&lt;&gt;"",ROW(),"")</f>
        <v>6</v>
      </c>
      <c r="AJ6" s="768" t="str">
        <f t="shared" ref="AJ6:AJ10" si="3">TEXT(AB6,"@")</f>
        <v>Ei kuntaluokkaa</v>
      </c>
      <c r="AK6" s="768">
        <f t="shared" ref="AK6:AK10" si="4">IF(AJ6&lt;&gt;"",ROW(),"")</f>
        <v>6</v>
      </c>
    </row>
    <row r="7" spans="1:37" x14ac:dyDescent="0.25">
      <c r="A7" s="380" t="str">
        <f t="shared" si="0"/>
        <v>Kaikki</v>
      </c>
      <c r="F7" s="378" t="s">
        <v>4</v>
      </c>
      <c r="G7" t="s">
        <v>32</v>
      </c>
      <c r="V7" t="s">
        <v>33</v>
      </c>
      <c r="W7" s="659" t="str">
        <f>IF($I$5=V3,"*",$Y$1)</f>
        <v>*</v>
      </c>
      <c r="X7" s="171" t="s">
        <v>34</v>
      </c>
      <c r="Y7" s="171" t="s">
        <v>35</v>
      </c>
      <c r="AA7" s="168" t="s">
        <v>36</v>
      </c>
      <c r="AB7" s="170" t="s">
        <v>37</v>
      </c>
      <c r="AC7" s="168" t="s">
        <v>36</v>
      </c>
      <c r="AD7" s="170" t="s">
        <v>38</v>
      </c>
      <c r="AE7" s="168" t="s">
        <v>36</v>
      </c>
      <c r="AF7" s="101"/>
      <c r="AG7" s="768" t="str">
        <f t="shared" si="1"/>
        <v>Muut yksiköt</v>
      </c>
      <c r="AH7" s="768">
        <f t="shared" si="2"/>
        <v>7</v>
      </c>
      <c r="AJ7" s="768" t="str">
        <f t="shared" si="3"/>
        <v>Muut kunnat</v>
      </c>
      <c r="AK7" s="768">
        <f t="shared" si="4"/>
        <v>7</v>
      </c>
    </row>
    <row r="8" spans="1:37" x14ac:dyDescent="0.25">
      <c r="A8" s="555">
        <v>46245</v>
      </c>
      <c r="V8" t="s">
        <v>39</v>
      </c>
      <c r="W8" s="659" t="str">
        <f>IF($I$4=V3,"*",$Y$6)</f>
        <v>*</v>
      </c>
      <c r="X8" s="233" t="s">
        <v>40</v>
      </c>
      <c r="AA8" s="176" t="s">
        <v>41</v>
      </c>
      <c r="AB8" s="169" t="str">
        <f>IFERROR(INDEX(Data_Omakoodi!E:E,MATCH(AA8,Data_Omakoodi!A:A,0)),"")</f>
        <v/>
      </c>
      <c r="AC8" t="s">
        <v>42</v>
      </c>
      <c r="AD8" s="169" t="str">
        <f>IFERROR(INDEX(Data_Omakoodi!E:E,MATCH(AC8,Data_Omakoodi!A:A,0)),"")</f>
        <v/>
      </c>
      <c r="AE8" t="s">
        <v>42</v>
      </c>
      <c r="AF8" t="s">
        <v>43</v>
      </c>
      <c r="AG8" s="768" t="str">
        <f t="shared" si="1"/>
        <v/>
      </c>
      <c r="AH8" s="768" t="str">
        <f t="shared" si="2"/>
        <v/>
      </c>
      <c r="AJ8" s="768" t="str">
        <f t="shared" si="3"/>
        <v/>
      </c>
      <c r="AK8" s="768" t="str">
        <f t="shared" si="4"/>
        <v/>
      </c>
    </row>
    <row r="9" spans="1:37" ht="18.75" x14ac:dyDescent="0.3">
      <c r="B9" s="926" t="str">
        <f>IF(Henkilöstö!G6="Valitsematta","Tarkista Henkilöstö-lehden tiedot aina tammikuussa",IF(LEFT(Henkilöstö!G6,5)="Kyllä","HIENOA! Nyt myös Henkilöstö-lehden tiedot on tarkistettu","Henkilöstölehden tiedot lähetetään eteenpäin tarkistamatta, kirjoita lisäselvitys saatteeksi"))</f>
        <v>Tarkista Henkilöstö-lehden tiedot aina tammikuussa</v>
      </c>
      <c r="C9" s="926"/>
      <c r="D9" s="926"/>
      <c r="M9" s="66" t="str">
        <f>"Yksiköt "&amp;X10&amp;F4</f>
        <v>Yksiköt  - 01.01.2026-31.12.2026 Kaikki kunnat</v>
      </c>
      <c r="X9" s="105" t="s">
        <v>44</v>
      </c>
      <c r="AA9" s="176" t="s">
        <v>45</v>
      </c>
      <c r="AB9" s="169" t="str">
        <f>IFERROR(INDEX(Data_Omakoodi!E:E,MATCH(AA9,Data_Omakoodi!A:A,0)),"")</f>
        <v/>
      </c>
      <c r="AC9" t="s">
        <v>46</v>
      </c>
      <c r="AD9" s="169" t="str">
        <f>IFERROR(INDEX(Data_Omakoodi!E:E,MATCH(AC9,Data_Omakoodi!A:A,0)),"")</f>
        <v/>
      </c>
      <c r="AE9" t="s">
        <v>46</v>
      </c>
      <c r="AF9" t="s">
        <v>47</v>
      </c>
      <c r="AG9" s="768" t="str">
        <f t="shared" si="1"/>
        <v/>
      </c>
      <c r="AH9" s="768" t="str">
        <f t="shared" si="2"/>
        <v/>
      </c>
      <c r="AJ9" s="768" t="str">
        <f t="shared" si="3"/>
        <v/>
      </c>
      <c r="AK9" s="768" t="str">
        <f t="shared" si="4"/>
        <v/>
      </c>
    </row>
    <row r="10" spans="1:37" ht="14.25" customHeight="1" x14ac:dyDescent="0.3">
      <c r="B10" s="927"/>
      <c r="C10" s="927"/>
      <c r="D10" s="927"/>
      <c r="M10" s="948" t="s">
        <v>48</v>
      </c>
      <c r="N10" s="948" t="s">
        <v>49</v>
      </c>
      <c r="O10" s="948" t="s">
        <v>50</v>
      </c>
      <c r="P10" s="948" t="s">
        <v>51</v>
      </c>
      <c r="W10" t="str">
        <f>" - "&amp;TEXT($F$2-365,$X$11)&amp;"-"&amp;TEXT($F$2-1,$X$11)&amp;" "</f>
        <v xml:space="preserve"> - 01.01.2025-31.12.2025 </v>
      </c>
      <c r="X10" s="106" t="str">
        <f>" - "&amp;TEXT($F$2,$X$11)&amp;"-"&amp;TEXT($F$3,$X$11)&amp;" "</f>
        <v xml:space="preserve"> - 01.01.2026-31.12.2026 </v>
      </c>
      <c r="Y10" s="101"/>
      <c r="AA10" s="176" t="s">
        <v>52</v>
      </c>
      <c r="AB10" s="169" t="str">
        <f>IFERROR(INDEX(Data_Omakoodi!E:E,MATCH(AA10,Data_Omakoodi!A:A,0)),"")</f>
        <v/>
      </c>
      <c r="AC10" t="s">
        <v>53</v>
      </c>
      <c r="AD10" s="169" t="str">
        <f>IFERROR(INDEX(Data_Omakoodi!E:E,MATCH(AC10,Data_Omakoodi!A:A,0)),"")</f>
        <v/>
      </c>
      <c r="AE10" t="s">
        <v>53</v>
      </c>
      <c r="AF10" t="s">
        <v>54</v>
      </c>
      <c r="AG10" s="768" t="str">
        <f t="shared" si="1"/>
        <v/>
      </c>
      <c r="AH10" s="768" t="str">
        <f t="shared" si="2"/>
        <v/>
      </c>
      <c r="AJ10" s="768" t="str">
        <f t="shared" si="3"/>
        <v/>
      </c>
      <c r="AK10" s="768" t="str">
        <f t="shared" si="4"/>
        <v/>
      </c>
    </row>
    <row r="11" spans="1:37" x14ac:dyDescent="0.25">
      <c r="A11" s="380">
        <f>COUNTIFS(AS!U:U,"Y",AS!AB:AB,"OK",AS!$AW:$AW,$W$8,AS!$X:$X,Parkki!$Y$5,AS!$K:$K,$W$7,AS!$AV:$AV,Parkki!$Y$2,AS!$CY:$CY,$U$6,AS!$CZ:$CZ,$U$5)</f>
        <v>0</v>
      </c>
      <c r="B11" s="560" t="str">
        <f>IF(A11&gt;0,"HUOM! Laskennassa on etsivien ja pajojen yhteisiä asiakkaita yhteensä: "&amp;A11,"")</f>
        <v/>
      </c>
      <c r="C11" s="656"/>
      <c r="D11" s="559"/>
      <c r="M11" s="948"/>
      <c r="N11" s="948"/>
      <c r="O11" s="948"/>
      <c r="P11" s="948"/>
      <c r="X11" s="106" t="s">
        <v>55</v>
      </c>
      <c r="Y11" s="107" t="s">
        <v>56</v>
      </c>
      <c r="AA11" s="176" t="s">
        <v>57</v>
      </c>
      <c r="AB11" s="169" t="str">
        <f>IFERROR(INDEX(Data_Omakoodi!E:E,MATCH(AA11,Data_Omakoodi!A:A,0)),"")</f>
        <v/>
      </c>
      <c r="AC11" t="s">
        <v>58</v>
      </c>
      <c r="AD11" s="169" t="str">
        <f>IFERROR(INDEX(Data_Omakoodi!E:E,MATCH(AC11,Data_Omakoodi!A:A,0)),"")</f>
        <v/>
      </c>
      <c r="AE11" t="s">
        <v>58</v>
      </c>
      <c r="AF11" t="s">
        <v>59</v>
      </c>
      <c r="AG11" s="768" t="str">
        <f t="shared" si="1"/>
        <v/>
      </c>
      <c r="AH11" s="768" t="str">
        <f t="shared" si="2"/>
        <v/>
      </c>
      <c r="AJ11" s="768" t="str">
        <f t="shared" ref="AJ11:AJ37" si="5">TEXT(AB11,"@")</f>
        <v/>
      </c>
      <c r="AK11" s="768" t="str">
        <f t="shared" ref="AK11:AK37" si="6">IF(AJ11&lt;&gt;"",ROW(),"")</f>
        <v/>
      </c>
    </row>
    <row r="12" spans="1:37" ht="27" customHeight="1" x14ac:dyDescent="0.25">
      <c r="A12" s="380">
        <f>COUNTIFS(AS!J:J,AS!$G$1,AS!AB:AB,"OK",AS!$AW:$AW,$W$8,AS!$X:$X,Parkki!$Y$5,AS!$K:$K,$W$7,AS!$AV:$AV,Parkki!$Y$2,AS!$CY:$CY,$U$6,AS!$CZ:$CZ,$U$5)</f>
        <v>0</v>
      </c>
      <c r="B12" s="928" t="str">
        <f>IF(A12&gt;0,IF(A12=1,"Tiedoksi: Muunsukupuolisia on "&amp;A12&amp;" henkilö. Tilastoissa hänen tietoja ei eritellä.","Tiedoksi: Muunsukupuolisia on yhteensä: "&amp;A12&amp;" henkilöä. Tilastoissa heidän tietoja ei eritellä."),"")</f>
        <v/>
      </c>
      <c r="C12" s="928"/>
      <c r="D12" s="928"/>
      <c r="M12" s="948"/>
      <c r="N12" s="948"/>
      <c r="O12" s="948"/>
      <c r="P12" s="948"/>
      <c r="X12" s="106" t="str">
        <f>"("&amp;F4&amp;" - tiedot "&amp;I4&amp;", "&amp;F5&amp;" - tiedot "&amp;I5&amp;", "&amp;F6&amp;" asiakkuudet"&amp;")"</f>
        <v>(Kaikki kunnat - tiedot perustiedoista, Kaikki yksiköt - tiedot perustiedoista, Kaikki asiakkuudet)</v>
      </c>
      <c r="Y12" s="101"/>
      <c r="AA12" s="176" t="s">
        <v>60</v>
      </c>
      <c r="AB12" s="169" t="str">
        <f>IFERROR(INDEX(Data_Omakoodi!E:E,MATCH(AA12,Data_Omakoodi!A:A,0)),"")</f>
        <v/>
      </c>
      <c r="AC12" t="s">
        <v>61</v>
      </c>
      <c r="AD12" s="169" t="str">
        <f>IFERROR(INDEX(Data_Omakoodi!E:E,MATCH(AC12,Data_Omakoodi!A:A,0)),"")</f>
        <v/>
      </c>
      <c r="AE12" t="s">
        <v>61</v>
      </c>
      <c r="AF12" t="s">
        <v>62</v>
      </c>
      <c r="AG12" s="768" t="str">
        <f t="shared" si="1"/>
        <v/>
      </c>
      <c r="AH12" s="768" t="str">
        <f t="shared" si="2"/>
        <v/>
      </c>
      <c r="AJ12" s="768" t="str">
        <f t="shared" si="5"/>
        <v/>
      </c>
      <c r="AK12" s="768" t="str">
        <f t="shared" si="6"/>
        <v/>
      </c>
    </row>
    <row r="13" spans="1:37" x14ac:dyDescent="0.25">
      <c r="B13" s="933" t="str">
        <f>"Työpajalla olleiden valmentautujien ikä ja sukupuoli "&amp;X10&amp;X12</f>
        <v>Työpajalla olleiden valmentautujien ikä ja sukupuoli  - 01.01.2026-31.12.2026 (Kaikki kunnat - tiedot perustiedoista, Kaikki yksiköt - tiedot perustiedoista, Kaikki asiakkuudet)</v>
      </c>
      <c r="C13" s="933"/>
      <c r="D13" s="933"/>
      <c r="F13" s="844"/>
      <c r="G13" s="845"/>
      <c r="H13" s="845"/>
      <c r="I13" s="845"/>
      <c r="J13" s="845"/>
      <c r="K13" s="846"/>
      <c r="M13" s="470" t="str">
        <f>IFERROR(INDEX($AG$5:$AG$37,MATCH(SMALL($AH$5:$AH$37,T13),$AH$5:$AH$37,0)),"")</f>
        <v>Kaikki yksiköt</v>
      </c>
      <c r="N13" s="471">
        <f>SUMIFS(AS!$W:$W,AS!$AB:$AB,"OK",AS!$AW:$AW,Parkki!$Y$6,AS!$X:$X,Parkki!$Y$5,AS!$AV:$AV,Parkki!$Y$2,AS!$K:$K,Parkki!$U13)</f>
        <v>0</v>
      </c>
      <c r="O13" s="471">
        <f>SUMIFS(JA!$Z:$Z,JA!$AE:$AE,"OK",JA!$AX:$AX,Parkki!$Y$6,JA!$BE:$BE,Parkki!$Y$5,JA!$AI:$AI,Parkki!$Y$2,JA!$Y:$Y,$U13,JA!$CW:$CW,1,JA!$AJ:$AJ,Parkki!$Y$2)</f>
        <v>0</v>
      </c>
      <c r="P13" s="471">
        <f>SUMIFS(JA!$Z:$Z,JA!$AE:$AE,"OK",JA!$AX:$AX,Parkki!$Y$6,JA!$BE:$BE,Parkki!$Y$5,JA!$AI:$AI,Parkki!$Y$2,JA!$Y:$Y,$U13,JA!$AJ:$AJ,Parkki!$Y$2)</f>
        <v>0</v>
      </c>
      <c r="S13">
        <f>IF(M13="",0,1)</f>
        <v>1</v>
      </c>
      <c r="T13" s="303">
        <v>1</v>
      </c>
      <c r="U13" s="760" t="str">
        <f>INDEX($AC$5:$AC$37,MATCH(M13,$AD$5:$AD$37,0))</f>
        <v>*</v>
      </c>
      <c r="AA13" s="176" t="s">
        <v>63</v>
      </c>
      <c r="AB13" s="169" t="str">
        <f>IFERROR(INDEX(Data_Omakoodi!E:E,MATCH(AA13,Data_Omakoodi!A:A,0)),"")</f>
        <v/>
      </c>
      <c r="AC13" t="s">
        <v>64</v>
      </c>
      <c r="AD13" s="169" t="str">
        <f>IFERROR(INDEX(Data_Omakoodi!E:E,MATCH(AC13,Data_Omakoodi!A:A,0)),"")</f>
        <v/>
      </c>
      <c r="AE13" t="s">
        <v>64</v>
      </c>
      <c r="AF13" t="s">
        <v>65</v>
      </c>
      <c r="AG13" s="768" t="str">
        <f t="shared" si="1"/>
        <v/>
      </c>
      <c r="AH13" s="768" t="str">
        <f t="shared" si="2"/>
        <v/>
      </c>
      <c r="AJ13" s="768" t="str">
        <f t="shared" si="5"/>
        <v/>
      </c>
      <c r="AK13" s="768" t="str">
        <f t="shared" si="6"/>
        <v/>
      </c>
    </row>
    <row r="14" spans="1:37" x14ac:dyDescent="0.25">
      <c r="B14" s="934"/>
      <c r="C14" s="934"/>
      <c r="D14" s="934"/>
      <c r="F14" s="847"/>
      <c r="G14" s="814"/>
      <c r="H14" s="814"/>
      <c r="I14" s="814"/>
      <c r="J14" s="814"/>
      <c r="K14" s="848"/>
      <c r="M14" s="577" t="str">
        <f>IFERROR(INDEX($AG$5:$AG$37,MATCH(SMALL($AH$5:$AH$37,T14),$AH$5:$AH$37,0)),"")</f>
        <v>Ei yksiköitä</v>
      </c>
      <c r="N14" s="469">
        <f>SUMIFS(AS!$W:$W,AS!$AB:$AB,"OK",AS!$AW:$AW,Parkki!$Y$6,AS!$X:$X,Parkki!$Y$5,AS!$AV:$AV,Parkki!$Y$2,AS!$K:$K,Parkki!$U14)</f>
        <v>0</v>
      </c>
      <c r="O14" s="469">
        <f>SUMIFS(JA!$Z:$Z,JA!$AE:$AE,"OK",JA!$X:$X,Parkki!$Y$6,JA!$BE:$BE,Parkki!$Y$5,JA!$AI:$AI,Parkki!$Y$2,JA!$Y:$Y,$U14,JA!$CW:$CW,1,JA!$AJ:$AJ,Parkki!$Y$2)</f>
        <v>0</v>
      </c>
      <c r="P14" s="469">
        <f>SUMIFS(JA!$Z:$Z,JA!$AE:$AE,"OK",JA!$X:$X,Parkki!$Y$6,JA!$BE:$BE,Parkki!$Y$5,JA!$AI:$AI,Parkki!$Y$2,JA!$Y:$Y,$U14,JA!$AJ:$AJ,Parkki!$Y$2)</f>
        <v>0</v>
      </c>
      <c r="S14">
        <f t="shared" ref="S14:S41" si="7">IF(M14="",0,1)</f>
        <v>1</v>
      </c>
      <c r="T14" s="303">
        <v>2</v>
      </c>
      <c r="U14" s="760" t="str">
        <f>INDEX($AC$5:$AC$37,MATCH(M14,$AD$5:$AD$37,0))</f>
        <v>tyhja</v>
      </c>
      <c r="X14" t="s">
        <v>35</v>
      </c>
      <c r="AA14" s="176" t="s">
        <v>66</v>
      </c>
      <c r="AB14" s="169" t="str">
        <f>IFERROR(INDEX(Data_Omakoodi!E:E,MATCH(AA14,Data_Omakoodi!A:A,0)),"")</f>
        <v/>
      </c>
      <c r="AC14" t="s">
        <v>67</v>
      </c>
      <c r="AD14" s="169" t="str">
        <f>IFERROR(INDEX(Data_Omakoodi!E:E,MATCH(AC14,Data_Omakoodi!A:A,0)),"")</f>
        <v/>
      </c>
      <c r="AE14" t="s">
        <v>67</v>
      </c>
      <c r="AF14" t="s">
        <v>68</v>
      </c>
      <c r="AG14" s="768" t="str">
        <f t="shared" si="1"/>
        <v/>
      </c>
      <c r="AH14" s="768" t="str">
        <f t="shared" si="2"/>
        <v/>
      </c>
      <c r="AJ14" s="768" t="str">
        <f t="shared" si="5"/>
        <v/>
      </c>
      <c r="AK14" s="768" t="str">
        <f t="shared" si="6"/>
        <v/>
      </c>
    </row>
    <row r="15" spans="1:37" x14ac:dyDescent="0.25">
      <c r="B15" s="577"/>
      <c r="C15" s="578" t="s">
        <v>69</v>
      </c>
      <c r="D15" s="578" t="s">
        <v>70</v>
      </c>
      <c r="F15" s="847"/>
      <c r="G15" s="814"/>
      <c r="H15" s="814"/>
      <c r="I15" s="814"/>
      <c r="J15" s="814"/>
      <c r="K15" s="848"/>
      <c r="M15" s="778" t="str">
        <f t="shared" ref="M15:M42" si="8">IFERROR(INDEX($AG$5:$AG$37,MATCH(SMALL($AH$5:$AH$37,T15),$AH$5:$AH$37,0)),"")</f>
        <v>Muut yksiköt</v>
      </c>
      <c r="N15" s="779">
        <f>SUMIFS(AS!$W:$W,AS!$AB:$AB,"OK",AS!$AW:$AW,Parkki!$Y$6,AS!$X:$X,Parkki!$Y$5,AS!$AV:$AV,Parkki!$Y$2,AS!$K:$K,Parkki!$U15)</f>
        <v>0</v>
      </c>
      <c r="O15" s="779">
        <f>SUMIFS(JA!$Z:$Z,JA!$AE:$AE,"OK",JA!$X:$X,Parkki!$Y$6,JA!$BE:$BE,Parkki!$Y$5,JA!$AI:$AI,Parkki!$Y$2,JA!$Y:$Y,$U15,JA!$CW:$CW,1,JA!$AJ:$AJ,Parkki!$Y$2)</f>
        <v>0</v>
      </c>
      <c r="P15" s="779">
        <f>SUMIFS(JA!$Z:$Z,JA!$AE:$AE,"OK",JA!$X:$X,Parkki!$Y$6,JA!$BE:$BE,Parkki!$Y$5,JA!$AI:$AI,Parkki!$Y$2,JA!$Y:$Y,$U15,JA!$AJ:$AJ,Parkki!$Y$2)</f>
        <v>0</v>
      </c>
      <c r="S15">
        <f t="shared" si="7"/>
        <v>1</v>
      </c>
      <c r="T15" s="303">
        <v>3</v>
      </c>
      <c r="U15" s="760" t="str">
        <f t="shared" ref="U15:U34" si="9">INDEX($AC$5:$AC$37,MATCH(M15,$AD$5:$AD$37,0))</f>
        <v>muut</v>
      </c>
      <c r="V15" s="168" t="s">
        <v>71</v>
      </c>
      <c r="W15" s="168" t="s">
        <v>72</v>
      </c>
      <c r="X15" t="s">
        <v>34</v>
      </c>
      <c r="AA15" s="176" t="s">
        <v>73</v>
      </c>
      <c r="AB15" s="169" t="str">
        <f>IFERROR(INDEX(Data_Omakoodi!E:E,MATCH(AA15,Data_Omakoodi!A:A,0)),"")</f>
        <v/>
      </c>
      <c r="AC15" t="s">
        <v>74</v>
      </c>
      <c r="AD15" s="169" t="str">
        <f>IFERROR(INDEX(Data_Omakoodi!E:E,MATCH(AC15,Data_Omakoodi!A:A,0)),"")</f>
        <v/>
      </c>
      <c r="AE15" t="s">
        <v>74</v>
      </c>
      <c r="AF15" t="s">
        <v>75</v>
      </c>
      <c r="AG15" s="768" t="str">
        <f t="shared" si="1"/>
        <v/>
      </c>
      <c r="AH15" s="768" t="str">
        <f t="shared" si="2"/>
        <v/>
      </c>
      <c r="AJ15" s="768" t="str">
        <f t="shared" si="5"/>
        <v/>
      </c>
      <c r="AK15" s="768" t="str">
        <f t="shared" si="6"/>
        <v/>
      </c>
    </row>
    <row r="16" spans="1:37" x14ac:dyDescent="0.25">
      <c r="B16" s="577" t="s">
        <v>76</v>
      </c>
      <c r="C16" s="469">
        <f>SUMIFS(AS!$W:$W,AS!$AB:$AB,"OK",AS!$AG:$AG,Parkki!X16,AS!$AW:$AW,$W$8,AS!$X:$X,Parkki!$Y$5,AS!$K:$K,$W$7,AS!$AV:$AV,Parkki!$Y$2,AS!$CY:$CY,$U$6,AS!$CZ:$CZ,$U$5)</f>
        <v>0</v>
      </c>
      <c r="D16" s="469">
        <f>SUMIFS(AS!$W:$W,AS!$AB:$AB,"OK",AS!$AG:$AG,Parkki!$X16,AS!$F:$F,Parkki!$X$15,AS!$AW:$AW,$W$8,AS!$X:$X,Parkki!$Y$5,AS!$K:$K,$W$7,AS!$AV:$AV,Parkki!$Y$2,AS!$CY:$CY,$U$6,AS!$CZ:$CZ,$U$5)</f>
        <v>0</v>
      </c>
      <c r="F16" s="847"/>
      <c r="G16" s="814"/>
      <c r="H16" s="814"/>
      <c r="I16" s="814"/>
      <c r="J16" s="814"/>
      <c r="K16" s="848"/>
      <c r="M16" s="777" t="str">
        <f t="shared" si="8"/>
        <v/>
      </c>
      <c r="N16" s="472">
        <f>SUMIFS(AS!$W:$W,AS!$AB:$AB,"OK",AS!$AW:$AW,Parkki!$Y$6,AS!$X:$X,Parkki!$Y$5,AS!$AV:$AV,Parkki!$Y$2,AS!$K:$K,Parkki!$U16)</f>
        <v>0</v>
      </c>
      <c r="O16" s="472">
        <f>SUMIFS(JA!$Z:$Z,JA!$AE:$AE,"OK",JA!$X:$X,Parkki!$Y$6,JA!$BE:$BE,Parkki!$Y$5,JA!$AI:$AI,Parkki!$Y$2,JA!$Y:$Y,$U16,JA!$CW:$CW,1,JA!$AJ:$AJ,Parkki!$Y$2)</f>
        <v>0</v>
      </c>
      <c r="P16" s="472">
        <f>SUMIFS(JA!$Z:$Z,JA!$AE:$AE,"OK",JA!$X:$X,Parkki!$Y$6,JA!$BE:$BE,Parkki!$Y$5,JA!$AI:$AI,Parkki!$Y$2,JA!$Y:$Y,$U16,JA!$AJ:$AJ,Parkki!$Y$2)</f>
        <v>0</v>
      </c>
      <c r="S16">
        <f t="shared" si="7"/>
        <v>0</v>
      </c>
      <c r="T16" s="303">
        <v>4</v>
      </c>
      <c r="U16" s="760" t="str">
        <f t="shared" si="9"/>
        <v>ComboBox_TyHlo_yksikko_00000001</v>
      </c>
      <c r="V16" s="168" t="s">
        <v>77</v>
      </c>
      <c r="W16" s="168" t="s">
        <v>78</v>
      </c>
      <c r="X16" t="s">
        <v>79</v>
      </c>
      <c r="AA16" s="176" t="s">
        <v>80</v>
      </c>
      <c r="AB16" s="169" t="str">
        <f>IFERROR(INDEX(Data_Omakoodi!E:E,MATCH(AA16,Data_Omakoodi!A:A,0)),"")</f>
        <v/>
      </c>
      <c r="AC16" t="s">
        <v>81</v>
      </c>
      <c r="AD16" s="169" t="str">
        <f>IFERROR(INDEX(Data_Omakoodi!E:E,MATCH(AC16,Data_Omakoodi!A:A,0)),"")</f>
        <v/>
      </c>
      <c r="AE16" t="s">
        <v>81</v>
      </c>
      <c r="AF16" t="s">
        <v>82</v>
      </c>
      <c r="AG16" s="768" t="str">
        <f t="shared" si="1"/>
        <v/>
      </c>
      <c r="AH16" s="768" t="str">
        <f t="shared" si="2"/>
        <v/>
      </c>
      <c r="AJ16" s="768" t="str">
        <f t="shared" si="5"/>
        <v/>
      </c>
      <c r="AK16" s="768" t="str">
        <f t="shared" si="6"/>
        <v/>
      </c>
    </row>
    <row r="17" spans="2:37" x14ac:dyDescent="0.25">
      <c r="B17" s="577" t="s">
        <v>83</v>
      </c>
      <c r="C17" s="469">
        <f>SUMIFS(AS!$W:$W,AS!$AB:$AB,"OK",AS!$AG:$AG,Parkki!X17,AS!$AW:$AW,$W$8,AS!$X:$X,Parkki!$Y$5,AS!$K:$K,$W$7,AS!$AV:$AV,Parkki!$Y$2,AS!$CY:$CY,$U$6,AS!$CZ:$CZ,$U$5)</f>
        <v>0</v>
      </c>
      <c r="D17" s="469">
        <f>SUMIFS(AS!$W:$W,AS!$AB:$AB,"OK",AS!$AG:$AG,Parkki!$X17,AS!$F:$F,Parkki!$X$15,AS!$AW:$AW,$W$8,AS!$X:$X,Parkki!$Y$5,AS!$K:$K,$W$7,AS!$AV:$AV,Parkki!$Y$2,AS!$CY:$CY,$U$6,AS!$CZ:$CZ,$U$5)</f>
        <v>0</v>
      </c>
      <c r="F17" s="847"/>
      <c r="G17" s="814"/>
      <c r="H17" s="814"/>
      <c r="I17" s="814"/>
      <c r="J17" s="814"/>
      <c r="K17" s="848"/>
      <c r="M17" s="577" t="str">
        <f t="shared" si="8"/>
        <v/>
      </c>
      <c r="N17" s="469">
        <f>SUMIFS(AS!$W:$W,AS!$AB:$AB,"OK",AS!$AW:$AW,Parkki!$Y$6,AS!$X:$X,Parkki!$Y$5,AS!$AV:$AV,Parkki!$Y$2,AS!$K:$K,Parkki!$U17)</f>
        <v>0</v>
      </c>
      <c r="O17" s="469">
        <f>SUMIFS(JA!$Z:$Z,JA!$AE:$AE,"OK",JA!$X:$X,Parkki!$Y$6,JA!$BE:$BE,Parkki!$Y$5,JA!$AI:$AI,Parkki!$Y$2,JA!$Y:$Y,$U17,JA!$CW:$CW,1,JA!$AJ:$AJ,Parkki!$Y$2)</f>
        <v>0</v>
      </c>
      <c r="P17" s="469">
        <f>SUMIFS(JA!$Z:$Z,JA!$AE:$AE,"OK",JA!$X:$X,Parkki!$Y$6,JA!$BE:$BE,Parkki!$Y$5,JA!$AI:$AI,Parkki!$Y$2,JA!$Y:$Y,$U17,JA!$AJ:$AJ,Parkki!$Y$2)</f>
        <v>0</v>
      </c>
      <c r="S17">
        <f t="shared" si="7"/>
        <v>0</v>
      </c>
      <c r="T17" s="303">
        <v>5</v>
      </c>
      <c r="U17" s="760" t="str">
        <f t="shared" si="9"/>
        <v>ComboBox_TyHlo_yksikko_00000001</v>
      </c>
      <c r="V17" s="168" t="s">
        <v>84</v>
      </c>
      <c r="W17" s="168" t="s">
        <v>85</v>
      </c>
      <c r="X17" t="s">
        <v>86</v>
      </c>
      <c r="AA17" s="176" t="s">
        <v>87</v>
      </c>
      <c r="AB17" s="169" t="str">
        <f>IFERROR(INDEX(Data_Omakoodi!E:E,MATCH(AA17,Data_Omakoodi!A:A,0)),"")</f>
        <v/>
      </c>
      <c r="AC17" t="s">
        <v>88</v>
      </c>
      <c r="AD17" s="169" t="str">
        <f>IFERROR(INDEX(Data_Omakoodi!E:E,MATCH(AC17,Data_Omakoodi!A:A,0)),"")</f>
        <v/>
      </c>
      <c r="AE17" t="s">
        <v>88</v>
      </c>
      <c r="AF17" t="s">
        <v>89</v>
      </c>
      <c r="AG17" s="768" t="str">
        <f t="shared" si="1"/>
        <v/>
      </c>
      <c r="AH17" s="768" t="str">
        <f t="shared" si="2"/>
        <v/>
      </c>
      <c r="AJ17" s="768" t="str">
        <f t="shared" si="5"/>
        <v/>
      </c>
      <c r="AK17" s="768" t="str">
        <f t="shared" si="6"/>
        <v/>
      </c>
    </row>
    <row r="18" spans="2:37" x14ac:dyDescent="0.25">
      <c r="B18" s="577" t="s">
        <v>90</v>
      </c>
      <c r="C18" s="469">
        <f>SUMIFS(AS!$W:$W,AS!$AB:$AB,"OK",AS!$AG:$AG,Parkki!X18,AS!$AW:$AW,$W$8,AS!$X:$X,Parkki!$Y$5,AS!$K:$K,$W$7,AS!$AV:$AV,Parkki!$Y$2,AS!$CY:$CY,$U$6,AS!$CZ:$CZ,$U$5)</f>
        <v>0</v>
      </c>
      <c r="D18" s="469">
        <f>SUMIFS(AS!$W:$W,AS!$AB:$AB,"OK",AS!$AG:$AG,Parkki!$X18,AS!$F:$F,Parkki!$X$15,AS!$AW:$AW,$W$8,AS!$X:$X,Parkki!$Y$5,AS!$K:$K,$W$7,AS!$AV:$AV,Parkki!$Y$2,AS!$CY:$CY,$U$6,AS!$CZ:$CZ,$U$5)</f>
        <v>0</v>
      </c>
      <c r="F18" s="847"/>
      <c r="G18" s="814"/>
      <c r="H18" s="814"/>
      <c r="I18" s="814"/>
      <c r="J18" s="814"/>
      <c r="K18" s="848"/>
      <c r="M18" s="577" t="str">
        <f t="shared" si="8"/>
        <v/>
      </c>
      <c r="N18" s="469">
        <f>SUMIFS(AS!$W:$W,AS!$AB:$AB,"OK",AS!$AW:$AW,Parkki!$Y$6,AS!$X:$X,Parkki!$Y$5,AS!$AV:$AV,Parkki!$Y$2,AS!$K:$K,Parkki!$U18)</f>
        <v>0</v>
      </c>
      <c r="O18" s="469">
        <f>SUMIFS(JA!$Z:$Z,JA!$AE:$AE,"OK",JA!$X:$X,Parkki!$Y$6,JA!$BE:$BE,Parkki!$Y$5,JA!$AI:$AI,Parkki!$Y$2,JA!$Y:$Y,$U18,JA!$CW:$CW,1,JA!$AJ:$AJ,Parkki!$Y$2)</f>
        <v>0</v>
      </c>
      <c r="P18" s="469">
        <f>SUMIFS(JA!$Z:$Z,JA!$AE:$AE,"OK",JA!$X:$X,Parkki!$Y$6,JA!$BE:$BE,Parkki!$Y$5,JA!$AI:$AI,Parkki!$Y$2,JA!$Y:$Y,$U18,JA!$AJ:$AJ,Parkki!$Y$2)</f>
        <v>0</v>
      </c>
      <c r="S18">
        <f t="shared" si="7"/>
        <v>0</v>
      </c>
      <c r="T18" s="303">
        <v>6</v>
      </c>
      <c r="U18" s="760" t="str">
        <f t="shared" si="9"/>
        <v>ComboBox_TyHlo_yksikko_00000001</v>
      </c>
      <c r="V18" s="168" t="s">
        <v>91</v>
      </c>
      <c r="W18" s="168" t="s">
        <v>92</v>
      </c>
      <c r="X18" t="s">
        <v>93</v>
      </c>
      <c r="AA18" s="176" t="s">
        <v>94</v>
      </c>
      <c r="AB18" s="169" t="str">
        <f>IFERROR(INDEX(Data_Omakoodi!E:E,MATCH(AA18,Data_Omakoodi!A:A,0)),"")</f>
        <v/>
      </c>
      <c r="AC18" t="s">
        <v>95</v>
      </c>
      <c r="AD18" s="169" t="str">
        <f>IFERROR(INDEX(Data_Omakoodi!E:E,MATCH(AC18,Data_Omakoodi!A:A,0)),"")</f>
        <v/>
      </c>
      <c r="AE18" t="s">
        <v>95</v>
      </c>
      <c r="AF18" t="s">
        <v>96</v>
      </c>
      <c r="AG18" s="768" t="str">
        <f t="shared" si="1"/>
        <v/>
      </c>
      <c r="AH18" s="768" t="str">
        <f t="shared" si="2"/>
        <v/>
      </c>
      <c r="AJ18" s="768" t="str">
        <f t="shared" si="5"/>
        <v/>
      </c>
      <c r="AK18" s="768" t="str">
        <f t="shared" si="6"/>
        <v/>
      </c>
    </row>
    <row r="19" spans="2:37" x14ac:dyDescent="0.25">
      <c r="B19" s="577" t="s">
        <v>97</v>
      </c>
      <c r="C19" s="469">
        <f>SUMIFS(AS!$W:$W,AS!$AB:$AB,"OK",AS!$AG:$AG,Parkki!X19,AS!$AW:$AW,$W$8,AS!$X:$X,Parkki!$Y$5,AS!$K:$K,$W$7,AS!$AV:$AV,Parkki!$Y$2,AS!$CY:$CY,$U$6,AS!$CZ:$CZ,$U$5)</f>
        <v>0</v>
      </c>
      <c r="D19" s="469">
        <f>SUMIFS(AS!$W:$W,AS!$AB:$AB,"OK",AS!$AG:$AG,Parkki!$X19,AS!$F:$F,Parkki!$X$15,AS!$AW:$AW,$W$8,AS!$X:$X,Parkki!$Y$5,AS!$K:$K,$W$7,AS!$AV:$AV,Parkki!$Y$2,AS!$CY:$CY,$U$6,AS!$CZ:$CZ,$U$5)</f>
        <v>0</v>
      </c>
      <c r="F19" s="847"/>
      <c r="G19" s="814"/>
      <c r="H19" s="814"/>
      <c r="I19" s="814"/>
      <c r="J19" s="814"/>
      <c r="K19" s="848"/>
      <c r="M19" s="577" t="str">
        <f t="shared" si="8"/>
        <v/>
      </c>
      <c r="N19" s="469">
        <f>SUMIFS(AS!$W:$W,AS!$AB:$AB,"OK",AS!$AW:$AW,Parkki!$Y$6,AS!$X:$X,Parkki!$Y$5,AS!$AV:$AV,Parkki!$Y$2,AS!$K:$K,Parkki!$U19)</f>
        <v>0</v>
      </c>
      <c r="O19" s="469">
        <f>SUMIFS(JA!$Z:$Z,JA!$AE:$AE,"OK",JA!$X:$X,Parkki!$Y$6,JA!$BE:$BE,Parkki!$Y$5,JA!$AI:$AI,Parkki!$Y$2,JA!$Y:$Y,$U19,JA!$CW:$CW,1,JA!$AJ:$AJ,Parkki!$Y$2)</f>
        <v>0</v>
      </c>
      <c r="P19" s="469">
        <f>SUMIFS(JA!$Z:$Z,JA!$AE:$AE,"OK",JA!$X:$X,Parkki!$Y$6,JA!$BE:$BE,Parkki!$Y$5,JA!$AI:$AI,Parkki!$Y$2,JA!$Y:$Y,$U19,JA!$AJ:$AJ,Parkki!$Y$2)</f>
        <v>0</v>
      </c>
      <c r="S19">
        <f t="shared" si="7"/>
        <v>0</v>
      </c>
      <c r="T19" s="303">
        <v>7</v>
      </c>
      <c r="U19" s="760" t="str">
        <f t="shared" si="9"/>
        <v>ComboBox_TyHlo_yksikko_00000001</v>
      </c>
      <c r="V19" s="168" t="s">
        <v>98</v>
      </c>
      <c r="W19" s="168" t="s">
        <v>99</v>
      </c>
      <c r="X19" t="s">
        <v>100</v>
      </c>
      <c r="AA19" s="176" t="s">
        <v>101</v>
      </c>
      <c r="AB19" s="169" t="str">
        <f>IFERROR(INDEX(Data_Omakoodi!E:E,MATCH(AA19,Data_Omakoodi!A:A,0)),"")</f>
        <v/>
      </c>
      <c r="AC19" t="s">
        <v>102</v>
      </c>
      <c r="AD19" s="169" t="str">
        <f>IFERROR(INDEX(Data_Omakoodi!E:E,MATCH(AC19,Data_Omakoodi!A:A,0)),"")</f>
        <v/>
      </c>
      <c r="AE19" t="s">
        <v>102</v>
      </c>
      <c r="AF19" t="s">
        <v>103</v>
      </c>
      <c r="AG19" s="768" t="str">
        <f t="shared" si="1"/>
        <v/>
      </c>
      <c r="AH19" s="768" t="str">
        <f t="shared" si="2"/>
        <v/>
      </c>
      <c r="AJ19" s="768" t="str">
        <f t="shared" si="5"/>
        <v/>
      </c>
      <c r="AK19" s="768" t="str">
        <f t="shared" si="6"/>
        <v/>
      </c>
    </row>
    <row r="20" spans="2:37" x14ac:dyDescent="0.25">
      <c r="B20" s="470" t="s">
        <v>104</v>
      </c>
      <c r="C20" s="471">
        <f>IFERROR(SUM(C16:C19),"")</f>
        <v>0</v>
      </c>
      <c r="D20" s="471">
        <f>IFERROR(SUM(D16:D19),"")</f>
        <v>0</v>
      </c>
      <c r="F20" s="847"/>
      <c r="G20" s="814"/>
      <c r="H20" s="814"/>
      <c r="I20" s="814"/>
      <c r="J20" s="814"/>
      <c r="K20" s="848"/>
      <c r="M20" s="577" t="str">
        <f t="shared" si="8"/>
        <v/>
      </c>
      <c r="N20" s="469">
        <f>SUMIFS(AS!$W:$W,AS!$AB:$AB,"OK",AS!$AW:$AW,Parkki!$Y$6,AS!$X:$X,Parkki!$Y$5,AS!$AV:$AV,Parkki!$Y$2,AS!$K:$K,Parkki!$U20)</f>
        <v>0</v>
      </c>
      <c r="O20" s="469">
        <f>SUMIFS(JA!$Z:$Z,JA!$AE:$AE,"OK",JA!$X:$X,Parkki!$Y$6,JA!$BE:$BE,Parkki!$Y$5,JA!$AI:$AI,Parkki!$Y$2,JA!$Y:$Y,$U20,JA!$CW:$CW,1,JA!$AJ:$AJ,Parkki!$Y$2)</f>
        <v>0</v>
      </c>
      <c r="P20" s="469">
        <f>SUMIFS(JA!$Z:$Z,JA!$AE:$AE,"OK",JA!$X:$X,Parkki!$Y$6,JA!$BE:$BE,Parkki!$Y$5,JA!$AI:$AI,Parkki!$Y$2,JA!$Y:$Y,$U20,JA!$AJ:$AJ,Parkki!$Y$2)</f>
        <v>0</v>
      </c>
      <c r="S20">
        <f t="shared" si="7"/>
        <v>0</v>
      </c>
      <c r="T20" s="303">
        <v>8</v>
      </c>
      <c r="U20" s="760" t="str">
        <f t="shared" si="9"/>
        <v>ComboBox_TyHlo_yksikko_00000001</v>
      </c>
      <c r="V20" s="168" t="s">
        <v>105</v>
      </c>
      <c r="W20" s="168" t="s">
        <v>106</v>
      </c>
      <c r="AA20" s="176" t="s">
        <v>107</v>
      </c>
      <c r="AB20" s="169" t="str">
        <f>IFERROR(INDEX(Data_Omakoodi!E:E,MATCH(AA20,Data_Omakoodi!A:A,0)),"")</f>
        <v/>
      </c>
      <c r="AC20" t="s">
        <v>108</v>
      </c>
      <c r="AD20" s="169" t="str">
        <f>IFERROR(INDEX(Data_Omakoodi!E:E,MATCH(AC20,Data_Omakoodi!A:A,0)),"")</f>
        <v/>
      </c>
      <c r="AE20" t="s">
        <v>108</v>
      </c>
      <c r="AF20" t="s">
        <v>109</v>
      </c>
      <c r="AG20" s="768" t="str">
        <f t="shared" si="1"/>
        <v/>
      </c>
      <c r="AH20" s="768" t="str">
        <f t="shared" si="2"/>
        <v/>
      </c>
      <c r="AJ20" s="768" t="str">
        <f t="shared" si="5"/>
        <v/>
      </c>
      <c r="AK20" s="768" t="str">
        <f t="shared" si="6"/>
        <v/>
      </c>
    </row>
    <row r="21" spans="2:37" x14ac:dyDescent="0.25">
      <c r="B21" s="577" t="s">
        <v>110</v>
      </c>
      <c r="C21" s="469">
        <f>SUMIFS(AS!$W:$W,AS!$AB:$AB,"OK",AS!$AG:$AG,Parkki!X21,AS!$AW:$AW,$W$8,AS!$X:$X,Parkki!$Y$5,AS!$K:$K,$W$7,AS!$AV:$AV,Parkki!$Y$2,AS!$CY:$CY,$U$6,AS!$CZ:$CZ,$U$5)</f>
        <v>0</v>
      </c>
      <c r="D21" s="469">
        <f>SUMIFS(AS!$W:$W,AS!$AB:$AB,"OK",AS!$AG:$AG,Parkki!$X21,AS!$F:$F,Parkki!$X$15,AS!$AW:$AW,$W$8,AS!$X:$X,Parkki!$Y$5,AS!$K:$K,$W$7,AS!$AV:$AV,Parkki!$Y$2,AS!$CY:$CY,$U$6,AS!$CZ:$CZ,$U$5)</f>
        <v>0</v>
      </c>
      <c r="F21" s="847"/>
      <c r="G21" s="814"/>
      <c r="H21" s="814"/>
      <c r="I21" s="814"/>
      <c r="J21" s="814"/>
      <c r="K21" s="848"/>
      <c r="M21" s="577" t="str">
        <f t="shared" si="8"/>
        <v/>
      </c>
      <c r="N21" s="469">
        <f>SUMIFS(AS!$W:$W,AS!$AB:$AB,"OK",AS!$AW:$AW,Parkki!$Y$6,AS!$X:$X,Parkki!$Y$5,AS!$AV:$AV,Parkki!$Y$2,AS!$K:$K,Parkki!$U21)</f>
        <v>0</v>
      </c>
      <c r="O21" s="469">
        <f>SUMIFS(JA!$Z:$Z,JA!$AE:$AE,"OK",JA!$X:$X,Parkki!$Y$6,JA!$BE:$BE,Parkki!$Y$5,JA!$AI:$AI,Parkki!$Y$2,JA!$Y:$Y,$U21,JA!$CW:$CW,1,JA!$AJ:$AJ,Parkki!$Y$2)</f>
        <v>0</v>
      </c>
      <c r="P21" s="469">
        <f>SUMIFS(JA!$Z:$Z,JA!$AE:$AE,"OK",JA!$X:$X,Parkki!$Y$6,JA!$BE:$BE,Parkki!$Y$5,JA!$AI:$AI,Parkki!$Y$2,JA!$Y:$Y,$U21,JA!$AJ:$AJ,Parkki!$Y$2)</f>
        <v>0</v>
      </c>
      <c r="S21">
        <f t="shared" si="7"/>
        <v>0</v>
      </c>
      <c r="T21" s="303">
        <v>9</v>
      </c>
      <c r="U21" s="760" t="str">
        <f t="shared" si="9"/>
        <v>ComboBox_TyHlo_yksikko_00000001</v>
      </c>
      <c r="V21" s="168"/>
      <c r="W21" s="168"/>
      <c r="X21" t="s">
        <v>111</v>
      </c>
      <c r="AA21" s="176" t="s">
        <v>112</v>
      </c>
      <c r="AB21" s="169" t="str">
        <f>IFERROR(INDEX(Data_Omakoodi!E:E,MATCH(AA21,Data_Omakoodi!A:A,0)),"")</f>
        <v/>
      </c>
      <c r="AC21" t="s">
        <v>113</v>
      </c>
      <c r="AD21" s="169" t="str">
        <f>IFERROR(INDEX(Data_Omakoodi!E:E,MATCH(AC21,Data_Omakoodi!A:A,0)),"")</f>
        <v/>
      </c>
      <c r="AE21" t="s">
        <v>113</v>
      </c>
      <c r="AF21" t="s">
        <v>114</v>
      </c>
      <c r="AG21" s="768" t="str">
        <f t="shared" si="1"/>
        <v/>
      </c>
      <c r="AH21" s="768" t="str">
        <f t="shared" si="2"/>
        <v/>
      </c>
      <c r="AJ21" s="768" t="str">
        <f t="shared" si="5"/>
        <v/>
      </c>
      <c r="AK21" s="768" t="str">
        <f t="shared" si="6"/>
        <v/>
      </c>
    </row>
    <row r="22" spans="2:37" x14ac:dyDescent="0.25">
      <c r="B22" s="577" t="s">
        <v>115</v>
      </c>
      <c r="C22" s="469">
        <f>SUMIFS(AS!$W:$W,AS!$AB:$AB,"OK",AS!$AG:$AG,Parkki!X22,AS!$AW:$AW,$W$8,AS!$X:$X,Parkki!$Y$5,AS!$K:$K,$W$7,AS!$AV:$AV,Parkki!$Y$2,AS!$CY:$CY,$U$6,AS!$CZ:$CZ,$U$5)</f>
        <v>0</v>
      </c>
      <c r="D22" s="469">
        <f>SUMIFS(AS!$W:$W,AS!$AB:$AB,"OK",AS!$AG:$AG,Parkki!$X22,AS!$F:$F,Parkki!$X$15,AS!$AW:$AW,$W$8,AS!$X:$X,Parkki!$Y$5,AS!$K:$K,$W$7,AS!$AV:$AV,Parkki!$Y$2,AS!$CY:$CY,$U$6,AS!$CZ:$CZ,$U$5)</f>
        <v>0</v>
      </c>
      <c r="F22" s="847"/>
      <c r="G22" s="814"/>
      <c r="H22" s="814"/>
      <c r="I22" s="814"/>
      <c r="J22" s="814"/>
      <c r="K22" s="848"/>
      <c r="M22" s="577" t="str">
        <f t="shared" si="8"/>
        <v/>
      </c>
      <c r="N22" s="469">
        <f>SUMIFS(AS!$W:$W,AS!$AB:$AB,"OK",AS!$AW:$AW,Parkki!$Y$6,AS!$X:$X,Parkki!$Y$5,AS!$AV:$AV,Parkki!$Y$2,AS!$K:$K,Parkki!$U22)</f>
        <v>0</v>
      </c>
      <c r="O22" s="469">
        <f>SUMIFS(JA!$Z:$Z,JA!$AE:$AE,"OK",JA!$X:$X,Parkki!$Y$6,JA!$BE:$BE,Parkki!$Y$5,JA!$AI:$AI,Parkki!$Y$2,JA!$Y:$Y,$U22,JA!$CW:$CW,1,JA!$AJ:$AJ,Parkki!$Y$2)</f>
        <v>0</v>
      </c>
      <c r="P22" s="469">
        <f>SUMIFS(JA!$Z:$Z,JA!$AE:$AE,"OK",JA!$X:$X,Parkki!$Y$6,JA!$BE:$BE,Parkki!$Y$5,JA!$AI:$AI,Parkki!$Y$2,JA!$Y:$Y,$U22,JA!$AJ:$AJ,Parkki!$Y$2)</f>
        <v>0</v>
      </c>
      <c r="S22">
        <f t="shared" si="7"/>
        <v>0</v>
      </c>
      <c r="T22" s="303">
        <v>10</v>
      </c>
      <c r="U22" s="760" t="str">
        <f t="shared" si="9"/>
        <v>ComboBox_TyHlo_yksikko_00000001</v>
      </c>
      <c r="V22" s="168"/>
      <c r="W22" s="168"/>
      <c r="X22" t="s">
        <v>116</v>
      </c>
      <c r="AA22" s="176" t="s">
        <v>117</v>
      </c>
      <c r="AB22" s="169" t="str">
        <f>IFERROR(INDEX(Data_Omakoodi!E:E,MATCH(AA22,Data_Omakoodi!A:A,0)),"")</f>
        <v/>
      </c>
      <c r="AC22" t="s">
        <v>118</v>
      </c>
      <c r="AD22" s="169" t="str">
        <f>IFERROR(INDEX(Data_Omakoodi!E:E,MATCH(AC22,Data_Omakoodi!A:A,0)),"")</f>
        <v/>
      </c>
      <c r="AE22" t="s">
        <v>118</v>
      </c>
      <c r="AF22" t="s">
        <v>119</v>
      </c>
      <c r="AG22" s="768" t="str">
        <f t="shared" si="1"/>
        <v/>
      </c>
      <c r="AH22" s="768" t="str">
        <f t="shared" si="2"/>
        <v/>
      </c>
      <c r="AJ22" s="768" t="str">
        <f t="shared" si="5"/>
        <v/>
      </c>
      <c r="AK22" s="768" t="str">
        <f t="shared" si="6"/>
        <v/>
      </c>
    </row>
    <row r="23" spans="2:37" x14ac:dyDescent="0.25">
      <c r="B23" s="576" t="s">
        <v>120</v>
      </c>
      <c r="C23" s="469">
        <f>SUMIFS(AS!$W:$W,AS!$AB:$AB,"OK",AS!$AG:$AG,Parkki!X23,AS!$AW:$AW,$W$8,AS!$X:$X,Parkki!$Y$5,AS!$K:$K,$W$7,AS!$AV:$AV,Parkki!$Y$2,AS!$CY:$CY,$U$6,AS!$CZ:$CZ,$U$5)</f>
        <v>0</v>
      </c>
      <c r="D23" s="469">
        <f>SUMIFS(AS!$W:$W,AS!$AB:$AB,"OK",AS!$AG:$AG,Parkki!$X23,AS!$F:$F,Parkki!$X$15,AS!$AW:$AW,$W$8,AS!$X:$X,Parkki!$Y$5,AS!$K:$K,$W$7,AS!$AV:$AV,Parkki!$Y$2,AS!$CY:$CY,$U$6,AS!$CZ:$CZ,$U$5)</f>
        <v>0</v>
      </c>
      <c r="F23" s="847"/>
      <c r="G23" s="814"/>
      <c r="H23" s="814"/>
      <c r="I23" s="814"/>
      <c r="J23" s="814"/>
      <c r="K23" s="848"/>
      <c r="M23" s="577" t="str">
        <f t="shared" si="8"/>
        <v/>
      </c>
      <c r="N23" s="469">
        <f>SUMIFS(AS!$W:$W,AS!$AB:$AB,"OK",AS!$AW:$AW,Parkki!$Y$6,AS!$X:$X,Parkki!$Y$5,AS!$AV:$AV,Parkki!$Y$2,AS!$K:$K,Parkki!$U23)</f>
        <v>0</v>
      </c>
      <c r="O23" s="469">
        <f>SUMIFS(JA!$Z:$Z,JA!$AE:$AE,"OK",JA!$X:$X,Parkki!$Y$6,JA!$BE:$BE,Parkki!$Y$5,JA!$AI:$AI,Parkki!$Y$2,JA!$Y:$Y,$U23,JA!$CW:$CW,1,JA!$AJ:$AJ,Parkki!$Y$2)</f>
        <v>0</v>
      </c>
      <c r="P23" s="469">
        <f>SUMIFS(JA!$Z:$Z,JA!$AE:$AE,"OK",JA!$X:$X,Parkki!$Y$6,JA!$BE:$BE,Parkki!$Y$5,JA!$AI:$AI,Parkki!$Y$2,JA!$Y:$Y,$U23,JA!$AJ:$AJ,Parkki!$Y$2)</f>
        <v>0</v>
      </c>
      <c r="S23">
        <f t="shared" si="7"/>
        <v>0</v>
      </c>
      <c r="T23" s="303">
        <v>11</v>
      </c>
      <c r="U23" s="760" t="str">
        <f t="shared" si="9"/>
        <v>ComboBox_TyHlo_yksikko_00000001</v>
      </c>
      <c r="V23" s="168" t="s">
        <v>71</v>
      </c>
      <c r="W23" s="168" t="s">
        <v>121</v>
      </c>
      <c r="X23" s="86" t="s">
        <v>122</v>
      </c>
      <c r="Y23" s="302" t="s">
        <v>123</v>
      </c>
      <c r="AA23" s="176" t="s">
        <v>124</v>
      </c>
      <c r="AB23" s="169" t="str">
        <f>IFERROR(INDEX(Data_Omakoodi!E:E,MATCH(AA23,Data_Omakoodi!A:A,0)),"")</f>
        <v/>
      </c>
      <c r="AC23" t="s">
        <v>125</v>
      </c>
      <c r="AD23" s="169" t="str">
        <f>IFERROR(INDEX(Data_Omakoodi!E:E,MATCH(AC23,Data_Omakoodi!A:A,0)),"")</f>
        <v/>
      </c>
      <c r="AE23" t="s">
        <v>125</v>
      </c>
      <c r="AF23" t="s">
        <v>126</v>
      </c>
      <c r="AG23" s="768" t="str">
        <f t="shared" si="1"/>
        <v/>
      </c>
      <c r="AH23" s="768" t="str">
        <f t="shared" si="2"/>
        <v/>
      </c>
      <c r="AJ23" s="768" t="str">
        <f t="shared" si="5"/>
        <v/>
      </c>
      <c r="AK23" s="768" t="str">
        <f t="shared" si="6"/>
        <v/>
      </c>
    </row>
    <row r="24" spans="2:37" x14ac:dyDescent="0.25">
      <c r="B24" s="470" t="s">
        <v>127</v>
      </c>
      <c r="C24" s="471">
        <f>IFERROR(SUM(C20:C23),"")</f>
        <v>0</v>
      </c>
      <c r="D24" s="471">
        <f>IFERROR(SUM(D20:D23),"")</f>
        <v>0</v>
      </c>
      <c r="F24" s="849"/>
      <c r="G24" s="850"/>
      <c r="H24" s="850"/>
      <c r="I24" s="850"/>
      <c r="J24" s="850"/>
      <c r="K24" s="851"/>
      <c r="M24" s="577" t="str">
        <f t="shared" si="8"/>
        <v/>
      </c>
      <c r="N24" s="469">
        <f>SUMIFS(AS!$W:$W,AS!$AB:$AB,"OK",AS!$AW:$AW,Parkki!$Y$6,AS!$X:$X,Parkki!$Y$5,AS!$AV:$AV,Parkki!$Y$2,AS!$K:$K,Parkki!$U24)</f>
        <v>0</v>
      </c>
      <c r="O24" s="469">
        <f>SUMIFS(JA!$Z:$Z,JA!$AE:$AE,"OK",JA!$X:$X,Parkki!$Y$6,JA!$BE:$BE,Parkki!$Y$5,JA!$AI:$AI,Parkki!$Y$2,JA!$Y:$Y,$U24,JA!$CW:$CW,1,JA!$AJ:$AJ,Parkki!$Y$2)</f>
        <v>0</v>
      </c>
      <c r="P24" s="469">
        <f>SUMIFS(JA!$Z:$Z,JA!$AE:$AE,"OK",JA!$X:$X,Parkki!$Y$6,JA!$BE:$BE,Parkki!$Y$5,JA!$AI:$AI,Parkki!$Y$2,JA!$Y:$Y,$U24,JA!$AJ:$AJ,Parkki!$Y$2)</f>
        <v>0</v>
      </c>
      <c r="S24">
        <f t="shared" si="7"/>
        <v>0</v>
      </c>
      <c r="T24" s="303">
        <v>12</v>
      </c>
      <c r="U24" s="760" t="str">
        <f t="shared" si="9"/>
        <v>ComboBox_TyHlo_yksikko_00000001</v>
      </c>
      <c r="V24" s="759" t="s">
        <v>128</v>
      </c>
      <c r="W24" s="168" t="s">
        <v>129</v>
      </c>
      <c r="Y24" s="302" t="s">
        <v>130</v>
      </c>
      <c r="AA24" s="176" t="s">
        <v>131</v>
      </c>
      <c r="AB24" s="169" t="str">
        <f>IFERROR(INDEX(Data_Omakoodi!E:E,MATCH(AA24,Data_Omakoodi!A:A,0)),"")</f>
        <v/>
      </c>
      <c r="AC24" t="s">
        <v>132</v>
      </c>
      <c r="AD24" s="169" t="str">
        <f>IFERROR(INDEX(Data_Omakoodi!E:E,MATCH(AC24,Data_Omakoodi!A:A,0)),"")</f>
        <v/>
      </c>
      <c r="AE24" t="s">
        <v>132</v>
      </c>
      <c r="AF24" t="s">
        <v>133</v>
      </c>
      <c r="AG24" s="768" t="str">
        <f>TEXT(AD24,"@")</f>
        <v/>
      </c>
      <c r="AH24" s="768" t="str">
        <f t="shared" si="2"/>
        <v/>
      </c>
      <c r="AJ24" s="768" t="str">
        <f t="shared" si="5"/>
        <v/>
      </c>
      <c r="AK24" s="768" t="str">
        <f t="shared" si="6"/>
        <v/>
      </c>
    </row>
    <row r="25" spans="2:37" x14ac:dyDescent="0.25">
      <c r="B25" s="544"/>
      <c r="M25" s="577" t="str">
        <f t="shared" si="8"/>
        <v/>
      </c>
      <c r="N25" s="469">
        <f>SUMIFS(AS!$W:$W,AS!$AB:$AB,"OK",AS!$AW:$AW,Parkki!$Y$6,AS!$X:$X,Parkki!$Y$5,AS!$AV:$AV,Parkki!$Y$2,AS!$K:$K,Parkki!$U25)</f>
        <v>0</v>
      </c>
      <c r="O25" s="469">
        <f>SUMIFS(JA!$Z:$Z,JA!$AE:$AE,"OK",JA!$X:$X,Parkki!$Y$6,JA!$BE:$BE,Parkki!$Y$5,JA!$AI:$AI,Parkki!$Y$2,JA!$Y:$Y,$U25,JA!$CW:$CW,1,JA!$AJ:$AJ,Parkki!$Y$2)</f>
        <v>0</v>
      </c>
      <c r="P25" s="469">
        <f>SUMIFS(JA!$Z:$Z,JA!$AE:$AE,"OK",JA!$X:$X,Parkki!$Y$6,JA!$BE:$BE,Parkki!$Y$5,JA!$AI:$AI,Parkki!$Y$2,JA!$Y:$Y,$U25,JA!$AJ:$AJ,Parkki!$Y$2)</f>
        <v>0</v>
      </c>
      <c r="S25">
        <f t="shared" si="7"/>
        <v>0</v>
      </c>
      <c r="T25" s="303">
        <v>13</v>
      </c>
      <c r="U25" s="760" t="str">
        <f t="shared" si="9"/>
        <v>ComboBox_TyHlo_yksikko_00000001</v>
      </c>
      <c r="V25" s="759" t="s">
        <v>84</v>
      </c>
      <c r="W25" s="168" t="s">
        <v>134</v>
      </c>
      <c r="Y25" s="389" t="s">
        <v>135</v>
      </c>
      <c r="AA25" s="176" t="s">
        <v>136</v>
      </c>
      <c r="AB25" s="169" t="str">
        <f>IFERROR(INDEX(Data_Omakoodi!E:E,MATCH(AA25,Data_Omakoodi!A:A,0)),"")</f>
        <v/>
      </c>
      <c r="AC25" t="s">
        <v>137</v>
      </c>
      <c r="AD25" s="169" t="str">
        <f>IFERROR(INDEX(Data_Omakoodi!E:E,MATCH(AC25,Data_Omakoodi!A:A,0)),"")</f>
        <v/>
      </c>
      <c r="AE25" t="s">
        <v>137</v>
      </c>
      <c r="AF25" t="s">
        <v>138</v>
      </c>
      <c r="AG25" s="768" t="str">
        <f t="shared" ref="AG25:AG37" si="10">TEXT(AD25,"@")</f>
        <v/>
      </c>
      <c r="AH25" s="768" t="str">
        <f t="shared" ref="AH25:AH37" si="11">IF(AG25&lt;&gt;"",ROW(),"")</f>
        <v/>
      </c>
      <c r="AJ25" s="768" t="str">
        <f t="shared" si="5"/>
        <v/>
      </c>
      <c r="AK25" s="768" t="str">
        <f t="shared" si="6"/>
        <v/>
      </c>
    </row>
    <row r="26" spans="2:37" x14ac:dyDescent="0.25">
      <c r="B26" s="924" t="str">
        <f>"Työpajajaksojen kokonaiskesto, jonka valmentautujat olleet pajalla kuukausina" &amp; X10&amp;X12</f>
        <v>Työpajajaksojen kokonaiskesto, jonka valmentautujat olleet pajalla kuukausina - 01.01.2026-31.12.2026 (Kaikki kunnat - tiedot perustiedoista, Kaikki yksiköt - tiedot perustiedoista, Kaikki asiakkuudet)</v>
      </c>
      <c r="C26" s="924"/>
      <c r="D26" s="924"/>
      <c r="F26" s="844"/>
      <c r="G26" s="845"/>
      <c r="H26" s="845"/>
      <c r="I26" s="845"/>
      <c r="J26" s="845"/>
      <c r="K26" s="846"/>
      <c r="M26" s="577" t="str">
        <f t="shared" si="8"/>
        <v/>
      </c>
      <c r="N26" s="469">
        <f>SUMIFS(AS!$W:$W,AS!$AB:$AB,"OK",AS!$AW:$AW,Parkki!$Y$6,AS!$X:$X,Parkki!$Y$5,AS!$AV:$AV,Parkki!$Y$2,AS!$K:$K,Parkki!$U26)</f>
        <v>0</v>
      </c>
      <c r="O26" s="469">
        <f>SUMIFS(JA!$Z:$Z,JA!$AE:$AE,"OK",JA!$X:$X,Parkki!$Y$6,JA!$BE:$BE,Parkki!$Y$5,JA!$AI:$AI,Parkki!$Y$2,JA!$Y:$Y,$U26,JA!$CW:$CW,1,JA!$AJ:$AJ,Parkki!$Y$2)</f>
        <v>0</v>
      </c>
      <c r="P26" s="469">
        <f>SUMIFS(JA!$Z:$Z,JA!$AE:$AE,"OK",JA!$X:$X,Parkki!$Y$6,JA!$BE:$BE,Parkki!$Y$5,JA!$AI:$AI,Parkki!$Y$2,JA!$Y:$Y,$U26,JA!$AJ:$AJ,Parkki!$Y$2)</f>
        <v>0</v>
      </c>
      <c r="S26">
        <f t="shared" si="7"/>
        <v>0</v>
      </c>
      <c r="T26" s="303">
        <v>14</v>
      </c>
      <c r="U26" s="760" t="str">
        <f t="shared" si="9"/>
        <v>ComboBox_TyHlo_yksikko_00000001</v>
      </c>
      <c r="V26" s="168" t="s">
        <v>91</v>
      </c>
      <c r="W26" s="168" t="s">
        <v>139</v>
      </c>
      <c r="AA26" s="176" t="s">
        <v>140</v>
      </c>
      <c r="AB26" s="169" t="str">
        <f>IFERROR(INDEX(Data_Omakoodi!E:E,MATCH(AA26,Data_Omakoodi!A:A,0)),"")</f>
        <v/>
      </c>
      <c r="AC26" t="s">
        <v>141</v>
      </c>
      <c r="AD26" s="169" t="str">
        <f>IFERROR(INDEX(Data_Omakoodi!E:E,MATCH(AC26,Data_Omakoodi!A:A,0)),"")</f>
        <v/>
      </c>
      <c r="AE26" t="s">
        <v>141</v>
      </c>
      <c r="AF26" t="s">
        <v>142</v>
      </c>
      <c r="AG26" s="768" t="str">
        <f t="shared" si="10"/>
        <v/>
      </c>
      <c r="AH26" s="768" t="str">
        <f t="shared" si="11"/>
        <v/>
      </c>
      <c r="AJ26" s="768" t="str">
        <f t="shared" si="5"/>
        <v/>
      </c>
      <c r="AK26" s="768" t="str">
        <f t="shared" si="6"/>
        <v/>
      </c>
    </row>
    <row r="27" spans="2:37" x14ac:dyDescent="0.25">
      <c r="B27" s="925"/>
      <c r="C27" s="925"/>
      <c r="D27" s="925"/>
      <c r="F27" s="847"/>
      <c r="G27" s="814"/>
      <c r="H27" s="814"/>
      <c r="I27" s="814"/>
      <c r="J27" s="814"/>
      <c r="K27" s="848"/>
      <c r="M27" s="577" t="str">
        <f t="shared" si="8"/>
        <v/>
      </c>
      <c r="N27" s="469">
        <f>SUMIFS(AS!$W:$W,AS!$AB:$AB,"OK",AS!$AW:$AW,Parkki!$Y$6,AS!$X:$X,Parkki!$Y$5,AS!$AV:$AV,Parkki!$Y$2,AS!$K:$K,Parkki!$U27)</f>
        <v>0</v>
      </c>
      <c r="O27" s="469">
        <f>SUMIFS(JA!$Z:$Z,JA!$AE:$AE,"OK",JA!$X:$X,Parkki!$Y$6,JA!$BE:$BE,Parkki!$Y$5,JA!$AI:$AI,Parkki!$Y$2,JA!$Y:$Y,$U27,JA!$CW:$CW,1,JA!$AJ:$AJ,Parkki!$Y$2)</f>
        <v>0</v>
      </c>
      <c r="P27" s="469">
        <f>SUMIFS(JA!$Z:$Z,JA!$AE:$AE,"OK",JA!$X:$X,Parkki!$Y$6,JA!$BE:$BE,Parkki!$Y$5,JA!$AI:$AI,Parkki!$Y$2,JA!$Y:$Y,$U27,JA!$AJ:$AJ,Parkki!$Y$2)</f>
        <v>0</v>
      </c>
      <c r="S27">
        <f t="shared" si="7"/>
        <v>0</v>
      </c>
      <c r="T27" s="303">
        <v>15</v>
      </c>
      <c r="U27" s="760" t="str">
        <f t="shared" si="9"/>
        <v>ComboBox_TyHlo_yksikko_00000001</v>
      </c>
      <c r="V27" s="168" t="s">
        <v>143</v>
      </c>
      <c r="W27" s="168" t="s">
        <v>144</v>
      </c>
      <c r="AA27" s="176" t="s">
        <v>145</v>
      </c>
      <c r="AB27" s="169" t="str">
        <f>IFERROR(INDEX(Data_Omakoodi!E:E,MATCH(AA27,Data_Omakoodi!A:A,0)),"")</f>
        <v/>
      </c>
      <c r="AC27" t="s">
        <v>146</v>
      </c>
      <c r="AD27" s="169" t="str">
        <f>IFERROR(INDEX(Data_Omakoodi!E:E,MATCH(AC27,Data_Omakoodi!A:A,0)),"")</f>
        <v/>
      </c>
      <c r="AE27" t="s">
        <v>146</v>
      </c>
      <c r="AF27" t="s">
        <v>147</v>
      </c>
      <c r="AG27" s="768" t="str">
        <f t="shared" si="10"/>
        <v/>
      </c>
      <c r="AH27" s="768" t="str">
        <f t="shared" si="11"/>
        <v/>
      </c>
      <c r="AJ27" s="768" t="str">
        <f t="shared" si="5"/>
        <v/>
      </c>
      <c r="AK27" s="768" t="str">
        <f t="shared" si="6"/>
        <v/>
      </c>
    </row>
    <row r="28" spans="2:37" x14ac:dyDescent="0.25">
      <c r="B28" s="468"/>
      <c r="C28" s="578" t="s">
        <v>69</v>
      </c>
      <c r="D28" s="578" t="s">
        <v>148</v>
      </c>
      <c r="F28" s="847"/>
      <c r="G28" s="814"/>
      <c r="H28" s="814"/>
      <c r="I28" s="814"/>
      <c r="J28" s="814"/>
      <c r="K28" s="848"/>
      <c r="M28" s="577" t="str">
        <f t="shared" si="8"/>
        <v/>
      </c>
      <c r="N28" s="469">
        <f>SUMIFS(AS!$W:$W,AS!$AB:$AB,"OK",AS!$AW:$AW,Parkki!$Y$6,AS!$X:$X,Parkki!$Y$5,AS!$AV:$AV,Parkki!$Y$2,AS!$K:$K,Parkki!$U28)</f>
        <v>0</v>
      </c>
      <c r="O28" s="469">
        <f>SUMIFS(JA!$Z:$Z,JA!$AE:$AE,"OK",JA!$X:$X,Parkki!$Y$6,JA!$BE:$BE,Parkki!$Y$5,JA!$AI:$AI,Parkki!$Y$2,JA!$Y:$Y,$U28,JA!$CW:$CW,1,JA!$AJ:$AJ,Parkki!$Y$2)</f>
        <v>0</v>
      </c>
      <c r="P28" s="469">
        <f>SUMIFS(JA!$Z:$Z,JA!$AE:$AE,"OK",JA!$X:$X,Parkki!$Y$6,JA!$BE:$BE,Parkki!$Y$5,JA!$AI:$AI,Parkki!$Y$2,JA!$Y:$Y,$U28,JA!$AJ:$AJ,Parkki!$Y$2)</f>
        <v>0</v>
      </c>
      <c r="S28">
        <f t="shared" si="7"/>
        <v>0</v>
      </c>
      <c r="T28" s="303">
        <v>16</v>
      </c>
      <c r="U28" s="760" t="str">
        <f t="shared" si="9"/>
        <v>ComboBox_TyHlo_yksikko_00000001</v>
      </c>
      <c r="V28" s="168"/>
      <c r="W28" s="168" t="s">
        <v>149</v>
      </c>
      <c r="AA28" s="176" t="s">
        <v>150</v>
      </c>
      <c r="AB28" s="169" t="str">
        <f>IFERROR(INDEX(Data_Omakoodi!E:E,MATCH(AA28,Data_Omakoodi!A:A,0)),"")</f>
        <v/>
      </c>
      <c r="AC28" t="s">
        <v>151</v>
      </c>
      <c r="AD28" s="169" t="str">
        <f>IFERROR(INDEX(Data_Omakoodi!E:E,MATCH(AC28,Data_Omakoodi!A:A,0)),"")</f>
        <v/>
      </c>
      <c r="AE28" t="s">
        <v>151</v>
      </c>
      <c r="AF28" t="s">
        <v>152</v>
      </c>
      <c r="AG28" s="768" t="str">
        <f t="shared" si="10"/>
        <v/>
      </c>
      <c r="AH28" s="768" t="str">
        <f t="shared" si="11"/>
        <v/>
      </c>
      <c r="AJ28" s="768" t="str">
        <f t="shared" si="5"/>
        <v/>
      </c>
      <c r="AK28" s="768" t="str">
        <f t="shared" si="6"/>
        <v/>
      </c>
    </row>
    <row r="29" spans="2:37" x14ac:dyDescent="0.25">
      <c r="B29" s="577" t="s">
        <v>153</v>
      </c>
      <c r="C29" s="469">
        <f>SUMIFS(AS!$W:$W,AS!$AB:$AB,"OK",AS!$BD:$BD,Parkki!$X29,AS!$AW:$AW,$W$8,AS!$K:$K,$W$7,AS!$X:$X,Parkki!$Y$5,AS!$AV:$AV,Parkki!$Y$2,AS!$CY:$CY,$U$6,AS!$CZ:$CZ,$U$5)</f>
        <v>0</v>
      </c>
      <c r="D29" s="469">
        <f>SUMIFS(AS!$W:$W,AS!$AB:$AB,"OK",AS!$BD:$BD,Parkki!$X29,AS!$AH:$AH,Parkki!$X$8,AS!$AW:$AW,$W$8,AS!$K:$K,$W$7,AS!$X:$X,Parkki!$Y$5,AS!$AV:$AV,Parkki!$Y$2,AS!$CY:$CY,$U$6,AS!$CZ:$CZ,$U$5)</f>
        <v>0</v>
      </c>
      <c r="F29" s="847"/>
      <c r="G29" s="814"/>
      <c r="H29" s="814"/>
      <c r="I29" s="814"/>
      <c r="J29" s="814"/>
      <c r="K29" s="848"/>
      <c r="M29" s="577" t="str">
        <f t="shared" si="8"/>
        <v/>
      </c>
      <c r="N29" s="469">
        <f>SUMIFS(AS!$W:$W,AS!$AB:$AB,"OK",AS!$AW:$AW,Parkki!$Y$6,AS!$X:$X,Parkki!$Y$5,AS!$AV:$AV,Parkki!$Y$2,AS!$K:$K,Parkki!$U29)</f>
        <v>0</v>
      </c>
      <c r="O29" s="469">
        <f>SUMIFS(JA!$Z:$Z,JA!$AE:$AE,"OK",JA!$X:$X,Parkki!$Y$6,JA!$BE:$BE,Parkki!$Y$5,JA!$AI:$AI,Parkki!$Y$2,JA!$Y:$Y,$U29,JA!$CW:$CW,1,JA!$AJ:$AJ,Parkki!$Y$2)</f>
        <v>0</v>
      </c>
      <c r="P29" s="469">
        <f>SUMIFS(JA!$Z:$Z,JA!$AE:$AE,"OK",JA!$X:$X,Parkki!$Y$6,JA!$BE:$BE,Parkki!$Y$5,JA!$AI:$AI,Parkki!$Y$2,JA!$Y:$Y,$U29,JA!$AJ:$AJ,Parkki!$Y$2)</f>
        <v>0</v>
      </c>
      <c r="S29">
        <f t="shared" si="7"/>
        <v>0</v>
      </c>
      <c r="T29" s="303">
        <v>17</v>
      </c>
      <c r="U29" s="760" t="str">
        <f t="shared" si="9"/>
        <v>ComboBox_TyHlo_yksikko_00000001</v>
      </c>
      <c r="V29" s="168" t="s">
        <v>154</v>
      </c>
      <c r="W29" s="168" t="s">
        <v>155</v>
      </c>
      <c r="X29" t="s">
        <v>156</v>
      </c>
      <c r="AA29" s="176" t="s">
        <v>157</v>
      </c>
      <c r="AB29" s="169" t="str">
        <f>IFERROR(INDEX(Data_Omakoodi!E:E,MATCH(AA29,Data_Omakoodi!A:A,0)),"")</f>
        <v/>
      </c>
      <c r="AC29" t="s">
        <v>158</v>
      </c>
      <c r="AD29" s="169" t="str">
        <f>IFERROR(INDEX(Data_Omakoodi!E:E,MATCH(AC29,Data_Omakoodi!A:A,0)),"")</f>
        <v/>
      </c>
      <c r="AE29" t="s">
        <v>158</v>
      </c>
      <c r="AF29" t="s">
        <v>159</v>
      </c>
      <c r="AG29" s="768" t="str">
        <f t="shared" si="10"/>
        <v/>
      </c>
      <c r="AH29" s="768" t="str">
        <f t="shared" si="11"/>
        <v/>
      </c>
      <c r="AJ29" s="768" t="str">
        <f t="shared" si="5"/>
        <v/>
      </c>
      <c r="AK29" s="768" t="str">
        <f t="shared" si="6"/>
        <v/>
      </c>
    </row>
    <row r="30" spans="2:37" x14ac:dyDescent="0.25">
      <c r="B30" s="577" t="s">
        <v>160</v>
      </c>
      <c r="C30" s="469">
        <f>SUMIFS(AS!$W:$W,AS!$AB:$AB,"OK",AS!$BD:$BD,Parkki!$X30,AS!$AW:$AW,$W$8,AS!$K:$K,$W$7,AS!$X:$X,Parkki!$Y$5,AS!$AV:$AV,Parkki!$Y$2,AS!$CY:$CY,$U$6,AS!$CZ:$CZ,$U$5)</f>
        <v>0</v>
      </c>
      <c r="D30" s="469">
        <f>SUMIFS(AS!$W:$W,AS!$AB:$AB,"OK",AS!$BD:$BD,Parkki!$X30,AS!$AH:$AH,Parkki!$X$8,AS!$AW:$AW,$W$8,AS!$K:$K,$W$7,AS!$X:$X,Parkki!$Y$5,AS!$AV:$AV,Parkki!$Y$2,AS!$CY:$CY,$U$6,AS!$CZ:$CZ,$U$5)</f>
        <v>0</v>
      </c>
      <c r="F30" s="847"/>
      <c r="G30" s="814"/>
      <c r="H30" s="814"/>
      <c r="I30" s="814"/>
      <c r="J30" s="814"/>
      <c r="K30" s="848"/>
      <c r="M30" s="577" t="str">
        <f t="shared" si="8"/>
        <v/>
      </c>
      <c r="N30" s="469">
        <f>SUMIFS(AS!$W:$W,AS!$AB:$AB,"OK",AS!$AW:$AW,Parkki!$Y$6,AS!$X:$X,Parkki!$Y$5,AS!$AV:$AV,Parkki!$Y$2,AS!$K:$K,Parkki!$U30)</f>
        <v>0</v>
      </c>
      <c r="O30" s="469">
        <f>SUMIFS(JA!$Z:$Z,JA!$AE:$AE,"OK",JA!$X:$X,Parkki!$Y$6,JA!$BE:$BE,Parkki!$Y$5,JA!$AI:$AI,Parkki!$Y$2,JA!$Y:$Y,$U30,JA!$CW:$CW,1,JA!$AJ:$AJ,Parkki!$Y$2)</f>
        <v>0</v>
      </c>
      <c r="P30" s="469">
        <f>SUMIFS(JA!$Z:$Z,JA!$AE:$AE,"OK",JA!$X:$X,Parkki!$Y$6,JA!$BE:$BE,Parkki!$Y$5,JA!$AI:$AI,Parkki!$Y$2,JA!$Y:$Y,$U30,JA!$AJ:$AJ,Parkki!$Y$2)</f>
        <v>0</v>
      </c>
      <c r="S30">
        <f t="shared" si="7"/>
        <v>0</v>
      </c>
      <c r="T30" s="303">
        <v>18</v>
      </c>
      <c r="U30" s="760" t="str">
        <f t="shared" si="9"/>
        <v>ComboBox_TyHlo_yksikko_00000001</v>
      </c>
      <c r="V30" s="168" t="s">
        <v>161</v>
      </c>
      <c r="W30" s="168" t="s">
        <v>162</v>
      </c>
      <c r="X30" t="s">
        <v>163</v>
      </c>
      <c r="AA30" s="176" t="s">
        <v>164</v>
      </c>
      <c r="AB30" s="169" t="str">
        <f>IFERROR(INDEX(Data_Omakoodi!E:E,MATCH(AA30,Data_Omakoodi!A:A,0)),"")</f>
        <v/>
      </c>
      <c r="AC30" t="s">
        <v>165</v>
      </c>
      <c r="AD30" s="169" t="str">
        <f>IFERROR(INDEX(Data_Omakoodi!E:E,MATCH(AC30,Data_Omakoodi!A:A,0)),"")</f>
        <v/>
      </c>
      <c r="AE30" t="s">
        <v>165</v>
      </c>
      <c r="AF30" t="s">
        <v>166</v>
      </c>
      <c r="AG30" s="768" t="str">
        <f t="shared" si="10"/>
        <v/>
      </c>
      <c r="AH30" s="768" t="str">
        <f t="shared" si="11"/>
        <v/>
      </c>
      <c r="AJ30" s="768" t="str">
        <f t="shared" si="5"/>
        <v/>
      </c>
      <c r="AK30" s="768" t="str">
        <f t="shared" si="6"/>
        <v/>
      </c>
    </row>
    <row r="31" spans="2:37" x14ac:dyDescent="0.25">
      <c r="B31" s="577" t="s">
        <v>167</v>
      </c>
      <c r="C31" s="469">
        <f>SUMIFS(AS!$W:$W,AS!$AB:$AB,"OK",AS!$BD:$BD,Parkki!$X31,AS!$AW:$AW,$W$8,AS!$K:$K,$W$7,AS!$X:$X,Parkki!$Y$5,AS!$AV:$AV,Parkki!$Y$2,AS!$CY:$CY,$U$6,AS!$CZ:$CZ,$U$5)</f>
        <v>0</v>
      </c>
      <c r="D31" s="469">
        <f>SUMIFS(AS!$W:$W,AS!$AB:$AB,"OK",AS!$BD:$BD,Parkki!$X31,AS!$AH:$AH,Parkki!$X$8,AS!$AW:$AW,$W$8,AS!$K:$K,$W$7,AS!$X:$X,Parkki!$Y$5,AS!$AV:$AV,Parkki!$Y$2,AS!$CY:$CY,$U$6,AS!$CZ:$CZ,$U$5)</f>
        <v>0</v>
      </c>
      <c r="F31" s="847"/>
      <c r="G31" s="814"/>
      <c r="H31" s="814"/>
      <c r="I31" s="814"/>
      <c r="J31" s="814"/>
      <c r="K31" s="848"/>
      <c r="M31" s="577" t="str">
        <f t="shared" si="8"/>
        <v/>
      </c>
      <c r="N31" s="469">
        <f>SUMIFS(AS!$W:$W,AS!$AB:$AB,"OK",AS!$AW:$AW,Parkki!$Y$6,AS!$X:$X,Parkki!$Y$5,AS!$AV:$AV,Parkki!$Y$2,AS!$K:$K,Parkki!$U31)</f>
        <v>0</v>
      </c>
      <c r="O31" s="469">
        <f>SUMIFS(JA!$Z:$Z,JA!$AE:$AE,"OK",JA!$X:$X,Parkki!$Y$6,JA!$BE:$BE,Parkki!$Y$5,JA!$AI:$AI,Parkki!$Y$2,JA!$Y:$Y,$U31,JA!$CW:$CW,1,JA!$AJ:$AJ,Parkki!$Y$2)</f>
        <v>0</v>
      </c>
      <c r="P31" s="469">
        <f>SUMIFS(JA!$Z:$Z,JA!$AE:$AE,"OK",JA!$X:$X,Parkki!$Y$6,JA!$BE:$BE,Parkki!$Y$5,JA!$AI:$AI,Parkki!$Y$2,JA!$Y:$Y,$U31,JA!$AJ:$AJ,Parkki!$Y$2)</f>
        <v>0</v>
      </c>
      <c r="S31">
        <f t="shared" si="7"/>
        <v>0</v>
      </c>
      <c r="T31" s="303">
        <v>19</v>
      </c>
      <c r="U31" s="760" t="str">
        <f t="shared" si="9"/>
        <v>ComboBox_TyHlo_yksikko_00000001</v>
      </c>
      <c r="X31" t="s">
        <v>168</v>
      </c>
      <c r="AA31" s="176" t="s">
        <v>169</v>
      </c>
      <c r="AB31" s="169" t="str">
        <f>IFERROR(INDEX(Data_Omakoodi!E:E,MATCH(AA31,Data_Omakoodi!A:A,0)),"")</f>
        <v/>
      </c>
      <c r="AC31" t="s">
        <v>170</v>
      </c>
      <c r="AD31" s="169" t="str">
        <f>IFERROR(INDEX(Data_Omakoodi!E:E,MATCH(AC31,Data_Omakoodi!A:A,0)),"")</f>
        <v/>
      </c>
      <c r="AE31" t="s">
        <v>170</v>
      </c>
      <c r="AF31" t="s">
        <v>171</v>
      </c>
      <c r="AG31" s="768" t="str">
        <f t="shared" si="10"/>
        <v/>
      </c>
      <c r="AH31" s="768" t="str">
        <f t="shared" si="11"/>
        <v/>
      </c>
      <c r="AJ31" s="768" t="str">
        <f t="shared" si="5"/>
        <v/>
      </c>
      <c r="AK31" s="768" t="str">
        <f t="shared" si="6"/>
        <v/>
      </c>
    </row>
    <row r="32" spans="2:37" x14ac:dyDescent="0.25">
      <c r="B32" s="577" t="s">
        <v>172</v>
      </c>
      <c r="C32" s="469">
        <f>SUMIFS(AS!$W:$W,AS!$AB:$AB,"OK",AS!$BD:$BD,Parkki!$X32,AS!$AW:$AW,$W$8,AS!$K:$K,$W$7,AS!$X:$X,Parkki!$Y$5,AS!$AV:$AV,Parkki!$Y$2,AS!$CY:$CY,$U$6,AS!$CZ:$CZ,$U$5)</f>
        <v>0</v>
      </c>
      <c r="D32" s="469">
        <f>SUMIFS(AS!$W:$W,AS!$AB:$AB,"OK",AS!$BD:$BD,Parkki!$X32,AS!$AH:$AH,Parkki!$X$8,AS!$AW:$AW,$W$8,AS!$K:$K,$W$7,AS!$X:$X,Parkki!$Y$5,AS!$AV:$AV,Parkki!$Y$2,AS!$CY:$CY,$U$6,AS!$CZ:$CZ,$U$5)</f>
        <v>0</v>
      </c>
      <c r="F32" s="847"/>
      <c r="G32" s="814"/>
      <c r="H32" s="814"/>
      <c r="I32" s="814"/>
      <c r="J32" s="814"/>
      <c r="K32" s="848"/>
      <c r="M32" s="577" t="str">
        <f t="shared" si="8"/>
        <v/>
      </c>
      <c r="N32" s="469">
        <f>SUMIFS(AS!$W:$W,AS!$AB:$AB,"OK",AS!$AW:$AW,Parkki!$Y$6,AS!$X:$X,Parkki!$Y$5,AS!$AV:$AV,Parkki!$Y$2,AS!$K:$K,Parkki!$U32)</f>
        <v>0</v>
      </c>
      <c r="O32" s="469">
        <f>SUMIFS(JA!$Z:$Z,JA!$AE:$AE,"OK",JA!$X:$X,Parkki!$Y$6,JA!$BE:$BE,Parkki!$Y$5,JA!$AI:$AI,Parkki!$Y$2,JA!$Y:$Y,$U32,JA!$CW:$CW,1,JA!$AJ:$AJ,Parkki!$Y$2)</f>
        <v>0</v>
      </c>
      <c r="P32" s="469">
        <f>SUMIFS(JA!$Z:$Z,JA!$AE:$AE,"OK",JA!$X:$X,Parkki!$Y$6,JA!$BE:$BE,Parkki!$Y$5,JA!$AI:$AI,Parkki!$Y$2,JA!$Y:$Y,$U32,JA!$AJ:$AJ,Parkki!$Y$2)</f>
        <v>0</v>
      </c>
      <c r="S32">
        <f t="shared" si="7"/>
        <v>0</v>
      </c>
      <c r="T32" s="303">
        <v>20</v>
      </c>
      <c r="U32" s="760" t="str">
        <f t="shared" si="9"/>
        <v>ComboBox_TyHlo_yksikko_00000001</v>
      </c>
      <c r="X32" t="s">
        <v>173</v>
      </c>
      <c r="AA32" s="176" t="s">
        <v>174</v>
      </c>
      <c r="AB32" s="169" t="str">
        <f>IFERROR(INDEX(Data_Omakoodi!E:E,MATCH(AA32,Data_Omakoodi!A:A,0)),"")</f>
        <v/>
      </c>
      <c r="AC32" t="s">
        <v>175</v>
      </c>
      <c r="AD32" s="169" t="str">
        <f>IFERROR(INDEX(Data_Omakoodi!E:E,MATCH(AC32,Data_Omakoodi!A:A,0)),"")</f>
        <v/>
      </c>
      <c r="AE32" t="s">
        <v>175</v>
      </c>
      <c r="AF32" t="s">
        <v>176</v>
      </c>
      <c r="AG32" s="768" t="str">
        <f t="shared" si="10"/>
        <v/>
      </c>
      <c r="AH32" s="768" t="str">
        <f t="shared" si="11"/>
        <v/>
      </c>
      <c r="AJ32" s="768" t="str">
        <f t="shared" si="5"/>
        <v/>
      </c>
      <c r="AK32" s="768" t="str">
        <f t="shared" si="6"/>
        <v/>
      </c>
    </row>
    <row r="33" spans="1:37" x14ac:dyDescent="0.25">
      <c r="B33" s="577" t="s">
        <v>177</v>
      </c>
      <c r="C33" s="469">
        <f>SUMIFS(AS!$W:$W,AS!$AB:$AB,"OK",AS!$BD:$BD,Parkki!$X33,AS!$AW:$AW,$W$8,AS!$K:$K,$W$7,AS!$X:$X,Parkki!$Y$5,AS!$AV:$AV,Parkki!$Y$2,AS!$CY:$CY,$U$6,AS!$CZ:$CZ,$U$5)</f>
        <v>0</v>
      </c>
      <c r="D33" s="469">
        <f>SUMIFS(AS!$W:$W,AS!$AB:$AB,"OK",AS!$BD:$BD,Parkki!$X33,AS!$AH:$AH,Parkki!$X$8,AS!$AW:$AW,$W$8,AS!$K:$K,$W$7,AS!$X:$X,Parkki!$Y$5,AS!$AV:$AV,Parkki!$Y$2,AS!$CY:$CY,$U$6,AS!$CZ:$CZ,$U$5)</f>
        <v>0</v>
      </c>
      <c r="F33" s="847"/>
      <c r="G33" s="814"/>
      <c r="H33" s="814"/>
      <c r="I33" s="814"/>
      <c r="J33" s="814"/>
      <c r="K33" s="848"/>
      <c r="M33" s="577" t="str">
        <f t="shared" si="8"/>
        <v/>
      </c>
      <c r="N33" s="469">
        <f>SUMIFS(AS!$W:$W,AS!$AB:$AB,"OK",AS!$AW:$AW,Parkki!$Y$6,AS!$X:$X,Parkki!$Y$5,AS!$AV:$AV,Parkki!$Y$2,AS!$K:$K,Parkki!$U33)</f>
        <v>0</v>
      </c>
      <c r="O33" s="469">
        <f>SUMIFS(JA!$Z:$Z,JA!$AE:$AE,"OK",JA!$X:$X,Parkki!$Y$6,JA!$BE:$BE,Parkki!$Y$5,JA!$AI:$AI,Parkki!$Y$2,JA!$Y:$Y,$U33,JA!$CW:$CW,1,JA!$AJ:$AJ,Parkki!$Y$2)</f>
        <v>0</v>
      </c>
      <c r="P33" s="469">
        <f>SUMIFS(JA!$Z:$Z,JA!$AE:$AE,"OK",JA!$X:$X,Parkki!$Y$6,JA!$BE:$BE,Parkki!$Y$5,JA!$AI:$AI,Parkki!$Y$2,JA!$Y:$Y,$U33,JA!$AJ:$AJ,Parkki!$Y$2)</f>
        <v>0</v>
      </c>
      <c r="S33">
        <f t="shared" si="7"/>
        <v>0</v>
      </c>
      <c r="T33" s="303">
        <v>21</v>
      </c>
      <c r="U33" s="760" t="str">
        <f t="shared" si="9"/>
        <v>ComboBox_TyHlo_yksikko_00000001</v>
      </c>
      <c r="V33" s="228"/>
      <c r="X33" t="s">
        <v>178</v>
      </c>
      <c r="AA33" s="176" t="s">
        <v>179</v>
      </c>
      <c r="AB33" s="169" t="str">
        <f>IFERROR(INDEX(Data_Omakoodi!E:E,MATCH(AA33,Data_Omakoodi!A:A,0)),"")</f>
        <v/>
      </c>
      <c r="AC33" t="s">
        <v>180</v>
      </c>
      <c r="AD33" s="169" t="str">
        <f>IFERROR(INDEX(Data_Omakoodi!E:E,MATCH(AC33,Data_Omakoodi!A:A,0)),"")</f>
        <v/>
      </c>
      <c r="AE33" t="s">
        <v>180</v>
      </c>
      <c r="AF33" t="s">
        <v>181</v>
      </c>
      <c r="AG33" s="768" t="str">
        <f t="shared" si="10"/>
        <v/>
      </c>
      <c r="AH33" s="768" t="str">
        <f t="shared" si="11"/>
        <v/>
      </c>
      <c r="AJ33" s="768" t="str">
        <f t="shared" si="5"/>
        <v/>
      </c>
      <c r="AK33" s="768" t="str">
        <f t="shared" si="6"/>
        <v/>
      </c>
    </row>
    <row r="34" spans="1:37" x14ac:dyDescent="0.25">
      <c r="B34" s="577" t="s">
        <v>182</v>
      </c>
      <c r="C34" s="469">
        <f>SUMIFS(AS!$W:$W,AS!$AB:$AB,"OK",AS!$BD:$BD,Parkki!$X34,AS!$AW:$AW,$W$8,AS!$K:$K,$W$7,AS!$X:$X,Parkki!$Y$5,AS!$AV:$AV,Parkki!$Y$2,AS!$CY:$CY,$U$6,AS!$CZ:$CZ,$U$5)</f>
        <v>0</v>
      </c>
      <c r="D34" s="469">
        <f>SUMIFS(AS!$W:$W,AS!$AB:$AB,"OK",AS!$BD:$BD,Parkki!$X34,AS!$AH:$AH,Parkki!$X$8,AS!$AW:$AW,$W$8,AS!$K:$K,$W$7,AS!$X:$X,Parkki!$Y$5,AS!$AV:$AV,Parkki!$Y$2,AS!$CY:$CY,$U$6,AS!$CZ:$CZ,$U$5)</f>
        <v>0</v>
      </c>
      <c r="F34" s="847"/>
      <c r="G34" s="814"/>
      <c r="H34" s="814"/>
      <c r="I34" s="814"/>
      <c r="J34" s="814"/>
      <c r="K34" s="848"/>
      <c r="M34" s="577" t="str">
        <f t="shared" si="8"/>
        <v/>
      </c>
      <c r="N34" s="469">
        <f>SUMIFS(AS!$W:$W,AS!$AB:$AB,"OK",AS!$AW:$AW,Parkki!$Y$6,AS!$X:$X,Parkki!$Y$5,AS!$AV:$AV,Parkki!$Y$2,AS!$K:$K,Parkki!$U34)</f>
        <v>0</v>
      </c>
      <c r="O34" s="469">
        <f>SUMIFS(JA!$Z:$Z,JA!$AE:$AE,"OK",JA!$X:$X,Parkki!$Y$6,JA!$BE:$BE,Parkki!$Y$5,JA!$AI:$AI,Parkki!$Y$2,JA!$Y:$Y,$U34,JA!$CW:$CW,1,JA!$AJ:$AJ,Parkki!$Y$2)</f>
        <v>0</v>
      </c>
      <c r="P34" s="469">
        <f>SUMIFS(JA!$Z:$Z,JA!$AE:$AE,"OK",JA!$X:$X,Parkki!$Y$6,JA!$BE:$BE,Parkki!$Y$5,JA!$AI:$AI,Parkki!$Y$2,JA!$Y:$Y,$U34,JA!$AJ:$AJ,Parkki!$Y$2)</f>
        <v>0</v>
      </c>
      <c r="S34">
        <f t="shared" si="7"/>
        <v>0</v>
      </c>
      <c r="T34" s="303">
        <v>22</v>
      </c>
      <c r="U34" s="760" t="str">
        <f t="shared" si="9"/>
        <v>ComboBox_TyHlo_yksikko_00000001</v>
      </c>
      <c r="V34" s="228"/>
      <c r="X34" s="86" t="s">
        <v>122</v>
      </c>
      <c r="AA34" s="176" t="s">
        <v>183</v>
      </c>
      <c r="AB34" s="169" t="str">
        <f>IFERROR(INDEX(Data_Omakoodi!E:E,MATCH(AA34,Data_Omakoodi!A:A,0)),"")</f>
        <v/>
      </c>
      <c r="AC34" t="s">
        <v>184</v>
      </c>
      <c r="AD34" s="169" t="str">
        <f>IFERROR(INDEX(Data_Omakoodi!E:E,MATCH(AC34,Data_Omakoodi!A:A,0)),"")</f>
        <v/>
      </c>
      <c r="AE34" t="s">
        <v>184</v>
      </c>
      <c r="AF34" t="s">
        <v>185</v>
      </c>
      <c r="AG34" s="768" t="str">
        <f t="shared" si="10"/>
        <v/>
      </c>
      <c r="AH34" s="768" t="str">
        <f t="shared" si="11"/>
        <v/>
      </c>
      <c r="AJ34" s="768" t="str">
        <f t="shared" si="5"/>
        <v/>
      </c>
      <c r="AK34" s="768" t="str">
        <f t="shared" si="6"/>
        <v/>
      </c>
    </row>
    <row r="35" spans="1:37" x14ac:dyDescent="0.25">
      <c r="B35" s="470" t="s">
        <v>186</v>
      </c>
      <c r="C35" s="471">
        <f>IFERROR(SUM(C29:C34),"")</f>
        <v>0</v>
      </c>
      <c r="D35" s="471">
        <f>IFERROR(SUM(D29:D34),"")</f>
        <v>0</v>
      </c>
      <c r="F35" s="849"/>
      <c r="G35" s="850"/>
      <c r="H35" s="850"/>
      <c r="I35" s="850"/>
      <c r="J35" s="850"/>
      <c r="K35" s="851"/>
      <c r="M35" s="577" t="str">
        <f t="shared" si="8"/>
        <v/>
      </c>
      <c r="N35" s="469">
        <f>SUMIFS(AS!$W:$W,AS!$AB:$AB,"OK",AS!$AW:$AW,Parkki!$Y$6,AS!$X:$X,Parkki!$Y$5,AS!$AV:$AV,Parkki!$Y$2,AS!$K:$K,Parkki!$U35)</f>
        <v>0</v>
      </c>
      <c r="O35" s="469">
        <f>SUMIFS(JA!$Z:$Z,JA!$AE:$AE,"OK",JA!$X:$X,Parkki!$Y$6,JA!$BE:$BE,Parkki!$Y$5,JA!$AI:$AI,Parkki!$Y$2,JA!$Y:$Y,$U35,JA!$CW:$CW,1,JA!$AJ:$AJ,Parkki!$Y$2)</f>
        <v>0</v>
      </c>
      <c r="P35" s="469">
        <f>SUMIFS(JA!$Z:$Z,JA!$AE:$AE,"OK",JA!$X:$X,Parkki!$Y$6,JA!$BE:$BE,Parkki!$Y$5,JA!$AI:$AI,Parkki!$Y$2,JA!$Y:$Y,$U35,JA!$AJ:$AJ,Parkki!$Y$2)</f>
        <v>0</v>
      </c>
      <c r="S35">
        <f t="shared" si="7"/>
        <v>0</v>
      </c>
      <c r="T35" s="303">
        <v>23</v>
      </c>
      <c r="U35" s="760" t="str">
        <f t="shared" ref="U35:U42" si="12">INDEX($AC$5:$AC$37,MATCH(M35,$AD$5:$AD$37,0))</f>
        <v>ComboBox_TyHlo_yksikko_00000001</v>
      </c>
      <c r="V35" s="228"/>
      <c r="AA35" s="176" t="s">
        <v>187</v>
      </c>
      <c r="AB35" s="169" t="str">
        <f>IFERROR(INDEX(Data_Omakoodi!E:E,MATCH(AA35,Data_Omakoodi!A:A,0)),"")</f>
        <v/>
      </c>
      <c r="AC35" t="s">
        <v>188</v>
      </c>
      <c r="AD35" s="169" t="str">
        <f>IFERROR(INDEX(Data_Omakoodi!E:E,MATCH(AC35,Data_Omakoodi!A:A,0)),"")</f>
        <v/>
      </c>
      <c r="AE35" t="s">
        <v>188</v>
      </c>
      <c r="AF35" t="s">
        <v>189</v>
      </c>
      <c r="AG35" s="768" t="str">
        <f t="shared" si="10"/>
        <v/>
      </c>
      <c r="AH35" s="768" t="str">
        <f t="shared" si="11"/>
        <v/>
      </c>
      <c r="AJ35" s="768" t="str">
        <f t="shared" si="5"/>
        <v/>
      </c>
      <c r="AK35" s="768" t="str">
        <f t="shared" si="6"/>
        <v/>
      </c>
    </row>
    <row r="36" spans="1:37" x14ac:dyDescent="0.25">
      <c r="B36" s="544"/>
      <c r="M36" s="577" t="str">
        <f t="shared" si="8"/>
        <v/>
      </c>
      <c r="N36" s="469">
        <f>SUMIFS(AS!$W:$W,AS!$AB:$AB,"OK",AS!$AW:$AW,Parkki!$Y$6,AS!$X:$X,Parkki!$Y$5,AS!$AV:$AV,Parkki!$Y$2,AS!$K:$K,Parkki!$U36)</f>
        <v>0</v>
      </c>
      <c r="O36" s="469">
        <f>SUMIFS(JA!$Z:$Z,JA!$AE:$AE,"OK",JA!$X:$X,Parkki!$Y$6,JA!$BE:$BE,Parkki!$Y$5,JA!$AI:$AI,Parkki!$Y$2,JA!$Y:$Y,$U36,JA!$CW:$CW,1,JA!$AJ:$AJ,Parkki!$Y$2)</f>
        <v>0</v>
      </c>
      <c r="P36" s="469">
        <f>SUMIFS(JA!$Z:$Z,JA!$AE:$AE,"OK",JA!$X:$X,Parkki!$Y$6,JA!$BE:$BE,Parkki!$Y$5,JA!$AI:$AI,Parkki!$Y$2,JA!$Y:$Y,$U36,JA!$AJ:$AJ,Parkki!$Y$2)</f>
        <v>0</v>
      </c>
      <c r="S36">
        <f t="shared" si="7"/>
        <v>0</v>
      </c>
      <c r="T36" s="303">
        <v>24</v>
      </c>
      <c r="U36" s="760" t="str">
        <f t="shared" si="12"/>
        <v>ComboBox_TyHlo_yksikko_00000001</v>
      </c>
      <c r="V36" s="228"/>
      <c r="AA36" s="176" t="s">
        <v>190</v>
      </c>
      <c r="AB36" s="169" t="str">
        <f>IFERROR(INDEX(Data_Omakoodi!E:E,MATCH(AA36,Data_Omakoodi!A:A,0)),"")</f>
        <v/>
      </c>
      <c r="AC36" t="s">
        <v>191</v>
      </c>
      <c r="AD36" s="169" t="str">
        <f>IFERROR(INDEX(Data_Omakoodi!E:E,MATCH(AC36,Data_Omakoodi!A:A,0)),"")</f>
        <v/>
      </c>
      <c r="AE36" t="s">
        <v>191</v>
      </c>
      <c r="AF36" t="s">
        <v>192</v>
      </c>
      <c r="AG36" s="768" t="str">
        <f t="shared" si="10"/>
        <v/>
      </c>
      <c r="AH36" s="768" t="str">
        <f t="shared" si="11"/>
        <v/>
      </c>
      <c r="AJ36" s="768" t="str">
        <f t="shared" si="5"/>
        <v/>
      </c>
      <c r="AK36" s="768" t="str">
        <f t="shared" si="6"/>
        <v/>
      </c>
    </row>
    <row r="37" spans="1:37" x14ac:dyDescent="0.25">
      <c r="A37" s="941" t="str">
        <f>"Työpajalla olleiden valmentautujien äidinkieli "&amp;X10&amp;X12</f>
        <v>Työpajalla olleiden valmentautujien äidinkieli  - 01.01.2026-31.12.2026 (Kaikki kunnat - tiedot perustiedoista, Kaikki yksiköt - tiedot perustiedoista, Kaikki asiakkuudet)</v>
      </c>
      <c r="B37" s="941"/>
      <c r="C37" s="941"/>
      <c r="D37" s="941"/>
      <c r="F37" s="844"/>
      <c r="G37" s="845"/>
      <c r="H37" s="845"/>
      <c r="I37" s="845"/>
      <c r="J37" s="845"/>
      <c r="K37" s="846"/>
      <c r="M37" s="577" t="str">
        <f t="shared" si="8"/>
        <v/>
      </c>
      <c r="N37" s="469">
        <f>SUMIFS(AS!$W:$W,AS!$AB:$AB,"OK",AS!$AW:$AW,Parkki!$Y$6,AS!$X:$X,Parkki!$Y$5,AS!$AV:$AV,Parkki!$Y$2,AS!$K:$K,Parkki!$U37)</f>
        <v>0</v>
      </c>
      <c r="O37" s="469">
        <f>SUMIFS(JA!$Z:$Z,JA!$AE:$AE,"OK",JA!$X:$X,Parkki!$Y$6,JA!$BE:$BE,Parkki!$Y$5,JA!$AI:$AI,Parkki!$Y$2,JA!$Y:$Y,$U37,JA!$CW:$CW,1,JA!$AJ:$AJ,Parkki!$Y$2)</f>
        <v>0</v>
      </c>
      <c r="P37" s="469">
        <f>SUMIFS(JA!$Z:$Z,JA!$AE:$AE,"OK",JA!$X:$X,Parkki!$Y$6,JA!$BE:$BE,Parkki!$Y$5,JA!$AI:$AI,Parkki!$Y$2,JA!$Y:$Y,$U37,JA!$AJ:$AJ,Parkki!$Y$2)</f>
        <v>0</v>
      </c>
      <c r="S37">
        <f t="shared" si="7"/>
        <v>0</v>
      </c>
      <c r="T37" s="303">
        <v>25</v>
      </c>
      <c r="U37" s="760" t="str">
        <f t="shared" si="12"/>
        <v>ComboBox_TyHlo_yksikko_00000001</v>
      </c>
      <c r="V37" s="228"/>
      <c r="AA37" s="176" t="s">
        <v>193</v>
      </c>
      <c r="AB37" s="169" t="str">
        <f>IFERROR(INDEX(Data_Omakoodi!E:E,MATCH(AA37,Data_Omakoodi!A:A,0)),"")</f>
        <v/>
      </c>
      <c r="AC37" t="s">
        <v>194</v>
      </c>
      <c r="AD37" s="169" t="str">
        <f>IFERROR(INDEX(Data_Omakoodi!E:E,MATCH(AC37,Data_Omakoodi!A:A,0)),"")</f>
        <v/>
      </c>
      <c r="AE37" t="s">
        <v>194</v>
      </c>
      <c r="AF37" t="s">
        <v>195</v>
      </c>
      <c r="AG37" s="768" t="str">
        <f t="shared" si="10"/>
        <v/>
      </c>
      <c r="AH37" s="768" t="str">
        <f t="shared" si="11"/>
        <v/>
      </c>
      <c r="AJ37" s="768" t="str">
        <f t="shared" si="5"/>
        <v/>
      </c>
      <c r="AK37" s="768" t="str">
        <f t="shared" si="6"/>
        <v/>
      </c>
    </row>
    <row r="38" spans="1:37" x14ac:dyDescent="0.25">
      <c r="A38" s="942"/>
      <c r="B38" s="942"/>
      <c r="C38" s="942"/>
      <c r="D38" s="942"/>
      <c r="F38" s="847"/>
      <c r="G38" s="814"/>
      <c r="H38" s="814"/>
      <c r="I38" s="814"/>
      <c r="J38" s="814"/>
      <c r="K38" s="848"/>
      <c r="M38" s="577" t="str">
        <f t="shared" si="8"/>
        <v/>
      </c>
      <c r="N38" s="469">
        <f>SUMIFS(AS!$W:$W,AS!$AB:$AB,"OK",AS!$AW:$AW,Parkki!$Y$6,AS!$X:$X,Parkki!$Y$5,AS!$AV:$AV,Parkki!$Y$2,AS!$K:$K,Parkki!$U38)</f>
        <v>0</v>
      </c>
      <c r="O38" s="469">
        <f>SUMIFS(JA!$Z:$Z,JA!$AE:$AE,"OK",JA!$X:$X,Parkki!$Y$6,JA!$BE:$BE,Parkki!$Y$5,JA!$AI:$AI,Parkki!$Y$2,JA!$Y:$Y,$U38,JA!$CW:$CW,1,JA!$AJ:$AJ,Parkki!$Y$2)</f>
        <v>0</v>
      </c>
      <c r="P38" s="469">
        <f>SUMIFS(JA!$Z:$Z,JA!$AE:$AE,"OK",JA!$X:$X,Parkki!$Y$6,JA!$BE:$BE,Parkki!$Y$5,JA!$AI:$AI,Parkki!$Y$2,JA!$Y:$Y,$U38,JA!$AJ:$AJ,Parkki!$Y$2)</f>
        <v>0</v>
      </c>
      <c r="S38">
        <f t="shared" si="7"/>
        <v>0</v>
      </c>
      <c r="T38" s="303">
        <v>26</v>
      </c>
      <c r="U38" s="760" t="str">
        <f t="shared" si="12"/>
        <v>ComboBox_TyHlo_yksikko_00000001</v>
      </c>
      <c r="V38" s="228"/>
    </row>
    <row r="39" spans="1:37" x14ac:dyDescent="0.25">
      <c r="A39" s="930" t="s">
        <v>196</v>
      </c>
      <c r="B39" s="931"/>
      <c r="C39" s="578" t="s">
        <v>69</v>
      </c>
      <c r="D39" s="578" t="s">
        <v>148</v>
      </c>
      <c r="E39" s="380"/>
      <c r="F39" s="852"/>
      <c r="G39" s="853"/>
      <c r="H39" s="853"/>
      <c r="I39" s="853"/>
      <c r="J39" s="853"/>
      <c r="K39" s="854"/>
      <c r="M39" s="577" t="str">
        <f t="shared" si="8"/>
        <v/>
      </c>
      <c r="N39" s="469">
        <f>SUMIFS(AS!$W:$W,AS!$AB:$AB,"OK",AS!$AW:$AW,Parkki!$Y$6,AS!$X:$X,Parkki!$Y$5,AS!$AV:$AV,Parkki!$Y$2,AS!$K:$K,Parkki!$U39)</f>
        <v>0</v>
      </c>
      <c r="O39" s="469">
        <f>SUMIFS(JA!$Z:$Z,JA!$AE:$AE,"OK",JA!$X:$X,Parkki!$Y$6,JA!$BE:$BE,Parkki!$Y$5,JA!$AI:$AI,Parkki!$Y$2,JA!$Y:$Y,$U39,JA!$CW:$CW,1,JA!$AJ:$AJ,Parkki!$Y$2)</f>
        <v>0</v>
      </c>
      <c r="P39" s="469">
        <f>SUMIFS(JA!$Z:$Z,JA!$AE:$AE,"OK",JA!$X:$X,Parkki!$Y$6,JA!$BE:$BE,Parkki!$Y$5,JA!$AI:$AI,Parkki!$Y$2,JA!$Y:$Y,$U39,JA!$AJ:$AJ,Parkki!$Y$2)</f>
        <v>0</v>
      </c>
      <c r="S39">
        <f t="shared" si="7"/>
        <v>0</v>
      </c>
      <c r="T39" s="303">
        <v>27</v>
      </c>
      <c r="U39" s="760" t="str">
        <f t="shared" si="12"/>
        <v>ComboBox_TyHlo_yksikko_00000001</v>
      </c>
      <c r="V39" s="228"/>
      <c r="AE39">
        <v>2020</v>
      </c>
    </row>
    <row r="40" spans="1:37" x14ac:dyDescent="0.25">
      <c r="A40" s="929" t="s">
        <v>197</v>
      </c>
      <c r="B40" s="582" t="s">
        <v>198</v>
      </c>
      <c r="C40" s="469">
        <f>SUMIFS(AS!$W:$W,AS!$AB:$AB,"OK",AS!$AI:$AI,Parkki!$X40,AS!$AW:$AW,$W$8,AS!$K:$K,$W$7,AS!$X:$X,Parkki!$Y$5,AS!$AV:$AV,Parkki!$Y$2,AS!$CY:$CY,$U$6,AS!$CZ:$CZ,$U$5)</f>
        <v>0</v>
      </c>
      <c r="D40" s="469">
        <f>SUMIFS(AS!$W:$W,AS!$AB:$AB,"OK",AS!$AI:$AI,Parkki!$X40,AS!$AH:$AH,Parkki!$X$8,AS!$AW:$AW,$W$8,AS!$K:$K,$W$7,AS!$X:$X,Parkki!$Y$5,AS!$AV:$AV,Parkki!$Y$2,AS!$CY:$CY,$U$6,AS!$CZ:$CZ,$U$5)</f>
        <v>0</v>
      </c>
      <c r="E40" s="579" t="str">
        <f>IFERROR(C40/$C$60,"-")</f>
        <v>-</v>
      </c>
      <c r="F40" s="852"/>
      <c r="G40" s="853"/>
      <c r="H40" s="853"/>
      <c r="I40" s="853"/>
      <c r="J40" s="853"/>
      <c r="K40" s="854"/>
      <c r="M40" s="577" t="str">
        <f t="shared" si="8"/>
        <v/>
      </c>
      <c r="N40" s="469">
        <f>SUMIFS(AS!$W:$W,AS!$AB:$AB,"OK",AS!$AW:$AW,Parkki!$Y$6,AS!$X:$X,Parkki!$Y$5,AS!$AV:$AV,Parkki!$Y$2,AS!$K:$K,Parkki!$U40)</f>
        <v>0</v>
      </c>
      <c r="O40" s="469">
        <f>SUMIFS(JA!$Z:$Z,JA!$AE:$AE,"OK",JA!$X:$X,Parkki!$Y$6,JA!$BE:$BE,Parkki!$Y$5,JA!$AI:$AI,Parkki!$Y$2,JA!$Y:$Y,$U40,JA!$CW:$CW,1,JA!$AJ:$AJ,Parkki!$Y$2)</f>
        <v>0</v>
      </c>
      <c r="P40" s="469">
        <f>SUMIFS(JA!$Z:$Z,JA!$AE:$AE,"OK",JA!$X:$X,Parkki!$Y$6,JA!$BE:$BE,Parkki!$Y$5,JA!$AI:$AI,Parkki!$Y$2,JA!$Y:$Y,$U40,JA!$AJ:$AJ,Parkki!$Y$2)</f>
        <v>0</v>
      </c>
      <c r="S40">
        <f t="shared" si="7"/>
        <v>0</v>
      </c>
      <c r="T40" s="303">
        <v>28</v>
      </c>
      <c r="U40" s="760" t="str">
        <f t="shared" si="12"/>
        <v>ComboBox_TyHlo_yksikko_00000001</v>
      </c>
      <c r="V40" s="228"/>
      <c r="X40" t="s">
        <v>199</v>
      </c>
      <c r="AE40" t="s">
        <v>200</v>
      </c>
    </row>
    <row r="41" spans="1:37" x14ac:dyDescent="0.25">
      <c r="A41" s="929"/>
      <c r="B41" s="582" t="s">
        <v>201</v>
      </c>
      <c r="C41" s="469">
        <f>SUMIFS(AS!$W:$W,AS!$AB:$AB,"OK",AS!$AI:$AI,Parkki!$X41,AS!$AW:$AW,$W$8,AS!$K:$K,$W$7,AS!$X:$X,Parkki!$Y$5,AS!$AV:$AV,Parkki!$Y$2,AS!$CY:$CY,$U$6,AS!$CZ:$CZ,$U$5)</f>
        <v>0</v>
      </c>
      <c r="D41" s="469">
        <f>SUMIFS(AS!$W:$W,AS!$AB:$AB,"OK",AS!$AI:$AI,Parkki!$X41,AS!$AH:$AH,Parkki!$X$8,AS!$AW:$AW,$W$8,AS!$K:$K,$W$7,AS!$X:$X,Parkki!$Y$5,AS!$AV:$AV,Parkki!$Y$2,AS!$CY:$CY,$U$6,AS!$CZ:$CZ,$U$5)</f>
        <v>0</v>
      </c>
      <c r="E41" s="579" t="str">
        <f t="shared" ref="E41:E59" si="13">IFERROR(C41/$C$60,"-")</f>
        <v>-</v>
      </c>
      <c r="F41" s="852"/>
      <c r="G41" s="853"/>
      <c r="H41" s="853"/>
      <c r="I41" s="853"/>
      <c r="J41" s="853"/>
      <c r="K41" s="854"/>
      <c r="M41" s="577" t="str">
        <f t="shared" si="8"/>
        <v/>
      </c>
      <c r="N41" s="469">
        <f>SUMIFS(AS!$W:$W,AS!$AB:$AB,"OK",AS!$AW:$AW,Parkki!$Y$6,AS!$X:$X,Parkki!$Y$5,AS!$AV:$AV,Parkki!$Y$2,AS!$K:$K,Parkki!$U41)</f>
        <v>0</v>
      </c>
      <c r="O41" s="469">
        <f>SUMIFS(JA!$Z:$Z,JA!$AE:$AE,"OK",JA!$X:$X,Parkki!$Y$6,JA!$BE:$BE,Parkki!$Y$5,JA!$AI:$AI,Parkki!$Y$2,JA!$Y:$Y,$U41,JA!$CW:$CW,1,JA!$AJ:$AJ,Parkki!$Y$2)</f>
        <v>0</v>
      </c>
      <c r="P41" s="469">
        <f>SUMIFS(JA!$Z:$Z,JA!$AE:$AE,"OK",JA!$X:$X,Parkki!$Y$6,JA!$BE:$BE,Parkki!$Y$5,JA!$AI:$AI,Parkki!$Y$2,JA!$Y:$Y,$U41,JA!$AJ:$AJ,Parkki!$Y$2)</f>
        <v>0</v>
      </c>
      <c r="S41">
        <f t="shared" si="7"/>
        <v>0</v>
      </c>
      <c r="T41" s="303">
        <v>29</v>
      </c>
      <c r="U41" s="760" t="str">
        <f t="shared" si="12"/>
        <v>ComboBox_TyHlo_yksikko_00000001</v>
      </c>
      <c r="V41" s="228"/>
      <c r="X41" t="s">
        <v>202</v>
      </c>
      <c r="AE41" t="s">
        <v>199</v>
      </c>
    </row>
    <row r="42" spans="1:37" x14ac:dyDescent="0.25">
      <c r="A42" s="929"/>
      <c r="B42" s="582" t="s">
        <v>203</v>
      </c>
      <c r="C42" s="469">
        <f>SUMIFS(AS!$W:$W,AS!$AB:$AB,"OK",AS!$AI:$AI,Parkki!$X42,AS!$AW:$AW,$W$8,AS!$K:$K,$W$7,AS!$X:$X,Parkki!$Y$5,AS!$AV:$AV,Parkki!$Y$2,AS!$CY:$CY,$U$6,AS!$CZ:$CZ,$U$5)</f>
        <v>0</v>
      </c>
      <c r="D42" s="469">
        <f>SUMIFS(AS!$W:$W,AS!$AB:$AB,"OK",AS!$AI:$AI,Parkki!$X42,AS!$AH:$AH,Parkki!$X$8,AS!$AW:$AW,$W$8,AS!$K:$K,$W$7,AS!$X:$X,Parkki!$Y$5,AS!$AV:$AV,Parkki!$Y$2,AS!$CY:$CY,$U$6,AS!$CZ:$CZ,$U$5)</f>
        <v>0</v>
      </c>
      <c r="E42" s="579" t="str">
        <f t="shared" si="13"/>
        <v>-</v>
      </c>
      <c r="F42" s="852"/>
      <c r="G42" s="853"/>
      <c r="H42" s="853"/>
      <c r="I42" s="853"/>
      <c r="J42" s="853"/>
      <c r="K42" s="854"/>
      <c r="M42" s="577" t="str">
        <f t="shared" si="8"/>
        <v/>
      </c>
      <c r="N42" s="469">
        <f>SUMIFS(AS!$W:$W,AS!$AB:$AB,"OK",AS!$AW:$AW,Parkki!$Y$6,AS!$X:$X,Parkki!$Y$5,AS!$AV:$AV,Parkki!$Y$2,AS!$K:$K,Parkki!$U42)</f>
        <v>0</v>
      </c>
      <c r="O42" s="469">
        <f>SUMIFS(JA!$Z:$Z,JA!$AE:$AE,"OK",JA!$AX:$AX,Parkki!$Y$6,JA!$BE:$BE,Parkki!$Y$5,JA!$AI:$AI,Parkki!$Y$2,JA!$Y:$Y,$U42,JA!$CW:$CW,1,JA!$AJ:$AJ,Parkki!$Y$2)</f>
        <v>0</v>
      </c>
      <c r="P42" s="469">
        <f>SUMIFS(JA!$Z:$Z,JA!$AE:$AE,"OK",JA!$AX:$AX,Parkki!$Y$6,JA!$BE:$BE,Parkki!$Y$5,JA!$AI:$AI,Parkki!$Y$2,JA!$Y:$Y,$U42,JA!$AJ:$AJ,Parkki!$Y$2)</f>
        <v>0</v>
      </c>
      <c r="S42">
        <v>0</v>
      </c>
      <c r="T42" s="303">
        <v>30</v>
      </c>
      <c r="U42" s="760" t="str">
        <f t="shared" si="12"/>
        <v>ComboBox_TyHlo_yksikko_00000001</v>
      </c>
      <c r="X42" t="s">
        <v>204</v>
      </c>
      <c r="AE42" t="s">
        <v>202</v>
      </c>
    </row>
    <row r="43" spans="1:37" x14ac:dyDescent="0.25">
      <c r="A43" s="949" t="s">
        <v>205</v>
      </c>
      <c r="B43" s="582" t="s">
        <v>206</v>
      </c>
      <c r="C43" s="469">
        <f>SUMIFS(AS!$W:$W,AS!$AB:$AB,"OK",AS!$AI:$AI,Parkki!$X43,AS!$AW:$AW,$W$8,AS!$K:$K,$W$7,AS!$X:$X,Parkki!$Y$5,AS!$AV:$AV,Parkki!$Y$2,AS!$CY:$CY,$U$6,AS!$CZ:$CZ,$U$5)</f>
        <v>0</v>
      </c>
      <c r="D43" s="469">
        <f>SUMIFS(AS!$W:$W,AS!$AB:$AB,"OK",AS!$AI:$AI,Parkki!$X43,AS!$AH:$AH,Parkki!$X$8,AS!$AW:$AW,$W$8,AS!$K:$K,$W$7,AS!$X:$X,Parkki!$Y$5,AS!$AV:$AV,Parkki!$Y$2,AS!$CY:$CY,$U$6,AS!$CZ:$CZ,$U$5)</f>
        <v>0</v>
      </c>
      <c r="E43" s="579" t="str">
        <f t="shared" si="13"/>
        <v>-</v>
      </c>
      <c r="F43" s="852"/>
      <c r="G43" s="853"/>
      <c r="H43" s="853"/>
      <c r="I43" s="853"/>
      <c r="J43" s="853"/>
      <c r="K43" s="854"/>
      <c r="M43" s="66" t="str">
        <f>"Kunnat "&amp;X10&amp;F5</f>
        <v>Kunnat  - 01.01.2026-31.12.2026 Kaikki yksiköt</v>
      </c>
      <c r="X43" s="195" t="s">
        <v>207</v>
      </c>
      <c r="AE43" t="s">
        <v>207</v>
      </c>
    </row>
    <row r="44" spans="1:37" x14ac:dyDescent="0.25">
      <c r="A44" s="950"/>
      <c r="B44" s="582" t="s">
        <v>208</v>
      </c>
      <c r="C44" s="469">
        <f>SUMIFS(AS!$W:$W,AS!$AB:$AB,"OK",AS!$AI:$AI,Parkki!$X44,AS!$AW:$AW,$W$8,AS!$K:$K,$W$7,AS!$X:$X,Parkki!$Y$5,AS!$AV:$AV,Parkki!$Y$2,AS!$CY:$CY,$U$6,AS!$CZ:$CZ,$U$5)</f>
        <v>0</v>
      </c>
      <c r="D44" s="469">
        <f>SUMIFS(AS!$W:$W,AS!$AB:$AB,"OK",AS!$AI:$AI,Parkki!$X44,AS!$AH:$AH,Parkki!$X$8,AS!$AW:$AW,$W$8,AS!$K:$K,$W$7,AS!$X:$X,Parkki!$Y$5,AS!$AV:$AV,Parkki!$Y$2,AS!$CY:$CY,$U$6,AS!$CZ:$CZ,$U$5)</f>
        <v>0</v>
      </c>
      <c r="E44" s="579" t="str">
        <f t="shared" si="13"/>
        <v>-</v>
      </c>
      <c r="F44" s="852"/>
      <c r="G44" s="853"/>
      <c r="H44" s="853"/>
      <c r="I44" s="853"/>
      <c r="J44" s="853"/>
      <c r="K44" s="854"/>
      <c r="M44" s="948" t="s">
        <v>209</v>
      </c>
      <c r="N44" s="948" t="s">
        <v>49</v>
      </c>
      <c r="O44" s="948" t="s">
        <v>210</v>
      </c>
      <c r="P44" s="948" t="s">
        <v>211</v>
      </c>
      <c r="X44" s="195" t="s">
        <v>212</v>
      </c>
      <c r="AE44" t="s">
        <v>212</v>
      </c>
    </row>
    <row r="45" spans="1:37" x14ac:dyDescent="0.25">
      <c r="A45" s="950"/>
      <c r="B45" s="582" t="s">
        <v>213</v>
      </c>
      <c r="C45" s="469">
        <f>SUMIFS(AS!$W:$W,AS!$AB:$AB,"OK",AS!$AI:$AI,Parkki!$X45,AS!$AW:$AW,$W$8,AS!$K:$K,$W$7,AS!$X:$X,Parkki!$Y$5,AS!$AV:$AV,Parkki!$Y$2,AS!$CY:$CY,$U$6,AS!$CZ:$CZ,$U$5)</f>
        <v>0</v>
      </c>
      <c r="D45" s="469">
        <f>SUMIFS(AS!$W:$W,AS!$AB:$AB,"OK",AS!$AI:$AI,Parkki!$X45,AS!$AH:$AH,Parkki!$X$8,AS!$AW:$AW,$W$8,AS!$K:$K,$W$7,AS!$X:$X,Parkki!$Y$5,AS!$AV:$AV,Parkki!$Y$2,AS!$CY:$CY,$U$6,AS!$CZ:$CZ,$U$5)</f>
        <v>0</v>
      </c>
      <c r="E45" s="579" t="str">
        <f t="shared" si="13"/>
        <v>-</v>
      </c>
      <c r="F45" s="852"/>
      <c r="G45" s="853"/>
      <c r="H45" s="853"/>
      <c r="I45" s="853"/>
      <c r="J45" s="853"/>
      <c r="K45" s="854"/>
      <c r="M45" s="948"/>
      <c r="N45" s="948"/>
      <c r="O45" s="948"/>
      <c r="P45" s="948"/>
      <c r="S45" s="228"/>
      <c r="X45" s="478" t="s">
        <v>214</v>
      </c>
      <c r="AE45" t="s">
        <v>215</v>
      </c>
    </row>
    <row r="46" spans="1:37" x14ac:dyDescent="0.25">
      <c r="A46" s="950"/>
      <c r="B46" s="582" t="s">
        <v>216</v>
      </c>
      <c r="C46" s="469">
        <f>SUMIFS(AS!$W:$W,AS!$AB:$AB,"OK",AS!$AI:$AI,Parkki!$X46,AS!$AW:$AW,$W$8,AS!$K:$K,$W$7,AS!$X:$X,Parkki!$Y$5,AS!$AV:$AV,Parkki!$Y$2,AS!$CY:$CY,$U$6,AS!$CZ:$CZ,$U$5)</f>
        <v>0</v>
      </c>
      <c r="D46" s="469">
        <f>SUMIFS(AS!$W:$W,AS!$AB:$AB,"OK",AS!$AI:$AI,Parkki!$X46,AS!$AH:$AH,Parkki!$X$8,AS!$AW:$AW,$W$8,AS!$K:$K,$W$7,AS!$X:$X,Parkki!$Y$5,AS!$AV:$AV,Parkki!$Y$2,AS!$CY:$CY,$U$6,AS!$CZ:$CZ,$U$5)</f>
        <v>0</v>
      </c>
      <c r="E46" s="579" t="str">
        <f t="shared" si="13"/>
        <v>-</v>
      </c>
      <c r="F46" s="852"/>
      <c r="G46" s="853"/>
      <c r="H46" s="853"/>
      <c r="I46" s="853"/>
      <c r="J46" s="853"/>
      <c r="K46" s="854"/>
      <c r="M46" s="948"/>
      <c r="N46" s="948"/>
      <c r="O46" s="948"/>
      <c r="P46" s="948"/>
      <c r="X46" s="195" t="s">
        <v>215</v>
      </c>
      <c r="AE46" t="s">
        <v>217</v>
      </c>
    </row>
    <row r="47" spans="1:37" x14ac:dyDescent="0.25">
      <c r="A47" s="950"/>
      <c r="B47" s="582" t="s">
        <v>218</v>
      </c>
      <c r="C47" s="469">
        <f>SUMIFS(AS!$W:$W,AS!$AB:$AB,"OK",AS!$AI:$AI,Parkki!$X47,AS!$AW:$AW,$W$8,AS!$K:$K,$W$7,AS!$X:$X,Parkki!$Y$5,AS!$AV:$AV,Parkki!$Y$2,AS!$CY:$CY,$U$6,AS!$CZ:$CZ,$U$5)</f>
        <v>0</v>
      </c>
      <c r="D47" s="469">
        <f>SUMIFS(AS!$W:$W,AS!$AB:$AB,"OK",AS!$AI:$AI,Parkki!$X47,AS!$AH:$AH,Parkki!$X$8,AS!$AW:$AW,$W$8,AS!$K:$K,$W$7,AS!$X:$X,Parkki!$Y$5,AS!$AV:$AV,Parkki!$Y$2,AS!$CY:$CY,$U$6,AS!$CZ:$CZ,$U$5)</f>
        <v>0</v>
      </c>
      <c r="E47" s="579" t="str">
        <f t="shared" si="13"/>
        <v>-</v>
      </c>
      <c r="F47" s="852"/>
      <c r="G47" s="853"/>
      <c r="H47" s="853"/>
      <c r="I47" s="853"/>
      <c r="J47" s="853"/>
      <c r="K47" s="854"/>
      <c r="M47" s="470" t="str">
        <f>IFERROR(INDEX($AJ$5:$AJ$37,MATCH(SMALL($AK$5:$AK$37,T47),$AK$5:$AK$37,0)),"")</f>
        <v>Kaikki kunnat</v>
      </c>
      <c r="N47" s="471">
        <f>SUMIFS(AS!$W:$W,AS!$AB:$AB,"OK",AS!$X:$X,Parkki!$Y$5,AS!$AV:$AV,Parkki!$Y$2,AS!$AW:$AW,Parkki!$U47,AS!$K:$K,$Y$1)</f>
        <v>0</v>
      </c>
      <c r="O47" s="471">
        <f>SUMIFS(JA!$Z:$Z,JA!$AE:$AE,"OK",JA!$BE:$BE,Parkki!$Y$5,JA!$AI:$AI,Parkki!$Y$2,JA!$X:$X,$U47,JA!$CZ:$CZ,1,JA!$AJ:$AJ,Parkki!$Y$2,JA!$Y:$Y,$Y$1)</f>
        <v>0</v>
      </c>
      <c r="P47" s="471">
        <f>SUMIFS(JA!$Z:$Z,JA!$AE:$AE,"OK",JA!$BE:$BE,Parkki!$Y$5,JA!$AI:$AI,Parkki!$Y$2,JA!$X:$X,$U47,JA!$AJ:$AJ,Parkki!$Y$2,JA!$Y:$Y,$Y$1)</f>
        <v>0</v>
      </c>
      <c r="S47">
        <f>IF(M47="",0,1)</f>
        <v>1</v>
      </c>
      <c r="T47" s="303">
        <v>1</v>
      </c>
      <c r="U47" s="760" t="str">
        <f>INDEX($AA$5:$AA$37,MATCH(M47,$AB$5:$AB$37,0))</f>
        <v>*</v>
      </c>
      <c r="X47" s="195" t="s">
        <v>217</v>
      </c>
      <c r="AE47" t="s">
        <v>219</v>
      </c>
    </row>
    <row r="48" spans="1:37" x14ac:dyDescent="0.25">
      <c r="A48" s="950"/>
      <c r="B48" s="582" t="s">
        <v>220</v>
      </c>
      <c r="C48" s="469">
        <f>SUMIFS(AS!$W:$W,AS!$AB:$AB,"OK",AS!$AI:$AI,Parkki!$X48,AS!$AW:$AW,$W$8,AS!$K:$K,$W$7,AS!$X:$X,Parkki!$Y$5,AS!$AV:$AV,Parkki!$Y$2,AS!$CY:$CY,$U$6,AS!$CZ:$CZ,$U$5)</f>
        <v>0</v>
      </c>
      <c r="D48" s="469">
        <f>SUMIFS(AS!$W:$W,AS!$AB:$AB,"OK",AS!$AI:$AI,Parkki!$X48,AS!$AH:$AH,Parkki!$X$8,AS!$AW:$AW,$W$8,AS!$K:$K,$W$7,AS!$X:$X,Parkki!$Y$5,AS!$AV:$AV,Parkki!$Y$2,AS!$CY:$CY,$U$6,AS!$CZ:$CZ,$U$5)</f>
        <v>0</v>
      </c>
      <c r="E48" s="579" t="str">
        <f t="shared" si="13"/>
        <v>-</v>
      </c>
      <c r="F48" s="852"/>
      <c r="G48" s="853"/>
      <c r="H48" s="853"/>
      <c r="I48" s="853"/>
      <c r="J48" s="853"/>
      <c r="K48" s="854"/>
      <c r="M48" s="577" t="str">
        <f>IFERROR(INDEX($AJ$5:$AJ$37,MATCH(SMALL($AK$5:$AK$37,T48),$AK$5:$AK$37,0)),"")</f>
        <v>Ei kuntaluokkaa</v>
      </c>
      <c r="N48" s="469">
        <f>SUMIFS(AS!$W:$W,AS!$AB:$AB,"OK",AS!$X:$X,Parkki!$Y$5,AS!$AV:$AV,Parkki!$Y$2,AS!$AW:$AW,Parkki!$U48,AS!$K:$K,$Y$1)</f>
        <v>0</v>
      </c>
      <c r="O48" s="469">
        <f>SUMIFS(JA!$Z:$Z,JA!$AE:$AE,"OK",JA!$BE:$BE,Parkki!$Y$5,JA!$AI:$AI,Parkki!$Y$2,JA!$X:$X,$U48,JA!$CZ:$CZ,1,JA!$AJ:$AJ,Parkki!$Y$2,JA!$Y:$Y,$Y$1)</f>
        <v>0</v>
      </c>
      <c r="P48" s="469">
        <f>SUMIFS(JA!$Z:$Z,JA!$AE:$AE,"OK",JA!$BE:$BE,Parkki!$Y$5,JA!$AI:$AI,Parkki!$Y$2,JA!$X:$X,$U48,JA!$AJ:$AJ,Parkki!$Y$2,JA!$Y:$Y,$Y$1)</f>
        <v>0</v>
      </c>
      <c r="S48">
        <f t="shared" ref="S48:S53" si="14">IF(M48="",0,1)</f>
        <v>1</v>
      </c>
      <c r="T48" s="303">
        <v>2</v>
      </c>
      <c r="U48" s="760" t="str">
        <f t="shared" ref="U48:U53" si="15">INDEX($AA$5:$AA$37,MATCH(M48,$AB$5:$AB$37,0))</f>
        <v>tyhja</v>
      </c>
      <c r="X48" s="195" t="s">
        <v>221</v>
      </c>
      <c r="AE48" t="s">
        <v>221</v>
      </c>
    </row>
    <row r="49" spans="1:31" x14ac:dyDescent="0.25">
      <c r="A49" s="950"/>
      <c r="B49" s="582" t="s">
        <v>222</v>
      </c>
      <c r="C49" s="469">
        <f>SUMIFS(AS!$W:$W,AS!$AB:$AB,"OK",AS!$AI:$AI,Parkki!$X49,AS!$AW:$AW,$W$8,AS!$K:$K,$W$7,AS!$X:$X,Parkki!$Y$5,AS!$AV:$AV,Parkki!$Y$2,AS!$CY:$CY,$U$6,AS!$CZ:$CZ,$U$5)</f>
        <v>0</v>
      </c>
      <c r="D49" s="469">
        <f>SUMIFS(AS!$W:$W,AS!$AB:$AB,"OK",AS!$AI:$AI,Parkki!$X49,AS!$AH:$AH,Parkki!$X$8,AS!$AW:$AW,$W$8,AS!$K:$K,$W$7,AS!$X:$X,Parkki!$Y$5,AS!$AV:$AV,Parkki!$Y$2,AS!$CY:$CY,$U$6,AS!$CZ:$CZ,$U$5)</f>
        <v>0</v>
      </c>
      <c r="E49" s="579" t="str">
        <f t="shared" si="13"/>
        <v>-</v>
      </c>
      <c r="F49" s="852"/>
      <c r="G49" s="853"/>
      <c r="H49" s="853"/>
      <c r="I49" s="853"/>
      <c r="J49" s="853"/>
      <c r="K49" s="854"/>
      <c r="M49" s="577" t="str">
        <f>IFERROR(INDEX($AJ$5:$AJ$37,MATCH(SMALL($AK$5:$AK$37,T49),$AK$5:$AK$37,0)),"")</f>
        <v>Muut kunnat</v>
      </c>
      <c r="N49" s="469">
        <f>SUMIFS(AS!$W:$W,AS!$AB:$AB,"OK",AS!$X:$X,Parkki!$Y$5,AS!$AV:$AV,Parkki!$Y$2,AS!$AW:$AW,Parkki!$U49,AS!$K:$K,$Y$1)</f>
        <v>0</v>
      </c>
      <c r="O49" s="469">
        <f>SUMIFS(JA!$Z:$Z,JA!$AE:$AE,"OK",JA!$BE:$BE,Parkki!$Y$5,JA!$AI:$AI,Parkki!$Y$2,JA!$X:$X,$U49,JA!$CZ:$CZ,1,JA!$AJ:$AJ,Parkki!$Y$2,JA!$Y:$Y,$Y$1)</f>
        <v>0</v>
      </c>
      <c r="P49" s="469">
        <f>SUMIFS(JA!$Z:$Z,JA!$AE:$AE,"OK",JA!$BE:$BE,Parkki!$Y$5,JA!$AI:$AI,Parkki!$Y$2,JA!$X:$X,$U49,JA!$AJ:$AJ,Parkki!$Y$2,JA!$Y:$Y,$Y$1)</f>
        <v>0</v>
      </c>
      <c r="S49">
        <f t="shared" si="14"/>
        <v>1</v>
      </c>
      <c r="T49" s="303">
        <v>3</v>
      </c>
      <c r="U49" s="760" t="str">
        <f t="shared" si="15"/>
        <v>muut</v>
      </c>
      <c r="X49" s="195" t="s">
        <v>219</v>
      </c>
      <c r="AE49" t="s">
        <v>204</v>
      </c>
    </row>
    <row r="50" spans="1:31" x14ac:dyDescent="0.25">
      <c r="A50" s="950"/>
      <c r="B50" s="582" t="s">
        <v>223</v>
      </c>
      <c r="C50" s="469">
        <f>SUMIFS(AS!$W:$W,AS!$AB:$AB,"OK",AS!$AI:$AI,Parkki!$X50,AS!$AW:$AW,$W$8,AS!$K:$K,$W$7,AS!$X:$X,Parkki!$Y$5,AS!$AV:$AV,Parkki!$Y$2,AS!$CY:$CY,$U$6,AS!$CZ:$CZ,$U$5)</f>
        <v>0</v>
      </c>
      <c r="D50" s="469">
        <f>SUMIFS(AS!$W:$W,AS!$AB:$AB,"OK",AS!$AI:$AI,Parkki!$X50,AS!$AH:$AH,Parkki!$X$8,AS!$AW:$AW,$W$8,AS!$K:$K,$W$7,AS!$X:$X,Parkki!$Y$5,AS!$AV:$AV,Parkki!$Y$2,AS!$CY:$CY,$U$6,AS!$CZ:$CZ,$U$5)</f>
        <v>0</v>
      </c>
      <c r="E50" s="579" t="str">
        <f t="shared" si="13"/>
        <v>-</v>
      </c>
      <c r="F50" s="852"/>
      <c r="G50" s="853"/>
      <c r="H50" s="853"/>
      <c r="I50" s="853"/>
      <c r="J50" s="853"/>
      <c r="K50" s="854"/>
      <c r="M50" s="577" t="str">
        <f>IFERROR(INDEX($AJ$5:$AJ$37,MATCH(SMALL($AK$5:$AK$37,T50),$AK$5:$AK$37,0)),"")</f>
        <v/>
      </c>
      <c r="N50" s="469">
        <f>SUMIFS(AS!$W:$W,AS!$AB:$AB,"OK",AS!$X:$X,Parkki!$Y$5,AS!$AV:$AV,Parkki!$Y$2,AS!$AW:$AW,Parkki!$U50,AS!$K:$K,$Y$1)</f>
        <v>0</v>
      </c>
      <c r="O50" s="469">
        <f>SUMIFS(JA!$Z:$Z,JA!$AE:$AE,"OK",JA!$BE:$BE,Parkki!$Y$5,JA!$AI:$AI,Parkki!$Y$2,JA!$X:$X,$U50,JA!$CZ:$CZ,1,JA!$AJ:$AJ,Parkki!$Y$2,JA!$Y:$Y,$Y$1)</f>
        <v>0</v>
      </c>
      <c r="P50" s="469">
        <f>SUMIFS(JA!$Z:$Z,JA!$AE:$AE,"OK",JA!$BE:$BE,Parkki!$Y$5,JA!$AI:$AI,Parkki!$Y$2,JA!$X:$X,$U50,JA!$AJ:$AJ,Parkki!$Y$2,JA!$Y:$Y,$Y$1)</f>
        <v>0</v>
      </c>
      <c r="S50">
        <f t="shared" si="14"/>
        <v>0</v>
      </c>
      <c r="T50" s="303">
        <v>4</v>
      </c>
      <c r="U50" s="760" t="str">
        <f t="shared" si="15"/>
        <v>ComboBox_EtKuntakoodi_00000001</v>
      </c>
      <c r="X50" s="195" t="s">
        <v>224</v>
      </c>
      <c r="AE50" t="s">
        <v>224</v>
      </c>
    </row>
    <row r="51" spans="1:31" x14ac:dyDescent="0.25">
      <c r="A51" s="950"/>
      <c r="B51" s="582" t="s">
        <v>225</v>
      </c>
      <c r="C51" s="469">
        <f>SUMIFS(AS!$W:$W,AS!$AB:$AB,"OK",AS!$AI:$AI,Parkki!$X51,AS!$AW:$AW,$W$8,AS!$K:$K,$W$7,AS!$X:$X,Parkki!$Y$5,AS!$AV:$AV,Parkki!$Y$2,AS!$CY:$CY,$U$6,AS!$CZ:$CZ,$U$5)</f>
        <v>0</v>
      </c>
      <c r="D51" s="469">
        <f>SUMIFS(AS!$W:$W,AS!$AB:$AB,"OK",AS!$AI:$AI,Parkki!$X51,AS!$AH:$AH,Parkki!$X$8,AS!$AW:$AW,$W$8,AS!$K:$K,$W$7,AS!$X:$X,Parkki!$Y$5,AS!$AV:$AV,Parkki!$Y$2,AS!$CY:$CY,$U$6,AS!$CZ:$CZ,$U$5)</f>
        <v>0</v>
      </c>
      <c r="E51" s="579" t="str">
        <f t="shared" si="13"/>
        <v>-</v>
      </c>
      <c r="F51" s="852"/>
      <c r="G51" s="853"/>
      <c r="H51" s="853"/>
      <c r="I51" s="853"/>
      <c r="J51" s="853"/>
      <c r="K51" s="854"/>
      <c r="M51" s="577" t="str">
        <f t="shared" ref="M51:M53" si="16">IFERROR(INDEX($AJ$5:$AJ$37,MATCH(SMALL($AK$5:$AK$37,T51),$AK$5:$AK$37,0)),"")</f>
        <v/>
      </c>
      <c r="N51" s="469">
        <f>SUMIFS(AS!$W:$W,AS!$AB:$AB,"OK",AS!$X:$X,Parkki!$Y$5,AS!$AV:$AV,Parkki!$Y$2,AS!$AW:$AW,Parkki!$U51,AS!$K:$K,$Y$1)</f>
        <v>0</v>
      </c>
      <c r="O51" s="469">
        <f>SUMIFS(JA!$Z:$Z,JA!$AE:$AE,"OK",JA!$BE:$BE,Parkki!$Y$5,JA!$AI:$AI,Parkki!$Y$2,JA!$X:$X,$U51,JA!$CZ:$CZ,1,JA!$AJ:$AJ,Parkki!$Y$2,JA!$Y:$Y,$Y$1)</f>
        <v>0</v>
      </c>
      <c r="P51" s="469">
        <f>SUMIFS(JA!$Z:$Z,JA!$AE:$AE,"OK",JA!$BE:$BE,Parkki!$Y$5,JA!$AI:$AI,Parkki!$Y$2,JA!$X:$X,$U51,JA!$AJ:$AJ,Parkki!$Y$2,JA!$Y:$Y,$Y$1)</f>
        <v>0</v>
      </c>
      <c r="S51">
        <f t="shared" si="14"/>
        <v>0</v>
      </c>
      <c r="T51" s="303">
        <v>5</v>
      </c>
      <c r="U51" s="760" t="str">
        <f t="shared" si="15"/>
        <v>ComboBox_EtKuntakoodi_00000001</v>
      </c>
      <c r="X51" s="195" t="s">
        <v>226</v>
      </c>
      <c r="AE51" t="s">
        <v>226</v>
      </c>
    </row>
    <row r="52" spans="1:31" x14ac:dyDescent="0.25">
      <c r="A52" s="950"/>
      <c r="B52" s="582" t="s">
        <v>227</v>
      </c>
      <c r="C52" s="469">
        <f>SUMIFS(AS!$W:$W,AS!$AB:$AB,"OK",AS!$AI:$AI,Parkki!$X52,AS!$AW:$AW,$W$8,AS!$K:$K,$W$7,AS!$X:$X,Parkki!$Y$5,AS!$AV:$AV,Parkki!$Y$2,AS!$CY:$CY,$U$6,AS!$CZ:$CZ,$U$5)</f>
        <v>0</v>
      </c>
      <c r="D52" s="469">
        <f>SUMIFS(AS!$W:$W,AS!$AB:$AB,"OK",AS!$AI:$AI,Parkki!$X52,AS!$AH:$AH,Parkki!$X$8,AS!$AW:$AW,$W$8,AS!$K:$K,$W$7,AS!$X:$X,Parkki!$Y$5,AS!$AV:$AV,Parkki!$Y$2,AS!$CY:$CY,$U$6,AS!$CZ:$CZ,$U$5)</f>
        <v>0</v>
      </c>
      <c r="E52" s="579" t="str">
        <f t="shared" si="13"/>
        <v>-</v>
      </c>
      <c r="F52" s="852"/>
      <c r="G52" s="853"/>
      <c r="H52" s="853"/>
      <c r="I52" s="853"/>
      <c r="J52" s="853"/>
      <c r="K52" s="854"/>
      <c r="M52" s="577" t="str">
        <f t="shared" si="16"/>
        <v/>
      </c>
      <c r="N52" s="469">
        <f>SUMIFS(AS!$W:$W,AS!$AB:$AB,"OK",AS!$X:$X,Parkki!$Y$5,AS!$AV:$AV,Parkki!$Y$2,AS!$AW:$AW,Parkki!$U52,AS!$K:$K,$Y$1)</f>
        <v>0</v>
      </c>
      <c r="O52" s="469">
        <f>SUMIFS(JA!$Z:$Z,JA!$AE:$AE,"OK",JA!$BE:$BE,Parkki!$Y$5,JA!$AI:$AI,Parkki!$Y$2,JA!$X:$X,$U52,JA!$CZ:$CZ,1,JA!$AJ:$AJ,Parkki!$Y$2,JA!$Y:$Y,$Y$1)</f>
        <v>0</v>
      </c>
      <c r="P52" s="469">
        <f>SUMIFS(JA!$Z:$Z,JA!$AE:$AE,"OK",JA!$BE:$BE,Parkki!$Y$5,JA!$AI:$AI,Parkki!$Y$2,JA!$X:$X,$U52,JA!$AJ:$AJ,Parkki!$Y$2,JA!$Y:$Y,$Y$1)</f>
        <v>0</v>
      </c>
      <c r="S52">
        <f t="shared" si="14"/>
        <v>0</v>
      </c>
      <c r="T52" s="303">
        <v>6</v>
      </c>
      <c r="U52" s="760" t="str">
        <f t="shared" si="15"/>
        <v>ComboBox_EtKuntakoodi_00000001</v>
      </c>
      <c r="X52" s="478" t="s">
        <v>228</v>
      </c>
      <c r="AE52" t="s">
        <v>229</v>
      </c>
    </row>
    <row r="53" spans="1:31" x14ac:dyDescent="0.25">
      <c r="A53" s="950"/>
      <c r="B53" s="582" t="s">
        <v>230</v>
      </c>
      <c r="C53" s="469">
        <f>SUMIFS(AS!$W:$W,AS!$AB:$AB,"OK",AS!$AI:$AI,Parkki!$X53,AS!$AW:$AW,$W$8,AS!$K:$K,$W$7,AS!$X:$X,Parkki!$Y$5,AS!$AV:$AV,Parkki!$Y$2,AS!$CY:$CY,$U$6,AS!$CZ:$CZ,$U$5)</f>
        <v>0</v>
      </c>
      <c r="D53" s="469">
        <f>SUMIFS(AS!$W:$W,AS!$AB:$AB,"OK",AS!$AI:$AI,Parkki!$X53,AS!$AH:$AH,Parkki!$X$8,AS!$AW:$AW,$W$8,AS!$K:$K,$W$7,AS!$X:$X,Parkki!$Y$5,AS!$AV:$AV,Parkki!$Y$2,AS!$CY:$CY,$U$6,AS!$CZ:$CZ,$U$5)</f>
        <v>0</v>
      </c>
      <c r="E53" s="579" t="str">
        <f t="shared" si="13"/>
        <v>-</v>
      </c>
      <c r="F53" s="852"/>
      <c r="G53" s="853"/>
      <c r="H53" s="853"/>
      <c r="I53" s="853"/>
      <c r="J53" s="853"/>
      <c r="K53" s="854"/>
      <c r="M53" s="577" t="str">
        <f t="shared" si="16"/>
        <v/>
      </c>
      <c r="N53" s="469">
        <f>SUMIFS(AS!$W:$W,AS!$AB:$AB,"OK",AS!$X:$X,Parkki!$Y$5,AS!$AV:$AV,Parkki!$Y$2,AS!$AW:$AW,Parkki!$U53,AS!$K:$K,$Y$1)</f>
        <v>0</v>
      </c>
      <c r="O53" s="469">
        <f>SUMIFS(JA!$Z:$Z,JA!$AE:$AE,"OK",JA!$BE:$BE,Parkki!$Y$5,JA!$AI:$AI,Parkki!$Y$2,JA!$X:$X,$U53,JA!$CZ:$CZ,1,JA!$AJ:$AJ,Parkki!$Y$2,JA!$Y:$Y,$Y$1)</f>
        <v>0</v>
      </c>
      <c r="P53" s="469">
        <f>SUMIFS(JA!$Z:$Z,JA!$AE:$AE,"OK",JA!$BE:$BE,Parkki!$Y$5,JA!$AI:$AI,Parkki!$Y$2,JA!$X:$X,$U53,JA!$AJ:$AJ,Parkki!$Y$2,JA!$Y:$Y,$Y$1)</f>
        <v>0</v>
      </c>
      <c r="S53">
        <f t="shared" si="14"/>
        <v>0</v>
      </c>
      <c r="T53" s="303">
        <v>7</v>
      </c>
      <c r="U53" s="760" t="str">
        <f t="shared" si="15"/>
        <v>ComboBox_EtKuntakoodi_00000001</v>
      </c>
      <c r="X53" s="195" t="s">
        <v>229</v>
      </c>
      <c r="AE53" t="s">
        <v>231</v>
      </c>
    </row>
    <row r="54" spans="1:31" x14ac:dyDescent="0.25">
      <c r="A54" s="950"/>
      <c r="B54" s="582" t="s">
        <v>232</v>
      </c>
      <c r="C54" s="469">
        <f>SUMIFS(AS!$W:$W,AS!$AB:$AB,"OK",AS!$AI:$AI,Parkki!$X54,AS!$AW:$AW,$W$8,AS!$K:$K,$W$7,AS!$X:$X,Parkki!$Y$5,AS!$AV:$AV,Parkki!$Y$2,AS!$CY:$CY,$U$6,AS!$CZ:$CZ,$U$5)</f>
        <v>0</v>
      </c>
      <c r="D54" s="469">
        <f>SUMIFS(AS!$W:$W,AS!$AB:$AB,"OK",AS!$AI:$AI,Parkki!$X54,AS!$AH:$AH,Parkki!$X$8,AS!$AW:$AW,$W$8,AS!$K:$K,$W$7,AS!$X:$X,Parkki!$Y$5,AS!$AV:$AV,Parkki!$Y$2,AS!$CY:$CY,$U$6,AS!$CZ:$CZ,$U$5)</f>
        <v>0</v>
      </c>
      <c r="E54" s="579" t="str">
        <f t="shared" si="13"/>
        <v>-</v>
      </c>
      <c r="F54" s="852"/>
      <c r="G54" s="853"/>
      <c r="H54" s="853"/>
      <c r="I54" s="853"/>
      <c r="J54" s="853"/>
      <c r="K54" s="854"/>
      <c r="M54" s="577" t="str">
        <f t="shared" ref="M54:M71" si="17">IFERROR(INDEX($AJ$5:$AJ$37,MATCH(SMALL($AK$5:$AK$37,T54),$AK$5:$AK$37,0)),"")</f>
        <v/>
      </c>
      <c r="N54" s="469">
        <f>SUMIFS(AS!$W:$W,AS!$AB:$AB,"OK",AS!$X:$X,Parkki!$Y$5,AS!$AV:$AV,Parkki!$Y$2,AS!$AW:$AW,Parkki!$U54,AS!$K:$K,$Y$1)</f>
        <v>0</v>
      </c>
      <c r="O54" s="469">
        <f>SUMIFS(JA!$Z:$Z,JA!$AE:$AE,"OK",JA!$BE:$BE,Parkki!$Y$5,JA!$AI:$AI,Parkki!$Y$2,JA!$X:$X,$U54,JA!$CZ:$CZ,1,JA!$AJ:$AJ,Parkki!$Y$2,JA!$Y:$Y,$Y$1)</f>
        <v>0</v>
      </c>
      <c r="P54" s="469">
        <f>SUMIFS(JA!$Z:$Z,JA!$AE:$AE,"OK",JA!$BE:$BE,Parkki!$Y$5,JA!$AI:$AI,Parkki!$Y$2,JA!$X:$X,$U54,JA!$AJ:$AJ,Parkki!$Y$2,JA!$Y:$Y,$Y$1)</f>
        <v>0</v>
      </c>
      <c r="S54">
        <f t="shared" ref="S54:S71" si="18">IF(M54="",0,1)</f>
        <v>0</v>
      </c>
      <c r="T54" s="303">
        <v>8</v>
      </c>
      <c r="U54" s="760" t="str">
        <f t="shared" ref="U54:U71" si="19">INDEX($AA$5:$AA$37,MATCH(M54,$AB$5:$AB$37,0))</f>
        <v>ComboBox_EtKuntakoodi_00000001</v>
      </c>
      <c r="X54" s="478" t="s">
        <v>233</v>
      </c>
    </row>
    <row r="55" spans="1:31" x14ac:dyDescent="0.25">
      <c r="A55" s="950"/>
      <c r="B55" s="582" t="s">
        <v>234</v>
      </c>
      <c r="C55" s="469">
        <f>SUMIFS(AS!$W:$W,AS!$AB:$AB,"OK",AS!$AI:$AI,Parkki!$X55,AS!$AW:$AW,$W$8,AS!$K:$K,$W$7,AS!$X:$X,Parkki!$Y$5,AS!$AV:$AV,Parkki!$Y$2,AS!$CY:$CY,$U$6,AS!$CZ:$CZ,$U$5)</f>
        <v>0</v>
      </c>
      <c r="D55" s="469">
        <f>SUMIFS(AS!$W:$W,AS!$AB:$AB,"OK",AS!$AI:$AI,Parkki!$X55,AS!$AH:$AH,Parkki!$X$8,AS!$AW:$AW,$W$8,AS!$K:$K,$W$7,AS!$X:$X,Parkki!$Y$5,AS!$AV:$AV,Parkki!$Y$2,AS!$CY:$CY,$U$6,AS!$CZ:$CZ,$U$5)</f>
        <v>0</v>
      </c>
      <c r="E55" s="579" t="str">
        <f t="shared" si="13"/>
        <v>-</v>
      </c>
      <c r="F55" s="852"/>
      <c r="G55" s="853"/>
      <c r="H55" s="853"/>
      <c r="I55" s="853"/>
      <c r="J55" s="853"/>
      <c r="K55" s="854"/>
      <c r="M55" s="577" t="str">
        <f t="shared" si="17"/>
        <v/>
      </c>
      <c r="N55" s="469">
        <f>SUMIFS(AS!$W:$W,AS!$AB:$AB,"OK",AS!$X:$X,Parkki!$Y$5,AS!$AV:$AV,Parkki!$Y$2,AS!$AW:$AW,Parkki!$U55,AS!$K:$K,$Y$1)</f>
        <v>0</v>
      </c>
      <c r="O55" s="469">
        <f>SUMIFS(JA!$Z:$Z,JA!$AE:$AE,"OK",JA!$BE:$BE,Parkki!$Y$5,JA!$AI:$AI,Parkki!$Y$2,JA!$X:$X,$U55,JA!$CZ:$CZ,1,JA!$AJ:$AJ,Parkki!$Y$2,JA!$Y:$Y,$Y$1)</f>
        <v>0</v>
      </c>
      <c r="P55" s="469">
        <f>SUMIFS(JA!$Z:$Z,JA!$AE:$AE,"OK",JA!$BE:$BE,Parkki!$Y$5,JA!$AI:$AI,Parkki!$Y$2,JA!$X:$X,$U55,JA!$AJ:$AJ,Parkki!$Y$2,JA!$Y:$Y,$Y$1)</f>
        <v>0</v>
      </c>
      <c r="S55">
        <f t="shared" si="18"/>
        <v>0</v>
      </c>
      <c r="T55" s="303">
        <v>9</v>
      </c>
      <c r="U55" s="760" t="str">
        <f t="shared" si="19"/>
        <v>ComboBox_EtKuntakoodi_00000001</v>
      </c>
      <c r="X55" s="195" t="s">
        <v>231</v>
      </c>
    </row>
    <row r="56" spans="1:31" x14ac:dyDescent="0.25">
      <c r="A56" s="950"/>
      <c r="B56" s="582" t="s">
        <v>235</v>
      </c>
      <c r="C56" s="469">
        <f>SUMIFS(AS!$W:$W,AS!$AB:$AB,"OK",AS!$AI:$AI,Parkki!$X56,AS!$AW:$AW,$W$8,AS!$K:$K,$W$7,AS!$X:$X,Parkki!$Y$5,AS!$AV:$AV,Parkki!$Y$2,AS!$CY:$CY,$U$6,AS!$CZ:$CZ,$U$5)</f>
        <v>0</v>
      </c>
      <c r="D56" s="469">
        <f>SUMIFS(AS!$W:$W,AS!$AB:$AB,"OK",AS!$AI:$AI,Parkki!$X56,AS!$AH:$AH,Parkki!$X$8,AS!$AW:$AW,$W$8,AS!$K:$K,$W$7,AS!$X:$X,Parkki!$Y$5,AS!$AV:$AV,Parkki!$Y$2,AS!$CY:$CY,$U$6,AS!$CZ:$CZ,$U$5)</f>
        <v>0</v>
      </c>
      <c r="E56" s="579" t="str">
        <f t="shared" si="13"/>
        <v>-</v>
      </c>
      <c r="F56" s="852"/>
      <c r="G56" s="853"/>
      <c r="H56" s="853"/>
      <c r="I56" s="853"/>
      <c r="J56" s="853"/>
      <c r="K56" s="854"/>
      <c r="M56" s="577" t="str">
        <f t="shared" si="17"/>
        <v/>
      </c>
      <c r="N56" s="469">
        <f>SUMIFS(AS!$W:$W,AS!$AB:$AB,"OK",AS!$X:$X,Parkki!$Y$5,AS!$AV:$AV,Parkki!$Y$2,AS!$AW:$AW,Parkki!$U56,AS!$K:$K,$Y$1)</f>
        <v>0</v>
      </c>
      <c r="O56" s="469">
        <f>SUMIFS(JA!$Z:$Z,JA!$AE:$AE,"OK",JA!$BE:$BE,Parkki!$Y$5,JA!$AI:$AI,Parkki!$Y$2,JA!$X:$X,$U56,JA!$CZ:$CZ,1,JA!$AJ:$AJ,Parkki!$Y$2,JA!$Y:$Y,$Y$1)</f>
        <v>0</v>
      </c>
      <c r="P56" s="469">
        <f>SUMIFS(JA!$Z:$Z,JA!$AE:$AE,"OK",JA!$BE:$BE,Parkki!$Y$5,JA!$AI:$AI,Parkki!$Y$2,JA!$X:$X,$U56,JA!$AJ:$AJ,Parkki!$Y$2,JA!$Y:$Y,$Y$1)</f>
        <v>0</v>
      </c>
      <c r="S56">
        <f t="shared" si="18"/>
        <v>0</v>
      </c>
      <c r="T56" s="303">
        <v>10</v>
      </c>
      <c r="U56" s="760" t="str">
        <f t="shared" si="19"/>
        <v>ComboBox_EtKuntakoodi_00000001</v>
      </c>
      <c r="X56" s="195" t="s">
        <v>236</v>
      </c>
    </row>
    <row r="57" spans="1:31" x14ac:dyDescent="0.25">
      <c r="A57" s="951"/>
      <c r="B57" s="582" t="s">
        <v>237</v>
      </c>
      <c r="C57" s="469">
        <f>SUMIFS(AS!$W:$W,AS!$AB:$AB,"OK",AS!$AI:$AI,Parkki!$X57,AS!$AW:$AW,$W$8,AS!$K:$K,$W$7,AS!$X:$X,Parkki!$Y$5,AS!$AV:$AV,Parkki!$Y$2,AS!$CY:$CY,$U$6,AS!$CZ:$CZ,$U$5)</f>
        <v>0</v>
      </c>
      <c r="D57" s="469">
        <f>SUMIFS(AS!$W:$W,AS!$AB:$AB,"OK",AS!$AI:$AI,Parkki!$X57,AS!$AH:$AH,Parkki!$X$8,AS!$AW:$AW,$W$8,AS!$K:$K,$W$7,AS!$X:$X,Parkki!$Y$5,AS!$AV:$AV,Parkki!$Y$2,AS!$CY:$CY,$U$6,AS!$CZ:$CZ,$U$5)</f>
        <v>0</v>
      </c>
      <c r="E57" s="579" t="str">
        <f t="shared" si="13"/>
        <v>-</v>
      </c>
      <c r="F57" s="852"/>
      <c r="G57" s="853"/>
      <c r="H57" s="853"/>
      <c r="I57" s="853"/>
      <c r="J57" s="853"/>
      <c r="K57" s="854"/>
      <c r="M57" s="577" t="str">
        <f t="shared" si="17"/>
        <v/>
      </c>
      <c r="N57" s="469">
        <f>SUMIFS(AS!$W:$W,AS!$AB:$AB,"OK",AS!$X:$X,Parkki!$Y$5,AS!$AV:$AV,Parkki!$Y$2,AS!$AW:$AW,Parkki!$U57,AS!$K:$K,$Y$1)</f>
        <v>0</v>
      </c>
      <c r="O57" s="469">
        <f>SUMIFS(JA!$Z:$Z,JA!$AE:$AE,"OK",JA!$BE:$BE,Parkki!$Y$5,JA!$AI:$AI,Parkki!$Y$2,JA!$X:$X,$U57,JA!$CZ:$CZ,1,JA!$AJ:$AJ,Parkki!$Y$2,JA!$Y:$Y,$Y$1)</f>
        <v>0</v>
      </c>
      <c r="P57" s="469">
        <f>SUMIFS(JA!$Z:$Z,JA!$AE:$AE,"OK",JA!$BE:$BE,Parkki!$Y$5,JA!$AI:$AI,Parkki!$Y$2,JA!$X:$X,$U57,JA!$AJ:$AJ,Parkki!$Y$2,JA!$Y:$Y,$Y$1)</f>
        <v>0</v>
      </c>
      <c r="S57">
        <f t="shared" si="18"/>
        <v>0</v>
      </c>
      <c r="T57" s="303">
        <v>11</v>
      </c>
      <c r="U57" s="760" t="str">
        <f t="shared" si="19"/>
        <v>ComboBox_EtKuntakoodi_00000001</v>
      </c>
      <c r="X57" s="195" t="s">
        <v>238</v>
      </c>
      <c r="AE57" t="s">
        <v>236</v>
      </c>
    </row>
    <row r="58" spans="1:31" x14ac:dyDescent="0.25">
      <c r="A58" s="929" t="s">
        <v>239</v>
      </c>
      <c r="B58" s="582" t="s">
        <v>239</v>
      </c>
      <c r="C58" s="469">
        <f>SUMIFS(AS!$W:$W,AS!$AB:$AB,"OK",AS!$AI:$AI,Parkki!$X58,AS!$AW:$AW,$W$8,AS!$K:$K,$W$7,AS!$X:$X,Parkki!$Y$5,AS!$AV:$AV,Parkki!$Y$2,AS!$CY:$CY,$U$6,AS!$CZ:$CZ,$U$5)</f>
        <v>0</v>
      </c>
      <c r="D58" s="469">
        <f>SUMIFS(AS!$W:$W,AS!$AB:$AB,"OK",AS!$AI:$AI,Parkki!$X58,AS!$AH:$AH,Parkki!$X$8,AS!$AW:$AW,$W$8,AS!$K:$K,$W$7,AS!$X:$X,Parkki!$Y$5,AS!$AV:$AV,Parkki!$Y$2,AS!$CY:$CY,$U$6,AS!$CZ:$CZ,$U$5)</f>
        <v>0</v>
      </c>
      <c r="E58" s="579" t="str">
        <f t="shared" si="13"/>
        <v>-</v>
      </c>
      <c r="F58" s="852"/>
      <c r="G58" s="853"/>
      <c r="H58" s="853"/>
      <c r="I58" s="853"/>
      <c r="J58" s="853"/>
      <c r="K58" s="854"/>
      <c r="M58" s="577" t="str">
        <f t="shared" si="17"/>
        <v/>
      </c>
      <c r="N58" s="469">
        <f>SUMIFS(AS!$W:$W,AS!$AB:$AB,"OK",AS!$X:$X,Parkki!$Y$5,AS!$AV:$AV,Parkki!$Y$2,AS!$AW:$AW,Parkki!$U58,AS!$K:$K,$Y$1)</f>
        <v>0</v>
      </c>
      <c r="O58" s="469">
        <f>SUMIFS(JA!$Z:$Z,JA!$AE:$AE,"OK",JA!$BE:$BE,Parkki!$Y$5,JA!$AI:$AI,Parkki!$Y$2,JA!$X:$X,$U58,JA!$CZ:$CZ,1,JA!$AJ:$AJ,Parkki!$Y$2,JA!$Y:$Y,$Y$1)</f>
        <v>0</v>
      </c>
      <c r="P58" s="469">
        <f>SUMIFS(JA!$Z:$Z,JA!$AE:$AE,"OK",JA!$BE:$BE,Parkki!$Y$5,JA!$AI:$AI,Parkki!$Y$2,JA!$X:$X,$U58,JA!$AJ:$AJ,Parkki!$Y$2,JA!$Y:$Y,$Y$1)</f>
        <v>0</v>
      </c>
      <c r="S58">
        <f t="shared" si="18"/>
        <v>0</v>
      </c>
      <c r="T58" s="303">
        <v>12</v>
      </c>
      <c r="U58" s="760" t="str">
        <f t="shared" si="19"/>
        <v>ComboBox_EtKuntakoodi_00000001</v>
      </c>
      <c r="X58" s="195" t="s">
        <v>240</v>
      </c>
      <c r="AE58" t="s">
        <v>238</v>
      </c>
    </row>
    <row r="59" spans="1:31" x14ac:dyDescent="0.25">
      <c r="A59" s="929"/>
      <c r="B59" s="582" t="s">
        <v>241</v>
      </c>
      <c r="C59" s="469">
        <f>SUMIFS(AS!$W:$W,AS!$AB:$AB,"OK",AS!$AI:$AI,Parkki!$X59,AS!$AW:$AW,$W$8,AS!$K:$K,$W$7,AS!$X:$X,Parkki!$Y$5,AS!$AV:$AV,Parkki!$Y$2,AS!$CY:$CY,$U$6,AS!$CZ:$CZ,$U$5)</f>
        <v>0</v>
      </c>
      <c r="D59" s="469">
        <f>SUMIFS(AS!$W:$W,AS!$AB:$AB,"OK",AS!$AI:$AI,Parkki!$X59,AS!$AH:$AH,Parkki!$X$8,AS!$AW:$AW,$W$8,AS!$K:$K,$W$7,AS!$X:$X,Parkki!$Y$5,AS!$AV:$AV,Parkki!$Y$2,AS!$CY:$CY,$U$6,AS!$CZ:$CZ,$U$5)</f>
        <v>0</v>
      </c>
      <c r="E59" s="579" t="str">
        <f t="shared" si="13"/>
        <v>-</v>
      </c>
      <c r="F59" s="852"/>
      <c r="G59" s="853"/>
      <c r="H59" s="853"/>
      <c r="I59" s="853"/>
      <c r="J59" s="853"/>
      <c r="K59" s="854"/>
      <c r="M59" s="577" t="str">
        <f t="shared" si="17"/>
        <v/>
      </c>
      <c r="N59" s="469">
        <f>SUMIFS(AS!$W:$W,AS!$AB:$AB,"OK",AS!$X:$X,Parkki!$Y$5,AS!$AV:$AV,Parkki!$Y$2,AS!$AW:$AW,Parkki!$U59,AS!$K:$K,$Y$1)</f>
        <v>0</v>
      </c>
      <c r="O59" s="469">
        <f>SUMIFS(JA!$Z:$Z,JA!$AE:$AE,"OK",JA!$BE:$BE,Parkki!$Y$5,JA!$AI:$AI,Parkki!$Y$2,JA!$X:$X,$U59,JA!$CZ:$CZ,1,JA!$AJ:$AJ,Parkki!$Y$2,JA!$Y:$Y,$Y$1)</f>
        <v>0</v>
      </c>
      <c r="P59" s="469">
        <f>SUMIFS(JA!$Z:$Z,JA!$AE:$AE,"OK",JA!$BE:$BE,Parkki!$Y$5,JA!$AI:$AI,Parkki!$Y$2,JA!$X:$X,$U59,JA!$AJ:$AJ,Parkki!$Y$2,JA!$Y:$Y,$Y$1)</f>
        <v>0</v>
      </c>
      <c r="S59">
        <f t="shared" si="18"/>
        <v>0</v>
      </c>
      <c r="T59" s="303">
        <v>13</v>
      </c>
      <c r="U59" s="760" t="str">
        <f t="shared" si="19"/>
        <v>ComboBox_EtKuntakoodi_00000001</v>
      </c>
      <c r="X59" s="195" t="s">
        <v>242</v>
      </c>
      <c r="AE59" t="s">
        <v>240</v>
      </c>
    </row>
    <row r="60" spans="1:31" x14ac:dyDescent="0.25">
      <c r="A60" s="922" t="s">
        <v>243</v>
      </c>
      <c r="B60" s="923"/>
      <c r="C60" s="471">
        <f>IFERROR(SUM(C40:C59),"")</f>
        <v>0</v>
      </c>
      <c r="D60" s="471">
        <f>IFERROR(SUM(D40:D59),"")</f>
        <v>0</v>
      </c>
      <c r="E60" s="380"/>
      <c r="F60" s="855"/>
      <c r="G60" s="856"/>
      <c r="H60" s="856"/>
      <c r="I60" s="856"/>
      <c r="J60" s="856"/>
      <c r="K60" s="857"/>
      <c r="M60" s="577" t="str">
        <f t="shared" si="17"/>
        <v/>
      </c>
      <c r="N60" s="469">
        <f>SUMIFS(AS!$W:$W,AS!$AB:$AB,"OK",AS!$X:$X,Parkki!$Y$5,AS!$AV:$AV,Parkki!$Y$2,AS!$AW:$AW,Parkki!$U60,AS!$K:$K,$Y$1)</f>
        <v>0</v>
      </c>
      <c r="O60" s="469">
        <f>SUMIFS(JA!$Z:$Z,JA!$AE:$AE,"OK",JA!$BE:$BE,Parkki!$Y$5,JA!$AI:$AI,Parkki!$Y$2,JA!$X:$X,$U60,JA!$CZ:$CZ,1,JA!$AJ:$AJ,Parkki!$Y$2,JA!$Y:$Y,$Y$1)</f>
        <v>0</v>
      </c>
      <c r="P60" s="469">
        <f>SUMIFS(JA!$Z:$Z,JA!$AE:$AE,"OK",JA!$BE:$BE,Parkki!$Y$5,JA!$AI:$AI,Parkki!$Y$2,JA!$X:$X,$U60,JA!$AJ:$AJ,Parkki!$Y$2,JA!$Y:$Y,$Y$1)</f>
        <v>0</v>
      </c>
      <c r="S60">
        <f t="shared" si="18"/>
        <v>0</v>
      </c>
      <c r="T60" s="303">
        <v>14</v>
      </c>
      <c r="U60" s="760" t="str">
        <f t="shared" si="19"/>
        <v>ComboBox_EtKuntakoodi_00000001</v>
      </c>
    </row>
    <row r="61" spans="1:31" x14ac:dyDescent="0.25">
      <c r="A61" s="544"/>
      <c r="E61" s="380"/>
      <c r="M61" s="577" t="str">
        <f t="shared" si="17"/>
        <v/>
      </c>
      <c r="N61" s="469">
        <f>SUMIFS(AS!$W:$W,AS!$AB:$AB,"OK",AS!$X:$X,Parkki!$Y$5,AS!$AV:$AV,Parkki!$Y$2,AS!$AW:$AW,Parkki!$U61,AS!$K:$K,$Y$1)</f>
        <v>0</v>
      </c>
      <c r="O61" s="469">
        <f>SUMIFS(JA!$Z:$Z,JA!$AE:$AE,"OK",JA!$BE:$BE,Parkki!$Y$5,JA!$AI:$AI,Parkki!$Y$2,JA!$X:$X,$U61,JA!$CZ:$CZ,1,JA!$AJ:$AJ,Parkki!$Y$2,JA!$Y:$Y,$Y$1)</f>
        <v>0</v>
      </c>
      <c r="P61" s="469">
        <f>SUMIFS(JA!$Z:$Z,JA!$AE:$AE,"OK",JA!$BE:$BE,Parkki!$Y$5,JA!$AI:$AI,Parkki!$Y$2,JA!$X:$X,$U61,JA!$AJ:$AJ,Parkki!$Y$2,JA!$Y:$Y,$Y$1)</f>
        <v>0</v>
      </c>
      <c r="S61">
        <f t="shared" si="18"/>
        <v>0</v>
      </c>
      <c r="T61" s="303">
        <v>15</v>
      </c>
      <c r="U61" s="760" t="str">
        <f t="shared" si="19"/>
        <v>ComboBox_EtKuntakoodi_00000001</v>
      </c>
    </row>
    <row r="62" spans="1:31" x14ac:dyDescent="0.25">
      <c r="A62" s="924" t="str">
        <f>"Mitä kautta NUORET valmentautujat ovat ohjautuneet työpajalle" &amp;X10&amp;X12</f>
        <v>Mitä kautta NUORET valmentautujat ovat ohjautuneet työpajalle - 01.01.2026-31.12.2026 (Kaikki kunnat - tiedot perustiedoista, Kaikki yksiköt - tiedot perustiedoista, Kaikki asiakkuudet)</v>
      </c>
      <c r="B62" s="924"/>
      <c r="C62" s="924"/>
      <c r="D62" s="924"/>
      <c r="E62" s="380"/>
      <c r="F62" s="836"/>
      <c r="G62" s="837"/>
      <c r="H62" s="837"/>
      <c r="I62" s="837"/>
      <c r="J62" s="837"/>
      <c r="K62" s="838"/>
      <c r="M62" s="577" t="str">
        <f t="shared" si="17"/>
        <v/>
      </c>
      <c r="N62" s="469">
        <f>SUMIFS(AS!$W:$W,AS!$AB:$AB,"OK",AS!$X:$X,Parkki!$Y$5,AS!$AV:$AV,Parkki!$Y$2,AS!$AW:$AW,Parkki!$U62,AS!$K:$K,$Y$1)</f>
        <v>0</v>
      </c>
      <c r="O62" s="469">
        <f>SUMIFS(JA!$Z:$Z,JA!$AE:$AE,"OK",JA!$BE:$BE,Parkki!$Y$5,JA!$AI:$AI,Parkki!$Y$2,JA!$X:$X,$U62,JA!$CZ:$CZ,1,JA!$AJ:$AJ,Parkki!$Y$2,JA!$Y:$Y,$Y$1)</f>
        <v>0</v>
      </c>
      <c r="P62" s="469">
        <f>SUMIFS(JA!$Z:$Z,JA!$AE:$AE,"OK",JA!$BE:$BE,Parkki!$Y$5,JA!$AI:$AI,Parkki!$Y$2,JA!$X:$X,$U62,JA!$AJ:$AJ,Parkki!$Y$2,JA!$Y:$Y,$Y$1)</f>
        <v>0</v>
      </c>
      <c r="S62">
        <f t="shared" si="18"/>
        <v>0</v>
      </c>
      <c r="T62" s="303">
        <v>16</v>
      </c>
      <c r="U62" s="760" t="str">
        <f t="shared" si="19"/>
        <v>ComboBox_EtKuntakoodi_00000001</v>
      </c>
      <c r="X62" s="407"/>
    </row>
    <row r="63" spans="1:31" x14ac:dyDescent="0.25">
      <c r="A63" s="925"/>
      <c r="B63" s="925"/>
      <c r="C63" s="925"/>
      <c r="D63" s="925"/>
      <c r="E63" s="380"/>
      <c r="F63" s="839"/>
      <c r="G63" s="168"/>
      <c r="H63" s="168"/>
      <c r="I63" s="168"/>
      <c r="J63" s="168"/>
      <c r="K63" s="840"/>
      <c r="M63" s="577" t="str">
        <f t="shared" si="17"/>
        <v/>
      </c>
      <c r="N63" s="469">
        <f>SUMIFS(AS!$W:$W,AS!$AB:$AB,"OK",AS!$X:$X,Parkki!$Y$5,AS!$AV:$AV,Parkki!$Y$2,AS!$AW:$AW,Parkki!$U63,AS!$K:$K,$Y$1)</f>
        <v>0</v>
      </c>
      <c r="O63" s="469">
        <f>SUMIFS(JA!$Z:$Z,JA!$AE:$AE,"OK",JA!$BE:$BE,Parkki!$Y$5,JA!$AI:$AI,Parkki!$Y$2,JA!$X:$X,$U63,JA!$CZ:$CZ,1,JA!$AJ:$AJ,Parkki!$Y$2,JA!$Y:$Y,$Y$1)</f>
        <v>0</v>
      </c>
      <c r="P63" s="469">
        <f>SUMIFS(JA!$Z:$Z,JA!$AE:$AE,"OK",JA!$BE:$BE,Parkki!$Y$5,JA!$AI:$AI,Parkki!$Y$2,JA!$X:$X,$U63,JA!$AJ:$AJ,Parkki!$Y$2,JA!$Y:$Y,$Y$1)</f>
        <v>0</v>
      </c>
      <c r="S63">
        <f t="shared" si="18"/>
        <v>0</v>
      </c>
      <c r="T63" s="303">
        <v>17</v>
      </c>
      <c r="U63" s="760" t="str">
        <f t="shared" si="19"/>
        <v>ComboBox_EtKuntakoodi_00000001</v>
      </c>
    </row>
    <row r="64" spans="1:31" x14ac:dyDescent="0.25">
      <c r="A64" s="930" t="s">
        <v>244</v>
      </c>
      <c r="B64" s="931"/>
      <c r="C64" s="578" t="s">
        <v>148</v>
      </c>
      <c r="D64" s="578" t="s">
        <v>70</v>
      </c>
      <c r="E64" s="380"/>
      <c r="F64" s="839"/>
      <c r="G64" s="168"/>
      <c r="H64" s="168"/>
      <c r="I64" s="168"/>
      <c r="J64" s="168"/>
      <c r="K64" s="840"/>
      <c r="M64" s="577" t="str">
        <f t="shared" si="17"/>
        <v/>
      </c>
      <c r="N64" s="469">
        <f>SUMIFS(AS!$W:$W,AS!$AB:$AB,"OK",AS!$X:$X,Parkki!$Y$5,AS!$AV:$AV,Parkki!$Y$2,AS!$AW:$AW,Parkki!$U64,AS!$K:$K,$Y$1)</f>
        <v>0</v>
      </c>
      <c r="O64" s="469">
        <f>SUMIFS(JA!$Z:$Z,JA!$AE:$AE,"OK",JA!$BE:$BE,Parkki!$Y$5,JA!$AI:$AI,Parkki!$Y$2,JA!$X:$X,$U64,JA!$CZ:$CZ,1,JA!$AJ:$AJ,Parkki!$Y$2,JA!$Y:$Y,$Y$1)</f>
        <v>0</v>
      </c>
      <c r="P64" s="469">
        <f>SUMIFS(JA!$Z:$Z,JA!$AE:$AE,"OK",JA!$BE:$BE,Parkki!$Y$5,JA!$AI:$AI,Parkki!$Y$2,JA!$X:$X,$U64,JA!$AJ:$AJ,Parkki!$Y$2,JA!$Y:$Y,$Y$1)</f>
        <v>0</v>
      </c>
      <c r="S64">
        <f t="shared" si="18"/>
        <v>0</v>
      </c>
      <c r="T64" s="303">
        <v>18</v>
      </c>
      <c r="U64" s="760" t="str">
        <f t="shared" si="19"/>
        <v>ComboBox_EtKuntakoodi_00000001</v>
      </c>
      <c r="X64" s="617" t="s">
        <v>245</v>
      </c>
    </row>
    <row r="65" spans="1:26" x14ac:dyDescent="0.25">
      <c r="A65" s="952" t="s">
        <v>246</v>
      </c>
      <c r="B65" s="577" t="s">
        <v>247</v>
      </c>
      <c r="C65" s="469">
        <f>SUMIFS(AS!$W:$W,AS!$AB:$AB,"OK",AS!$AX:$AX,Parkki!$X65,AS!$AH:$AH,Parkki!$X$8,AS!$AW:$AW,$W$8,AS!$K:$K,$W$7,AS!$X:$X,Parkki!$Y$5,AS!$AV:$AV,Parkki!$Y$2,AS!$CY:$CY,$U$6,AS!$CZ:$CZ,$U$5)</f>
        <v>0</v>
      </c>
      <c r="D65" s="469">
        <f>SUMIFS(AS!$W:$W,AS!$AB:$AB,"OK",AS!$AX:$AX,Parkki!$X65,AS!$AH:$AH,Parkki!$X$8,AS!$F:$F,Parkki!$X$7,AS!$AW:$AW,$W$8,AS!$K:$K,$W$7,AS!$X:$X,Parkki!$Y$5,AS!$AV:$AV,Parkki!$Y$2,AS!$CY:$CY,$U$6,AS!$CZ:$CZ,$U$5)</f>
        <v>0</v>
      </c>
      <c r="E65" s="579" t="str">
        <f>IFERROR(C65/$C$90,"-")</f>
        <v>-</v>
      </c>
      <c r="F65" s="839"/>
      <c r="G65" s="168"/>
      <c r="H65" s="168"/>
      <c r="I65" s="168"/>
      <c r="J65" s="168"/>
      <c r="K65" s="840"/>
      <c r="M65" s="577" t="str">
        <f t="shared" si="17"/>
        <v/>
      </c>
      <c r="N65" s="469">
        <f>SUMIFS(AS!$W:$W,AS!$AB:$AB,"OK",AS!$X:$X,Parkki!$Y$5,AS!$AV:$AV,Parkki!$Y$2,AS!$AW:$AW,Parkki!$U65,AS!$K:$K,$Y$1)</f>
        <v>0</v>
      </c>
      <c r="O65" s="469">
        <f>SUMIFS(JA!$Z:$Z,JA!$AE:$AE,"OK",JA!$BE:$BE,Parkki!$Y$5,JA!$AI:$AI,Parkki!$Y$2,JA!$X:$X,$U65,JA!$CZ:$CZ,1,JA!$AJ:$AJ,Parkki!$Y$2,JA!$Y:$Y,$Y$1)</f>
        <v>0</v>
      </c>
      <c r="P65" s="469">
        <f>SUMIFS(JA!$Z:$Z,JA!$AE:$AE,"OK",JA!$BE:$BE,Parkki!$Y$5,JA!$AI:$AI,Parkki!$Y$2,JA!$X:$X,$U65,JA!$AJ:$AJ,Parkki!$Y$2,JA!$Y:$Y,$Y$1)</f>
        <v>0</v>
      </c>
      <c r="S65">
        <f t="shared" si="18"/>
        <v>0</v>
      </c>
      <c r="T65" s="303">
        <v>19</v>
      </c>
      <c r="U65" s="760" t="str">
        <f t="shared" si="19"/>
        <v>ComboBox_EtKuntakoodi_00000001</v>
      </c>
      <c r="X65" t="s">
        <v>248</v>
      </c>
    </row>
    <row r="66" spans="1:26" x14ac:dyDescent="0.25">
      <c r="A66" s="953"/>
      <c r="B66" s="577" t="s">
        <v>249</v>
      </c>
      <c r="C66" s="469">
        <f>SUMIFS(AS!$W:$W,AS!$AB:$AB,"OK",AS!$AX:$AX,Parkki!$X66,AS!$AH:$AH,Parkki!$X$8,AS!$AW:$AW,$W$8,AS!$K:$K,$W$7,AS!$X:$X,Parkki!$Y$5,AS!$AV:$AV,Parkki!$Y$2,AS!$CY:$CY,$U$6,AS!$CZ:$CZ,$U$5)</f>
        <v>0</v>
      </c>
      <c r="D66" s="469">
        <f>SUMIFS(AS!$W:$W,AS!$AB:$AB,"OK",AS!$AX:$AX,Parkki!$X66,AS!$AH:$AH,Parkki!$X$8,AS!$F:$F,Parkki!$X$7,AS!$AW:$AW,$W$8,AS!$K:$K,$W$7,AS!$X:$X,Parkki!$Y$5,AS!$AV:$AV,Parkki!$Y$2,AS!$CY:$CY,$U$6,AS!$CZ:$CZ,$U$5)</f>
        <v>0</v>
      </c>
      <c r="E66" s="579" t="str">
        <f t="shared" ref="E66:E89" si="20">IFERROR(C66/$C$90,"-")</f>
        <v>-</v>
      </c>
      <c r="F66" s="839"/>
      <c r="G66" s="168"/>
      <c r="H66" s="168"/>
      <c r="I66" s="168"/>
      <c r="J66" s="168"/>
      <c r="K66" s="840"/>
      <c r="M66" s="577" t="str">
        <f t="shared" si="17"/>
        <v/>
      </c>
      <c r="N66" s="469">
        <f>SUMIFS(AS!$W:$W,AS!$AB:$AB,"OK",AS!$X:$X,Parkki!$Y$5,AS!$AV:$AV,Parkki!$Y$2,AS!$AW:$AW,Parkki!$U66,AS!$K:$K,$Y$1)</f>
        <v>0</v>
      </c>
      <c r="O66" s="469">
        <f>SUMIFS(JA!$Z:$Z,JA!$AE:$AE,"OK",JA!$BE:$BE,Parkki!$Y$5,JA!$AI:$AI,Parkki!$Y$2,JA!$X:$X,$U66,JA!$CZ:$CZ,1,JA!$AJ:$AJ,Parkki!$Y$2,JA!$Y:$Y,$Y$1)</f>
        <v>0</v>
      </c>
      <c r="P66" s="469">
        <f>SUMIFS(JA!$Z:$Z,JA!$AE:$AE,"OK",JA!$BE:$BE,Parkki!$Y$5,JA!$AI:$AI,Parkki!$Y$2,JA!$X:$X,$U66,JA!$AJ:$AJ,Parkki!$Y$2,JA!$Y:$Y,$Y$1)</f>
        <v>0</v>
      </c>
      <c r="S66">
        <f t="shared" si="18"/>
        <v>0</v>
      </c>
      <c r="T66" s="303">
        <v>20</v>
      </c>
      <c r="U66" s="760" t="str">
        <f t="shared" si="19"/>
        <v>ComboBox_EtKuntakoodi_00000001</v>
      </c>
      <c r="X66" t="s">
        <v>250</v>
      </c>
    </row>
    <row r="67" spans="1:26" x14ac:dyDescent="0.25">
      <c r="A67" s="953"/>
      <c r="B67" s="577" t="s">
        <v>251</v>
      </c>
      <c r="C67" s="469">
        <f>SUMIFS(AS!$W:$W,AS!$AB:$AB,"OK",AS!$AX:$AX,Parkki!$X67,AS!$AH:$AH,Parkki!$X$8,AS!$AW:$AW,$W$8,AS!$K:$K,$W$7,AS!$X:$X,Parkki!$Y$5,AS!$AV:$AV,Parkki!$Y$2,AS!$CY:$CY,$U$6,AS!$CZ:$CZ,$U$5)</f>
        <v>0</v>
      </c>
      <c r="D67" s="469">
        <f>SUMIFS(AS!$W:$W,AS!$AB:$AB,"OK",AS!$AX:$AX,Parkki!$X67,AS!$AH:$AH,Parkki!$X$8,AS!$F:$F,Parkki!$X$7,AS!$AW:$AW,$W$8,AS!$K:$K,$W$7,AS!$X:$X,Parkki!$Y$5,AS!$AV:$AV,Parkki!$Y$2,AS!$CY:$CY,$U$6,AS!$CZ:$CZ,$U$5)</f>
        <v>0</v>
      </c>
      <c r="E67" s="579" t="str">
        <f t="shared" si="20"/>
        <v>-</v>
      </c>
      <c r="F67" s="839"/>
      <c r="G67" s="168"/>
      <c r="H67" s="168"/>
      <c r="I67" s="168"/>
      <c r="J67" s="168"/>
      <c r="K67" s="840"/>
      <c r="M67" s="577" t="str">
        <f t="shared" si="17"/>
        <v/>
      </c>
      <c r="N67" s="469">
        <f>SUMIFS(AS!$W:$W,AS!$AB:$AB,"OK",AS!$X:$X,Parkki!$Y$5,AS!$AV:$AV,Parkki!$Y$2,AS!$AW:$AW,Parkki!$U67,AS!$K:$K,$Y$1)</f>
        <v>0</v>
      </c>
      <c r="O67" s="469">
        <f>SUMIFS(JA!$Z:$Z,JA!$AE:$AE,"OK",JA!$BE:$BE,Parkki!$Y$5,JA!$AI:$AI,Parkki!$Y$2,JA!$X:$X,$U67,JA!$CZ:$CZ,1,JA!$AJ:$AJ,Parkki!$Y$2,JA!$Y:$Y,$Y$1)</f>
        <v>0</v>
      </c>
      <c r="P67" s="469">
        <f>SUMIFS(JA!$Z:$Z,JA!$AE:$AE,"OK",JA!$BE:$BE,Parkki!$Y$5,JA!$AI:$AI,Parkki!$Y$2,JA!$X:$X,$U67,JA!$AJ:$AJ,Parkki!$Y$2,JA!$Y:$Y,$Y$1)</f>
        <v>0</v>
      </c>
      <c r="S67">
        <f t="shared" si="18"/>
        <v>0</v>
      </c>
      <c r="T67" s="303">
        <v>21</v>
      </c>
      <c r="U67" s="760" t="str">
        <f t="shared" si="19"/>
        <v>ComboBox_EtKuntakoodi_00000001</v>
      </c>
      <c r="X67" t="s">
        <v>252</v>
      </c>
    </row>
    <row r="68" spans="1:26" x14ac:dyDescent="0.25">
      <c r="A68" s="954"/>
      <c r="B68" s="577" t="s">
        <v>253</v>
      </c>
      <c r="C68" s="469">
        <f>SUMIFS(AS!$W:$W,AS!$AB:$AB,"OK",AS!$AX:$AX,Parkki!$X68,AS!$AH:$AH,Parkki!$X$8,AS!$AW:$AW,$W$8,AS!$K:$K,$W$7,AS!$X:$X,Parkki!$Y$5,AS!$AV:$AV,Parkki!$Y$2,AS!$CY:$CY,$U$6,AS!$CZ:$CZ,$U$5)</f>
        <v>0</v>
      </c>
      <c r="D68" s="469">
        <f>SUMIFS(AS!$W:$W,AS!$AB:$AB,"OK",AS!$AX:$AX,Parkki!$X68,AS!$AH:$AH,Parkki!$X$8,AS!$F:$F,Parkki!$X$7,AS!$AW:$AW,$W$8,AS!$K:$K,$W$7,AS!$X:$X,Parkki!$Y$5,AS!$AV:$AV,Parkki!$Y$2,AS!$CY:$CY,$U$6,AS!$CZ:$CZ,$U$5)</f>
        <v>0</v>
      </c>
      <c r="E68" s="579" t="str">
        <f t="shared" si="20"/>
        <v>-</v>
      </c>
      <c r="F68" s="839"/>
      <c r="G68" s="168"/>
      <c r="H68" s="168"/>
      <c r="I68" s="168"/>
      <c r="J68" s="168"/>
      <c r="K68" s="840"/>
      <c r="M68" s="577" t="str">
        <f t="shared" si="17"/>
        <v/>
      </c>
      <c r="N68" s="469">
        <f>SUMIFS(AS!$W:$W,AS!$AB:$AB,"OK",AS!$X:$X,Parkki!$Y$5,AS!$AV:$AV,Parkki!$Y$2,AS!$AW:$AW,Parkki!$U68,AS!$K:$K,$Y$1)</f>
        <v>0</v>
      </c>
      <c r="O68" s="469">
        <f>SUMIFS(JA!$Z:$Z,JA!$AE:$AE,"OK",JA!$BE:$BE,Parkki!$Y$5,JA!$AI:$AI,Parkki!$Y$2,JA!$X:$X,$U68,JA!$CZ:$CZ,1,JA!$AJ:$AJ,Parkki!$Y$2,JA!$Y:$Y,$Y$1)</f>
        <v>0</v>
      </c>
      <c r="P68" s="469">
        <f>SUMIFS(JA!$Z:$Z,JA!$AE:$AE,"OK",JA!$BE:$BE,Parkki!$Y$5,JA!$AI:$AI,Parkki!$Y$2,JA!$X:$X,$U68,JA!$AJ:$AJ,Parkki!$Y$2,JA!$Y:$Y,$Y$1)</f>
        <v>0</v>
      </c>
      <c r="S68">
        <f t="shared" si="18"/>
        <v>0</v>
      </c>
      <c r="T68" s="303">
        <v>22</v>
      </c>
      <c r="U68" s="760" t="str">
        <f t="shared" si="19"/>
        <v>ComboBox_EtKuntakoodi_00000001</v>
      </c>
      <c r="X68" s="490" t="s">
        <v>254</v>
      </c>
    </row>
    <row r="69" spans="1:26" x14ac:dyDescent="0.25">
      <c r="A69" s="952" t="s">
        <v>255</v>
      </c>
      <c r="B69" s="577" t="s">
        <v>256</v>
      </c>
      <c r="C69" s="469">
        <f>SUMIFS(AS!$W:$W,AS!$AB:$AB,"OK",AS!$AX:$AX,Parkki!$X69,AS!$AH:$AH,Parkki!$X$8,AS!$AW:$AW,$W$8,AS!$K:$K,$W$7,AS!$X:$X,Parkki!$Y$5,AS!$AV:$AV,Parkki!$Y$2,AS!$CY:$CY,$U$6,AS!$CZ:$CZ,$U$5)</f>
        <v>0</v>
      </c>
      <c r="D69" s="469">
        <f>SUMIFS(AS!$W:$W,AS!$AB:$AB,"OK",AS!$AX:$AX,Parkki!$X69,AS!$AH:$AH,Parkki!$X$8,AS!$F:$F,Parkki!$X$7,AS!$AW:$AW,$W$8,AS!$K:$K,$W$7,AS!$X:$X,Parkki!$Y$5,AS!$AV:$AV,Parkki!$Y$2,AS!$CY:$CY,$U$6,AS!$CZ:$CZ,$U$5)</f>
        <v>0</v>
      </c>
      <c r="E69" s="579" t="str">
        <f t="shared" si="20"/>
        <v>-</v>
      </c>
      <c r="F69" s="839"/>
      <c r="G69" s="168"/>
      <c r="H69" s="168"/>
      <c r="I69" s="168"/>
      <c r="J69" s="168"/>
      <c r="K69" s="840"/>
      <c r="M69" s="577" t="str">
        <f t="shared" si="17"/>
        <v/>
      </c>
      <c r="N69" s="469">
        <f>SUMIFS(AS!$W:$W,AS!$AB:$AB,"OK",AS!$X:$X,Parkki!$Y$5,AS!$AV:$AV,Parkki!$Y$2,AS!$AW:$AW,Parkki!$U69,AS!$K:$K,$Y$1)</f>
        <v>0</v>
      </c>
      <c r="O69" s="469">
        <f>SUMIFS(JA!$Z:$Z,JA!$AE:$AE,"OK",JA!$BE:$BE,Parkki!$Y$5,JA!$AI:$AI,Parkki!$Y$2,JA!$X:$X,$U69,JA!$CZ:$CZ,1,JA!$AJ:$AJ,Parkki!$Y$2,JA!$Y:$Y,$Y$1)</f>
        <v>0</v>
      </c>
      <c r="P69" s="469">
        <f>SUMIFS(JA!$Z:$Z,JA!$AE:$AE,"OK",JA!$BE:$BE,Parkki!$Y$5,JA!$AI:$AI,Parkki!$Y$2,JA!$X:$X,$U69,JA!$AJ:$AJ,Parkki!$Y$2,JA!$Y:$Y,$Y$1)</f>
        <v>0</v>
      </c>
      <c r="S69">
        <f t="shared" si="18"/>
        <v>0</v>
      </c>
      <c r="T69" s="303">
        <v>23</v>
      </c>
      <c r="U69" s="760" t="str">
        <f t="shared" si="19"/>
        <v>ComboBox_EtKuntakoodi_00000001</v>
      </c>
      <c r="X69" t="s">
        <v>257</v>
      </c>
    </row>
    <row r="70" spans="1:26" x14ac:dyDescent="0.25">
      <c r="A70" s="954"/>
      <c r="B70" s="577" t="s">
        <v>258</v>
      </c>
      <c r="C70" s="469">
        <f>SUMIFS(AS!$W:$W,AS!$AB:$AB,"OK",AS!$AX:$AX,Parkki!$X70,AS!$AH:$AH,Parkki!$X$8,AS!$AW:$AW,$W$8,AS!$K:$K,$W$7,AS!$X:$X,Parkki!$Y$5,AS!$AV:$AV,Parkki!$Y$2,AS!$CY:$CY,$U$6,AS!$CZ:$CZ,$U$5)+SUMIFS(AS!$W:$W,AS!$AB:$AB,"OK",AS!$AX:$AX,Parkki!$W70,AS!$AH:$AH,Parkki!$X$8,AS!$AW:$AW,$W$8,AS!$K:$K,$W$7,AS!$X:$X,Parkki!$Y$5,AS!$AV:$AV,Parkki!$Y$2,AS!$CY:$CY,$U$6,AS!$CZ:$CZ,$U$5)</f>
        <v>0</v>
      </c>
      <c r="D70" s="469">
        <f>SUMIFS(AS!$W:$W,AS!$AB:$AB,"OK",AS!$AX:$AX,Parkki!$X70,AS!$AH:$AH,Parkki!$X$8,AS!$F:$F,Parkki!$X$7,AS!$AW:$AW,$W$8,AS!$K:$K,$W$7,AS!$X:$X,Parkki!$Y$5,AS!$AV:$AV,Parkki!$Y$2,AS!$CY:$CY,$U$6,AS!$CZ:$CZ,$U$5)+SUMIFS(AS!$W:$W,AS!$AB:$AB,"OK",AS!$AX:$AX,Parkki!$W70,AS!$AH:$AH,Parkki!$X$8,AS!$F:$F,Parkki!$X$7,AS!$AW:$AW,$W$8,AS!$K:$K,$W$7,AS!$X:$X,Parkki!$Y$5,AS!$AV:$AV,Parkki!$Y$2,AS!$CY:$CY,$U$6,AS!$CZ:$CZ,$U$5)</f>
        <v>0</v>
      </c>
      <c r="E70" s="579" t="str">
        <f t="shared" si="20"/>
        <v>-</v>
      </c>
      <c r="F70" s="839"/>
      <c r="G70" s="168"/>
      <c r="H70" s="168"/>
      <c r="I70" s="168"/>
      <c r="J70" s="168"/>
      <c r="K70" s="840"/>
      <c r="M70" s="577" t="str">
        <f t="shared" si="17"/>
        <v/>
      </c>
      <c r="N70" s="469">
        <f>SUMIFS(AS!$W:$W,AS!$AB:$AB,"OK",AS!$X:$X,Parkki!$Y$5,AS!$AV:$AV,Parkki!$Y$2,AS!$AW:$AW,Parkki!$U70,AS!$K:$K,$Y$1)</f>
        <v>0</v>
      </c>
      <c r="O70" s="469">
        <f>SUMIFS(JA!$Z:$Z,JA!$AE:$AE,"OK",JA!$BE:$BE,Parkki!$Y$5,JA!$AI:$AI,Parkki!$Y$2,JA!$X:$X,$U70,JA!$CZ:$CZ,1,JA!$AJ:$AJ,Parkki!$Y$2,JA!$Y:$Y,$Y$1)</f>
        <v>0</v>
      </c>
      <c r="P70" s="469">
        <f>SUMIFS(JA!$Z:$Z,JA!$AE:$AE,"OK",JA!$BE:$BE,Parkki!$Y$5,JA!$AI:$AI,Parkki!$Y$2,JA!$X:$X,$U70,JA!$AJ:$AJ,Parkki!$Y$2,JA!$Y:$Y,$Y$1)</f>
        <v>0</v>
      </c>
      <c r="S70">
        <f t="shared" si="18"/>
        <v>0</v>
      </c>
      <c r="T70" s="303">
        <v>24</v>
      </c>
      <c r="U70" s="760" t="str">
        <f t="shared" si="19"/>
        <v>ComboBox_EtKuntakoodi_00000001</v>
      </c>
      <c r="V70" s="228"/>
      <c r="W70" s="561" t="s">
        <v>259</v>
      </c>
      <c r="X70" s="407" t="s">
        <v>260</v>
      </c>
      <c r="Y70" s="228" t="s">
        <v>261</v>
      </c>
      <c r="Z70" s="228"/>
    </row>
    <row r="71" spans="1:26" x14ac:dyDescent="0.25">
      <c r="A71" s="952" t="s">
        <v>262</v>
      </c>
      <c r="B71" s="577" t="s">
        <v>263</v>
      </c>
      <c r="C71" s="469">
        <f>SUMIFS(AS!$W:$W,AS!$AB:$AB,"OK",AS!$AX:$AX,Parkki!$X71,AS!$AH:$AH,Parkki!$X$8,AS!$AW:$AW,$W$8,AS!$K:$K,$W$7,AS!$X:$X,Parkki!$Y$5,AS!$AV:$AV,Parkki!$Y$2,AS!$CY:$CY,$U$6,AS!$CZ:$CZ,$U$5)</f>
        <v>0</v>
      </c>
      <c r="D71" s="469">
        <f>SUMIFS(AS!$W:$W,AS!$AB:$AB,"OK",AS!$AX:$AX,Parkki!$X71,AS!$AH:$AH,Parkki!$X$8,AS!$F:$F,Parkki!$X$7,AS!$AW:$AW,$W$8,AS!$K:$K,$W$7,AS!$X:$X,Parkki!$Y$5,AS!$AV:$AV,Parkki!$Y$2,AS!$CY:$CY,$U$6,AS!$CZ:$CZ,$U$5)</f>
        <v>0</v>
      </c>
      <c r="E71" s="579" t="str">
        <f t="shared" si="20"/>
        <v>-</v>
      </c>
      <c r="F71" s="839"/>
      <c r="G71" s="168"/>
      <c r="H71" s="168"/>
      <c r="I71" s="168"/>
      <c r="J71" s="168"/>
      <c r="K71" s="840"/>
      <c r="M71" s="577" t="str">
        <f t="shared" si="17"/>
        <v/>
      </c>
      <c r="N71" s="469">
        <f>SUMIFS(AS!$W:$W,AS!$AB:$AB,"OK",AS!$X:$X,Parkki!$Y$5,AS!$AV:$AV,Parkki!$Y$2,AS!$AW:$AW,Parkki!$U71,AS!$K:$K,$Y$1)</f>
        <v>0</v>
      </c>
      <c r="O71" s="469">
        <f>SUMIFS(JA!$Z:$Z,JA!$AE:$AE,"OK",JA!$BE:$BE,Parkki!$Y$5,JA!$AI:$AI,Parkki!$Y$2,JA!$X:$X,$U71,JA!$CZ:$CZ,1,JA!$AJ:$AJ,Parkki!$Y$2,JA!$Y:$Y,$Y$1)</f>
        <v>0</v>
      </c>
      <c r="P71" s="469">
        <f>SUMIFS(JA!$Z:$Z,JA!$AE:$AE,"OK",JA!$BE:$BE,Parkki!$Y$5,JA!$AI:$AI,Parkki!$Y$2,JA!$X:$X,$U71,JA!$AJ:$AJ,Parkki!$Y$2,JA!$Y:$Y,$Y$1)</f>
        <v>0</v>
      </c>
      <c r="S71">
        <f t="shared" si="18"/>
        <v>0</v>
      </c>
      <c r="T71" s="303">
        <v>25</v>
      </c>
      <c r="U71" s="760" t="str">
        <f t="shared" si="19"/>
        <v>ComboBox_EtKuntakoodi_00000001</v>
      </c>
      <c r="X71" t="s">
        <v>264</v>
      </c>
    </row>
    <row r="72" spans="1:26" x14ac:dyDescent="0.25">
      <c r="A72" s="953"/>
      <c r="B72" s="577" t="s">
        <v>262</v>
      </c>
      <c r="C72" s="469">
        <f>SUMIFS(AS!$W:$W,AS!$AB:$AB,"OK",AS!$AX:$AX,Parkki!$X72,AS!$AH:$AH,Parkki!$X$8,AS!$AW:$AW,$W$8,AS!$K:$K,$W$7,AS!$X:$X,Parkki!$Y$5,AS!$AV:$AV,Parkki!$Y$2,AS!$CY:$CY,$U$6,AS!$CZ:$CZ,$U$5)+SUMIFS(AS!$W:$W,AS!$AB:$AB,"OK",AS!$AX:$AX,Parkki!$W72,AS!$AH:$AH,Parkki!$X$8,AS!$AW:$AW,$W$8,AS!$K:$K,$W$7,AS!$X:$X,Parkki!$Y$5,AS!$AV:$AV,Parkki!$Y$2,AS!$CY:$CY,$U$6,AS!$CZ:$CZ,$U$5)</f>
        <v>0</v>
      </c>
      <c r="D72" s="469">
        <f>SUMIFS(AS!$W:$W,AS!$AB:$AB,"OK",AS!$AX:$AX,Parkki!$X72,AS!$AH:$AH,Parkki!$X$8,AS!$F:$F,Parkki!$X$7,AS!$AW:$AW,$W$8,AS!$K:$K,$W$7,AS!$X:$X,Parkki!$Y$5,AS!$AV:$AV,Parkki!$Y$2,AS!$CY:$CY,$U$6,AS!$CZ:$CZ,$U$5)+SUMIFS(AS!$W:$W,AS!$AB:$AB,"OK",AS!$AX:$AX,Parkki!$W72,AS!$AH:$AH,Parkki!$X$8,AS!$F:$F,Parkki!$X$7,AS!$AW:$AW,$W$8,AS!$K:$K,$W$7,AS!$X:$X,Parkki!$Y$5,AS!$AV:$AV,Parkki!$Y$2,AS!$CY:$CY,$U$6,AS!$CZ:$CZ,$U$5)</f>
        <v>0</v>
      </c>
      <c r="E72" s="579" t="str">
        <f t="shared" si="20"/>
        <v>-</v>
      </c>
      <c r="F72" s="839"/>
      <c r="G72" s="168"/>
      <c r="H72" s="168"/>
      <c r="I72" s="168"/>
      <c r="J72" s="168"/>
      <c r="K72" s="840"/>
      <c r="M72" s="577" t="str">
        <f>IFERROR(INDEX($AJ$5:$AJ$37,MATCH(SMALL($AK$5:$AK$37,T72),$AK$5:$AK$37,0)),"")</f>
        <v/>
      </c>
      <c r="N72" s="469">
        <f>SUMIFS(AS!$W:$W,AS!$AB:$AB,"OK",AS!$X:$X,Parkki!$Y$5,AS!$AV:$AV,Parkki!$Y$2,AS!$AW:$AW,Parkki!$U72,AS!$K:$K,$Y$1)</f>
        <v>0</v>
      </c>
      <c r="O72" s="469">
        <f>SUMIFS(JA!$Z:$Z,JA!$AE:$AE,"OK",JA!$BE:$BE,Parkki!$Y$5,JA!$AI:$AI,Parkki!$Y$2,JA!$X:$X,$U72,JA!$CZ:$CZ,1,JA!$AJ:$AJ,Parkki!$Y$2,JA!$Y:$Y,$Y$1)</f>
        <v>0</v>
      </c>
      <c r="P72" s="469">
        <f>SUMIFS(JA!$Z:$Z,JA!$AE:$AE,"OK",JA!$BE:$BE,Parkki!$Y$5,JA!$AI:$AI,Parkki!$Y$2,JA!$X:$X,$U72,JA!$AJ:$AJ,Parkki!$Y$2,JA!$Y:$Y,$Y$1)</f>
        <v>0</v>
      </c>
      <c r="S72">
        <f>IF(M72="",0,1)</f>
        <v>0</v>
      </c>
      <c r="T72" s="303">
        <v>26</v>
      </c>
      <c r="U72" s="760" t="str">
        <f>INDEX($AA$5:$AA$37,MATCH(M72,$AB$5:$AB$37,0))</f>
        <v>ComboBox_EtKuntakoodi_00000001</v>
      </c>
      <c r="V72" t="s">
        <v>265</v>
      </c>
      <c r="W72" s="407" t="s">
        <v>266</v>
      </c>
      <c r="X72" s="407" t="s">
        <v>267</v>
      </c>
    </row>
    <row r="73" spans="1:26" ht="15.75" customHeight="1" x14ac:dyDescent="0.25">
      <c r="A73" s="953"/>
      <c r="B73" s="577" t="s">
        <v>268</v>
      </c>
      <c r="C73" s="469">
        <f>SUMIFS(AS!$W:$W,AS!$AB:$AB,"OK",AS!$AX:$AX,Parkki!$X73,AS!$AH:$AH,Parkki!$X$8,AS!$AW:$AW,$W$8,AS!$K:$K,$W$7,AS!$X:$X,Parkki!$Y$5,AS!$AV:$AV,Parkki!$Y$2,AS!$CY:$CY,$U$6,AS!$CZ:$CZ,$U$5)+SUMIFS(AS!$W:$W,AS!$AB:$AB,"OK",AS!$AX:$AX,Parkki!$W73,AS!$AH:$AH,Parkki!$X$8,AS!$AW:$AW,$W$8,AS!$K:$K,$W$7,AS!$X:$X,Parkki!$Y$5,AS!$AV:$AV,Parkki!$Y$2,AS!$CY:$CY,$U$6,AS!$CZ:$CZ,$U$5)</f>
        <v>0</v>
      </c>
      <c r="D73" s="469">
        <f>SUMIFS(AS!$W:$W,AS!$AB:$AB,"OK",AS!$AX:$AX,Parkki!$X73,AS!$AH:$AH,Parkki!$X$8,AS!$F:$F,Parkki!$X$7,AS!$AW:$AW,$W$8,AS!$K:$K,$W$7,AS!$X:$X,Parkki!$Y$5,AS!$AV:$AV,Parkki!$Y$2,AS!$CY:$CY,$U$6,AS!$CZ:$CZ,$U$5)+SUMIFS(AS!$W:$W,AS!$AB:$AB,"OK",AS!$AX:$AX,Parkki!$W73,AS!$AH:$AH,Parkki!$X$8,AS!$F:$F,Parkki!$X$7,AS!$AW:$AW,$W$8,AS!$K:$K,$W$7,AS!$X:$X,Parkki!$Y$5,AS!$AV:$AV,Parkki!$Y$2,AS!$CY:$CY,$U$6,AS!$CZ:$CZ,$U$5)</f>
        <v>0</v>
      </c>
      <c r="E73" s="579" t="str">
        <f t="shared" si="20"/>
        <v>-</v>
      </c>
      <c r="F73" s="839"/>
      <c r="G73" s="168"/>
      <c r="H73" s="168"/>
      <c r="I73" s="168"/>
      <c r="J73" s="168"/>
      <c r="K73" s="840"/>
      <c r="M73" s="577" t="str">
        <f>IFERROR(INDEX($AJ$5:$AJ$37,MATCH(SMALL($AK$5:$AK$37,T73),$AK$5:$AK$37,0)),"")</f>
        <v/>
      </c>
      <c r="N73" s="469">
        <f>SUMIFS(AS!$W:$W,AS!$AB:$AB,"OK",AS!$X:$X,Parkki!$Y$5,AS!$AV:$AV,Parkki!$Y$2,AS!$AW:$AW,Parkki!$U73,AS!$K:$K,$Y$1)</f>
        <v>0</v>
      </c>
      <c r="O73" s="469">
        <f>SUMIFS(JA!$Z:$Z,JA!$AE:$AE,"OK",JA!$BE:$BE,Parkki!$Y$5,JA!$AI:$AI,Parkki!$Y$2,JA!$X:$X,$U73,JA!$CZ:$CZ,1,JA!$AJ:$AJ,Parkki!$Y$2,JA!$Y:$Y,$Y$1)</f>
        <v>0</v>
      </c>
      <c r="P73" s="469">
        <f>SUMIFS(JA!$Z:$Z,JA!$AE:$AE,"OK",JA!$BE:$BE,Parkki!$Y$5,JA!$AI:$AI,Parkki!$Y$2,JA!$X:$X,$U73,JA!$AJ:$AJ,Parkki!$Y$2,JA!$Y:$Y,$Y$1)</f>
        <v>0</v>
      </c>
      <c r="S73">
        <f>IF(M73="",0,1)</f>
        <v>0</v>
      </c>
      <c r="T73" s="303">
        <v>27</v>
      </c>
      <c r="U73" s="760" t="str">
        <f>INDEX($AA$5:$AA$37,MATCH(M73,$AB$5:$AB$37,0))</f>
        <v>ComboBox_EtKuntakoodi_00000001</v>
      </c>
      <c r="W73" s="407" t="s">
        <v>269</v>
      </c>
      <c r="X73" t="s">
        <v>270</v>
      </c>
    </row>
    <row r="74" spans="1:26" x14ac:dyDescent="0.25">
      <c r="A74" s="953"/>
      <c r="B74" s="892" t="s">
        <v>271</v>
      </c>
      <c r="C74" s="469">
        <f>SUMIFS(AS!$W:$W,AS!$AB:$AB,"OK",AS!$AX:$AX,Parkki!$X74,AS!$AH:$AH,Parkki!$X$8,AS!$AW:$AW,$W$8,AS!$K:$K,$W$7,AS!$X:$X,Parkki!$Y$5,AS!$AV:$AV,Parkki!$Y$2,AS!$CY:$CY,$U$6,AS!$CZ:$CZ,$U$5)+SUMIFS(AS!$W:$W,AS!$AB:$AB,"OK",AS!$AX:$AX,Parkki!$W74,AS!$AH:$AH,Parkki!$X$8,AS!$AW:$AW,$W$8,AS!$K:$K,$W$7,AS!$X:$X,Parkki!$Y$5,AS!$AV:$AV,Parkki!$Y$2,AS!$CY:$CY,$U$6,AS!$CZ:$CZ,$U$5)</f>
        <v>0</v>
      </c>
      <c r="D74" s="469">
        <f>SUMIFS(AS!$W:$W,AS!$AB:$AB,"OK",AS!$AX:$AX,Parkki!$X74,AS!$AH:$AH,Parkki!$X$8,AS!$F:$F,Parkki!$X$7,AS!$AW:$AW,$W$8,AS!$K:$K,$W$7,AS!$X:$X,Parkki!$Y$5,AS!$AV:$AV,Parkki!$Y$2,AS!$CY:$CY,$U$6,AS!$CZ:$CZ,$U$5)+SUMIFS(AS!$W:$W,AS!$AB:$AB,"OK",AS!$AX:$AX,Parkki!$W74,AS!$AH:$AH,Parkki!$X$8,AS!$F:$F,Parkki!$X$7,AS!$AW:$AW,$W$8,AS!$K:$K,$W$7,AS!$X:$X,Parkki!$Y$5,AS!$AV:$AV,Parkki!$Y$2,AS!$CY:$CY,$U$6,AS!$CZ:$CZ,$U$5)</f>
        <v>0</v>
      </c>
      <c r="E74" s="579" t="str">
        <f t="shared" si="20"/>
        <v>-</v>
      </c>
      <c r="F74" s="839"/>
      <c r="G74" s="168"/>
      <c r="H74" s="168"/>
      <c r="I74" s="168"/>
      <c r="J74" s="168"/>
      <c r="K74" s="840"/>
      <c r="M74" s="577" t="str">
        <f>IFERROR(INDEX($AJ$5:$AJ$37,MATCH(SMALL($AK$5:$AK$37,T74),$AK$5:$AK$37,0)),"")</f>
        <v/>
      </c>
      <c r="N74" s="469">
        <f>SUMIFS(AS!$W:$W,AS!$AB:$AB,"OK",AS!$X:$X,Parkki!$Y$5,AS!$AV:$AV,Parkki!$Y$2,AS!$AW:$AW,Parkki!$U74,AS!$K:$K,$Y$1)</f>
        <v>0</v>
      </c>
      <c r="O74" s="469">
        <f>SUMIFS(JA!$Z:$Z,JA!$AE:$AE,"OK",JA!$BE:$BE,Parkki!$Y$5,JA!$AI:$AI,Parkki!$Y$2,JA!$X:$X,$U74,JA!$CZ:$CZ,1,JA!$AJ:$AJ,Parkki!$Y$2,JA!$Y:$Y,$Y$1)</f>
        <v>0</v>
      </c>
      <c r="P74" s="469">
        <f>SUMIFS(JA!$Z:$Z,JA!$AE:$AE,"OK",JA!$BE:$BE,Parkki!$Y$5,JA!$AI:$AI,Parkki!$Y$2,JA!$X:$X,$U74,JA!$AJ:$AJ,Parkki!$Y$2,JA!$Y:$Y,$Y$1)</f>
        <v>0</v>
      </c>
      <c r="S74">
        <f>IF(M74="",0,1)</f>
        <v>0</v>
      </c>
      <c r="T74" s="303">
        <v>28</v>
      </c>
      <c r="U74" s="760" t="str">
        <f>INDEX($AA$5:$AA$37,MATCH(M74,$AB$5:$AB$37,0))</f>
        <v>ComboBox_EtKuntakoodi_00000001</v>
      </c>
      <c r="W74" t="s">
        <v>272</v>
      </c>
      <c r="X74" s="407" t="s">
        <v>273</v>
      </c>
    </row>
    <row r="75" spans="1:26" x14ac:dyDescent="0.25">
      <c r="A75" s="954"/>
      <c r="B75" s="892" t="s">
        <v>274</v>
      </c>
      <c r="C75" s="469">
        <f>SUMIFS(AS!$W:$W,AS!$AB:$AB,"OK",AS!$AX:$AX,Parkki!$X75,AS!$AH:$AH,Parkki!$X$8,AS!$AW:$AW,$W$8,AS!$K:$K,$W$7,AS!$X:$X,Parkki!$Y$5,AS!$AV:$AV,Parkki!$Y$2,AS!$CY:$CY,$U$6,AS!$CZ:$CZ,$U$5)</f>
        <v>0</v>
      </c>
      <c r="D75" s="469">
        <f>SUMIFS(AS!$W:$W,AS!$AB:$AB,"OK",AS!$AX:$AX,Parkki!$X75,AS!$AH:$AH,Parkki!$X$8,AS!$F:$F,Parkki!$X$7,AS!$AW:$AW,$W$8,AS!$K:$K,$W$7,AS!$X:$X,Parkki!$Y$5,AS!$AV:$AV,Parkki!$Y$2,AS!$CY:$CY,$U$6,AS!$CZ:$CZ,$U$5)</f>
        <v>0</v>
      </c>
      <c r="E75" s="579" t="str">
        <f t="shared" si="20"/>
        <v>-</v>
      </c>
      <c r="F75" s="839"/>
      <c r="G75" s="168"/>
      <c r="H75" s="168"/>
      <c r="I75" s="168"/>
      <c r="J75" s="168"/>
      <c r="K75" s="840"/>
      <c r="M75" s="577" t="str">
        <f>IFERROR(INDEX($AJ$5:$AJ$37,MATCH(SMALL($AK$5:$AK$37,T75),$AK$5:$AK$37,0)),"")</f>
        <v/>
      </c>
      <c r="N75" s="469">
        <f>SUMIFS(AS!$W:$W,AS!$AB:$AB,"OK",AS!$X:$X,Parkki!$Y$5,AS!$AV:$AV,Parkki!$Y$2,AS!$AW:$AW,Parkki!$U75,AS!$K:$K,$Y$1)</f>
        <v>0</v>
      </c>
      <c r="O75" s="469">
        <f>SUMIFS(JA!$Z:$Z,JA!$AE:$AE,"OK",JA!$BE:$BE,Parkki!$Y$5,JA!$AI:$AI,Parkki!$Y$2,JA!$X:$X,$U75,JA!$CZ:$CZ,1,JA!$AJ:$AJ,Parkki!$Y$2,JA!$Y:$Y,$Y$1)</f>
        <v>0</v>
      </c>
      <c r="P75" s="469">
        <f>SUMIFS(JA!$Z:$Z,JA!$AE:$AE,"OK",JA!$BE:$BE,Parkki!$Y$5,JA!$AI:$AI,Parkki!$Y$2,JA!$X:$X,$U75,JA!$AJ:$AJ,Parkki!$Y$2,JA!$Y:$Y,$Y$1)</f>
        <v>0</v>
      </c>
      <c r="S75">
        <f>IF(M75="",0,1)</f>
        <v>0</v>
      </c>
      <c r="T75" s="303">
        <v>29</v>
      </c>
      <c r="U75" s="760" t="str">
        <f>INDEX($AA$5:$AA$37,MATCH(M75,$AB$5:$AB$37,0))</f>
        <v>ComboBox_EtKuntakoodi_00000001</v>
      </c>
      <c r="X75" s="407" t="s">
        <v>275</v>
      </c>
    </row>
    <row r="76" spans="1:26" x14ac:dyDescent="0.25">
      <c r="A76" s="943" t="s">
        <v>276</v>
      </c>
      <c r="B76" s="577" t="s">
        <v>277</v>
      </c>
      <c r="C76" s="469">
        <f>SUMIFS(AS!$W:$W,AS!$AB:$AB,"OK",AS!$AX:$AX,Parkki!$X76,AS!$AH:$AH,Parkki!$X$8,AS!$AW:$AW,$W$8,AS!$K:$K,$W$7,AS!$X:$X,Parkki!$Y$5,AS!$AV:$AV,Parkki!$Y$2,AS!$CY:$CY,$U$6,AS!$CZ:$CZ,$U$5)</f>
        <v>0</v>
      </c>
      <c r="D76" s="469">
        <f>SUMIFS(AS!$W:$W,AS!$AB:$AB,"OK",AS!$AX:$AX,Parkki!$X76,AS!$AH:$AH,Parkki!$X$8,AS!$F:$F,Parkki!$X$7,AS!$AW:$AW,$W$8,AS!$K:$K,$W$7,AS!$X:$X,Parkki!$Y$5,AS!$AV:$AV,Parkki!$Y$2,AS!$CY:$CY,$U$6,AS!$CZ:$CZ,$U$5)</f>
        <v>0</v>
      </c>
      <c r="E76" s="579" t="str">
        <f t="shared" si="20"/>
        <v>-</v>
      </c>
      <c r="F76" s="839"/>
      <c r="G76" s="168"/>
      <c r="H76" s="168"/>
      <c r="I76" s="168"/>
      <c r="J76" s="168"/>
      <c r="K76" s="840"/>
      <c r="M76" s="577" t="str">
        <f>IFERROR(INDEX($AJ$5:$AJ$37,MATCH(SMALL($AK$5:$AK$37,T76),$AK$5:$AK$37,0)),"")</f>
        <v/>
      </c>
      <c r="N76" s="469">
        <f>SUMIFS(AS!$W:$W,AS!$AB:$AB,"OK",AS!$X:$X,Parkki!$Y$5,AS!$AV:$AV,Parkki!$Y$2,AS!$AW:$AW,Parkki!$U76,AS!$K:$K,$Y$1)</f>
        <v>0</v>
      </c>
      <c r="O76" s="469">
        <f>SUMIFS(JA!$Z:$Z,JA!$AE:$AE,"OK",JA!$BE:$BE,Parkki!$Y$5,JA!$AI:$AI,Parkki!$Y$2,JA!$X:$X,$U76,JA!$CZ:$CZ,1,JA!$AJ:$AJ,Parkki!$Y$2,JA!$Y:$Y,$Y$1)</f>
        <v>0</v>
      </c>
      <c r="P76" s="469">
        <f>SUMIFS(JA!$Z:$Z,JA!$AE:$AE,"OK",JA!$BE:$BE,Parkki!$Y$5,JA!$AI:$AI,Parkki!$Y$2,JA!$X:$X,$U76,JA!$AJ:$AJ,Parkki!$Y$2,JA!$Y:$Y,$Y$1)</f>
        <v>0</v>
      </c>
      <c r="S76">
        <v>0</v>
      </c>
      <c r="T76" s="303">
        <v>30</v>
      </c>
      <c r="U76" s="760" t="str">
        <f>INDEX($AA$5:$AA$37,MATCH(M76,$AB$5:$AB$37,0))</f>
        <v>ComboBox_EtKuntakoodi_00000001</v>
      </c>
      <c r="X76" t="s">
        <v>278</v>
      </c>
    </row>
    <row r="77" spans="1:26" x14ac:dyDescent="0.25">
      <c r="A77" s="943"/>
      <c r="B77" s="577" t="s">
        <v>279</v>
      </c>
      <c r="C77" s="469">
        <f>SUMIFS(AS!$W:$W,AS!$AB:$AB,"OK",AS!$AX:$AX,Parkki!$X77,AS!$AH:$AH,Parkki!$X$8,AS!$AW:$AW,$W$8,AS!$K:$K,$W$7,AS!$X:$X,Parkki!$Y$5,AS!$AV:$AV,Parkki!$Y$2,AS!$CY:$CY,$U$6,AS!$CZ:$CZ,$U$5)</f>
        <v>0</v>
      </c>
      <c r="D77" s="469">
        <f>SUMIFS(AS!$W:$W,AS!$AB:$AB,"OK",AS!$AX:$AX,Parkki!$X77,AS!$AH:$AH,Parkki!$X$8,AS!$F:$F,Parkki!$X$7,AS!$AW:$AW,$W$8,AS!$K:$K,$W$7,AS!$X:$X,Parkki!$Y$5,AS!$AV:$AV,Parkki!$Y$2,AS!$CY:$CY,$U$6,AS!$CZ:$CZ,$U$5)</f>
        <v>0</v>
      </c>
      <c r="E77" s="579" t="str">
        <f t="shared" si="20"/>
        <v>-</v>
      </c>
      <c r="F77" s="839"/>
      <c r="G77" s="168"/>
      <c r="H77" s="168"/>
      <c r="I77" s="168"/>
      <c r="J77" s="168"/>
      <c r="K77" s="840"/>
      <c r="X77" t="s">
        <v>280</v>
      </c>
      <c r="Z77" s="619"/>
    </row>
    <row r="78" spans="1:26" x14ac:dyDescent="0.25">
      <c r="A78" s="943"/>
      <c r="B78" s="577" t="s">
        <v>281</v>
      </c>
      <c r="C78" s="469">
        <f>SUMIFS(AS!$W:$W,AS!$AB:$AB,"OK",AS!$AX:$AX,Parkki!$X78,AS!$AH:$AH,Parkki!$X$8,AS!$AW:$AW,$W$8,AS!$K:$K,$W$7,AS!$X:$X,Parkki!$Y$5,AS!$AV:$AV,Parkki!$Y$2,AS!$CY:$CY,$U$6,AS!$CZ:$CZ,$U$5)</f>
        <v>0</v>
      </c>
      <c r="D78" s="469">
        <f>SUMIFS(AS!$W:$W,AS!$AB:$AB,"OK",AS!$AX:$AX,Parkki!$X78,AS!$AH:$AH,Parkki!$X$8,AS!$F:$F,Parkki!$X$7,AS!$AW:$AW,$W$8,AS!$K:$K,$W$7,AS!$X:$X,Parkki!$Y$5,AS!$AV:$AV,Parkki!$Y$2,AS!$CY:$CY,$U$6,AS!$CZ:$CZ,$U$5)</f>
        <v>0</v>
      </c>
      <c r="E78" s="579" t="str">
        <f t="shared" si="20"/>
        <v>-</v>
      </c>
      <c r="F78" s="839"/>
      <c r="G78" s="168"/>
      <c r="H78" s="168"/>
      <c r="I78" s="168"/>
      <c r="J78" s="168"/>
      <c r="K78" s="840"/>
      <c r="X78" t="s">
        <v>282</v>
      </c>
      <c r="Z78" s="619"/>
    </row>
    <row r="79" spans="1:26" x14ac:dyDescent="0.25">
      <c r="A79" s="943"/>
      <c r="B79" s="892" t="s">
        <v>283</v>
      </c>
      <c r="C79" s="469">
        <f>SUMIFS(AS!$W:$W,AS!$AB:$AB,"OK",AS!$AX:$AX,Parkki!$X79,AS!$AH:$AH,Parkki!$X$8,AS!$AW:$AW,$W$8,AS!$K:$K,$W$7,AS!$X:$X,Parkki!$Y$5,AS!$AV:$AV,Parkki!$Y$2,AS!$CY:$CY,$U$6,AS!$CZ:$CZ,$U$5)+SUMIFS(AS!$W:$W,AS!$AB:$AB,"OK",AS!$AX:$AX,Parkki!$W79,AS!$AH:$AH,Parkki!$X$8,AS!$AW:$AW,$W$8,AS!$K:$K,$W$7,AS!$X:$X,Parkki!$Y$5,AS!$AV:$AV,Parkki!$Y$2,AS!$CY:$CY,$U$6,AS!$CZ:$CZ,$U$5)</f>
        <v>0</v>
      </c>
      <c r="D79" s="469">
        <f>SUMIFS(AS!$W:$W,AS!$AB:$AB,"OK",AS!$AX:$AX,Parkki!$X79,AS!$AH:$AH,Parkki!$X$8,AS!$F:$F,Parkki!$X$7,AS!$AW:$AW,$W$8,AS!$K:$K,$W$7,AS!$X:$X,Parkki!$Y$5,AS!$AV:$AV,Parkki!$Y$2,AS!$CY:$CY,$U$6,AS!$CZ:$CZ,$U$5)+SUMIFS(AS!$W:$W,AS!$AB:$AB,"OK",AS!$AX:$AX,Parkki!$W79,AS!$AH:$AH,Parkki!$X$8,AS!$F:$F,Parkki!$X$7,AS!$AW:$AW,$W$8,AS!$K:$K,$W$7,AS!$X:$X,Parkki!$Y$5,AS!$AV:$AV,Parkki!$Y$2,AS!$CY:$CY,$U$6,AS!$CZ:$CZ,$U$5)</f>
        <v>0</v>
      </c>
      <c r="E79" s="579" t="str">
        <f t="shared" si="20"/>
        <v>-</v>
      </c>
      <c r="F79" s="839"/>
      <c r="G79" s="168"/>
      <c r="H79" s="168"/>
      <c r="I79" s="168"/>
      <c r="J79" s="168"/>
      <c r="K79" s="840"/>
      <c r="W79" t="s">
        <v>284</v>
      </c>
      <c r="X79" s="407" t="s">
        <v>285</v>
      </c>
      <c r="Z79" s="619"/>
    </row>
    <row r="80" spans="1:26" x14ac:dyDescent="0.25">
      <c r="A80" s="955" t="s">
        <v>286</v>
      </c>
      <c r="B80" s="577" t="s">
        <v>287</v>
      </c>
      <c r="C80" s="469">
        <f>SUMIFS(AS!$W:$W,AS!$AB:$AB,"OK",AS!$AX:$AX,Parkki!$X80,AS!$AH:$AH,Parkki!$X$8,AS!$AW:$AW,$W$8,AS!$K:$K,$W$7,AS!$X:$X,Parkki!$Y$5,AS!$AV:$AV,Parkki!$Y$2,AS!$CY:$CY,$U$6,AS!$CZ:$CZ,$U$5)</f>
        <v>0</v>
      </c>
      <c r="D80" s="469">
        <f>SUMIFS(AS!$W:$W,AS!$AB:$AB,"OK",AS!$AX:$AX,Parkki!$X80,AS!$AH:$AH,Parkki!$X$8,AS!$F:$F,Parkki!$X$7,AS!$AW:$AW,$W$8,AS!$K:$K,$W$7,AS!$X:$X,Parkki!$Y$5,AS!$AV:$AV,Parkki!$Y$2,AS!$CY:$CY,$U$6,AS!$CZ:$CZ,$U$5)</f>
        <v>0</v>
      </c>
      <c r="E80" s="579" t="str">
        <f t="shared" si="20"/>
        <v>-</v>
      </c>
      <c r="F80" s="839"/>
      <c r="G80" s="168"/>
      <c r="H80" s="168"/>
      <c r="I80" s="168"/>
      <c r="J80" s="168"/>
      <c r="K80" s="840"/>
      <c r="X80" t="s">
        <v>288</v>
      </c>
    </row>
    <row r="81" spans="1:32" x14ac:dyDescent="0.25">
      <c r="A81" s="955"/>
      <c r="B81" s="577" t="s">
        <v>289</v>
      </c>
      <c r="C81" s="469">
        <f>SUMIFS(AS!$W:$W,AS!$AB:$AB,"OK",AS!$AX:$AX,Parkki!$X81,AS!$AH:$AH,Parkki!$X$8,AS!$AW:$AW,$W$8,AS!$K:$K,$W$7,AS!$X:$X,Parkki!$Y$5,AS!$AV:$AV,Parkki!$Y$2,AS!$CY:$CY,$U$6,AS!$CZ:$CZ,$U$5)</f>
        <v>0</v>
      </c>
      <c r="D81" s="469">
        <f>SUMIFS(AS!$W:$W,AS!$AB:$AB,"OK",AS!$AX:$AX,Parkki!$X81,AS!$AH:$AH,Parkki!$X$8,AS!$F:$F,Parkki!$X$7,AS!$AW:$AW,$W$8,AS!$K:$K,$W$7,AS!$X:$X,Parkki!$Y$5,AS!$AV:$AV,Parkki!$Y$2,AS!$CY:$CY,$U$6,AS!$CZ:$CZ,$U$5)</f>
        <v>0</v>
      </c>
      <c r="E81" s="579" t="str">
        <f t="shared" si="20"/>
        <v>-</v>
      </c>
      <c r="F81" s="839"/>
      <c r="G81" s="168"/>
      <c r="H81" s="168"/>
      <c r="I81" s="168"/>
      <c r="J81" s="168"/>
      <c r="K81" s="840"/>
      <c r="X81" t="s">
        <v>290</v>
      </c>
    </row>
    <row r="82" spans="1:32" x14ac:dyDescent="0.25">
      <c r="A82" s="955"/>
      <c r="B82" s="577" t="s">
        <v>291</v>
      </c>
      <c r="C82" s="469">
        <f>SUMIFS(AS!$W:$W,AS!$AB:$AB,"OK",AS!$AX:$AX,Parkki!$X82,AS!$AH:$AH,Parkki!$X$8,AS!$AW:$AW,$W$8,AS!$K:$K,$W$7,AS!$X:$X,Parkki!$Y$5,AS!$AV:$AV,Parkki!$Y$2,AS!$CY:$CY,$U$6,AS!$CZ:$CZ,$U$5)</f>
        <v>0</v>
      </c>
      <c r="D82" s="469">
        <f>SUMIFS(AS!$W:$W,AS!$AB:$AB,"OK",AS!$AX:$AX,Parkki!$X82,AS!$AH:$AH,Parkki!$X$8,AS!$F:$F,Parkki!$X$7,AS!$AW:$AW,$W$8,AS!$K:$K,$W$7,AS!$X:$X,Parkki!$Y$5,AS!$AV:$AV,Parkki!$Y$2,AS!$CY:$CY,$U$6,AS!$CZ:$CZ,$U$5)</f>
        <v>0</v>
      </c>
      <c r="E82" s="579" t="str">
        <f t="shared" si="20"/>
        <v>-</v>
      </c>
      <c r="F82" s="839"/>
      <c r="G82" s="168"/>
      <c r="H82" s="168"/>
      <c r="I82" s="168"/>
      <c r="J82" s="168"/>
      <c r="K82" s="840"/>
      <c r="X82" t="s">
        <v>292</v>
      </c>
    </row>
    <row r="83" spans="1:32" x14ac:dyDescent="0.25">
      <c r="A83" s="955"/>
      <c r="B83" s="577" t="s">
        <v>293</v>
      </c>
      <c r="C83" s="469">
        <f>SUMIFS(AS!$W:$W,AS!$AB:$AB,"OK",AS!$AX:$AX,Parkki!$Y83,AS!$AH:$AH,Parkki!$X$8,AS!$AW:$AW,$W$8,AS!$K:$K,$W$7,AS!$X:$X,Parkki!$Y$5,AS!$AV:$AV,Parkki!$Y$2,AS!$CY:$CY,$U$6,AS!$CZ:$CZ,$U$5)+SUMIFS(AS!$W:$W,AS!$AB:$AB,"OK",AS!$AX:$AX,Parkki!$X83,AS!$AH:$AH,Parkki!$X$8,AS!$AW:$AW,$W$8,AS!$K:$K,$W$7,AS!$X:$X,Parkki!$Y$5,AS!$AV:$AV,Parkki!$Y$2,AS!$CY:$CY,$U$6,AS!$CZ:$CZ,$U$5)</f>
        <v>0</v>
      </c>
      <c r="D83" s="469">
        <f>SUMIFS(AS!$W:$W,AS!$AB:$AB,"OK",AS!$AX:$AX,Parkki!$Y83,AS!$AH:$AH,Parkki!$X$8,AS!$F:$F,Parkki!$X$7,AS!$AW:$AW,$W$8,AS!$K:$K,$W$7,AS!$X:$X,Parkki!$Y$5,AS!$AV:$AV,Parkki!$Y$2,AS!$CY:$CY,$U$6,AS!$CZ:$CZ,$U$5)+SUMIFS(AS!$W:$W,AS!$AB:$AB,"OK",AS!$AX:$AX,Parkki!$X83,AS!$AH:$AH,Parkki!$X$8,AS!$F:$F,Parkki!$X$7,AS!$AW:$AW,$W$8,AS!$K:$K,$W$7,AS!$X:$X,Parkki!$Y$5,AS!$AV:$AV,Parkki!$Y$2,AS!$CY:$CY,$U$6,AS!$CZ:$CZ,$U$5)</f>
        <v>0</v>
      </c>
      <c r="E83" s="579" t="str">
        <f t="shared" si="20"/>
        <v>-</v>
      </c>
      <c r="F83" s="839"/>
      <c r="G83" s="168"/>
      <c r="H83" s="168"/>
      <c r="I83" s="168"/>
      <c r="J83" s="168"/>
      <c r="K83" s="840"/>
      <c r="X83" t="s">
        <v>294</v>
      </c>
      <c r="Y83" s="86" t="s">
        <v>295</v>
      </c>
    </row>
    <row r="84" spans="1:32" x14ac:dyDescent="0.25">
      <c r="A84" s="955"/>
      <c r="B84" s="577" t="s">
        <v>296</v>
      </c>
      <c r="C84" s="469">
        <f>SUMIFS(AS!$W:$W,AS!$AB:$AB,"OK",AS!$AX:$AX,Parkki!$X84,AS!$AH:$AH,Parkki!$X$8,AS!$AW:$AW,$W$8,AS!$K:$K,$W$7,AS!$X:$X,Parkki!$Y$5,AS!$AV:$AV,Parkki!$Y$2,AS!$CY:$CY,$U$6,AS!$CZ:$CZ,$U$5)</f>
        <v>0</v>
      </c>
      <c r="D84" s="469">
        <f>SUMIFS(AS!$W:$W,AS!$AB:$AB,"OK",AS!$AX:$AX,Parkki!$X84,AS!$AH:$AH,Parkki!$X$8,AS!$F:$F,Parkki!$X$7,AS!$AW:$AW,$W$8,AS!$K:$K,$W$7,AS!$X:$X,Parkki!$Y$5,AS!$AV:$AV,Parkki!$Y$2,AS!$CY:$CY,$U$6,AS!$CZ:$CZ,$U$5)</f>
        <v>0</v>
      </c>
      <c r="E84" s="579" t="str">
        <f t="shared" si="20"/>
        <v>-</v>
      </c>
      <c r="F84" s="839"/>
      <c r="G84" s="168"/>
      <c r="H84" s="168"/>
      <c r="I84" s="168"/>
      <c r="J84" s="168"/>
      <c r="K84" s="840"/>
      <c r="X84" t="s">
        <v>297</v>
      </c>
    </row>
    <row r="85" spans="1:32" x14ac:dyDescent="0.25">
      <c r="A85" s="955" t="s">
        <v>298</v>
      </c>
      <c r="B85" s="577" t="s">
        <v>299</v>
      </c>
      <c r="C85" s="469">
        <f>SUMIFS(AS!$W:$W,AS!$AB:$AB,"OK",AS!$AX:$AX,Parkki!$X85,AS!$AH:$AH,Parkki!$X$8,AS!$AW:$AW,$W$8,AS!$K:$K,$W$7,AS!$X:$X,Parkki!$Y$5,AS!$AV:$AV,Parkki!$Y$2,AS!$CY:$CY,$U$6,AS!$CZ:$CZ,$U$5)</f>
        <v>0</v>
      </c>
      <c r="D85" s="469">
        <f>SUMIFS(AS!$W:$W,AS!$AB:$AB,"OK",AS!$AX:$AX,Parkki!$X85,AS!$AH:$AH,Parkki!$X$8,AS!$F:$F,Parkki!$X$7,AS!$AW:$AW,$W$8,AS!$K:$K,$W$7,AS!$X:$X,Parkki!$Y$5,AS!$AV:$AV,Parkki!$Y$2,AS!$CY:$CY,$U$6,AS!$CZ:$CZ,$U$5)</f>
        <v>0</v>
      </c>
      <c r="E85" s="579" t="str">
        <f t="shared" si="20"/>
        <v>-</v>
      </c>
      <c r="F85" s="839"/>
      <c r="G85" s="168"/>
      <c r="H85" s="168"/>
      <c r="I85" s="168"/>
      <c r="J85" s="168"/>
      <c r="K85" s="840"/>
      <c r="X85" t="s">
        <v>300</v>
      </c>
    </row>
    <row r="86" spans="1:32" x14ac:dyDescent="0.25">
      <c r="A86" s="955"/>
      <c r="B86" s="577" t="s">
        <v>301</v>
      </c>
      <c r="C86" s="469">
        <f>SUMIFS(AS!$W:$W,AS!$AB:$AB,"OK",AS!$AX:$AX,Parkki!$X86,AS!$AH:$AH,Parkki!$X$8,AS!$AW:$AW,$W$8,AS!$K:$K,$W$7,AS!$X:$X,Parkki!$Y$5,AS!$AV:$AV,Parkki!$Y$2,AS!$CY:$CY,$U$6,AS!$CZ:$CZ,$U$5)</f>
        <v>0</v>
      </c>
      <c r="D86" s="469">
        <f>SUMIFS(AS!$W:$W,AS!$AB:$AB,"OK",AS!$AX:$AX,Parkki!$X86,AS!$AH:$AH,Parkki!$X$8,AS!$F:$F,Parkki!$X$7,AS!$AW:$AW,$W$8,AS!$K:$K,$W$7,AS!$X:$X,Parkki!$Y$5,AS!$AV:$AV,Parkki!$Y$2,AS!$CY:$CY,$U$6,AS!$CZ:$CZ,$U$5)</f>
        <v>0</v>
      </c>
      <c r="E86" s="579" t="str">
        <f t="shared" si="20"/>
        <v>-</v>
      </c>
      <c r="F86" s="839"/>
      <c r="G86" s="168"/>
      <c r="H86" s="168"/>
      <c r="I86" s="168"/>
      <c r="J86" s="168"/>
      <c r="K86" s="840"/>
      <c r="X86" t="s">
        <v>302</v>
      </c>
    </row>
    <row r="87" spans="1:32" x14ac:dyDescent="0.25">
      <c r="A87" s="955"/>
      <c r="B87" s="577" t="s">
        <v>303</v>
      </c>
      <c r="C87" s="469">
        <f>SUMIFS(AS!$W:$W,AS!$AB:$AB,"OK",AS!$AX:$AX,Parkki!$X87,AS!$AH:$AH,Parkki!$X$8,AS!$AW:$AW,$W$8,AS!$K:$K,$W$7,AS!$X:$X,Parkki!$Y$5,AS!$AV:$AV,Parkki!$Y$2,AS!$CY:$CY,$U$6,AS!$CZ:$CZ,$U$5)</f>
        <v>0</v>
      </c>
      <c r="D87" s="469">
        <f>SUMIFS(AS!$W:$W,AS!$AB:$AB,"OK",AS!$AX:$AX,Parkki!$X87,AS!$AH:$AH,Parkki!$X$8,AS!$F:$F,Parkki!$X$7,AS!$AW:$AW,$W$8,AS!$K:$K,$W$7,AS!$X:$X,Parkki!$Y$5,AS!$AV:$AV,Parkki!$Y$2,AS!$CY:$CY,$U$6,AS!$CZ:$CZ,$U$5)</f>
        <v>0</v>
      </c>
      <c r="E87" s="579" t="str">
        <f t="shared" si="20"/>
        <v>-</v>
      </c>
      <c r="F87" s="839"/>
      <c r="G87" s="168"/>
      <c r="H87" s="168"/>
      <c r="I87" s="168"/>
      <c r="J87" s="168"/>
      <c r="K87" s="840"/>
      <c r="X87" s="86" t="s">
        <v>304</v>
      </c>
    </row>
    <row r="88" spans="1:32" x14ac:dyDescent="0.25">
      <c r="A88" s="932" t="s">
        <v>239</v>
      </c>
      <c r="B88" s="577" t="s">
        <v>239</v>
      </c>
      <c r="C88" s="469">
        <f>SUMIFS(AS!$W:$W,AS!$AB:$AB,"OK",AS!$AX:$AX,Parkki!$X88,AS!$AH:$AH,Parkki!$X$8,AS!$AW:$AW,$W$8,AS!$K:$K,$W$7,AS!$X:$X,Parkki!$Y$5,AS!$AV:$AV,Parkki!$Y$2,AS!$CY:$CY,$U$6,AS!$CZ:$CZ,$U$5)</f>
        <v>0</v>
      </c>
      <c r="D88" s="469">
        <f>SUMIFS(AS!$W:$W,AS!$AB:$AB,"OK",AS!$AX:$AX,Parkki!$X88,AS!$AH:$AH,Parkki!$X$8,AS!$F:$F,Parkki!$X$7,AS!$AW:$AW,$W$8,AS!$K:$K,$W$7,AS!$X:$X,Parkki!$Y$5,AS!$AV:$AV,Parkki!$Y$2,AS!$CY:$CY,$U$6,AS!$CZ:$CZ,$U$5)</f>
        <v>0</v>
      </c>
      <c r="E88" s="579" t="str">
        <f t="shared" si="20"/>
        <v>-</v>
      </c>
      <c r="F88" s="839"/>
      <c r="G88" s="168"/>
      <c r="H88" s="168"/>
      <c r="I88" s="168"/>
      <c r="J88" s="168"/>
      <c r="K88" s="840"/>
      <c r="X88" s="86" t="s">
        <v>305</v>
      </c>
    </row>
    <row r="89" spans="1:32" x14ac:dyDescent="0.25">
      <c r="A89" s="932"/>
      <c r="B89" s="577" t="s">
        <v>241</v>
      </c>
      <c r="C89" s="469">
        <f>SUMIFS(AS!$W:$W,AS!$AB:$AB,"OK",AS!$AX:$AX,"",AS!$AH:$AH,Parkki!$X$8,AS!$AW:$AW,$W$8,AS!$K:$K,$W$7,AS!$X:$X,Parkki!$Y$5,AS!$AV:$AV,Parkki!$Y$2,AS!$CY:$CY,$U$6,AS!$CZ:$CZ,$U$5)</f>
        <v>0</v>
      </c>
      <c r="D89" s="469">
        <f>SUMIFS(AS!$W:$W,AS!$AB:$AB,"OK",AS!$AX:$AX,"",AS!$AH:$AH,Parkki!$X$8,AS!$F:$F,Parkki!$X$7,AS!$AW:$AW,$W$8,AS!$K:$K,$W$7,AS!$X:$X,Parkki!$Y$5,AS!$AV:$AV,Parkki!$Y$2,AS!$CY:$CY,$U$6,AS!$CZ:$CZ,$U$5)</f>
        <v>0</v>
      </c>
      <c r="E89" s="579" t="str">
        <f t="shared" si="20"/>
        <v>-</v>
      </c>
      <c r="F89" s="839"/>
      <c r="G89" s="168"/>
      <c r="H89" s="168"/>
      <c r="I89" s="168"/>
      <c r="J89" s="168"/>
      <c r="K89" s="840"/>
      <c r="X89" s="477" t="s">
        <v>306</v>
      </c>
    </row>
    <row r="90" spans="1:32" x14ac:dyDescent="0.25">
      <c r="A90" s="922" t="s">
        <v>307</v>
      </c>
      <c r="B90" s="923"/>
      <c r="C90" s="471">
        <f>IFERROR(SUM(C65:C89),"")</f>
        <v>0</v>
      </c>
      <c r="D90" s="471">
        <f>IFERROR(SUM(D65:D89),"")</f>
        <v>0</v>
      </c>
      <c r="E90" s="380"/>
      <c r="F90" s="841"/>
      <c r="G90" s="842"/>
      <c r="H90" s="842"/>
      <c r="I90" s="842"/>
      <c r="J90" s="842"/>
      <c r="K90" s="843"/>
      <c r="X90" s="86"/>
    </row>
    <row r="91" spans="1:32" x14ac:dyDescent="0.25">
      <c r="A91" s="460"/>
      <c r="C91" s="428"/>
      <c r="E91" s="380"/>
    </row>
    <row r="92" spans="1:32" x14ac:dyDescent="0.25">
      <c r="A92" s="941" t="str">
        <f>"NUORTEN valmentautujien koulutustaustat"&amp;X10&amp;X12</f>
        <v>NUORTEN valmentautujien koulutustaustat - 01.01.2026-31.12.2026 (Kaikki kunnat - tiedot perustiedoista, Kaikki yksiköt - tiedot perustiedoista, Kaikki asiakkuudet)</v>
      </c>
      <c r="B92" s="941"/>
      <c r="C92" s="941"/>
      <c r="D92" s="941"/>
      <c r="E92" s="380"/>
      <c r="F92" s="836"/>
      <c r="G92" s="837"/>
      <c r="H92" s="837"/>
      <c r="I92" s="837"/>
      <c r="J92" s="837"/>
      <c r="K92" s="838"/>
    </row>
    <row r="93" spans="1:32" x14ac:dyDescent="0.25">
      <c r="A93" s="942"/>
      <c r="B93" s="942"/>
      <c r="C93" s="942"/>
      <c r="D93" s="942"/>
      <c r="E93" s="380"/>
      <c r="F93" s="839"/>
      <c r="G93" s="168"/>
      <c r="H93" s="168"/>
      <c r="I93" s="168"/>
      <c r="J93" s="168"/>
      <c r="K93" s="840"/>
    </row>
    <row r="94" spans="1:32" x14ac:dyDescent="0.25">
      <c r="A94" s="930" t="s">
        <v>308</v>
      </c>
      <c r="B94" s="931"/>
      <c r="C94" s="578" t="s">
        <v>148</v>
      </c>
      <c r="D94" s="578" t="s">
        <v>70</v>
      </c>
      <c r="E94" s="380"/>
      <c r="F94" s="839"/>
      <c r="G94" s="168"/>
      <c r="H94" s="168"/>
      <c r="I94" s="168"/>
      <c r="J94" s="168"/>
      <c r="K94" s="840"/>
    </row>
    <row r="95" spans="1:32" x14ac:dyDescent="0.25">
      <c r="A95" s="932" t="s">
        <v>247</v>
      </c>
      <c r="B95" s="577" t="s">
        <v>309</v>
      </c>
      <c r="C95" s="469">
        <f>SUMIFS(AS!$W:$W,AS!$AB:$AB,"OK",AS!$AJ:$AJ,Parkki!$X95,AS!$AH:$AH,Parkki!$X$8,AS!$AW:$AW,$W$8,AS!$K:$K,$W$7,AS!$X:$X,Parkki!$Y$5,AS!$AV:$AV,Parkki!$Y$2,AS!$CY:$CY,$U$6,AS!$CZ:$CZ,$U$5)</f>
        <v>0</v>
      </c>
      <c r="D95" s="469">
        <f>SUMIFS(AS!$W:$W,AS!$AB:$AB,"OK",AS!$AJ:$AJ,Parkki!$X95,AS!$AH:$AH,Parkki!$X$8,AS!$F:$F,Parkki!$X$7,AS!$AW:$AW,$W$8,AS!$K:$K,$W$7,AS!$X:$X,Parkki!$Y$5,AS!$AV:$AV,Parkki!$Y$2,AS!$CY:$CY,$U$6,AS!$CZ:$CZ,$U$5)</f>
        <v>0</v>
      </c>
      <c r="E95" s="579" t="str">
        <f>IFERROR(C95/$C$107,"-")</f>
        <v>-</v>
      </c>
      <c r="F95" s="839"/>
      <c r="G95" s="168"/>
      <c r="H95" s="168"/>
      <c r="I95" s="168"/>
      <c r="J95" s="168"/>
      <c r="K95" s="840"/>
      <c r="S95" s="228" t="s">
        <v>71</v>
      </c>
      <c r="T95" s="228" t="s">
        <v>121</v>
      </c>
      <c r="X95" t="s">
        <v>310</v>
      </c>
      <c r="AF95" s="563" t="s">
        <v>311</v>
      </c>
    </row>
    <row r="96" spans="1:32" x14ac:dyDescent="0.25">
      <c r="A96" s="932"/>
      <c r="B96" s="577" t="s">
        <v>312</v>
      </c>
      <c r="C96" s="469">
        <f>SUMIFS(AS!$W:$W,AS!$AB:$AB,"OK",AS!$AJ:$AJ,Parkki!$X96,AS!$AH:$AH,Parkki!$X$8,AS!$AW:$AW,$W$8,AS!$K:$K,$W$7,AS!$X:$X,Parkki!$Y$5,AS!$AV:$AV,Parkki!$Y$2,AS!$CY:$CY,$U$6,AS!$CZ:$CZ,$U$5)</f>
        <v>0</v>
      </c>
      <c r="D96" s="469">
        <f>SUMIFS(AS!$W:$W,AS!$AB:$AB,"OK",AS!$AJ:$AJ,Parkki!$X96,AS!$AH:$AH,Parkki!$X$8,AS!$F:$F,Parkki!$X$7,AS!$AW:$AW,$W$8,AS!$K:$K,$W$7,AS!$X:$X,Parkki!$Y$5,AS!$AV:$AV,Parkki!$Y$2,AS!$CY:$CY,$U$6,AS!$CZ:$CZ,$U$5)</f>
        <v>0</v>
      </c>
      <c r="E96" s="579" t="str">
        <f t="shared" ref="E96:E106" si="21">IFERROR(C96/$C$107,"-")</f>
        <v>-</v>
      </c>
      <c r="F96" s="839"/>
      <c r="G96" s="168"/>
      <c r="H96" s="168"/>
      <c r="I96" s="168"/>
      <c r="J96" s="168"/>
      <c r="K96" s="840"/>
      <c r="S96" s="228" t="s">
        <v>128</v>
      </c>
      <c r="T96" s="228" t="s">
        <v>129</v>
      </c>
      <c r="X96" t="s">
        <v>313</v>
      </c>
      <c r="AF96" s="562" t="s">
        <v>314</v>
      </c>
    </row>
    <row r="97" spans="1:33" x14ac:dyDescent="0.25">
      <c r="A97" s="932"/>
      <c r="B97" s="577" t="s">
        <v>315</v>
      </c>
      <c r="C97" s="469">
        <f>SUMIFS(AS!$W:$W,AS!$AB:$AB,"OK",AS!$AJ:$AJ,Parkki!$X97,AS!$AH:$AH,Parkki!$X$8,AS!$AW:$AW,$W$8,AS!$K:$K,$W$7,AS!$X:$X,Parkki!$Y$5,AS!$AV:$AV,Parkki!$Y$2,AS!$CY:$CY,$U$6,AS!$CZ:$CZ,$U$5)</f>
        <v>0</v>
      </c>
      <c r="D97" s="469">
        <f>SUMIFS(AS!$W:$W,AS!$AB:$AB,"OK",AS!$AJ:$AJ,Parkki!$X97,AS!$AH:$AH,Parkki!$X$8,AS!$F:$F,Parkki!$X$7,AS!$AW:$AW,$W$8,AS!$K:$K,$W$7,AS!$X:$X,Parkki!$Y$5,AS!$AV:$AV,Parkki!$Y$2,AS!$CY:$CY,$U$6,AS!$CZ:$CZ,$U$5)</f>
        <v>0</v>
      </c>
      <c r="E97" s="579" t="str">
        <f t="shared" si="21"/>
        <v>-</v>
      </c>
      <c r="F97" s="839"/>
      <c r="G97" s="168"/>
      <c r="H97" s="168"/>
      <c r="I97" s="168"/>
      <c r="J97" s="168"/>
      <c r="K97" s="840"/>
      <c r="S97" s="228" t="s">
        <v>316</v>
      </c>
      <c r="T97" s="228" t="s">
        <v>317</v>
      </c>
      <c r="X97" t="s">
        <v>318</v>
      </c>
      <c r="AF97" s="563" t="s">
        <v>319</v>
      </c>
    </row>
    <row r="98" spans="1:33" x14ac:dyDescent="0.25">
      <c r="A98" s="932" t="s">
        <v>320</v>
      </c>
      <c r="B98" s="577" t="s">
        <v>321</v>
      </c>
      <c r="C98" s="469">
        <f>SUMIFS(AS!$W:$W,AS!$AB:$AB,"OK",AS!$AJ:$AJ,Parkki!$X98,AS!$AH:$AH,Parkki!$X$8,AS!$AW:$AW,$W$8,AS!$K:$K,$W$7,AS!$X:$X,Parkki!$Y$5,AS!$AV:$AV,Parkki!$Y$2,AS!$CY:$CY,$U$6,AS!$CZ:$CZ,$U$5)</f>
        <v>0</v>
      </c>
      <c r="D98" s="469">
        <f>SUMIFS(AS!$W:$W,AS!$AB:$AB,"OK",AS!$AJ:$AJ,Parkki!$X98,AS!$AH:$AH,Parkki!$X$8,AS!$F:$F,Parkki!$X$7,AS!$AW:$AW,$W$8,AS!$K:$K,$W$7,AS!$X:$X,Parkki!$Y$5,AS!$AV:$AV,Parkki!$Y$2,AS!$CY:$CY,$U$6,AS!$CZ:$CZ,$U$5)</f>
        <v>0</v>
      </c>
      <c r="E98" s="579" t="str">
        <f t="shared" si="21"/>
        <v>-</v>
      </c>
      <c r="F98" s="839"/>
      <c r="G98" s="168"/>
      <c r="H98" s="168"/>
      <c r="I98" s="168"/>
      <c r="J98" s="168"/>
      <c r="K98" s="840"/>
      <c r="S98" s="228" t="s">
        <v>84</v>
      </c>
      <c r="T98" s="228" t="s">
        <v>134</v>
      </c>
      <c r="X98" t="s">
        <v>322</v>
      </c>
      <c r="AF98" s="562" t="s">
        <v>323</v>
      </c>
    </row>
    <row r="99" spans="1:33" x14ac:dyDescent="0.25">
      <c r="A99" s="932"/>
      <c r="B99" s="577" t="s">
        <v>324</v>
      </c>
      <c r="C99" s="469">
        <f>SUMIFS(AS!$W:$W,AS!$AB:$AB,"OK",AS!$AJ:$AJ,Parkki!$X99,AS!$AH:$AH,Parkki!$X$8,AS!$AW:$AW,$W$8,AS!$K:$K,$W$7,AS!$X:$X,Parkki!$Y$5,AS!$AV:$AV,Parkki!$Y$2,AS!$CY:$CY,$U$6,AS!$CZ:$CZ,$U$5)</f>
        <v>0</v>
      </c>
      <c r="D99" s="469">
        <f>SUMIFS(AS!$W:$W,AS!$AB:$AB,"OK",AS!$AJ:$AJ,Parkki!$X99,AS!$AH:$AH,Parkki!$X$8,AS!$F:$F,Parkki!$X$7,AS!$AW:$AW,$W$8,AS!$K:$K,$W$7,AS!$X:$X,Parkki!$Y$5,AS!$AV:$AV,Parkki!$Y$2,AS!$CY:$CY,$U$6,AS!$CZ:$CZ,$U$5)</f>
        <v>0</v>
      </c>
      <c r="E99" s="579" t="str">
        <f t="shared" si="21"/>
        <v>-</v>
      </c>
      <c r="F99" s="839"/>
      <c r="G99" s="168"/>
      <c r="H99" s="168"/>
      <c r="I99" s="168"/>
      <c r="J99" s="168"/>
      <c r="K99" s="840"/>
      <c r="S99" s="228" t="s">
        <v>325</v>
      </c>
      <c r="T99" s="228" t="s">
        <v>326</v>
      </c>
      <c r="X99" t="s">
        <v>327</v>
      </c>
      <c r="AC99" s="626">
        <f>AC104+AC105+AC106+AC100+AC101+AC102+AC103</f>
        <v>0</v>
      </c>
      <c r="AD99" s="626">
        <f>AD104+AD105+AD106+AD100+AD101+AD102+AD103</f>
        <v>0</v>
      </c>
      <c r="AF99" s="562" t="s">
        <v>328</v>
      </c>
    </row>
    <row r="100" spans="1:33" x14ac:dyDescent="0.25">
      <c r="A100" s="932"/>
      <c r="B100" s="577" t="s">
        <v>329</v>
      </c>
      <c r="C100" s="469">
        <f>SUMIFS(AS!$W:$W,AS!$AB:$AB,"OK",AS!$AJ:$AJ,Parkki!$X100,AS!$AH:$AH,Parkki!$X$8,AS!$AW:$AW,$W$8,AS!$K:$K,$W$7,AS!$X:$X,Parkki!$Y$5,AS!$AV:$AV,Parkki!$Y$2,AS!$CY:$CY,$U$6,AS!$CZ:$CZ,$U$5)</f>
        <v>0</v>
      </c>
      <c r="D100" s="469">
        <f>SUMIFS(AS!$W:$W,AS!$AB:$AB,"OK",AS!$AJ:$AJ,Parkki!$X100,AS!$AH:$AH,Parkki!$X$8,AS!$F:$F,Parkki!$X$7,AS!$AW:$AW,$W$8,AS!$K:$K,$W$7,AS!$X:$X,Parkki!$Y$5,AS!$AV:$AV,Parkki!$Y$2,AS!$CY:$CY,$U$6,AS!$CZ:$CZ,$U$5)</f>
        <v>0</v>
      </c>
      <c r="E100" s="579" t="str">
        <f t="shared" si="21"/>
        <v>-</v>
      </c>
      <c r="F100" s="839"/>
      <c r="G100" s="168"/>
      <c r="H100" s="168"/>
      <c r="I100" s="168"/>
      <c r="J100" s="168"/>
      <c r="K100" s="840"/>
      <c r="S100" s="228" t="s">
        <v>330</v>
      </c>
      <c r="T100" s="228" t="s">
        <v>331</v>
      </c>
      <c r="X100" t="s">
        <v>332</v>
      </c>
      <c r="AC100" s="469">
        <f>SUMIFS(JA!$Z:$Z,JA!$AE:$AE,"OK",JA!$AT:$AT,Parkki!$AE100,JA!$X:$X,Parkki!$Y$6,JA!$CI:$CI,$W$7,JA!$BE:$BE,Parkki!$Y$5,JA!$AI:$AI,Parkki!$Y$4,JA!CW:CW,1,JA!$Y:$Y,Parkki!$W$6,JA!$AJ:$AJ,Parkki!$Y$2,JA!$X:$X,Parkki!$W$5)</f>
        <v>0</v>
      </c>
      <c r="AD100" s="469">
        <f>SUMIFS(JA!$Z:$Z,JA!$AE:$AE,"OK",JA!$AT:$AT,Parkki!$AE100,JA!$AU:$AU,Parkki!$X$8,JA!$X:$X,Parkki!$Y$6,JA!$CI:$CI,$W$7,JA!$BE:$BE,Parkki!$Y$5,JA!$AI:$AI,Parkki!$Y$4,JA!CW:CW,1,JA!$Y:$Y,Parkki!$W$6,JA!$AJ:$AJ,Parkki!$Y$2,JA!$X:$X,Parkki!$W$5)</f>
        <v>0</v>
      </c>
      <c r="AE100" s="228" t="s">
        <v>333</v>
      </c>
      <c r="AF100" s="563" t="s">
        <v>334</v>
      </c>
    </row>
    <row r="101" spans="1:33" x14ac:dyDescent="0.25">
      <c r="A101" s="932" t="s">
        <v>335</v>
      </c>
      <c r="B101" s="577" t="s">
        <v>336</v>
      </c>
      <c r="C101" s="469">
        <f>SUMIFS(AS!$W:$W,AS!$AB:$AB,"OK",AS!$AJ:$AJ,Parkki!$X101,AS!$AH:$AH,Parkki!$X$8,AS!$AW:$AW,$W$8,AS!$K:$K,$W$7,AS!$X:$X,Parkki!$Y$5,AS!$AV:$AV,Parkki!$Y$2,AS!$CY:$CY,$U$6,AS!$CZ:$CZ,$U$5)</f>
        <v>0</v>
      </c>
      <c r="D101" s="469">
        <f>SUMIFS(AS!$W:$W,AS!$AB:$AB,"OK",AS!$AJ:$AJ,Parkki!$X101,AS!$AH:$AH,Parkki!$X$8,AS!$F:$F,Parkki!$X$7,AS!$AW:$AW,$W$8,AS!$K:$K,$W$7,AS!$X:$X,Parkki!$Y$5,AS!$AV:$AV,Parkki!$Y$2,AS!$CY:$CY,$U$6,AS!$CZ:$CZ,$U$5)</f>
        <v>0</v>
      </c>
      <c r="E101" s="579" t="str">
        <f t="shared" si="21"/>
        <v>-</v>
      </c>
      <c r="F101" s="839"/>
      <c r="G101" s="168"/>
      <c r="H101" s="168"/>
      <c r="I101" s="168"/>
      <c r="J101" s="168"/>
      <c r="K101" s="840"/>
      <c r="S101" s="228" t="s">
        <v>143</v>
      </c>
      <c r="T101" s="228" t="s">
        <v>337</v>
      </c>
      <c r="X101" t="s">
        <v>338</v>
      </c>
      <c r="AC101" s="469">
        <f>SUMIFS(JA!$Z:$Z,JA!$AE:$AE,"OK",JA!$AT:$AT,Parkki!$AE101,JA!$X:$X,Parkki!$Y$6,JA!$CI:$CI,$W$7,JA!$BE:$BE,Parkki!$Y$5,JA!$AI:$AI,Parkki!$Y$4,JA!CW:CW,1,JA!$Y:$Y,Parkki!$W$6,JA!$AJ:$AJ,Parkki!$Y$2,JA!$X:$X,Parkki!$W$5)</f>
        <v>0</v>
      </c>
      <c r="AD101" s="469">
        <f>SUMIFS(JA!$Z:$Z,JA!$AE:$AE,"OK",JA!$AT:$AT,Parkki!$AE101,JA!$AU:$AU,Parkki!$X$8,JA!$X:$X,Parkki!$Y$6,JA!$CI:$CI,$W$7,JA!$BE:$BE,Parkki!$Y$5,JA!$AI:$AI,Parkki!$Y$4,JA!CW:CW,1,JA!$Y:$Y,Parkki!$W$6,JA!$AJ:$AJ,Parkki!$Y$2,JA!$X:$X,Parkki!$W$5)</f>
        <v>0</v>
      </c>
      <c r="AE101" s="228" t="s">
        <v>339</v>
      </c>
      <c r="AF101" s="564" t="s">
        <v>340</v>
      </c>
    </row>
    <row r="102" spans="1:33" x14ac:dyDescent="0.25">
      <c r="A102" s="932"/>
      <c r="B102" s="577" t="s">
        <v>341</v>
      </c>
      <c r="C102" s="469">
        <f>SUMIFS(AS!$W:$W,AS!$AB:$AB,"OK",AS!$AJ:$AJ,Parkki!$X102,AS!$AH:$AH,Parkki!$X$8,AS!$AW:$AW,$W$8,AS!$K:$K,$W$7,AS!$X:$X,Parkki!$Y$5,AS!$AV:$AV,Parkki!$Y$2,AS!$CY:$CY,$U$6,AS!$CZ:$CZ,$U$5)</f>
        <v>0</v>
      </c>
      <c r="D102" s="469">
        <f>SUMIFS(AS!$W:$W,AS!$AB:$AB,"OK",AS!$AJ:$AJ,Parkki!$X102,AS!$AH:$AH,Parkki!$X$8,AS!$F:$F,Parkki!$X$7,AS!$AW:$AW,$W$8,AS!$K:$K,$W$7,AS!$X:$X,Parkki!$Y$5,AS!$AV:$AV,Parkki!$Y$2,AS!$CY:$CY,$U$6,AS!$CZ:$CZ,$U$5)</f>
        <v>0</v>
      </c>
      <c r="E102" s="579" t="str">
        <f t="shared" si="21"/>
        <v>-</v>
      </c>
      <c r="F102" s="839"/>
      <c r="G102" s="168"/>
      <c r="H102" s="168"/>
      <c r="I102" s="168"/>
      <c r="J102" s="168"/>
      <c r="K102" s="840"/>
      <c r="S102" s="228" t="s">
        <v>342</v>
      </c>
      <c r="T102" s="228" t="s">
        <v>343</v>
      </c>
      <c r="X102" t="s">
        <v>344</v>
      </c>
      <c r="AC102" s="469">
        <f>SUMIFS(JA!$Z:$Z,JA!$AE:$AE,"OK",JA!$AT:$AT,Parkki!$AE102,JA!$X:$X,Parkki!$Y$6,JA!$CI:$CI,$W$7,JA!$BE:$BE,Parkki!$Y$5,JA!$AI:$AI,Parkki!$Y$4,JA!CW:CW,1,JA!$Y:$Y,Parkki!$W$6,JA!$AJ:$AJ,Parkki!$Y$2,JA!$X:$X,Parkki!$W$5)</f>
        <v>0</v>
      </c>
      <c r="AD102" s="469">
        <f>SUMIFS(JA!$Z:$Z,JA!$AE:$AE,"OK",JA!$AT:$AT,Parkki!$AE102,JA!$AU:$AU,Parkki!$X$8,JA!$X:$X,Parkki!$Y$6,JA!$CI:$CI,$W$7,JA!$BE:$BE,Parkki!$Y$5,JA!$AI:$AI,Parkki!$Y$4,JA!CW:CW,1,JA!$Y:$Y,Parkki!$W$6,JA!$AJ:$AJ,Parkki!$Y$2,JA!$X:$X,Parkki!$W$5)</f>
        <v>0</v>
      </c>
      <c r="AE102" s="228" t="s">
        <v>345</v>
      </c>
      <c r="AF102" s="564" t="s">
        <v>346</v>
      </c>
    </row>
    <row r="103" spans="1:33" x14ac:dyDescent="0.25">
      <c r="A103" s="932" t="s">
        <v>347</v>
      </c>
      <c r="B103" s="577" t="s">
        <v>348</v>
      </c>
      <c r="C103" s="469">
        <f>SUMIFS(AS!$W:$W,AS!$AB:$AB,"OK",AS!$AJ:$AJ,Parkki!$X103,AS!$AH:$AH,Parkki!$X$8,AS!$AW:$AW,$W$8,AS!$K:$K,$W$7,AS!$X:$X,Parkki!$Y$5,AS!$AV:$AV,Parkki!$Y$2,AS!$CY:$CY,$U$6,AS!$CZ:$CZ,$U$5)</f>
        <v>0</v>
      </c>
      <c r="D103" s="469">
        <f>SUMIFS(AS!$W:$W,AS!$AB:$AB,"OK",AS!$AJ:$AJ,Parkki!$X103,AS!$AH:$AH,Parkki!$X$8,AS!$F:$F,Parkki!$X$7,AS!$AW:$AW,$W$8,AS!$K:$K,$W$7,AS!$X:$X,Parkki!$Y$5,AS!$AV:$AV,Parkki!$Y$2,AS!$CY:$CY,$U$6,AS!$CZ:$CZ,$U$5)</f>
        <v>0</v>
      </c>
      <c r="E103" s="579" t="str">
        <f t="shared" si="21"/>
        <v>-</v>
      </c>
      <c r="F103" s="839"/>
      <c r="G103" s="168"/>
      <c r="H103" s="168"/>
      <c r="I103" s="168"/>
      <c r="J103" s="168"/>
      <c r="K103" s="840"/>
      <c r="S103" s="228" t="s">
        <v>349</v>
      </c>
      <c r="T103" s="228" t="s">
        <v>350</v>
      </c>
      <c r="X103" t="s">
        <v>351</v>
      </c>
      <c r="AC103" s="469">
        <f>SUMIFS(JA!$Z:$Z,JA!$AE:$AE,"OK",JA!$AT:$AT,Parkki!$AE103,JA!$X:$X,Parkki!$Y$6,JA!$CI:$CI,$W$7,JA!$BE:$BE,Parkki!$Y$5,JA!$AI:$AI,Parkki!$Y$4,JA!CW:CW,1,JA!$Y:$Y,Parkki!$W$6,JA!$AJ:$AJ,Parkki!$Y$2,JA!$X:$X,Parkki!$W$5)</f>
        <v>0</v>
      </c>
      <c r="AD103" s="469">
        <f>SUMIFS(JA!$Z:$Z,JA!$AE:$AE,"OK",JA!$AT:$AT,Parkki!$AE103,JA!$AU:$AU,Parkki!$X$8,JA!$X:$X,Parkki!$Y$6,JA!$CI:$CI,$W$7,JA!$BE:$BE,Parkki!$Y$5,JA!$AI:$AI,Parkki!$Y$4,JA!CW:CW,1,JA!$Y:$Y,Parkki!$W$6,JA!$AJ:$AJ,Parkki!$Y$2,JA!$X:$X,Parkki!$W$5)</f>
        <v>0</v>
      </c>
      <c r="AE103" s="228" t="s">
        <v>352</v>
      </c>
      <c r="AF103" s="564" t="s">
        <v>353</v>
      </c>
    </row>
    <row r="104" spans="1:33" x14ac:dyDescent="0.25">
      <c r="A104" s="932"/>
      <c r="B104" s="577" t="s">
        <v>347</v>
      </c>
      <c r="C104" s="469">
        <f>SUMIFS(AS!$W:$W,AS!$AB:$AB,"OK",AS!$AJ:$AJ,Parkki!$X104,AS!$AH:$AH,Parkki!$X$8,AS!$AW:$AW,$W$8,AS!$K:$K,$W$7,AS!$X:$X,Parkki!$Y$5,AS!$AV:$AV,Parkki!$Y$2,AS!$CY:$CY,$U$6,AS!$CZ:$CZ,$U$5)</f>
        <v>0</v>
      </c>
      <c r="D104" s="469">
        <f>SUMIFS(AS!$W:$W,AS!$AB:$AB,"OK",AS!$AJ:$AJ,Parkki!$X104,AS!$AH:$AH,Parkki!$X$8,AS!$F:$F,Parkki!$X$7,AS!$AW:$AW,$W$8,AS!$K:$K,$W$7,AS!$X:$X,Parkki!$Y$5,AS!$AV:$AV,Parkki!$Y$2,AS!$CY:$CY,$U$6,AS!$CZ:$CZ,$U$5)</f>
        <v>0</v>
      </c>
      <c r="E104" s="579" t="str">
        <f t="shared" si="21"/>
        <v>-</v>
      </c>
      <c r="F104" s="839"/>
      <c r="G104" s="168"/>
      <c r="H104" s="168"/>
      <c r="I104" s="168"/>
      <c r="J104" s="168"/>
      <c r="K104" s="840"/>
      <c r="S104" s="228" t="s">
        <v>354</v>
      </c>
      <c r="T104" s="228" t="s">
        <v>355</v>
      </c>
      <c r="X104" s="86" t="s">
        <v>356</v>
      </c>
      <c r="AC104" s="469">
        <f>SUMIFS(JA!$Z:$Z,JA!$AE:$AE,"OK",JA!$AT:$AT,Parkki!$AE104,JA!$X:$X,Parkki!$Y$6,JA!$CI:$CI,$W$7,JA!$BE:$BE,Parkki!$Y$5,JA!$AI:$AI,Parkki!$Y$4,JA!CT:CT,1,JA!$Y:$Y,Parkki!$W$6,JA!$AJ:$AJ,Parkki!$Y$2,JA!$X:$X,Parkki!$W$5)</f>
        <v>0</v>
      </c>
      <c r="AD104" s="469">
        <f>SUMIFS(JA!$Z:$Z,JA!$AE:$AE,"OK",JA!$AT:$AT,Parkki!$AE104,JA!$AU:$AU,Parkki!$X$8,JA!$X:$X,Parkki!$Y$6,JA!$CI:$CI,$W$7,JA!$BE:$BE,Parkki!$Y$5,JA!$AI:$AI,Parkki!$Y$4,JA!CT:CT,1,JA!$Y:$Y,Parkki!$W$6,JA!$AJ:$AJ,Parkki!$Y$2,JA!$X:$X,Parkki!$W$5)</f>
        <v>0</v>
      </c>
      <c r="AE104" s="477" t="s">
        <v>357</v>
      </c>
      <c r="AF104" s="562" t="s">
        <v>358</v>
      </c>
    </row>
    <row r="105" spans="1:33" x14ac:dyDescent="0.25">
      <c r="A105" s="932" t="s">
        <v>239</v>
      </c>
      <c r="B105" s="577" t="s">
        <v>239</v>
      </c>
      <c r="C105" s="469">
        <f>SUMIFS(AS!$W:$W,AS!$AB:$AB,"OK",AS!$AJ:$AJ,Parkki!$X105,AS!$AH:$AH,Parkki!$X$8,AS!$AW:$AW,$W$8,AS!$K:$K,$W$7,AS!$X:$X,Parkki!$Y$5,AS!$AV:$AV,Parkki!$Y$2,AS!$CY:$CY,$U$6,AS!$CZ:$CZ,$U$5)</f>
        <v>0</v>
      </c>
      <c r="D105" s="469">
        <f>SUMIFS(AS!$W:$W,AS!$AB:$AB,"OK",AS!$AJ:$AJ,Parkki!$X105,AS!$AH:$AH,Parkki!$X$8,AS!$F:$F,Parkki!$X$7,AS!$AW:$AW,$W$8,AS!$K:$K,$W$7,AS!$X:$X,Parkki!$Y$5,AS!$AV:$AV,Parkki!$Y$2,AS!$CY:$CY,$U$6,AS!$CZ:$CZ,$U$5)</f>
        <v>0</v>
      </c>
      <c r="E105" s="579" t="str">
        <f t="shared" si="21"/>
        <v>-</v>
      </c>
      <c r="F105" s="839"/>
      <c r="G105" s="168"/>
      <c r="H105" s="168"/>
      <c r="I105" s="168"/>
      <c r="J105" s="168"/>
      <c r="K105" s="840"/>
      <c r="S105" s="228" t="s">
        <v>359</v>
      </c>
      <c r="T105" s="228"/>
      <c r="X105" s="86" t="s">
        <v>360</v>
      </c>
      <c r="AC105" s="469">
        <f>SUMIFS(JA!$Z:$Z,JA!$AE:$AE,"OK",JA!$AT:$AT,Parkki!$AE105,JA!$X:$X,Parkki!$Y$6,JA!$CI:$CI,$W$7,JA!$BE:$BE,Parkki!$Y$5,JA!$AI:$AI,Parkki!$Y$4,JA!CT:CT,1,JA!$Y:$Y,Parkki!$W$6,JA!$AJ:$AJ,Parkki!$Y$2,JA!$X:$X,Parkki!$W$5)</f>
        <v>0</v>
      </c>
      <c r="AD105" s="469">
        <f>SUMIFS(JA!$Z:$Z,JA!$AE:$AE,"OK",JA!$AT:$AT,Parkki!$AE105,JA!$AU:$AU,Parkki!$X$8,JA!$X:$X,Parkki!$Y$6,JA!$CI:$CI,$W$7,JA!$BE:$BE,Parkki!$Y$5,JA!$AI:$AI,Parkki!$Y$4,JA!CT:CT,1,JA!$Y:$Y,Parkki!$W$6,JA!$AJ:$AJ,Parkki!$Y$2,JA!$X:$X,Parkki!$W$5)</f>
        <v>0</v>
      </c>
      <c r="AE105" s="477" t="s">
        <v>361</v>
      </c>
      <c r="AF105" s="562" t="s">
        <v>362</v>
      </c>
    </row>
    <row r="106" spans="1:33" x14ac:dyDescent="0.25">
      <c r="A106" s="932"/>
      <c r="B106" s="577" t="s">
        <v>241</v>
      </c>
      <c r="C106" s="469">
        <f>SUMIFS(AS!$W:$W,AS!$AB:$AB,"OK",AS!$AJ:$AJ,"",AS!$AH:$AH,Parkki!$X$8,AS!$AW:$AW,$W$8,AS!$K:$K,$W$7,AS!$X:$X,Parkki!$Y$5,AS!$AV:$AV,Parkki!$Y$2,AS!$CY:$CY,$U$6,AS!$CZ:$CZ,$U$5)</f>
        <v>0</v>
      </c>
      <c r="D106" s="469">
        <f>SUMIFS(AS!$W:$W,AS!$AB:$AB,"OK",AS!$AJ:$AJ,"",AS!$AH:$AH,Parkki!$X$8,AS!$F:$F,Parkki!$X$7,AS!$AW:$AW,$W$8,AS!$K:$K,$W$7,AS!$X:$X,Parkki!$Y$5,AS!$AV:$AV,Parkki!$Y$2,AS!$CY:$CY,$U$6,AS!$CZ:$CZ,$U$5)</f>
        <v>0</v>
      </c>
      <c r="E106" s="579" t="str">
        <f t="shared" si="21"/>
        <v>-</v>
      </c>
      <c r="F106" s="839"/>
      <c r="G106" s="168"/>
      <c r="H106" s="168"/>
      <c r="I106" s="168"/>
      <c r="J106" s="168"/>
      <c r="K106" s="840"/>
      <c r="X106" s="477" t="s">
        <v>363</v>
      </c>
      <c r="AC106" s="469">
        <f>SUMIFS(JA!$Z:$Z,JA!$AE:$AE,"OK",JA!$AT:$AT,Parkki!$AE106,JA!$X:$X,Parkki!$Y$6,JA!$CI:$CI,$W$7,JA!$BE:$BE,Parkki!$Y$5,JA!$AI:$AI,Parkki!$Y$4,JA!CT:CT,1,JA!$Y:$Y,Parkki!$W$6,JA!$AJ:$AJ,Parkki!$Y$2,JA!$X:$X,Parkki!$W$5)</f>
        <v>0</v>
      </c>
      <c r="AD106" s="469">
        <f>SUMIFS(JA!$Z:$Z,JA!$AE:$AE,"OK",JA!$AT:$AT,Parkki!$AE106,JA!$AU:$AU,Parkki!$X$8,JA!$X:$X,Parkki!$Y$6,JA!$CI:$CI,$W$7,JA!$BE:$BE,Parkki!$Y$5,JA!$AI:$AI,Parkki!$Y$4,JA!CT:CT,1,JA!$Y:$Y,Parkki!$W$6,JA!$AJ:$AJ,Parkki!$Y$2,JA!$X:$X,Parkki!$W$5)</f>
        <v>0</v>
      </c>
      <c r="AE106" s="477" t="s">
        <v>364</v>
      </c>
    </row>
    <row r="107" spans="1:33" x14ac:dyDescent="0.25">
      <c r="A107" s="935" t="s">
        <v>307</v>
      </c>
      <c r="B107" s="935"/>
      <c r="C107" s="471">
        <f>IFERROR(SUM(C95:C106),"")</f>
        <v>0</v>
      </c>
      <c r="D107" s="471">
        <f>IFERROR(SUM(D95:D106),"")</f>
        <v>0</v>
      </c>
      <c r="E107" s="380"/>
      <c r="F107" s="841"/>
      <c r="G107" s="842"/>
      <c r="H107" s="842"/>
      <c r="I107" s="842"/>
      <c r="J107" s="842"/>
      <c r="K107" s="843"/>
    </row>
    <row r="108" spans="1:33" x14ac:dyDescent="0.25">
      <c r="A108" s="544"/>
    </row>
    <row r="109" spans="1:33" x14ac:dyDescent="0.25">
      <c r="A109" s="941" t="str">
        <f>"KAIKKI valmentautujat toimenpiteittäin"&amp;X10&amp;X12&amp;" "&amp;F7&amp;" toimenpiteet"</f>
        <v>KAIKKI valmentautujat toimenpiteittäin - 01.01.2026-31.12.2026 (Kaikki kunnat - tiedot perustiedoista, Kaikki yksiköt - tiedot perustiedoista, Kaikki asiakkuudet) Kaikki toimenpiteet</v>
      </c>
      <c r="B109" s="941"/>
      <c r="C109" s="941"/>
      <c r="D109" s="941"/>
    </row>
    <row r="110" spans="1:33" x14ac:dyDescent="0.25">
      <c r="A110" s="942"/>
      <c r="B110" s="942"/>
      <c r="C110" s="942"/>
      <c r="D110" s="942"/>
    </row>
    <row r="111" spans="1:33" x14ac:dyDescent="0.25">
      <c r="A111" s="915" t="s">
        <v>365</v>
      </c>
      <c r="B111" s="584"/>
      <c r="C111" s="578" t="s">
        <v>69</v>
      </c>
      <c r="D111" s="578" t="s">
        <v>148</v>
      </c>
      <c r="V111" s="906"/>
    </row>
    <row r="112" spans="1:33" x14ac:dyDescent="0.25">
      <c r="A112" s="936" t="s">
        <v>366</v>
      </c>
      <c r="B112" s="911" t="s">
        <v>367</v>
      </c>
      <c r="C112" s="469">
        <f>SUMIFS(JA!$Z:$Z,JA!$AE:$AE,"OK",JA!$AT:$AT,Parkki!$X112,JA!$X:$X,$W$8,JA!$CI:$CI,$W$7,JA!$BE:$BE,Parkki!$Y$5,JA!$AI:$AI,Parkki!$Y$4,JA!CT:CT,1,JA!$Y:$Y,Parkki!$W$6,JA!$AJ:$AJ,Parkki!$Y$2,JA!$X:$X,Parkki!$W$5)+Z112+AC112+AF112</f>
        <v>0</v>
      </c>
      <c r="D112" s="469">
        <f>SUMIFS(JA!$Z:$Z,JA!$AE:$AE,"OK",JA!$AT:$AT,Parkki!$X112,JA!$AU:$AU,Parkki!$X$8,JA!$X:$X,$W$8,JA!$CI:$CI,$W$7,JA!$BE:$BE,Parkki!$Y$5,JA!$AI:$AI,Parkki!$Y$4,JA!CT:CT,1,JA!$Y:$Y,Parkki!$W$6,JA!$AJ:$AJ,Parkki!$Y$2,JA!$X:$X,Parkki!$W$5)+AA112+AD112+AG112</f>
        <v>0</v>
      </c>
      <c r="V112" s="907"/>
      <c r="X112" t="s">
        <v>368</v>
      </c>
      <c r="Z112" s="469">
        <f>SUMIFS(JA!$Z:$Z,JA!$AE:$AE,"OK",JA!$AT:$AT,Parkki!$AB112,JA!$X:$X,Parkki!$Y$6,JA!$CI:$CI,$W$7,JA!$BE:$BE,Parkki!$Y$5,JA!$AI:$AI,Parkki!$Y$4,JA!CT:CT,1,JA!$Y:$Y,Parkki!$W$6,JA!$AJ:$AJ,Parkki!$Y$2,JA!$X:$X,Parkki!$W$5)</f>
        <v>0</v>
      </c>
      <c r="AA112" s="469">
        <f>SUMIFS(JA!$Z:$Z,JA!$AE:$AE,"OK",JA!$AT:$AT,Parkki!$AB112,JA!$AU:$AU,Parkki!$X$8,JA!$X:$X,Parkki!$Y$6,JA!$CI:$CI,$W$7,JA!$BE:$BE,Parkki!$Y$5,JA!$AI:$AI,Parkki!$Y$4,JA!CT:CT,1,JA!$Y:$Y,Parkki!$W$6,JA!$AJ:$AJ,Parkki!$Y$2,JA!$X:$X,Parkki!$W$5)</f>
        <v>0</v>
      </c>
      <c r="AC112" s="469">
        <f>SUMIFS(JA!$Z:$Z,JA!$AE:$AE,"OK",JA!$AT:$AT,Parkki!$AE112,JA!$X:$X,Parkki!$Y$6,JA!$CI:$CI,$W$7,JA!$BE:$BE,Parkki!$Y$5,JA!$AI:$AI,Parkki!$Y$4,JA!CW:CW,1,JA!$Y:$Y,Parkki!$W$6,JA!$AJ:$AJ,Parkki!$Y$2,JA!$X:$X,Parkki!$W$5)</f>
        <v>0</v>
      </c>
      <c r="AD112" s="469">
        <f>SUMIFS(JA!$Z:$Z,JA!$AE:$AE,"OK",JA!$AT:$AT,Parkki!$AE112,JA!$AU:$AU,Parkki!$X$8,JA!$X:$X,Parkki!$Y$6,JA!$CI:$CI,$W$7,JA!$BE:$BE,Parkki!$Y$5,JA!$AI:$AI,Parkki!$Y$4,JA!CW:CW,1,JA!$Y:$Y,Parkki!$W$6,JA!$AJ:$AJ,Parkki!$Y$2,JA!$X:$X,Parkki!$W$5)</f>
        <v>0</v>
      </c>
      <c r="AF112" s="469">
        <f>SUMIFS(JA!$Z:$Z,JA!$AE:$AE,"OK",JA!$AT:$AT,Parkki!$AH112,JA!$X:$X,Parkki!$Y$6,JA!$CI:$CI,$W$7,JA!$BE:$BE,Parkki!$Y$5,JA!$AI:$AI,Parkki!$Y$4,JA!CZ:CZ,1,JA!$Y:$Y,Parkki!$W$6,JA!$AJ:$AJ,Parkki!$Y$2,JA!$X:$X,Parkki!$W$5)</f>
        <v>0</v>
      </c>
      <c r="AG112" s="469">
        <f>SUMIFS(JA!$Z:$Z,JA!$AE:$AE,"OK",JA!$AT:$AT,Parkki!$AH112,JA!$AU:$AU,Parkki!$X$8,JA!$X:$X,Parkki!$Y$6,JA!$CI:$CI,$W$7,JA!$BE:$BE,Parkki!$Y$5,JA!$AI:$AI,Parkki!$Y$4,JA!CZ:CZ,1,JA!$Y:$Y,Parkki!$W$6,JA!$AJ:$AJ,Parkki!$Y$2,JA!$X:$X,Parkki!$W$5)</f>
        <v>0</v>
      </c>
    </row>
    <row r="113" spans="1:34" x14ac:dyDescent="0.25">
      <c r="A113" s="944"/>
      <c r="B113" s="911" t="s">
        <v>369</v>
      </c>
      <c r="C113" s="469">
        <f>SUMIFS(JA!$Z:$Z,JA!$AE:$AE,"OK",JA!$AT:$AT,Parkki!$X113,JA!$X:$X,$W$8,JA!$CI:$CI,$W$7,JA!$BE:$BE,Parkki!$Y$5,JA!$AI:$AI,Parkki!$Y$4,JA!CT:CT,1,JA!$Y:$Y,Parkki!$W$6,JA!$AJ:$AJ,Parkki!$Y$2,JA!$X:$X,Parkki!$W$5)+Z113+AC113+AF113</f>
        <v>0</v>
      </c>
      <c r="D113" s="469">
        <f>SUMIFS(JA!$Z:$Z,JA!$AE:$AE,"OK",JA!$AT:$AT,Parkki!$X113,JA!$AU:$AU,Parkki!$X$8,JA!$X:$X,$W$8,JA!$CI:$CI,$W$7,JA!$BE:$BE,Parkki!$Y$5,JA!$AI:$AI,Parkki!$Y$4,JA!CT:CT,1,JA!$Y:$Y,Parkki!$W$6,JA!$AJ:$AJ,Parkki!$Y$2,JA!$X:$X,Parkki!$W$5)+AA113+AD113+AG113</f>
        <v>0</v>
      </c>
      <c r="V113" s="907"/>
      <c r="X113" t="s">
        <v>370</v>
      </c>
      <c r="Z113" s="469">
        <f>SUMIFS(JA!$Z:$Z,JA!$AE:$AE,"OK",JA!$AT:$AT,Parkki!$AB113,JA!$X:$X,Parkki!$Y$6,JA!$CI:$CI,$W$7,JA!$BE:$BE,Parkki!$Y$5,JA!$AI:$AI,Parkki!$Y$4,JA!CT:CT,1,JA!$Y:$Y,Parkki!$W$6,JA!$AJ:$AJ,Parkki!$Y$2,JA!$X:$X,Parkki!$W$5)</f>
        <v>0</v>
      </c>
      <c r="AA113" s="469">
        <f>SUMIFS(JA!$Z:$Z,JA!$AE:$AE,"OK",JA!$AT:$AT,Parkki!$AB113,JA!$AU:$AU,Parkki!$X$8,JA!$X:$X,Parkki!$Y$6,JA!$CI:$CI,$W$7,JA!$BE:$BE,Parkki!$Y$5,JA!$AI:$AI,Parkki!$Y$4,JA!CT:CT,1,JA!$Y:$Y,Parkki!$W$6,JA!$AJ:$AJ,Parkki!$Y$2,JA!$X:$X,Parkki!$W$5)</f>
        <v>0</v>
      </c>
      <c r="AC113" s="469">
        <f>SUMIFS(JA!$Z:$Z,JA!$AE:$AE,"OK",JA!$AT:$AT,Parkki!$AE113,JA!$X:$X,Parkki!$Y$6,JA!$CI:$CI,$W$7,JA!$BE:$BE,Parkki!$Y$5,JA!$AI:$AI,Parkki!$Y$4,JA!CW:CW,1,JA!$Y:$Y,Parkki!$W$6,JA!$AJ:$AJ,Parkki!$Y$2,JA!$X:$X,Parkki!$W$5)</f>
        <v>0</v>
      </c>
      <c r="AD113" s="469">
        <f>SUMIFS(JA!$Z:$Z,JA!$AE:$AE,"OK",JA!$AT:$AT,Parkki!$AE113,JA!$AU:$AU,Parkki!$X$8,JA!$X:$X,Parkki!$Y$6,JA!$CI:$CI,$W$7,JA!$BE:$BE,Parkki!$Y$5,JA!$AI:$AI,Parkki!$Y$4,JA!CW:CW,1,JA!$Y:$Y,Parkki!$W$6,JA!$AJ:$AJ,Parkki!$Y$2,JA!$X:$X,Parkki!$W$5)</f>
        <v>0</v>
      </c>
      <c r="AF113" s="469">
        <f>SUMIFS(JA!$Z:$Z,JA!$AE:$AE,"OK",JA!$AT:$AT,Parkki!$AH113,JA!$X:$X,Parkki!$Y$6,JA!$CI:$CI,$W$7,JA!$BE:$BE,Parkki!$Y$5,JA!$AI:$AI,Parkki!$Y$4,JA!CZ:CZ,1,JA!$Y:$Y,Parkki!$W$6,JA!$AJ:$AJ,Parkki!$Y$2,JA!$X:$X,Parkki!$W$5)</f>
        <v>0</v>
      </c>
      <c r="AG113" s="469">
        <f>SUMIFS(JA!$Z:$Z,JA!$AE:$AE,"OK",JA!$AT:$AT,Parkki!$AH113,JA!$AU:$AU,Parkki!$X$8,JA!$X:$X,Parkki!$Y$6,JA!$CI:$CI,$W$7,JA!$BE:$BE,Parkki!$Y$5,JA!$AI:$AI,Parkki!$Y$4,JA!CZ:CZ,1,JA!$Y:$Y,Parkki!$W$6,JA!$AJ:$AJ,Parkki!$Y$2,JA!$X:$X,Parkki!$W$5)</f>
        <v>0</v>
      </c>
    </row>
    <row r="114" spans="1:34" x14ac:dyDescent="0.25">
      <c r="A114" s="944"/>
      <c r="B114" s="911" t="s">
        <v>371</v>
      </c>
      <c r="C114" s="469">
        <f>SUMIFS(JA!$Z:$Z,JA!$AE:$AE,"OK",JA!$AT:$AT,Parkki!$X114,JA!$X:$X,$W$8,JA!$CI:$CI,$W$7,JA!$BE:$BE,Parkki!$Y$5,JA!$AI:$AI,Parkki!$Y$4,JA!CT:CT,1,JA!$Y:$Y,Parkki!$W$6,JA!$AJ:$AJ,Parkki!$Y$2,JA!$X:$X,Parkki!$W$5)+Z114+AC114+AF114</f>
        <v>0</v>
      </c>
      <c r="D114" s="469">
        <f>SUMIFS(JA!$Z:$Z,JA!$AE:$AE,"OK",JA!$AT:$AT,Parkki!$X114,JA!$AU:$AU,Parkki!$X$8,JA!$X:$X,$W$8,JA!$CI:$CI,$W$7,JA!$BE:$BE,Parkki!$Y$5,JA!$AI:$AI,Parkki!$Y$4,JA!CT:CT,1,JA!$Y:$Y,Parkki!$W$6,JA!$AJ:$AJ,Parkki!$Y$2,JA!$X:$X,Parkki!$W$5)+AA114+AD114+AG114</f>
        <v>0</v>
      </c>
      <c r="V114" s="907"/>
      <c r="X114" t="s">
        <v>372</v>
      </c>
      <c r="Z114" s="469">
        <f>SUMIFS(JA!$Z:$Z,JA!$AE:$AE,"OK",JA!$AT:$AT,Parkki!$AB114,JA!$X:$X,Parkki!$Y$6,JA!$CI:$CI,$W$7,JA!$BE:$BE,Parkki!$Y$5,JA!$AI:$AI,Parkki!$Y$4,JA!CT:CT,1,JA!$Y:$Y,Parkki!$W$6,JA!$AJ:$AJ,Parkki!$Y$2,JA!$X:$X,Parkki!$W$5)</f>
        <v>0</v>
      </c>
      <c r="AA114" s="469">
        <f>SUMIFS(JA!$Z:$Z,JA!$AE:$AE,"OK",JA!$AT:$AT,Parkki!$AB114,JA!$AU:$AU,Parkki!$X$8,JA!$X:$X,Parkki!$Y$6,JA!$CI:$CI,$W$7,JA!$BE:$BE,Parkki!$Y$5,JA!$AI:$AI,Parkki!$Y$4,JA!CT:CT,1,JA!$Y:$Y,Parkki!$W$6,JA!$AJ:$AJ,Parkki!$Y$2,JA!$X:$X,Parkki!$W$5)</f>
        <v>0</v>
      </c>
      <c r="AC114" s="469">
        <f>SUMIFS(JA!$Z:$Z,JA!$AE:$AE,"OK",JA!$AT:$AT,Parkki!$AE114,JA!$X:$X,Parkki!$Y$6,JA!$CI:$CI,$W$7,JA!$BE:$BE,Parkki!$Y$5,JA!$AI:$AI,Parkki!$Y$4,JA!CW:CW,1,JA!$Y:$Y,Parkki!$W$6,JA!$AJ:$AJ,Parkki!$Y$2,JA!$X:$X,Parkki!$W$5)</f>
        <v>0</v>
      </c>
      <c r="AD114" s="469">
        <f>SUMIFS(JA!$Z:$Z,JA!$AE:$AE,"OK",JA!$AT:$AT,Parkki!$AE114,JA!$AU:$AU,Parkki!$X$8,JA!$X:$X,Parkki!$Y$6,JA!$CI:$CI,$W$7,JA!$BE:$BE,Parkki!$Y$5,JA!$AI:$AI,Parkki!$Y$4,JA!CW:CW,1,JA!$Y:$Y,Parkki!$W$6,JA!$AJ:$AJ,Parkki!$Y$2,JA!$X:$X,Parkki!$W$5)</f>
        <v>0</v>
      </c>
      <c r="AF114" s="469">
        <f>SUMIFS(JA!$Z:$Z,JA!$AE:$AE,"OK",JA!$AT:$AT,Parkki!$AH114,JA!$X:$X,Parkki!$Y$6,JA!$CI:$CI,$W$7,JA!$BE:$BE,Parkki!$Y$5,JA!$AI:$AI,Parkki!$Y$4,JA!CZ:CZ,1,JA!$Y:$Y,Parkki!$W$6,JA!$AJ:$AJ,Parkki!$Y$2,JA!$X:$X,Parkki!$W$5)</f>
        <v>0</v>
      </c>
      <c r="AG114" s="469">
        <f>SUMIFS(JA!$Z:$Z,JA!$AE:$AE,"OK",JA!$AT:$AT,Parkki!$AH114,JA!$AU:$AU,Parkki!$X$8,JA!$X:$X,Parkki!$Y$6,JA!$CI:$CI,$W$7,JA!$BE:$BE,Parkki!$Y$5,JA!$AI:$AI,Parkki!$Y$4,JA!CZ:CZ,1,JA!$Y:$Y,Parkki!$W$6,JA!$AJ:$AJ,Parkki!$Y$2,JA!$X:$X,Parkki!$W$5)</f>
        <v>0</v>
      </c>
    </row>
    <row r="115" spans="1:34" x14ac:dyDescent="0.25">
      <c r="A115" s="944"/>
      <c r="B115" s="911" t="s">
        <v>373</v>
      </c>
      <c r="C115" s="469">
        <f>SUMIFS(JA!$Z:$Z,JA!$AE:$AE,"OK",JA!$AT:$AT,Parkki!$X115,JA!$X:$X,$W$8,JA!$CI:$CI,$W$7,JA!$BE:$BE,Parkki!$Y$5,JA!$AI:$AI,Parkki!$Y$4,JA!CT:CT,1,JA!$Y:$Y,Parkki!$W$6,JA!$AJ:$AJ,Parkki!$Y$2,JA!$X:$X,Parkki!$W$5)+Z115+AC115+AF115</f>
        <v>0</v>
      </c>
      <c r="D115" s="469">
        <f>SUMIFS(JA!$Z:$Z,JA!$AE:$AE,"OK",JA!$AT:$AT,Parkki!$X115,JA!$AU:$AU,Parkki!$X$8,JA!$X:$X,$W$8,JA!$CI:$CI,$W$7,JA!$BE:$BE,Parkki!$Y$5,JA!$AI:$AI,Parkki!$Y$4,JA!CT:CT,1,JA!$Y:$Y,Parkki!$W$6,JA!$AJ:$AJ,Parkki!$Y$2,JA!$X:$X,Parkki!$W$5)+AA115+AD115+AG115</f>
        <v>0</v>
      </c>
      <c r="F115" s="894"/>
      <c r="G115" s="895"/>
      <c r="H115" s="895"/>
      <c r="I115" s="895"/>
      <c r="J115" s="895"/>
      <c r="K115" s="896"/>
      <c r="V115" s="907"/>
      <c r="X115" t="s">
        <v>374</v>
      </c>
      <c r="Z115" s="469">
        <f>SUMIFS(JA!$Z:$Z,JA!$AE:$AE,"OK",JA!$AT:$AT,Parkki!$AB115,JA!$X:$X,Parkki!$Y$6,JA!$CI:$CI,$W$7,JA!$BE:$BE,Parkki!$Y$5,JA!$AI:$AI,Parkki!$Y$4,JA!CT:CT,1,JA!$Y:$Y,Parkki!$W$6,JA!$AJ:$AJ,Parkki!$Y$2,JA!$X:$X,Parkki!$W$5)</f>
        <v>0</v>
      </c>
      <c r="AA115" s="469">
        <f>SUMIFS(JA!$Z:$Z,JA!$AE:$AE,"OK",JA!$AT:$AT,Parkki!$AB115,JA!$AU:$AU,Parkki!$X$8,JA!$X:$X,Parkki!$Y$6,JA!$CI:$CI,$W$7,JA!$BE:$BE,Parkki!$Y$5,JA!$AI:$AI,Parkki!$Y$4,JA!CT:CT,1,JA!$Y:$Y,Parkki!$W$6,JA!$AJ:$AJ,Parkki!$Y$2,JA!$X:$X,Parkki!$W$5)</f>
        <v>0</v>
      </c>
      <c r="AC115" s="469">
        <f>SUMIFS(JA!$Z:$Z,JA!$AE:$AE,"OK",JA!$AT:$AT,Parkki!$AE115,JA!$X:$X,Parkki!$Y$6,JA!$CI:$CI,$W$7,JA!$BE:$BE,Parkki!$Y$5,JA!$AI:$AI,Parkki!$Y$4,JA!CW:CW,1,JA!$Y:$Y,Parkki!$W$6,JA!$AJ:$AJ,Parkki!$Y$2,JA!$X:$X,Parkki!$W$5)</f>
        <v>0</v>
      </c>
      <c r="AD115" s="469">
        <f>SUMIFS(JA!$Z:$Z,JA!$AE:$AE,"OK",JA!$AT:$AT,Parkki!$AE115,JA!$AU:$AU,Parkki!$X$8,JA!$X:$X,Parkki!$Y$6,JA!$CI:$CI,$W$7,JA!$BE:$BE,Parkki!$Y$5,JA!$AI:$AI,Parkki!$Y$4,JA!CW:CW,1,JA!$Y:$Y,Parkki!$W$6,JA!$AJ:$AJ,Parkki!$Y$2,JA!$X:$X,Parkki!$W$5)</f>
        <v>0</v>
      </c>
      <c r="AE115" s="228"/>
      <c r="AF115" s="469">
        <f>SUMIFS(JA!$Z:$Z,JA!$AE:$AE,"OK",JA!$AT:$AT,Parkki!$AH115,JA!$X:$X,Parkki!$Y$6,JA!$CI:$CI,$W$7,JA!$BE:$BE,Parkki!$Y$5,JA!$AI:$AI,Parkki!$Y$4,JA!CZ:CZ,1,JA!$Y:$Y,Parkki!$W$6,JA!$AJ:$AJ,Parkki!$Y$2,JA!$X:$X,Parkki!$W$5)</f>
        <v>0</v>
      </c>
      <c r="AG115" s="469">
        <f>SUMIFS(JA!$Z:$Z,JA!$AE:$AE,"OK",JA!$AT:$AT,Parkki!$AH115,JA!$AU:$AU,Parkki!$X$8,JA!$X:$X,Parkki!$Y$6,JA!$CI:$CI,$W$7,JA!$BE:$BE,Parkki!$Y$5,JA!$AI:$AI,Parkki!$Y$4,JA!CZ:CZ,1,JA!$Y:$Y,Parkki!$W$6,JA!$AJ:$AJ,Parkki!$Y$2,JA!$X:$X,Parkki!$W$5)</f>
        <v>0</v>
      </c>
    </row>
    <row r="116" spans="1:34" x14ac:dyDescent="0.25">
      <c r="A116" s="937"/>
      <c r="B116" s="914" t="s">
        <v>375</v>
      </c>
      <c r="C116" s="469">
        <f>SUMIFS(JA!$Z:$Z,JA!$AE:$AE,"OK",JA!$AT:$AT,Parkki!$X116,JA!$X:$X,$W$8,JA!$CI:$CI,$W$7,JA!$BE:$BE,Parkki!$Y$5,JA!$AI:$AI,Parkki!$Y$4,JA!CT:CT,1,JA!$Y:$Y,Parkki!$W$6,JA!$AJ:$AJ,Parkki!$Y$2,JA!$X:$X,Parkki!$W$5)+Z116+AC116+AF116</f>
        <v>0</v>
      </c>
      <c r="D116" s="469">
        <f>SUMIFS(JA!$Z:$Z,JA!$AE:$AE,"OK",JA!$AT:$AT,Parkki!$X116,JA!$AU:$AU,Parkki!$X$8,JA!$X:$X,$W$8,JA!$CI:$CI,$W$7,JA!$BE:$BE,Parkki!$Y$5,JA!$AI:$AI,Parkki!$Y$4,JA!CT:CT,1,JA!$Y:$Y,Parkki!$W$6,JA!$AJ:$AJ,Parkki!$Y$2,JA!$X:$X,Parkki!$W$5)+AA116+AD116+AG116</f>
        <v>0</v>
      </c>
      <c r="F116" s="813"/>
      <c r="G116" s="814"/>
      <c r="H116" s="814"/>
      <c r="I116" s="814"/>
      <c r="J116" s="814"/>
      <c r="K116" s="815"/>
      <c r="V116" s="907"/>
      <c r="X116" t="s">
        <v>376</v>
      </c>
      <c r="Z116" s="469">
        <f>SUMIFS(JA!$Z:$Z,JA!$AE:$AE,"OK",JA!$AT:$AT,Parkki!$AB116,JA!$X:$X,Parkki!$Y$6,JA!$CI:$CI,$W$7,JA!$BE:$BE,Parkki!$Y$5,JA!$AI:$AI,Parkki!$Y$4,JA!CT:CT,1,JA!$Y:$Y,Parkki!$W$6,JA!$AJ:$AJ,Parkki!$Y$2,JA!$X:$X,Parkki!$W$5)</f>
        <v>0</v>
      </c>
      <c r="AA116" s="469">
        <f>SUMIFS(JA!$Z:$Z,JA!$AE:$AE,"OK",JA!$AT:$AT,Parkki!$AB116,JA!$AU:$AU,Parkki!$X$8,JA!$X:$X,Parkki!$Y$6,JA!$CI:$CI,$W$7,JA!$BE:$BE,Parkki!$Y$5,JA!$AI:$AI,Parkki!$Y$4,JA!CT:CT,1,JA!$Y:$Y,Parkki!$W$6,JA!$AJ:$AJ,Parkki!$Y$2,JA!$X:$X,Parkki!$W$5)</f>
        <v>0</v>
      </c>
      <c r="AB116" s="86" t="s">
        <v>377</v>
      </c>
      <c r="AC116" s="469">
        <f>SUMIFS(JA!$Z:$Z,JA!$AE:$AE,"OK",JA!$AT:$AT,Parkki!$AE116,JA!$X:$X,Parkki!$Y$6,JA!$CI:$CI,$W$7,JA!$BE:$BE,Parkki!$Y$5,JA!$AI:$AI,Parkki!$Y$4,JA!CW:CW,1,JA!$Y:$Y,Parkki!$W$6,JA!$AJ:$AJ,Parkki!$Y$2,JA!$X:$X,Parkki!$W$5)</f>
        <v>0</v>
      </c>
      <c r="AD116" s="469">
        <f>SUMIFS(JA!$Z:$Z,JA!$AE:$AE,"OK",JA!$AT:$AT,Parkki!$AE116,JA!$AU:$AU,Parkki!$X$8,JA!$X:$X,Parkki!$Y$6,JA!$CI:$CI,$W$7,JA!$BE:$BE,Parkki!$Y$5,JA!$AI:$AI,Parkki!$Y$4,JA!CW:CW,1,JA!$Y:$Y,Parkki!$W$6,JA!$AJ:$AJ,Parkki!$Y$2,JA!$X:$X,Parkki!$W$5)</f>
        <v>0</v>
      </c>
      <c r="AE116" s="86" t="s">
        <v>378</v>
      </c>
      <c r="AF116" s="469">
        <f>SUMIFS(JA!$Z:$Z,JA!$AE:$AE,"OK",JA!$AT:$AT,Parkki!$AH116,JA!$X:$X,Parkki!$Y$6,JA!$CI:$CI,$W$7,JA!$BE:$BE,Parkki!$Y$5,JA!$AI:$AI,Parkki!$Y$4,JA!CZ:CZ,1,JA!$Y:$Y,Parkki!$W$6,JA!$AJ:$AJ,Parkki!$Y$2,JA!$X:$X,Parkki!$W$5)</f>
        <v>0</v>
      </c>
      <c r="AG116" s="469">
        <f>SUMIFS(JA!$Z:$Z,JA!$AE:$AE,"OK",JA!$AT:$AT,Parkki!$AH116,JA!$AU:$AU,Parkki!$X$8,JA!$X:$X,Parkki!$Y$6,JA!$CI:$CI,$W$7,JA!$BE:$BE,Parkki!$Y$5,JA!$AI:$AI,Parkki!$Y$4,JA!CZ:CZ,1,JA!$Y:$Y,Parkki!$W$6,JA!$AJ:$AJ,Parkki!$Y$2,JA!$X:$X,Parkki!$W$5)</f>
        <v>0</v>
      </c>
      <c r="AH116" s="477" t="s">
        <v>379</v>
      </c>
    </row>
    <row r="117" spans="1:34" x14ac:dyDescent="0.25">
      <c r="A117" s="936" t="s">
        <v>380</v>
      </c>
      <c r="B117" s="912" t="s">
        <v>381</v>
      </c>
      <c r="C117" s="469">
        <f>SUMIFS(JA!$Z:$Z,JA!$AE:$AE,"OK",JA!$AT:$AT,Parkki!$X117,JA!$X:$X,$W$8,JA!$CI:$CI,$W$7,JA!$BE:$BE,Parkki!$Y$5,JA!$AI:$AI,Parkki!$Y$4,JA!CT:CT,1,JA!$Y:$Y,Parkki!$W$6,JA!$AJ:$AJ,Parkki!$Y$2,JA!$X:$X,Parkki!$W$5)+Z117+AC117+AF117</f>
        <v>0</v>
      </c>
      <c r="D117" s="469">
        <f>SUMIFS(JA!$Z:$Z,JA!$AE:$AE,"OK",JA!$AT:$AT,Parkki!$X117,JA!$AU:$AU,Parkki!$X$8,JA!$X:$X,$W$8,JA!$CI:$CI,$W$7,JA!$BE:$BE,Parkki!$Y$5,JA!$AI:$AI,Parkki!$Y$4,JA!CT:CT,1,JA!$Y:$Y,Parkki!$W$6,JA!$AJ:$AJ,Parkki!$Y$2,JA!$X:$X,Parkki!$W$5)+AA117+AD117+AG117</f>
        <v>0</v>
      </c>
      <c r="F117" s="813"/>
      <c r="G117" s="814"/>
      <c r="H117" s="814"/>
      <c r="I117" s="814"/>
      <c r="J117" s="814"/>
      <c r="K117" s="815"/>
      <c r="V117" s="906"/>
      <c r="X117" t="s">
        <v>382</v>
      </c>
      <c r="Z117" s="469">
        <f>SUMIFS(JA!$Z:$Z,JA!$AE:$AE,"OK",JA!$AT:$AT,Parkki!$AB117,JA!$X:$X,Parkki!$Y$6,JA!$CI:$CI,$W$7,JA!$BE:$BE,Parkki!$Y$5,JA!$AI:$AI,Parkki!$Y$4,JA!CT:CT,1,JA!$Y:$Y,Parkki!$W$6,JA!$AJ:$AJ,Parkki!$Y$2,JA!$X:$X,Parkki!$W$5)</f>
        <v>0</v>
      </c>
      <c r="AA117" s="469">
        <f>SUMIFS(JA!$Z:$Z,JA!$AE:$AE,"OK",JA!$AT:$AT,Parkki!$AB117,JA!$AU:$AU,Parkki!$X$8,JA!$X:$X,Parkki!$Y$6,JA!$CI:$CI,$W$7,JA!$BE:$BE,Parkki!$Y$5,JA!$AI:$AI,Parkki!$Y$4,JA!CT:CT,1,JA!$Y:$Y,Parkki!$W$6,JA!$AJ:$AJ,Parkki!$Y$2,JA!$X:$X,Parkki!$W$5)</f>
        <v>0</v>
      </c>
      <c r="AB117" s="86" t="s">
        <v>383</v>
      </c>
      <c r="AC117" s="469"/>
      <c r="AD117" s="469"/>
      <c r="AE117" s="228"/>
      <c r="AF117" s="469"/>
      <c r="AG117" s="469"/>
    </row>
    <row r="118" spans="1:34" x14ac:dyDescent="0.25">
      <c r="A118" s="944"/>
      <c r="B118" s="913" t="s">
        <v>384</v>
      </c>
      <c r="C118" s="469">
        <f>SUMIFS(JA!$Z:$Z,JA!$AE:$AE,"OK",JA!$AT:$AT,Parkki!$X118,JA!$X:$X,$W$8,JA!$CI:$CI,$W$7,JA!$BE:$BE,Parkki!$Y$5,JA!$AI:$AI,Parkki!$Y$4,JA!CT:CT,1,JA!$Y:$Y,Parkki!$W$6,JA!$AJ:$AJ,Parkki!$Y$2,JA!$X:$X,Parkki!$W$5)+Z118+AC118+AF118</f>
        <v>0</v>
      </c>
      <c r="D118" s="469">
        <f>SUMIFS(JA!$Z:$Z,JA!$AE:$AE,"OK",JA!$AT:$AT,Parkki!$X118,JA!$AU:$AU,Parkki!$X$8,JA!$X:$X,$W$8,JA!$CI:$CI,$W$7,JA!$BE:$BE,Parkki!$Y$5,JA!$AI:$AI,Parkki!$Y$4,JA!CT:CT,1,JA!$Y:$Y,Parkki!$W$6,JA!$AJ:$AJ,Parkki!$Y$2,JA!$X:$X,Parkki!$W$5)+AA118+AD118+AG118</f>
        <v>0</v>
      </c>
      <c r="F118" s="813"/>
      <c r="G118" s="814"/>
      <c r="H118" s="814"/>
      <c r="I118" s="814"/>
      <c r="J118" s="814"/>
      <c r="K118" s="815"/>
      <c r="V118" s="907"/>
      <c r="X118" t="s">
        <v>385</v>
      </c>
      <c r="Z118" s="469"/>
      <c r="AA118" s="469"/>
      <c r="AC118" s="469"/>
      <c r="AD118" s="469"/>
      <c r="AF118" s="469"/>
      <c r="AG118" s="469"/>
    </row>
    <row r="119" spans="1:34" x14ac:dyDescent="0.25">
      <c r="A119" s="944"/>
      <c r="B119" s="911" t="s">
        <v>386</v>
      </c>
      <c r="C119" s="469">
        <f>SUMIFS(JA!$Z:$Z,JA!$AE:$AE,"OK",JA!$AT:$AT,Parkki!$X119,JA!$X:$X,$W$8,JA!$CI:$CI,$W$7,JA!$BE:$BE,Parkki!$Y$5,JA!$AI:$AI,Parkki!$Y$4,JA!CT:CT,1,JA!$Y:$Y,Parkki!$W$6,JA!$AJ:$AJ,Parkki!$Y$2,JA!$X:$X,Parkki!$W$5)+Z119+AC119+AF119</f>
        <v>0</v>
      </c>
      <c r="D119" s="469">
        <f>SUMIFS(JA!$Z:$Z,JA!$AE:$AE,"OK",JA!$AT:$AT,Parkki!$X119,JA!$AU:$AU,Parkki!$X$8,JA!$X:$X,$W$8,JA!$CI:$CI,$W$7,JA!$BE:$BE,Parkki!$Y$5,JA!$AI:$AI,Parkki!$Y$4,JA!CT:CT,1,JA!$Y:$Y,Parkki!$W$6,JA!$AJ:$AJ,Parkki!$Y$2,JA!$X:$X,Parkki!$W$5)+AA119+AD119+AG119</f>
        <v>0</v>
      </c>
      <c r="F119" s="813"/>
      <c r="G119" s="814"/>
      <c r="H119" s="814"/>
      <c r="I119" s="814"/>
      <c r="J119" s="814"/>
      <c r="K119" s="815"/>
      <c r="V119" s="907"/>
      <c r="X119" t="s">
        <v>1871</v>
      </c>
      <c r="Z119" s="469">
        <f>SUMIFS(JA!$Z:$Z,JA!$AE:$AE,"OK",JA!$AT:$AT,Parkki!$AB119,JA!$X:$X,Parkki!$Y$6,JA!$CI:$CI,$W$7,JA!$BE:$BE,Parkki!$Y$5,JA!$AI:$AI,Parkki!$Y$4,JA!CT:CT,1,JA!$Y:$Y,Parkki!$W$6,JA!$AJ:$AJ,Parkki!$Y$2,JA!$X:$X,Parkki!$W$5)</f>
        <v>0</v>
      </c>
      <c r="AA119" s="469">
        <f>SUMIFS(JA!$Z:$Z,JA!$AE:$AE,"OK",JA!$AT:$AT,Parkki!$AB119,JA!$AU:$AU,Parkki!$X$8,JA!$X:$X,Parkki!$Y$6,JA!$CI:$CI,$W$7,JA!$BE:$BE,Parkki!$Y$5,JA!$AI:$AI,Parkki!$Y$4,JA!CT:CT,1,JA!$Y:$Y,Parkki!$W$6,JA!$AJ:$AJ,Parkki!$Y$2,JA!$X:$X,Parkki!$W$5)</f>
        <v>0</v>
      </c>
      <c r="AB119" s="86" t="s">
        <v>387</v>
      </c>
      <c r="AC119" s="469">
        <f>SUMIFS(JA!$Z:$Z,JA!$AE:$AE,"OK",JA!$AT:$AT,Parkki!$AE119,JA!$X:$X,Parkki!$Y$6,JA!$CI:$CI,$W$7,JA!$BE:$BE,Parkki!$Y$5,JA!$AI:$AI,Parkki!$Y$4,JA!CW:CW,1,JA!$Y:$Y,Parkki!$W$6,JA!$AJ:$AJ,Parkki!$Y$2,JA!$X:$X,Parkki!$W$5)</f>
        <v>0</v>
      </c>
      <c r="AD119" s="469">
        <f>SUMIFS(JA!$Z:$Z,JA!$AE:$AE,"OK",JA!$AT:$AT,Parkki!$AE119,JA!$AU:$AU,Parkki!$X$8,JA!$X:$X,Parkki!$Y$6,JA!$CI:$CI,$W$7,JA!$BE:$BE,Parkki!$Y$5,JA!$AI:$AI,Parkki!$Y$4,JA!CW:CW,1,JA!$Y:$Y,Parkki!$W$6,JA!$AJ:$AJ,Parkki!$Y$2,JA!$X:$X,Parkki!$W$5)</f>
        <v>0</v>
      </c>
      <c r="AE119" s="86" t="s">
        <v>388</v>
      </c>
      <c r="AF119" s="469"/>
      <c r="AG119" s="469"/>
    </row>
    <row r="120" spans="1:34" x14ac:dyDescent="0.25">
      <c r="A120" s="944"/>
      <c r="B120" s="911" t="s">
        <v>389</v>
      </c>
      <c r="C120" s="469">
        <f>SUMIFS(JA!$Z:$Z,JA!$AE:$AE,"OK",JA!$AT:$AT,Parkki!$X120,JA!$X:$X,$W$8,JA!$CI:$CI,$W$7,JA!$BE:$BE,Parkki!$Y$5,JA!$AI:$AI,Parkki!$Y$4,JA!CT:CT,1,JA!$Y:$Y,Parkki!$W$6,JA!$AJ:$AJ,Parkki!$Y$2,JA!$X:$X,Parkki!$W$5)+Z120+AC120+AF120</f>
        <v>0</v>
      </c>
      <c r="D120" s="469">
        <f>SUMIFS(JA!$Z:$Z,JA!$AE:$AE,"OK",JA!$AT:$AT,Parkki!$X120,JA!$AU:$AU,Parkki!$X$8,JA!$X:$X,$W$8,JA!$CI:$CI,$W$7,JA!$BE:$BE,Parkki!$Y$5,JA!$AI:$AI,Parkki!$Y$4,JA!CT:CT,1,JA!$Y:$Y,Parkki!$W$6,JA!$AJ:$AJ,Parkki!$Y$2,JA!$X:$X,Parkki!$W$5)+AA120+AD120+AG120</f>
        <v>0</v>
      </c>
      <c r="F120" s="813"/>
      <c r="G120" s="814"/>
      <c r="H120" s="814"/>
      <c r="I120" s="814"/>
      <c r="J120" s="814"/>
      <c r="K120" s="815"/>
      <c r="V120" s="907"/>
      <c r="X120" s="86" t="s">
        <v>390</v>
      </c>
      <c r="Z120" s="469">
        <f>SUMIFS(JA!$Z:$Z,JA!$AE:$AE,"OK",JA!$AT:$AT,Parkki!$AB120,JA!$X:$X,Parkki!$Y$6,JA!$CI:$CI,$W$7,JA!$BE:$BE,Parkki!$Y$5,JA!$AI:$AI,Parkki!$Y$4,JA!CT:CT,1,JA!$Y:$Y,Parkki!$W$6,JA!$AJ:$AJ,Parkki!$Y$2,JA!$X:$X,Parkki!$W$5)</f>
        <v>0</v>
      </c>
      <c r="AA120" s="469">
        <f>SUMIFS(JA!$Z:$Z,JA!$AE:$AE,"OK",JA!$AT:$AT,Parkki!$AB120,JA!$AU:$AU,Parkki!$X$8,JA!$X:$X,Parkki!$Y$6,JA!$CI:$CI,$W$7,JA!$BE:$BE,Parkki!$Y$5,JA!$AI:$AI,Parkki!$Y$4,JA!CT:CT,1,JA!$Y:$Y,Parkki!$W$6,JA!$AJ:$AJ,Parkki!$Y$2,JA!$X:$X,Parkki!$W$5)</f>
        <v>0</v>
      </c>
      <c r="AB120" s="86" t="s">
        <v>391</v>
      </c>
      <c r="AC120" s="469"/>
      <c r="AD120" s="469"/>
      <c r="AF120" s="469"/>
      <c r="AG120" s="469"/>
    </row>
    <row r="121" spans="1:34" ht="15" customHeight="1" x14ac:dyDescent="0.25">
      <c r="A121" s="944"/>
      <c r="B121" s="911" t="s">
        <v>392</v>
      </c>
      <c r="C121" s="469">
        <f>SUMIFS(JA!$Z:$Z,JA!$AE:$AE,"OK",JA!$AT:$AT,Parkki!$X121,JA!$X:$X,$W$8,JA!$CI:$CI,$W$7,JA!$BE:$BE,Parkki!$Y$5,JA!$AI:$AI,Parkki!$Y$4,JA!CT:CT,1,JA!$Y:$Y,Parkki!$W$6,JA!$AJ:$AJ,Parkki!$Y$2,JA!$X:$X,Parkki!$W$5)+Z121+AC121+AF121</f>
        <v>0</v>
      </c>
      <c r="D121" s="469">
        <f>SUMIFS(JA!$Z:$Z,JA!$AE:$AE,"OK",JA!$AT:$AT,Parkki!$X121,JA!$AU:$AU,Parkki!$X$8,JA!$X:$X,$W$8,JA!$CI:$CI,$W$7,JA!$BE:$BE,Parkki!$Y$5,JA!$AI:$AI,Parkki!$Y$4,JA!CT:CT,1,JA!$Y:$Y,Parkki!$W$6,JA!$AJ:$AJ,Parkki!$Y$2,JA!$X:$X,Parkki!$W$5)+AA121+AD121+AG121</f>
        <v>0</v>
      </c>
      <c r="F121" s="813"/>
      <c r="G121" s="814"/>
      <c r="H121" s="814"/>
      <c r="I121" s="814"/>
      <c r="J121" s="814"/>
      <c r="K121" s="815"/>
      <c r="V121" s="907"/>
      <c r="X121" t="s">
        <v>393</v>
      </c>
      <c r="Z121" s="469"/>
      <c r="AA121" s="469"/>
      <c r="AC121" s="469"/>
      <c r="AD121" s="469"/>
      <c r="AF121" s="469"/>
      <c r="AG121" s="469"/>
    </row>
    <row r="122" spans="1:34" ht="15" customHeight="1" x14ac:dyDescent="0.25">
      <c r="A122" s="944"/>
      <c r="B122" s="911" t="s">
        <v>394</v>
      </c>
      <c r="C122" s="469">
        <f>SUMIFS(JA!$Z:$Z,JA!$AE:$AE,"OK",JA!$AT:$AT,Parkki!$X122,JA!$X:$X,$W$8,JA!$CI:$CI,$W$7,JA!$BE:$BE,Parkki!$Y$5,JA!$AI:$AI,Parkki!$Y$4,JA!CT:CT,1,JA!$Y:$Y,Parkki!$W$6,JA!$AJ:$AJ,Parkki!$Y$2,JA!$X:$X,Parkki!$W$5)+Z122+AC122+AF122</f>
        <v>0</v>
      </c>
      <c r="D122" s="469">
        <f>SUMIFS(JA!$Z:$Z,JA!$AE:$AE,"OK",JA!$AT:$AT,Parkki!$X122,JA!$AU:$AU,Parkki!$X$8,JA!$X:$X,$W$8,JA!$CI:$CI,$W$7,JA!$BE:$BE,Parkki!$Y$5,JA!$AI:$AI,Parkki!$Y$4,JA!CT:CT,1,JA!$Y:$Y,Parkki!$W$6,JA!$AJ:$AJ,Parkki!$Y$2,JA!$X:$X,Parkki!$W$5)+AA122+AD122+AG122</f>
        <v>0</v>
      </c>
      <c r="F122" s="813"/>
      <c r="G122" s="814"/>
      <c r="H122" s="814"/>
      <c r="I122" s="814"/>
      <c r="J122" s="814"/>
      <c r="K122" s="815"/>
      <c r="V122" s="907"/>
      <c r="X122" s="86" t="s">
        <v>395</v>
      </c>
      <c r="Z122" s="469">
        <f>SUMIFS(JA!$Z:$Z,JA!$AE:$AE,"OK",JA!$AT:$AT,Parkki!$AB122,JA!$X:$X,Parkki!$Y$6,JA!$CI:$CI,$W$7,JA!$BE:$BE,Parkki!$Y$5,JA!$AI:$AI,Parkki!$Y$4,JA!CT:CT,1,JA!$Y:$Y,Parkki!$W$6,JA!$AJ:$AJ,Parkki!$Y$2,JA!$X:$X,Parkki!$W$5)</f>
        <v>0</v>
      </c>
      <c r="AA122" s="469">
        <f>SUMIFS(JA!$Z:$Z,JA!$AE:$AE,"OK",JA!$AT:$AT,Parkki!$AB122,JA!$AU:$AU,Parkki!$X$8,JA!$X:$X,Parkki!$Y$6,JA!$CI:$CI,$W$7,JA!$BE:$BE,Parkki!$Y$5,JA!$AI:$AI,Parkki!$Y$4,JA!CT:CT,1,JA!$Y:$Y,Parkki!$W$6,JA!$AJ:$AJ,Parkki!$Y$2,JA!$X:$X,Parkki!$W$5)</f>
        <v>0</v>
      </c>
      <c r="AB122" s="86" t="s">
        <v>396</v>
      </c>
      <c r="AC122" s="469">
        <f>SUMIFS(JA!$Z:$Z,JA!$AE:$AE,"OK",JA!$AT:$AT,Parkki!$AE122,JA!$X:$X,Parkki!$Y$6,JA!$CI:$CI,$W$7,JA!$BE:$BE,Parkki!$Y$5,JA!$AI:$AI,Parkki!$Y$4,JA!CW:CW,1,JA!$Y:$Y,Parkki!$W$6,JA!$AJ:$AJ,Parkki!$Y$2,JA!$X:$X,Parkki!$W$5)</f>
        <v>0</v>
      </c>
      <c r="AD122" s="469">
        <f>SUMIFS(JA!$Z:$Z,JA!$AE:$AE,"OK",JA!$AT:$AT,Parkki!$AE122,JA!$AU:$AU,Parkki!$X$8,JA!$X:$X,Parkki!$Y$6,JA!$CI:$CI,$W$7,JA!$BE:$BE,Parkki!$Y$5,JA!$AI:$AI,Parkki!$Y$4,JA!CW:CW,1,JA!$Y:$Y,Parkki!$W$6,JA!$AJ:$AJ,Parkki!$Y$2,JA!$X:$X,Parkki!$W$5)</f>
        <v>0</v>
      </c>
      <c r="AE122" s="86" t="s">
        <v>397</v>
      </c>
      <c r="AF122" s="469"/>
      <c r="AG122" s="469"/>
    </row>
    <row r="123" spans="1:34" ht="15" customHeight="1" x14ac:dyDescent="0.25">
      <c r="A123" s="944"/>
      <c r="B123" s="911" t="s">
        <v>398</v>
      </c>
      <c r="C123" s="469">
        <f>SUMIFS(JA!$Z:$Z,JA!$AE:$AE,"OK",JA!$AT:$AT,Parkki!$X123,JA!$X:$X,$W$8,JA!$CI:$CI,$W$7,JA!$BE:$BE,Parkki!$Y$5,JA!$AI:$AI,Parkki!$Y$4,JA!CT:CT,1,JA!$Y:$Y,Parkki!$W$6,JA!$AJ:$AJ,Parkki!$Y$2,JA!$X:$X,Parkki!$W$5)+Z123+AC123+AF123</f>
        <v>0</v>
      </c>
      <c r="D123" s="469">
        <f>SUMIFS(JA!$Z:$Z,JA!$AE:$AE,"OK",JA!$AT:$AT,Parkki!$X123,JA!$AU:$AU,Parkki!$X$8,JA!$X:$X,$W$8,JA!$CI:$CI,$W$7,JA!$BE:$BE,Parkki!$Y$5,JA!$AI:$AI,Parkki!$Y$4,JA!CT:CT,1,JA!$Y:$Y,Parkki!$W$6,JA!$AJ:$AJ,Parkki!$Y$2,JA!$X:$X,Parkki!$W$5)+AA123+AD123+AG123</f>
        <v>0</v>
      </c>
      <c r="F123" s="813"/>
      <c r="G123" s="814"/>
      <c r="H123" s="814"/>
      <c r="I123" s="814"/>
      <c r="J123" s="814"/>
      <c r="K123" s="815"/>
      <c r="V123" s="907"/>
      <c r="X123" s="86" t="s">
        <v>399</v>
      </c>
      <c r="Z123" s="469"/>
      <c r="AA123" s="469"/>
      <c r="AC123" s="469"/>
      <c r="AD123" s="469"/>
      <c r="AF123" s="469"/>
      <c r="AG123" s="469"/>
    </row>
    <row r="124" spans="1:34" ht="15" customHeight="1" x14ac:dyDescent="0.25">
      <c r="A124" s="944"/>
      <c r="B124" s="911" t="s">
        <v>400</v>
      </c>
      <c r="C124" s="469">
        <f>SUMIFS(JA!$Z:$Z,JA!$AE:$AE,"OK",JA!$AT:$AT,Parkki!$X124,JA!$X:$X,$W$8,JA!$CI:$CI,$W$7,JA!$BE:$BE,Parkki!$Y$5,JA!$AI:$AI,Parkki!$Y$4,JA!CT:CT,1,JA!$Y:$Y,Parkki!$W$6,JA!$AJ:$AJ,Parkki!$Y$2,JA!$X:$X,Parkki!$W$5)+Z124+AC124+AF124</f>
        <v>0</v>
      </c>
      <c r="D124" s="469">
        <f>SUMIFS(JA!$Z:$Z,JA!$AE:$AE,"OK",JA!$AT:$AT,Parkki!$X124,JA!$AU:$AU,Parkki!$X$8,JA!$X:$X,$W$8,JA!$CI:$CI,$W$7,JA!$BE:$BE,Parkki!$Y$5,JA!$AI:$AI,Parkki!$Y$4,JA!CT:CT,1,JA!$Y:$Y,Parkki!$W$6,JA!$AJ:$AJ,Parkki!$Y$2,JA!$X:$X,Parkki!$W$5)+AA124+AD124+AG124</f>
        <v>0</v>
      </c>
      <c r="F124" s="813"/>
      <c r="G124" s="814"/>
      <c r="H124" s="814"/>
      <c r="I124" s="814"/>
      <c r="J124" s="814"/>
      <c r="K124" s="815"/>
      <c r="V124" s="907"/>
      <c r="X124" s="86" t="s">
        <v>401</v>
      </c>
      <c r="Z124" s="469">
        <f>SUMIFS(JA!$Z:$Z,JA!$AE:$AE,"OK",JA!$AT:$AT,Parkki!$AB124,JA!$X:$X,Parkki!$Y$6,JA!$CI:$CI,$W$7,JA!$BE:$BE,Parkki!$Y$5,JA!$AI:$AI,Parkki!$Y$4,JA!CT:CT,1,JA!$Y:$Y,Parkki!$W$6,JA!$AJ:$AJ,Parkki!$Y$2,JA!$X:$X,Parkki!$W$5)</f>
        <v>0</v>
      </c>
      <c r="AA124" s="469">
        <f>SUMIFS(JA!$Z:$Z,JA!$AE:$AE,"OK",JA!$AT:$AT,Parkki!$AB124,JA!$AU:$AU,Parkki!$X$8,JA!$X:$X,Parkki!$Y$6,JA!$CI:$CI,$W$7,JA!$BE:$BE,Parkki!$Y$5,JA!$AI:$AI,Parkki!$Y$4,JA!CT:CT,1,JA!$Y:$Y,Parkki!$W$6,JA!$AJ:$AJ,Parkki!$Y$2,JA!$X:$X,Parkki!$W$5)</f>
        <v>0</v>
      </c>
      <c r="AB124" s="909" t="s">
        <v>402</v>
      </c>
      <c r="AC124" s="469"/>
      <c r="AD124" s="469"/>
      <c r="AF124" s="469"/>
      <c r="AG124" s="469"/>
    </row>
    <row r="125" spans="1:34" ht="15" customHeight="1" x14ac:dyDescent="0.25">
      <c r="A125" s="937"/>
      <c r="B125" s="911" t="s">
        <v>403</v>
      </c>
      <c r="C125" s="469">
        <f>SUMIFS(JA!$Z:$Z,JA!$AE:$AE,"OK",JA!$AT:$AT,Parkki!$X125,JA!$X:$X,$W$8,JA!$CI:$CI,$W$7,JA!$BE:$BE,Parkki!$Y$5,JA!$AI:$AI,Parkki!$Y$4,JA!CT:CT,1,JA!$Y:$Y,Parkki!$W$6,JA!$AJ:$AJ,Parkki!$Y$2,JA!$X:$X,Parkki!$W$5)+Z125+AC125+AF125</f>
        <v>0</v>
      </c>
      <c r="D125" s="469">
        <f>SUMIFS(JA!$Z:$Z,JA!$AE:$AE,"OK",JA!$AT:$AT,Parkki!$X125,JA!$AU:$AU,Parkki!$X$8,JA!$X:$X,$W$8,JA!$CI:$CI,$W$7,JA!$BE:$BE,Parkki!$Y$5,JA!$AI:$AI,Parkki!$Y$4,JA!CT:CT,1,JA!$Y:$Y,Parkki!$W$6,JA!$AJ:$AJ,Parkki!$Y$2,JA!$X:$X,Parkki!$W$5)+AA125+AD125+AG125</f>
        <v>0</v>
      </c>
      <c r="F125" s="813"/>
      <c r="G125" s="814"/>
      <c r="H125" s="814"/>
      <c r="I125" s="814"/>
      <c r="J125" s="814"/>
      <c r="K125" s="815"/>
      <c r="V125" s="907"/>
      <c r="X125" t="s">
        <v>404</v>
      </c>
      <c r="Z125" s="469">
        <f>SUMIFS(JA!$Z:$Z,JA!$AE:$AE,"OK",JA!$AT:$AT,Parkki!$AB125,JA!$X:$X,Parkki!$Y$6,JA!$CI:$CI,$W$7,JA!$BE:$BE,Parkki!$Y$5,JA!$AI:$AI,Parkki!$Y$4,JA!CT:CT,1,JA!$Y:$Y,Parkki!$W$6,JA!$AJ:$AJ,Parkki!$Y$2,JA!$X:$X,Parkki!$W$5)</f>
        <v>0</v>
      </c>
      <c r="AA125" s="469">
        <f>SUMIFS(JA!$Z:$Z,JA!$AE:$AE,"OK",JA!$AT:$AT,Parkki!$AB125,JA!$AU:$AU,Parkki!$X$8,JA!$X:$X,Parkki!$Y$6,JA!$CI:$CI,$W$7,JA!$BE:$BE,Parkki!$Y$5,JA!$AI:$AI,Parkki!$Y$4,JA!CT:CT,1,JA!$Y:$Y,Parkki!$W$6,JA!$AJ:$AJ,Parkki!$Y$2,JA!$X:$X,Parkki!$W$5)</f>
        <v>0</v>
      </c>
      <c r="AB125" s="86" t="s">
        <v>405</v>
      </c>
      <c r="AC125" s="469">
        <f>SUMIFS(JA!$Z:$Z,JA!$AE:$AE,"OK",JA!$AT:$AT,Parkki!$AE125,JA!$X:$X,Parkki!$Y$6,JA!$CI:$CI,$W$7,JA!$BE:$BE,Parkki!$Y$5,JA!$AI:$AI,Parkki!$Y$4,JA!CW:CW,1,JA!$Y:$Y,Parkki!$W$6,JA!$AJ:$AJ,Parkki!$Y$2,JA!$X:$X,Parkki!$W$5)</f>
        <v>0</v>
      </c>
      <c r="AD125" s="469">
        <f>SUMIFS(JA!$Z:$Z,JA!$AE:$AE,"OK",JA!$AT:$AT,Parkki!$AE125,JA!$AU:$AU,Parkki!$X$8,JA!$X:$X,Parkki!$Y$6,JA!$CI:$CI,$W$7,JA!$BE:$BE,Parkki!$Y$5,JA!$AI:$AI,Parkki!$Y$4,JA!CW:CW,1,JA!$Y:$Y,Parkki!$W$6,JA!$AJ:$AJ,Parkki!$Y$2,JA!$X:$X,Parkki!$W$5)</f>
        <v>0</v>
      </c>
      <c r="AE125" s="86" t="s">
        <v>406</v>
      </c>
      <c r="AF125" s="469"/>
      <c r="AG125" s="469"/>
    </row>
    <row r="126" spans="1:34" x14ac:dyDescent="0.25">
      <c r="A126" s="936" t="s">
        <v>407</v>
      </c>
      <c r="B126" s="911" t="s">
        <v>408</v>
      </c>
      <c r="C126" s="469">
        <f>SUMIFS(JA!$Z:$Z,JA!$AE:$AE,"OK",JA!$AT:$AT,Parkki!$X126,JA!$X:$X,$W$8,JA!$CI:$CI,$W$7,JA!$BE:$BE,Parkki!$Y$5,JA!$AI:$AI,Parkki!$Y$4,JA!CT:CT,1,JA!$Y:$Y,Parkki!$W$6,JA!$AJ:$AJ,Parkki!$Y$2,JA!$X:$X,Parkki!$W$5)+Z126+AC126+AF126</f>
        <v>0</v>
      </c>
      <c r="D126" s="469">
        <f>SUMIFS(JA!$Z:$Z,JA!$AE:$AE,"OK",JA!$AT:$AT,Parkki!$X126,JA!$AU:$AU,Parkki!$X$8,JA!$X:$X,$W$8,JA!$CI:$CI,$W$7,JA!$BE:$BE,Parkki!$Y$5,JA!$AI:$AI,Parkki!$Y$4,JA!CT:CT,1,JA!$Y:$Y,Parkki!$W$6,JA!$AJ:$AJ,Parkki!$Y$2,JA!$X:$X,Parkki!$W$5)+AA126+AD126+AG126</f>
        <v>0</v>
      </c>
      <c r="F126" s="813"/>
      <c r="G126" s="814"/>
      <c r="H126" s="814"/>
      <c r="I126" s="814"/>
      <c r="J126" s="814"/>
      <c r="K126" s="815"/>
      <c r="V126" s="907"/>
      <c r="X126" s="86" t="s">
        <v>409</v>
      </c>
      <c r="Z126" s="469">
        <f>SUMIFS(JA!$Z:$Z,JA!$AE:$AE,"OK",JA!$AT:$AT,Parkki!$AB126,JA!$X:$X,Parkki!$Y$6,JA!$CI:$CI,$W$7,JA!$BE:$BE,Parkki!$Y$5,JA!$AI:$AI,Parkki!$Y$4,JA!CT:CT,1,JA!$Y:$Y,Parkki!$W$6,JA!$AJ:$AJ,Parkki!$Y$2,JA!$X:$X,Parkki!$W$5)</f>
        <v>0</v>
      </c>
      <c r="AA126" s="469">
        <f>SUMIFS(JA!$Z:$Z,JA!$AE:$AE,"OK",JA!$AT:$AT,Parkki!$AB126,JA!$AU:$AU,Parkki!$X$8,JA!$X:$X,Parkki!$Y$6,JA!$CI:$CI,$W$7,JA!$BE:$BE,Parkki!$Y$5,JA!$AI:$AI,Parkki!$Y$4,JA!CT:CT,1,JA!$Y:$Y,Parkki!$W$6,JA!$AJ:$AJ,Parkki!$Y$2,JA!$X:$X,Parkki!$W$5)</f>
        <v>0</v>
      </c>
      <c r="AB126" s="86" t="s">
        <v>410</v>
      </c>
      <c r="AC126" s="469">
        <f>SUMIFS(JA!$Z:$Z,JA!$AE:$AE,"OK",JA!$AT:$AT,Parkki!$AE126,JA!$X:$X,Parkki!$Y$6,JA!$CI:$CI,$W$7,JA!$BE:$BE,Parkki!$Y$5,JA!$AI:$AI,Parkki!$Y$4,JA!CW:CW,1,JA!$Y:$Y,Parkki!$W$6,JA!$AJ:$AJ,Parkki!$Y$2,JA!$X:$X,Parkki!$W$5)</f>
        <v>0</v>
      </c>
      <c r="AD126" s="469">
        <f>SUMIFS(JA!$Z:$Z,JA!$AE:$AE,"OK",JA!$AT:$AT,Parkki!$AE126,JA!$AU:$AU,Parkki!$X$8,JA!$X:$X,Parkki!$Y$6,JA!$CI:$CI,$W$7,JA!$BE:$BE,Parkki!$Y$5,JA!$AI:$AI,Parkki!$Y$4,JA!CW:CW,1,JA!$Y:$Y,Parkki!$W$6,JA!$AJ:$AJ,Parkki!$Y$2,JA!$X:$X,Parkki!$W$5)</f>
        <v>0</v>
      </c>
      <c r="AE126" s="477" t="s">
        <v>411</v>
      </c>
      <c r="AF126" s="469">
        <f>SUMIFS(JA!$Z:$Z,JA!$AE:$AE,"OK",JA!$AT:$AT,Parkki!$AH126,JA!$X:$X,Parkki!$Y$6,JA!$CI:$CI,$W$7,JA!$BE:$BE,Parkki!$Y$5,JA!$AI:$AI,Parkki!$Y$4,JA!CZ:CZ,1,JA!$Y:$Y,Parkki!$W$6,JA!$AJ:$AJ,Parkki!$Y$2,JA!$X:$X,Parkki!$W$5)</f>
        <v>0</v>
      </c>
      <c r="AG126" s="469">
        <f>SUMIFS(JA!$Z:$Z,JA!$AE:$AE,"OK",JA!$AT:$AT,Parkki!$AH126,JA!$AU:$AU,Parkki!$X$8,JA!$X:$X,Parkki!$Y$6,JA!$CI:$CI,$W$7,JA!$BE:$BE,Parkki!$Y$5,JA!$AI:$AI,Parkki!$Y$4,JA!CZ:CZ,1,JA!$Y:$Y,Parkki!$W$6,JA!$AJ:$AJ,Parkki!$Y$2,JA!$X:$X,Parkki!$W$5)</f>
        <v>0</v>
      </c>
      <c r="AH126" s="86" t="s">
        <v>412</v>
      </c>
    </row>
    <row r="127" spans="1:34" x14ac:dyDescent="0.25">
      <c r="A127" s="944"/>
      <c r="B127" s="911" t="s">
        <v>413</v>
      </c>
      <c r="C127" s="469">
        <f>SUMIFS(JA!$Z:$Z,JA!$AE:$AE,"OK",JA!$AT:$AT,Parkki!$X127,JA!$X:$X,$W$8,JA!$CI:$CI,$W$7,JA!$BE:$BE,Parkki!$Y$5,JA!$AI:$AI,Parkki!$Y$4,JA!CT:CT,1,JA!$Y:$Y,Parkki!$W$6,JA!$AJ:$AJ,Parkki!$Y$2,JA!$X:$X,Parkki!$W$5)+Z127+AC127+AF127</f>
        <v>0</v>
      </c>
      <c r="D127" s="469">
        <f>SUMIFS(JA!$Z:$Z,JA!$AE:$AE,"OK",JA!$AT:$AT,Parkki!$X127,JA!$AU:$AU,Parkki!$X$8,JA!$X:$X,$W$8,JA!$CI:$CI,$W$7,JA!$BE:$BE,Parkki!$Y$5,JA!$AI:$AI,Parkki!$Y$4,JA!CT:CT,1,JA!$Y:$Y,Parkki!$W$6,JA!$AJ:$AJ,Parkki!$Y$2,JA!$X:$X,Parkki!$W$5)+AA127+AD127+AG127</f>
        <v>0</v>
      </c>
      <c r="F127" s="813"/>
      <c r="G127" s="814"/>
      <c r="H127" s="814"/>
      <c r="I127" s="814"/>
      <c r="J127" s="814"/>
      <c r="K127" s="815"/>
      <c r="V127" s="907"/>
      <c r="X127" s="86" t="s">
        <v>414</v>
      </c>
      <c r="Z127" s="469"/>
      <c r="AA127" s="469"/>
      <c r="AC127" s="469"/>
      <c r="AD127" s="469"/>
      <c r="AF127" s="469"/>
      <c r="AG127" s="469"/>
    </row>
    <row r="128" spans="1:34" x14ac:dyDescent="0.25">
      <c r="A128" s="944"/>
      <c r="B128" s="911" t="s">
        <v>415</v>
      </c>
      <c r="C128" s="469">
        <f>SUMIFS(JA!$Z:$Z,JA!$AE:$AE,"OK",JA!$AT:$AT,Parkki!$X128,JA!$X:$X,$W$8,JA!$CI:$CI,$W$7,JA!$BE:$BE,Parkki!$Y$5,JA!$AI:$AI,Parkki!$Y$4,JA!CT:CT,1,JA!$Y:$Y,Parkki!$W$6,JA!$AJ:$AJ,Parkki!$Y$2,JA!$X:$X,Parkki!$W$5)+Z128+AC128+AF128</f>
        <v>0</v>
      </c>
      <c r="D128" s="469">
        <f>SUMIFS(JA!$Z:$Z,JA!$AE:$AE,"OK",JA!$AT:$AT,Parkki!$X128,JA!$AU:$AU,Parkki!$X$8,JA!$X:$X,$W$8,JA!$CI:$CI,$W$7,JA!$BE:$BE,Parkki!$Y$5,JA!$AI:$AI,Parkki!$Y$4,JA!CT:CT,1,JA!$Y:$Y,Parkki!$W$6,JA!$AJ:$AJ,Parkki!$Y$2,JA!$X:$X,Parkki!$W$5)+AA128+AD128+AG128</f>
        <v>0</v>
      </c>
      <c r="F128" s="813"/>
      <c r="G128" s="814"/>
      <c r="H128" s="814"/>
      <c r="I128" s="814"/>
      <c r="J128" s="814"/>
      <c r="K128" s="815"/>
      <c r="V128" s="907"/>
      <c r="X128" s="86" t="s">
        <v>416</v>
      </c>
      <c r="Z128" s="469">
        <f>SUMIFS(JA!$Z:$Z,JA!$AE:$AE,"OK",JA!$AT:$AT,Parkki!$AB128,JA!$X:$X,Parkki!$Y$6,JA!$CI:$CI,$W$7,JA!$BE:$BE,Parkki!$Y$5,JA!$AI:$AI,Parkki!$Y$4,JA!CT:CT,1,JA!$Y:$Y,Parkki!$W$6,JA!$AJ:$AJ,Parkki!$Y$2,JA!$X:$X,Parkki!$W$5)</f>
        <v>0</v>
      </c>
      <c r="AA128" s="469">
        <f>SUMIFS(JA!$Z:$Z,JA!$AE:$AE,"OK",JA!$AT:$AT,Parkki!$AB128,JA!$AU:$AU,Parkki!$X$8,JA!$X:$X,Parkki!$Y$6,JA!$CI:$CI,$W$7,JA!$BE:$BE,Parkki!$Y$5,JA!$AI:$AI,Parkki!$Y$4,JA!CT:CT,1,JA!$Y:$Y,Parkki!$W$6,JA!$AJ:$AJ,Parkki!$Y$2,JA!$X:$X,Parkki!$W$5)</f>
        <v>0</v>
      </c>
      <c r="AB128" s="86" t="s">
        <v>417</v>
      </c>
      <c r="AC128" s="469">
        <f>SUMIFS(JA!$Z:$Z,JA!$AE:$AE,"OK",JA!$AT:$AT,Parkki!$AE128,JA!$X:$X,Parkki!$Y$6,JA!$CI:$CI,$W$7,JA!$BE:$BE,Parkki!$Y$5,JA!$AI:$AI,Parkki!$Y$4,JA!CW:CW,1,JA!$Y:$Y,Parkki!$W$6,JA!$AJ:$AJ,Parkki!$Y$2,JA!$X:$X,Parkki!$W$5)</f>
        <v>0</v>
      </c>
      <c r="AD128" s="469">
        <f>SUMIFS(JA!$Z:$Z,JA!$AE:$AE,"OK",JA!$AT:$AT,Parkki!$AE128,JA!$AU:$AU,Parkki!$X$8,JA!$X:$X,Parkki!$Y$6,JA!$CI:$CI,$W$7,JA!$BE:$BE,Parkki!$Y$5,JA!$AI:$AI,Parkki!$Y$4,JA!CW:CW,1,JA!$Y:$Y,Parkki!$W$6,JA!$AJ:$AJ,Parkki!$Y$2,JA!$X:$X,Parkki!$W$5)</f>
        <v>0</v>
      </c>
      <c r="AE128" s="86" t="s">
        <v>418</v>
      </c>
      <c r="AF128" s="469">
        <f>SUMIFS(JA!$Z:$Z,JA!$AE:$AE,"OK",JA!$AT:$AT,Parkki!$AH128,JA!$X:$X,Parkki!$Y$6,JA!$CI:$CI,$W$7,JA!$BE:$BE,Parkki!$Y$5,JA!$AI:$AI,Parkki!$Y$4,JA!CZ:CZ,1,JA!$Y:$Y,Parkki!$W$6,JA!$AJ:$AJ,Parkki!$Y$2,JA!$X:$X,Parkki!$W$5)</f>
        <v>0</v>
      </c>
      <c r="AG128" s="469">
        <f>SUMIFS(JA!$Z:$Z,JA!$AE:$AE,"OK",JA!$AT:$AT,Parkki!$AH128,JA!$AU:$AU,Parkki!$X$8,JA!$X:$X,Parkki!$Y$6,JA!$CI:$CI,$W$7,JA!$BE:$BE,Parkki!$Y$5,JA!$AI:$AI,Parkki!$Y$4,JA!CZ:CZ,1,JA!$Y:$Y,Parkki!$W$6,JA!$AJ:$AJ,Parkki!$Y$2,JA!$X:$X,Parkki!$W$5)</f>
        <v>0</v>
      </c>
      <c r="AH128" s="909" t="s">
        <v>419</v>
      </c>
    </row>
    <row r="129" spans="1:37" x14ac:dyDescent="0.25">
      <c r="A129" s="944"/>
      <c r="B129" s="911" t="s">
        <v>420</v>
      </c>
      <c r="C129" s="469">
        <f>SUMIFS(JA!$Z:$Z,JA!$AE:$AE,"OK",JA!$AT:$AT,Parkki!$X129,JA!$X:$X,$W$8,JA!$CI:$CI,$W$7,JA!$BE:$BE,Parkki!$Y$5,JA!$AI:$AI,Parkki!$Y$4,JA!CT:CT,1,JA!$Y:$Y,Parkki!$W$6,JA!$AJ:$AJ,Parkki!$Y$2,JA!$X:$X,Parkki!$W$5)+Z129+AC129+AF129+AI129</f>
        <v>0</v>
      </c>
      <c r="D129" s="469">
        <f>SUMIFS(JA!$Z:$Z,JA!$AE:$AE,"OK",JA!$AT:$AT,Parkki!$X129,JA!$AU:$AU,Parkki!$X$8,JA!$X:$X,$W$8,JA!$CI:$CI,$W$7,JA!$BE:$BE,Parkki!$Y$5,JA!$AI:$AI,Parkki!$Y$4,JA!CT:CT,1,JA!$Y:$Y,Parkki!$W$6,JA!$AJ:$AJ,Parkki!$Y$2,JA!$X:$X,Parkki!$W$5)+AA129+AD129+AG129+AJ129</f>
        <v>0</v>
      </c>
      <c r="F129" s="813"/>
      <c r="G129" s="814"/>
      <c r="H129" s="814"/>
      <c r="I129" s="814"/>
      <c r="J129" s="814"/>
      <c r="K129" s="815"/>
      <c r="V129" s="907"/>
      <c r="X129" t="s">
        <v>421</v>
      </c>
      <c r="Z129" s="469">
        <f>SUMIFS(JA!$Z:$Z,JA!$AE:$AE,"OK",JA!$AT:$AT,Parkki!$AB129,JA!$X:$X,Parkki!$Y$6,JA!$CI:$CI,$W$7,JA!$BE:$BE,Parkki!$Y$5,JA!$AI:$AI,Parkki!$Y$4,JA!CT:CT,1,JA!$Y:$Y,Parkki!$W$6,JA!$AJ:$AJ,Parkki!$Y$2,JA!$X:$X,Parkki!$W$5)</f>
        <v>0</v>
      </c>
      <c r="AA129" s="469">
        <f>SUMIFS(JA!$Z:$Z,JA!$AE:$AE,"OK",JA!$AT:$AT,Parkki!$AB129,JA!$AU:$AU,Parkki!$X$8,JA!$X:$X,Parkki!$Y$6,JA!$CI:$CI,$W$7,JA!$BE:$BE,Parkki!$Y$5,JA!$AI:$AI,Parkki!$Y$4,JA!CT:CT,1,JA!$Y:$Y,Parkki!$W$6,JA!$AJ:$AJ,Parkki!$Y$2,JA!$X:$X,Parkki!$W$5)</f>
        <v>0</v>
      </c>
      <c r="AB129" s="86" t="s">
        <v>422</v>
      </c>
      <c r="AC129" s="469">
        <f>SUMIFS(JA!$Z:$Z,JA!$AE:$AE,"OK",JA!$AT:$AT,Parkki!$AE129,JA!$X:$X,Parkki!$Y$6,JA!$CI:$CI,$W$7,JA!$BE:$BE,Parkki!$Y$5,JA!$AI:$AI,Parkki!$Y$4,JA!CW:CW,1,JA!$Y:$Y,Parkki!$W$6,JA!$AJ:$AJ,Parkki!$Y$2,JA!$X:$X,Parkki!$W$5)</f>
        <v>0</v>
      </c>
      <c r="AD129" s="469">
        <f>SUMIFS(JA!$Z:$Z,JA!$AE:$AE,"OK",JA!$AT:$AT,Parkki!$AE129,JA!$AU:$AU,Parkki!$X$8,JA!$X:$X,Parkki!$Y$6,JA!$CI:$CI,$W$7,JA!$BE:$BE,Parkki!$Y$5,JA!$AI:$AI,Parkki!$Y$4,JA!CW:CW,1,JA!$Y:$Y,Parkki!$W$6,JA!$AJ:$AJ,Parkki!$Y$2,JA!$X:$X,Parkki!$W$5)</f>
        <v>0</v>
      </c>
      <c r="AE129" s="86" t="s">
        <v>423</v>
      </c>
      <c r="AF129" s="469">
        <f>SUMIFS(JA!$Z:$Z,JA!$AE:$AE,"OK",JA!$AT:$AT,Parkki!$AH129,JA!$X:$X,Parkki!$Y$6,JA!$CI:$CI,$W$7,JA!$BE:$BE,Parkki!$Y$5,JA!$AI:$AI,Parkki!$Y$4,JA!CZ:CZ,1,JA!$Y:$Y,Parkki!$W$6,JA!$AJ:$AJ,Parkki!$Y$2,JA!$X:$X,Parkki!$W$5)</f>
        <v>0</v>
      </c>
      <c r="AG129" s="469">
        <f>SUMIFS(JA!$Z:$Z,JA!$AE:$AE,"OK",JA!$AT:$AT,Parkki!$AH129,JA!$AU:$AU,Parkki!$X$8,JA!$X:$X,Parkki!$Y$6,JA!$CI:$CI,$W$7,JA!$BE:$BE,Parkki!$Y$5,JA!$AI:$AI,Parkki!$Y$4,JA!CZ:CZ,1,JA!$Y:$Y,Parkki!$W$6,JA!$AJ:$AJ,Parkki!$Y$2,JA!$X:$X,Parkki!$W$5)</f>
        <v>0</v>
      </c>
      <c r="AH129" s="86" t="s">
        <v>424</v>
      </c>
      <c r="AI129" s="469">
        <f>SUMIFS(JA!$Z:$Z,JA!$AE:$AE,"OK",JA!$AT:$AT,Parkki!$AK129,JA!$X:$X,Parkki!$Y$6,JA!$CI:$CI,$W$7,JA!$BE:$BE,Parkki!$Y$5,JA!$AI:$AI,Parkki!$Y$4,JA!DC:DC,1,JA!$Y:$Y,Parkki!$W$6,JA!$AJ:$AJ,Parkki!$Y$2,JA!$X:$X,Parkki!$W$5)</f>
        <v>0</v>
      </c>
      <c r="AJ129" s="469">
        <f>SUMIFS(JA!$Z:$Z,JA!$AE:$AE,"OK",JA!$AT:$AT,Parkki!$AK129,JA!$AU:$AU,Parkki!$X$8,JA!$X:$X,Parkki!$Y$6,JA!$CI:$CI,$W$7,JA!$BE:$BE,Parkki!$Y$5,JA!$AI:$AI,Parkki!$Y$4,JA!DC:DC,1,JA!$Y:$Y,Parkki!$W$6,JA!$AJ:$AJ,Parkki!$Y$2,JA!$X:$X,Parkki!$W$5)</f>
        <v>0</v>
      </c>
      <c r="AK129" s="86" t="s">
        <v>425</v>
      </c>
    </row>
    <row r="130" spans="1:37" x14ac:dyDescent="0.25">
      <c r="A130" s="944"/>
      <c r="B130" s="911" t="s">
        <v>426</v>
      </c>
      <c r="C130" s="469">
        <f>SUMIFS(JA!$Z:$Z,JA!$AE:$AE,"OK",JA!$AT:$AT,Parkki!$X130,JA!$X:$X,$W$8,JA!$CI:$CI,$W$7,JA!$BE:$BE,Parkki!$Y$5,JA!$AI:$AI,Parkki!$Y$4,JA!CT:CT,1,JA!$Y:$Y,Parkki!$W$6,JA!$AJ:$AJ,Parkki!$Y$2,JA!$X:$X,Parkki!$W$5)+Z130+AC130+AF130</f>
        <v>0</v>
      </c>
      <c r="D130" s="469">
        <f>SUMIFS(JA!$Z:$Z,JA!$AE:$AE,"OK",JA!$AT:$AT,Parkki!$X130,JA!$AU:$AU,Parkki!$X$8,JA!$X:$X,$W$8,JA!$CI:$CI,$W$7,JA!$BE:$BE,Parkki!$Y$5,JA!$AI:$AI,Parkki!$Y$4,JA!CT:CT,1,JA!$Y:$Y,Parkki!$W$6,JA!$AJ:$AJ,Parkki!$Y$2,JA!$X:$X,Parkki!$W$5)+AA130+AD130+AG130</f>
        <v>0</v>
      </c>
      <c r="F130" s="813"/>
      <c r="G130" s="814"/>
      <c r="H130" s="814"/>
      <c r="I130" s="814"/>
      <c r="J130" s="814"/>
      <c r="K130" s="815"/>
      <c r="V130" s="907"/>
      <c r="X130" t="s">
        <v>427</v>
      </c>
      <c r="Z130" s="469"/>
      <c r="AA130" s="469"/>
      <c r="AC130" s="469"/>
      <c r="AD130" s="469"/>
      <c r="AF130" s="469"/>
      <c r="AG130" s="469"/>
    </row>
    <row r="131" spans="1:37" x14ac:dyDescent="0.25">
      <c r="A131" s="937"/>
      <c r="B131" s="911" t="s">
        <v>428</v>
      </c>
      <c r="C131" s="469">
        <f>SUMIFS(JA!$Z:$Z,JA!$AE:$AE,"OK",JA!$AT:$AT,Parkki!$X131,JA!$X:$X,$W$8,JA!$CI:$CI,$W$7,JA!$BE:$BE,Parkki!$Y$5,JA!$AI:$AI,Parkki!$Y$4,JA!CT:CT,1,JA!$Y:$Y,Parkki!$W$6,JA!$AJ:$AJ,Parkki!$Y$2,JA!$X:$X,Parkki!$W$5)+Z131+AC131+AF131</f>
        <v>0</v>
      </c>
      <c r="D131" s="469">
        <f>SUMIFS(JA!$Z:$Z,JA!$AE:$AE,"OK",JA!$AT:$AT,Parkki!$X131,JA!$AU:$AU,Parkki!$X$8,JA!$X:$X,$W$8,JA!$CI:$CI,$W$7,JA!$BE:$BE,Parkki!$Y$5,JA!$AI:$AI,Parkki!$Y$4,JA!CT:CT,1,JA!$Y:$Y,Parkki!$W$6,JA!$AJ:$AJ,Parkki!$Y$2,JA!$X:$X,Parkki!$W$5)+AA131+AD131+AG131</f>
        <v>0</v>
      </c>
      <c r="F131" s="813"/>
      <c r="G131" s="814"/>
      <c r="H131" s="814"/>
      <c r="I131" s="814"/>
      <c r="J131" s="814"/>
      <c r="K131" s="815"/>
      <c r="V131" s="907"/>
      <c r="X131" t="s">
        <v>429</v>
      </c>
      <c r="Z131" s="469">
        <f>SUMIFS(JA!$Z:$Z,JA!$AE:$AE,"OK",JA!$AT:$AT,Parkki!$AB131,JA!$X:$X,Parkki!$Y$6,JA!$CI:$CI,$W$7,JA!$BE:$BE,Parkki!$Y$5,JA!$AI:$AI,Parkki!$Y$4,JA!CT:CT,1,JA!$Y:$Y,Parkki!$W$6,JA!$AJ:$AJ,Parkki!$Y$2,JA!$X:$X,Parkki!$W$5)</f>
        <v>0</v>
      </c>
      <c r="AA131" s="469">
        <f>SUMIFS(JA!$Z:$Z,JA!$AE:$AE,"OK",JA!$AT:$AT,Parkki!$AB131,JA!$AU:$AU,Parkki!$X$8,JA!$X:$X,Parkki!$Y$6,JA!$CI:$CI,$W$7,JA!$BE:$BE,Parkki!$Y$5,JA!$AI:$AI,Parkki!$Y$4,JA!CT:CT,1,JA!$Y:$Y,Parkki!$W$6,JA!$AJ:$AJ,Parkki!$Y$2,JA!$X:$X,Parkki!$W$5)</f>
        <v>0</v>
      </c>
      <c r="AB131" s="477" t="s">
        <v>430</v>
      </c>
      <c r="AC131" s="469">
        <f>SUMIFS(JA!$Z:$Z,JA!$AE:$AE,"OK",JA!$AT:$AT,Parkki!$AE131,JA!$X:$X,Parkki!$Y$6,JA!$CI:$CI,$W$7,JA!$BE:$BE,Parkki!$Y$5,JA!$AI:$AI,Parkki!$Y$4,JA!CW:CW,1,JA!$Y:$Y,Parkki!$W$6,JA!$AJ:$AJ,Parkki!$Y$2,JA!$X:$X,Parkki!$W$5)</f>
        <v>0</v>
      </c>
      <c r="AD131" s="469">
        <f>SUMIFS(JA!$Z:$Z,JA!$AE:$AE,"OK",JA!$AT:$AT,Parkki!$AE131,JA!$AU:$AU,Parkki!$X$8,JA!$X:$X,Parkki!$Y$6,JA!$CI:$CI,$W$7,JA!$BE:$BE,Parkki!$Y$5,JA!$AI:$AI,Parkki!$Y$4,JA!CW:CW,1,JA!$Y:$Y,Parkki!$W$6,JA!$AJ:$AJ,Parkki!$Y$2,JA!$X:$X,Parkki!$W$5)</f>
        <v>0</v>
      </c>
      <c r="AE131" s="86" t="s">
        <v>431</v>
      </c>
      <c r="AF131" s="469">
        <f>SUMIFS(JA!$Z:$Z,JA!$AE:$AE,"OK",JA!$AT:$AT,Parkki!$AH131,JA!$X:$X,Parkki!$Y$6,JA!$CI:$CI,$W$7,JA!$BE:$BE,Parkki!$Y$5,JA!$AI:$AI,Parkki!$Y$4,JA!CZ:CZ,1,JA!$Y:$Y,Parkki!$W$6,JA!$AJ:$AJ,Parkki!$Y$2,JA!$X:$X,Parkki!$W$5)</f>
        <v>0</v>
      </c>
      <c r="AG131" s="469">
        <f>SUMIFS(JA!$Z:$Z,JA!$AE:$AE,"OK",JA!$AT:$AT,Parkki!$AH131,JA!$AU:$AU,Parkki!$X$8,JA!$X:$X,Parkki!$Y$6,JA!$CI:$CI,$W$7,JA!$BE:$BE,Parkki!$Y$5,JA!$AI:$AI,Parkki!$Y$4,JA!CZ:CZ,1,JA!$Y:$Y,Parkki!$W$6,JA!$AJ:$AJ,Parkki!$Y$2,JA!$X:$X,Parkki!$W$5)</f>
        <v>0</v>
      </c>
      <c r="AH131" s="86" t="s">
        <v>432</v>
      </c>
    </row>
    <row r="132" spans="1:37" x14ac:dyDescent="0.25">
      <c r="A132" s="945" t="s">
        <v>433</v>
      </c>
      <c r="B132" s="583" t="s">
        <v>434</v>
      </c>
      <c r="C132" s="469">
        <f>SUMIFS(JA!$Z:$Z,JA!$AE:$AE,"OK",JA!$AT:$AT,Parkki!$X132,JA!$X:$X,$W$8,JA!$CI:$CI,$W$7,JA!$BE:$BE,Parkki!$Y$5,JA!$AI:$AI,Parkki!$Y$4,JA!CT:CT,1,JA!$Y:$Y,Parkki!$W$6,JA!$AJ:$AJ,Parkki!$Y$2,JA!$X:$X,Parkki!$W$5)+Z132+AC132+AF132</f>
        <v>0</v>
      </c>
      <c r="D132" s="469">
        <f>SUMIFS(JA!$Z:$Z,JA!$AE:$AE,"OK",JA!$AT:$AT,Parkki!$X132,JA!$AU:$AU,Parkki!$X$8,JA!$X:$X,$W$8,JA!$CI:$CI,$W$7,JA!$BE:$BE,Parkki!$Y$5,JA!$AI:$AI,Parkki!$Y$4,JA!CT:CT,1,JA!$Y:$Y,Parkki!$W$6,JA!$AJ:$AJ,Parkki!$Y$2,JA!$X:$X,Parkki!$W$5)+AA132+AD132+AG132</f>
        <v>0</v>
      </c>
      <c r="F132" s="813"/>
      <c r="G132" s="814"/>
      <c r="H132" s="814"/>
      <c r="I132" s="814"/>
      <c r="J132" s="814"/>
      <c r="K132" s="815"/>
      <c r="V132" s="907"/>
      <c r="X132" s="86" t="s">
        <v>435</v>
      </c>
      <c r="Z132" s="469">
        <f>SUMIFS(JA!$Z:$Z,JA!$AE:$AE,"OK",JA!$AT:$AT,Parkki!$AB132,JA!$X:$X,Parkki!$Y$6,JA!$CI:$CI,$W$7,JA!$BE:$BE,Parkki!$Y$5,JA!$AI:$AI,Parkki!$Y$4,JA!CT:CT,1,JA!$Y:$Y,Parkki!$W$6,JA!$AJ:$AJ,Parkki!$Y$2,JA!$X:$X,Parkki!$W$5)</f>
        <v>0</v>
      </c>
      <c r="AA132" s="469">
        <f>SUMIFS(JA!$Z:$Z,JA!$AE:$AE,"OK",JA!$AT:$AT,Parkki!$AB132,JA!$AU:$AU,Parkki!$X$8,JA!$X:$X,Parkki!$Y$6,JA!$CI:$CI,$W$7,JA!$BE:$BE,Parkki!$Y$5,JA!$AI:$AI,Parkki!$Y$4,JA!CT:CT,1,JA!$Y:$Y,Parkki!$W$6,JA!$AJ:$AJ,Parkki!$Y$2,JA!$X:$X,Parkki!$W$5)</f>
        <v>0</v>
      </c>
      <c r="AB132" s="909" t="s">
        <v>436</v>
      </c>
      <c r="AC132" s="469">
        <f>SUMIFS(JA!$Z:$Z,JA!$AE:$AE,"OK",JA!$AT:$AT,Parkki!$AE132,JA!$X:$X,Parkki!$Y$6,JA!$CI:$CI,$W$7,JA!$BE:$BE,Parkki!$Y$5,JA!$AI:$AI,Parkki!$Y$4,JA!CW:CW,1,JA!$Y:$Y,Parkki!$W$6,JA!$AJ:$AJ,Parkki!$Y$2,JA!$X:$X,Parkki!$W$5)</f>
        <v>0</v>
      </c>
      <c r="AD132" s="469">
        <f>SUMIFS(JA!$Z:$Z,JA!$AE:$AE,"OK",JA!$AT:$AT,Parkki!$AE132,JA!$AU:$AU,Parkki!$X$8,JA!$X:$X,Parkki!$Y$6,JA!$CI:$CI,$W$7,JA!$BE:$BE,Parkki!$Y$5,JA!$AI:$AI,Parkki!$Y$4,JA!CW:CW,1,JA!$Y:$Y,Parkki!$W$6,JA!$AJ:$AJ,Parkki!$Y$2,JA!$X:$X,Parkki!$W$5)</f>
        <v>0</v>
      </c>
      <c r="AE132" s="86" t="s">
        <v>370</v>
      </c>
    </row>
    <row r="133" spans="1:37" x14ac:dyDescent="0.25">
      <c r="A133" s="946"/>
      <c r="B133" s="583" t="s">
        <v>437</v>
      </c>
      <c r="C133" s="469">
        <f>SUMIFS(JA!$Z:$Z,JA!$AE:$AE,"OK",JA!$AT:$AT,Parkki!$X133,JA!$X:$X,$W$8,JA!$CI:$CI,$W$7,JA!$BE:$BE,Parkki!$Y$5,JA!$AI:$AI,Parkki!$Y$4,JA!CT:CT,1,JA!$Y:$Y,Parkki!$W$6,JA!$AJ:$AJ,Parkki!$Y$2,JA!$X:$X,Parkki!$W$5)+Z133+AC133+AF133</f>
        <v>0</v>
      </c>
      <c r="D133" s="469">
        <f>SUMIFS(JA!$Z:$Z,JA!$AE:$AE,"OK",JA!$AT:$AT,Parkki!$X133,JA!$AU:$AU,Parkki!$X$8,JA!$X:$X,$W$8,JA!$CI:$CI,$W$7,JA!$BE:$BE,Parkki!$Y$5,JA!$AI:$AI,Parkki!$Y$4,JA!CT:CT,1,JA!$Y:$Y,Parkki!$W$6,JA!$AJ:$AJ,Parkki!$Y$2,JA!$X:$X,Parkki!$W$5)+AA133+AD133+AG133</f>
        <v>0</v>
      </c>
      <c r="F133" s="813"/>
      <c r="G133" s="814"/>
      <c r="H133" s="814"/>
      <c r="I133" s="814"/>
      <c r="J133" s="814"/>
      <c r="K133" s="815"/>
      <c r="V133" s="907"/>
      <c r="X133" s="86" t="s">
        <v>438</v>
      </c>
      <c r="Z133" s="469"/>
      <c r="AA133" s="469"/>
      <c r="AB133" s="908"/>
      <c r="AC133" s="469"/>
      <c r="AD133" s="469"/>
    </row>
    <row r="134" spans="1:37" x14ac:dyDescent="0.25">
      <c r="A134" s="946"/>
      <c r="B134" s="583" t="s">
        <v>439</v>
      </c>
      <c r="C134" s="469">
        <f>SUMIFS(JA!$Z:$Z,JA!$AE:$AE,"OK",JA!$AT:$AT,Parkki!$X134,JA!$X:$X,$W$8,JA!$CI:$CI,$W$7,JA!$BE:$BE,Parkki!$Y$5,JA!$AI:$AI,Parkki!$Y$4,JA!CT:CT,1,JA!$Y:$Y,Parkki!$W$6,JA!$AJ:$AJ,Parkki!$Y$2,JA!$X:$X,Parkki!$W$5)+Z134+AC134+AF134</f>
        <v>0</v>
      </c>
      <c r="D134" s="469">
        <f>SUMIFS(JA!$Z:$Z,JA!$AE:$AE,"OK",JA!$AT:$AT,Parkki!$X134,JA!$AU:$AU,Parkki!$X$8,JA!$X:$X,$W$8,JA!$CI:$CI,$W$7,JA!$BE:$BE,Parkki!$Y$5,JA!$AI:$AI,Parkki!$Y$4,JA!CT:CT,1,JA!$Y:$Y,Parkki!$W$6,JA!$AJ:$AJ,Parkki!$Y$2,JA!$X:$X,Parkki!$W$5)+AA134+AD134+AG134</f>
        <v>0</v>
      </c>
      <c r="F134" s="816"/>
      <c r="G134" s="168"/>
      <c r="H134" s="168"/>
      <c r="I134" s="168"/>
      <c r="J134" s="168"/>
      <c r="K134" s="817"/>
      <c r="V134" s="907"/>
      <c r="X134" t="s">
        <v>440</v>
      </c>
      <c r="Z134" s="469"/>
      <c r="AA134" s="469"/>
      <c r="AB134" s="908"/>
      <c r="AC134" s="469"/>
      <c r="AD134" s="469"/>
    </row>
    <row r="135" spans="1:37" x14ac:dyDescent="0.25">
      <c r="A135" s="946"/>
      <c r="B135" s="583" t="s">
        <v>441</v>
      </c>
      <c r="C135" s="469">
        <f>SUMIFS(JA!$Z:$Z,JA!$AE:$AE,"OK",JA!$AT:$AT,Parkki!$X135,JA!$X:$X,$W$8,JA!$CI:$CI,$W$7,JA!$BE:$BE,Parkki!$Y$5,JA!$AI:$AI,Parkki!$Y$4,JA!CT:CT,1,JA!$Y:$Y,Parkki!$W$6,JA!$AJ:$AJ,Parkki!$Y$2,JA!$X:$X,Parkki!$W$5)+Z135+AC135+AF135</f>
        <v>0</v>
      </c>
      <c r="D135" s="469">
        <f>SUMIFS(JA!$Z:$Z,JA!$AE:$AE,"OK",JA!$AT:$AT,Parkki!$X135,JA!$AU:$AU,Parkki!$X$8,JA!$X:$X,$W$8,JA!$CI:$CI,$W$7,JA!$BE:$BE,Parkki!$Y$5,JA!$AI:$AI,Parkki!$Y$4,JA!CT:CT,1,JA!$Y:$Y,Parkki!$W$6,JA!$AJ:$AJ,Parkki!$Y$2,JA!$X:$X,Parkki!$W$5)+AA135+AD135+AG135</f>
        <v>0</v>
      </c>
      <c r="F135" s="816"/>
      <c r="G135" s="168"/>
      <c r="H135" s="168"/>
      <c r="I135" s="168"/>
      <c r="J135" s="168"/>
      <c r="K135" s="817"/>
      <c r="V135" s="907"/>
      <c r="X135" s="86" t="s">
        <v>442</v>
      </c>
      <c r="Z135" s="469">
        <f>SUMIFS(JA!$Z:$Z,JA!$AE:$AE,"OK",JA!$AT:$AT,Parkki!$AB135,JA!$X:$X,Parkki!$Y$6,JA!$CI:$CI,$W$7,JA!$BE:$BE,Parkki!$Y$5,JA!$AI:$AI,Parkki!$Y$4,JA!CT:CT,1,JA!$Y:$Y,Parkki!$W$6,JA!$AJ:$AJ,Parkki!$Y$2,JA!$X:$X,Parkki!$W$5)</f>
        <v>0</v>
      </c>
      <c r="AA135" s="469">
        <f>SUMIFS(JA!$Z:$Z,JA!$AE:$AE,"OK",JA!$AT:$AT,Parkki!$AB135,JA!$AU:$AU,Parkki!$X$8,JA!$X:$X,Parkki!$Y$6,JA!$CI:$CI,$W$7,JA!$BE:$BE,Parkki!$Y$5,JA!$AI:$AI,Parkki!$Y$4,JA!CT:CT,1,JA!$Y:$Y,Parkki!$W$6,JA!$AJ:$AJ,Parkki!$Y$2,JA!$X:$X,Parkki!$W$5)</f>
        <v>0</v>
      </c>
      <c r="AB135" s="909" t="s">
        <v>443</v>
      </c>
      <c r="AC135" s="469">
        <f>SUMIFS(JA!$Z:$Z,JA!$AE:$AE,"OK",JA!$AT:$AT,Parkki!$AE135,JA!$X:$X,Parkki!$Y$6,JA!$CI:$CI,$W$7,JA!$BE:$BE,Parkki!$Y$5,JA!$AI:$AI,Parkki!$Y$4,JA!CW:CW,1,JA!$Y:$Y,Parkki!$W$6,JA!$AJ:$AJ,Parkki!$Y$2,JA!$X:$X,Parkki!$W$5)</f>
        <v>0</v>
      </c>
      <c r="AD135" s="469">
        <f>SUMIFS(JA!$Z:$Z,JA!$AE:$AE,"OK",JA!$AT:$AT,Parkki!$AE135,JA!$AU:$AU,Parkki!$X$8,JA!$X:$X,Parkki!$Y$6,JA!$CI:$CI,$W$7,JA!$BE:$BE,Parkki!$Y$5,JA!$AI:$AI,Parkki!$Y$4,JA!CW:CW,1,JA!$Y:$Y,Parkki!$W$6,JA!$AJ:$AJ,Parkki!$Y$2,JA!$X:$X,Parkki!$W$5)</f>
        <v>0</v>
      </c>
      <c r="AE135" s="86" t="s">
        <v>444</v>
      </c>
    </row>
    <row r="136" spans="1:37" x14ac:dyDescent="0.25">
      <c r="A136" s="946"/>
      <c r="B136" s="583" t="s">
        <v>445</v>
      </c>
      <c r="C136" s="469">
        <f>SUMIFS(JA!$Z:$Z,JA!$AE:$AE,"OK",JA!$AT:$AT,Parkki!$X136,JA!$X:$X,$W$8,JA!$CI:$CI,$W$7,JA!$BE:$BE,Parkki!$Y$5,JA!$AI:$AI,Parkki!$Y$4,JA!CT:CT,1,JA!$Y:$Y,Parkki!$W$6,JA!$AJ:$AJ,Parkki!$Y$2,JA!$X:$X,Parkki!$W$5)+Z136+AC136+AF136</f>
        <v>0</v>
      </c>
      <c r="D136" s="469">
        <f>SUMIFS(JA!$Z:$Z,JA!$AE:$AE,"OK",JA!$AT:$AT,Parkki!$X136,JA!$AU:$AU,Parkki!$X$8,JA!$X:$X,$W$8,JA!$CI:$CI,$W$7,JA!$BE:$BE,Parkki!$Y$5,JA!$AI:$AI,Parkki!$Y$4,JA!CT:CT,1,JA!$Y:$Y,Parkki!$W$6,JA!$AJ:$AJ,Parkki!$Y$2,JA!$X:$X,Parkki!$W$5)+AA136+AD136+AG136</f>
        <v>0</v>
      </c>
      <c r="F136" s="816"/>
      <c r="G136" s="168"/>
      <c r="H136" s="168"/>
      <c r="I136" s="168"/>
      <c r="J136" s="168"/>
      <c r="K136" s="817"/>
      <c r="V136" s="906"/>
      <c r="X136" s="86" t="s">
        <v>446</v>
      </c>
      <c r="Z136" s="469">
        <f>SUMIFS(JA!$Z:$Z,JA!$AE:$AE,"OK",JA!$AT:$AT,Parkki!$AB136,JA!$X:$X,Parkki!$Y$6,JA!$CI:$CI,$W$7,JA!$BE:$BE,Parkki!$Y$5,JA!$AI:$AI,Parkki!$Y$4,JA!CT:CT,1,JA!$Y:$Y,Parkki!$W$6,JA!$AJ:$AJ,Parkki!$Y$2,JA!$X:$X,Parkki!$W$5)</f>
        <v>0</v>
      </c>
      <c r="AA136" s="469">
        <f>SUMIFS(JA!$Z:$Z,JA!$AE:$AE,"OK",JA!$AT:$AT,Parkki!$AB136,JA!$AU:$AU,Parkki!$X$8,JA!$X:$X,Parkki!$Y$6,JA!$CI:$CI,$W$7,JA!$BE:$BE,Parkki!$Y$5,JA!$AI:$AI,Parkki!$Y$4,JA!CT:CT,1,JA!$Y:$Y,Parkki!$W$6,JA!$AJ:$AJ,Parkki!$Y$2,JA!$X:$X,Parkki!$W$5)</f>
        <v>0</v>
      </c>
      <c r="AB136" s="909" t="s">
        <v>447</v>
      </c>
      <c r="AC136" s="469"/>
      <c r="AD136" s="469"/>
    </row>
    <row r="137" spans="1:37" x14ac:dyDescent="0.25">
      <c r="A137" s="946"/>
      <c r="B137" s="583" t="s">
        <v>448</v>
      </c>
      <c r="C137" s="469">
        <f>SUMIFS(JA!$Z:$Z,JA!$AE:$AE,"OK",JA!$AT:$AT,Parkki!$X137,JA!$X:$X,$W$8,JA!$CI:$CI,$W$7,JA!$BE:$BE,Parkki!$Y$5,JA!$AI:$AI,Parkki!$Y$4,JA!CT:CT,1,JA!$Y:$Y,Parkki!$W$6,JA!$AJ:$AJ,Parkki!$Y$2,JA!$X:$X,Parkki!$W$5)+Z137+AC137+AF137</f>
        <v>0</v>
      </c>
      <c r="D137" s="469">
        <f>SUMIFS(JA!$Z:$Z,JA!$AE:$AE,"OK",JA!$AT:$AT,Parkki!$X137,JA!$AU:$AU,Parkki!$X$8,JA!$X:$X,$W$8,JA!$CI:$CI,$W$7,JA!$BE:$BE,Parkki!$Y$5,JA!$AI:$AI,Parkki!$Y$4,JA!CT:CT,1,JA!$Y:$Y,Parkki!$W$6,JA!$AJ:$AJ,Parkki!$Y$2,JA!$X:$X,Parkki!$W$5)+AA137+AD137+AG137</f>
        <v>0</v>
      </c>
      <c r="F137" s="816"/>
      <c r="G137" s="168"/>
      <c r="H137" s="168"/>
      <c r="I137" s="168"/>
      <c r="J137" s="168"/>
      <c r="K137" s="817"/>
      <c r="V137" s="907"/>
      <c r="X137" s="86" t="s">
        <v>449</v>
      </c>
      <c r="Z137" s="469"/>
      <c r="AA137" s="469"/>
      <c r="AC137" s="469"/>
      <c r="AD137" s="469"/>
    </row>
    <row r="138" spans="1:37" x14ac:dyDescent="0.25">
      <c r="A138" s="946"/>
      <c r="B138" s="583" t="s">
        <v>450</v>
      </c>
      <c r="C138" s="469">
        <f>SUMIFS(JA!$Z:$Z,JA!$AE:$AE,"OK",JA!$AT:$AT,Parkki!$X138,JA!$X:$X,$W$8,JA!$CI:$CI,$W$7,JA!$BE:$BE,Parkki!$Y$5,JA!$AI:$AI,Parkki!$Y$4,JA!CT:CT,1,JA!$Y:$Y,Parkki!$W$6,JA!$AJ:$AJ,Parkki!$Y$2,JA!$X:$X,Parkki!$W$5)+Z138+AC138+AF138</f>
        <v>0</v>
      </c>
      <c r="D138" s="469">
        <f>SUMIFS(JA!$Z:$Z,JA!$AE:$AE,"OK",JA!$AT:$AT,Parkki!$X138,JA!$AU:$AU,Parkki!$X$8,JA!$X:$X,$W$8,JA!$CI:$CI,$W$7,JA!$BE:$BE,Parkki!$Y$5,JA!$AI:$AI,Parkki!$Y$4,JA!CT:CT,1,JA!$Y:$Y,Parkki!$W$6,JA!$AJ:$AJ,Parkki!$Y$2,JA!$X:$X,Parkki!$W$5)+AA138+AD138+AG138</f>
        <v>0</v>
      </c>
      <c r="F138" s="816"/>
      <c r="G138" s="168"/>
      <c r="H138" s="168"/>
      <c r="I138" s="168"/>
      <c r="J138" s="168"/>
      <c r="K138" s="817"/>
      <c r="V138" s="907"/>
      <c r="X138" s="86" t="s">
        <v>451</v>
      </c>
      <c r="Z138" s="469"/>
      <c r="AA138" s="469"/>
      <c r="AC138" s="469"/>
      <c r="AD138" s="469"/>
    </row>
    <row r="139" spans="1:37" x14ac:dyDescent="0.25">
      <c r="A139" s="936" t="s">
        <v>452</v>
      </c>
      <c r="B139" s="583" t="s">
        <v>453</v>
      </c>
      <c r="C139" s="469">
        <f>SUMIFS(JA!$Z:$Z,JA!$AE:$AE,"OK",JA!$AT:$AT,Parkki!$X139,JA!$X:$X,$W$8,JA!$CI:$CI,$W$7,JA!$BE:$BE,Parkki!$Y$5,JA!$AI:$AI,Parkki!$Y$4,JA!CT:CT,1,JA!$Y:$Y,Parkki!$W$6,JA!$AJ:$AJ,Parkki!$Y$2,JA!$X:$X,Parkki!$W$5)+Z139+AC139+AF139</f>
        <v>0</v>
      </c>
      <c r="D139" s="469">
        <f>SUMIFS(JA!$Z:$Z,JA!$AE:$AE,"OK",JA!$AT:$AT,Parkki!$X139,JA!$AU:$AU,Parkki!$X$8,JA!$X:$X,$W$8,JA!$CI:$CI,$W$7,JA!$BE:$BE,Parkki!$Y$5,JA!$AI:$AI,Parkki!$Y$4,JA!CT:CT,1,JA!$Y:$Y,Parkki!$W$6,JA!$AJ:$AJ,Parkki!$Y$2,JA!$X:$X,Parkki!$W$5)+AA139+AD139+AG139</f>
        <v>0</v>
      </c>
      <c r="F139" s="816"/>
      <c r="G139" s="168"/>
      <c r="H139" s="168"/>
      <c r="I139" s="168"/>
      <c r="J139" s="168"/>
      <c r="K139" s="817"/>
      <c r="V139" s="907"/>
      <c r="X139" t="s">
        <v>454</v>
      </c>
      <c r="Z139" s="469">
        <f>SUMIFS(JA!$Z:$Z,JA!$AE:$AE,"OK",JA!$AT:$AT,Parkki!$AB139,JA!$X:$X,Parkki!$Y$6,JA!$CI:$CI,$W$7,JA!$BE:$BE,Parkki!$Y$5,JA!$AI:$AI,Parkki!$Y$4,JA!CT:CT,1,JA!$Y:$Y,Parkki!$W$6,JA!$AJ:$AJ,Parkki!$Y$2,JA!$X:$X,Parkki!$W$5)</f>
        <v>0</v>
      </c>
      <c r="AA139" s="469">
        <f>SUMIFS(JA!$Z:$Z,JA!$AE:$AE,"OK",JA!$AT:$AT,Parkki!$AB139,JA!$AU:$AU,Parkki!$X$8,JA!$X:$X,Parkki!$Y$6,JA!$CI:$CI,$W$7,JA!$BE:$BE,Parkki!$Y$5,JA!$AI:$AI,Parkki!$Y$4,JA!CT:CT,1,JA!$Y:$Y,Parkki!$W$6,JA!$AJ:$AJ,Parkki!$Y$2,JA!$X:$X,Parkki!$W$5)</f>
        <v>0</v>
      </c>
      <c r="AB139" s="86" t="s">
        <v>455</v>
      </c>
      <c r="AC139" s="469"/>
      <c r="AD139" s="469"/>
    </row>
    <row r="140" spans="1:37" x14ac:dyDescent="0.25">
      <c r="A140" s="944"/>
      <c r="B140" s="583" t="s">
        <v>456</v>
      </c>
      <c r="C140" s="469">
        <f>SUMIFS(JA!$Z:$Z,JA!$AE:$AE,"OK",JA!$AT:$AT,Parkki!$X140,JA!$X:$X,$W$8,JA!$CI:$CI,$W$7,JA!$BE:$BE,Parkki!$Y$5,JA!$AI:$AI,Parkki!$Y$4,JA!CT:CT,1,JA!$Y:$Y,Parkki!$W$6,JA!$AJ:$AJ,Parkki!$Y$2,JA!$X:$X,Parkki!$W$5)+Z140+AC140+AF140</f>
        <v>0</v>
      </c>
      <c r="D140" s="469">
        <f>SUMIFS(JA!$Z:$Z,JA!$AE:$AE,"OK",JA!$AT:$AT,Parkki!$X140,JA!$AU:$AU,Parkki!$X$8,JA!$X:$X,$W$8,JA!$CI:$CI,$W$7,JA!$BE:$BE,Parkki!$Y$5,JA!$AI:$AI,Parkki!$Y$4,JA!CT:CT,1,JA!$Y:$Y,Parkki!$W$6,JA!$AJ:$AJ,Parkki!$Y$2,JA!$X:$X,Parkki!$W$5)+AA140+AD140+AG140</f>
        <v>0</v>
      </c>
      <c r="F140" s="816"/>
      <c r="G140" s="168"/>
      <c r="H140" s="168"/>
      <c r="I140" s="168"/>
      <c r="J140" s="168"/>
      <c r="K140" s="817"/>
      <c r="V140" s="907"/>
      <c r="X140" t="s">
        <v>457</v>
      </c>
      <c r="Z140" s="469">
        <f>SUMIFS(JA!$Z:$Z,JA!$AE:$AE,"OK",JA!$AT:$AT,Parkki!$AB140,JA!$X:$X,Parkki!$Y$6,JA!$CI:$CI,$W$7,JA!$BE:$BE,Parkki!$Y$5,JA!$AI:$AI,Parkki!$Y$4,JA!CT:CT,1,JA!$Y:$Y,Parkki!$W$6,JA!$AJ:$AJ,Parkki!$Y$2,JA!$X:$X,Parkki!$W$5)</f>
        <v>0</v>
      </c>
      <c r="AA140" s="469">
        <f>SUMIFS(JA!$Z:$Z,JA!$AE:$AE,"OK",JA!$AT:$AT,Parkki!$AB140,JA!$AU:$AU,Parkki!$X$8,JA!$X:$X,Parkki!$Y$6,JA!$CI:$CI,$W$7,JA!$BE:$BE,Parkki!$Y$5,JA!$AI:$AI,Parkki!$Y$4,JA!CT:CT,1,JA!$Y:$Y,Parkki!$W$6,JA!$AJ:$AJ,Parkki!$Y$2,JA!$X:$X,Parkki!$W$5)</f>
        <v>0</v>
      </c>
      <c r="AB140" s="86" t="s">
        <v>458</v>
      </c>
      <c r="AC140" s="469"/>
      <c r="AD140" s="469"/>
    </row>
    <row r="141" spans="1:37" x14ac:dyDescent="0.25">
      <c r="A141" s="944"/>
      <c r="B141" s="583" t="s">
        <v>459</v>
      </c>
      <c r="C141" s="469">
        <f>SUMIFS(JA!$Z:$Z,JA!$AE:$AE,"OK",JA!$AT:$AT,Parkki!$X141,JA!$X:$X,$W$8,JA!$CI:$CI,$W$7,JA!$BE:$BE,Parkki!$Y$5,JA!$AI:$AI,Parkki!$Y$4,JA!CT:CT,1,JA!$Y:$Y,Parkki!$W$6,JA!$AJ:$AJ,Parkki!$Y$2,JA!$X:$X,Parkki!$W$5)+Z141+AC141+AF141</f>
        <v>0</v>
      </c>
      <c r="D141" s="469">
        <f>SUMIFS(JA!$Z:$Z,JA!$AE:$AE,"OK",JA!$AT:$AT,Parkki!$X141,JA!$AU:$AU,Parkki!$X$8,JA!$X:$X,$W$8,JA!$CI:$CI,$W$7,JA!$BE:$BE,Parkki!$Y$5,JA!$AI:$AI,Parkki!$Y$4,JA!CT:CT,1,JA!$Y:$Y,Parkki!$W$6,JA!$AJ:$AJ,Parkki!$Y$2,JA!$X:$X,Parkki!$W$5)+AA141+AD141+AG141</f>
        <v>0</v>
      </c>
      <c r="F141" s="816"/>
      <c r="G141" s="168"/>
      <c r="H141" s="168"/>
      <c r="I141" s="168"/>
      <c r="J141" s="168"/>
      <c r="K141" s="817"/>
      <c r="V141" s="907"/>
      <c r="X141" t="s">
        <v>460</v>
      </c>
      <c r="Z141" s="469">
        <f>SUMIFS(JA!$Z:$Z,JA!$AE:$AE,"OK",JA!$AT:$AT,Parkki!$AB141,JA!$X:$X,Parkki!$Y$6,JA!$CI:$CI,$W$7,JA!$BE:$BE,Parkki!$Y$5,JA!$AI:$AI,Parkki!$Y$4,JA!CT:CT,1,JA!$Y:$Y,Parkki!$W$6,JA!$AJ:$AJ,Parkki!$Y$2,JA!$X:$X,Parkki!$W$5)</f>
        <v>0</v>
      </c>
      <c r="AA141" s="469">
        <f>SUMIFS(JA!$Z:$Z,JA!$AE:$AE,"OK",JA!$AT:$AT,Parkki!$AB141,JA!$AU:$AU,Parkki!$X$8,JA!$X:$X,Parkki!$Y$6,JA!$CI:$CI,$W$7,JA!$BE:$BE,Parkki!$Y$5,JA!$AI:$AI,Parkki!$Y$4,JA!CT:CT,1,JA!$Y:$Y,Parkki!$W$6,JA!$AJ:$AJ,Parkki!$Y$2,JA!$X:$X,Parkki!$W$5)</f>
        <v>0</v>
      </c>
      <c r="AB141" s="86" t="s">
        <v>461</v>
      </c>
      <c r="AC141" s="469">
        <f>SUMIFS(JA!$Z:$Z,JA!$AE:$AE,"OK",JA!$AT:$AT,Parkki!$AE141,JA!$X:$X,Parkki!$Y$6,JA!$CI:$CI,$W$7,JA!$BE:$BE,Parkki!$Y$5,JA!$AI:$AI,Parkki!$Y$4,JA!CW:CW,1,JA!$Y:$Y,Parkki!$W$6,JA!$AJ:$AJ,Parkki!$Y$2,JA!$X:$X,Parkki!$W$5)</f>
        <v>0</v>
      </c>
      <c r="AD141" s="469">
        <f>SUMIFS(JA!$Z:$Z,JA!$AE:$AE,"OK",JA!$AT:$AT,Parkki!$AE141,JA!$AU:$AU,Parkki!$X$8,JA!$X:$X,Parkki!$Y$6,JA!$CI:$CI,$W$7,JA!$BE:$BE,Parkki!$Y$5,JA!$AI:$AI,Parkki!$Y$4,JA!CW:CW,1,JA!$Y:$Y,Parkki!$W$6,JA!$AJ:$AJ,Parkki!$Y$2,JA!$X:$X,Parkki!$W$5)</f>
        <v>0</v>
      </c>
      <c r="AE141" s="86" t="s">
        <v>462</v>
      </c>
    </row>
    <row r="142" spans="1:37" x14ac:dyDescent="0.25">
      <c r="A142" s="937"/>
      <c r="B142" s="583" t="s">
        <v>463</v>
      </c>
      <c r="C142" s="469">
        <f>SUMIFS(JA!$Z:$Z,JA!$AE:$AE,"OK",JA!$AT:$AT,Parkki!$X142,JA!$X:$X,$W$8,JA!$CI:$CI,$W$7,JA!$BE:$BE,Parkki!$Y$5,JA!$AI:$AI,Parkki!$Y$4,JA!CT:CT,1,JA!$Y:$Y,Parkki!$W$6,JA!$AJ:$AJ,Parkki!$Y$2,JA!$X:$X,Parkki!$W$5)+Z142+AC142+AF142</f>
        <v>0</v>
      </c>
      <c r="D142" s="469">
        <f>SUMIFS(JA!$Z:$Z,JA!$AE:$AE,"OK",JA!$AT:$AT,Parkki!$X142,JA!$AU:$AU,Parkki!$X$8,JA!$X:$X,$W$8,JA!$CI:$CI,$W$7,JA!$BE:$BE,Parkki!$Y$5,JA!$AI:$AI,Parkki!$Y$4,JA!CT:CT,1,JA!$Y:$Y,Parkki!$W$6,JA!$AJ:$AJ,Parkki!$Y$2,JA!$X:$X,Parkki!$W$5)+AA142+AD142+AG142</f>
        <v>0</v>
      </c>
      <c r="F142" s="816"/>
      <c r="G142" s="168"/>
      <c r="H142" s="168"/>
      <c r="I142" s="168"/>
      <c r="J142" s="168"/>
      <c r="K142" s="817"/>
      <c r="V142" s="906"/>
      <c r="X142" t="s">
        <v>464</v>
      </c>
      <c r="Z142" s="469">
        <f>SUMIFS(JA!$Z:$Z,JA!$AE:$AE,"OK",JA!$AT:$AT,Parkki!$AB142,JA!$X:$X,Parkki!$Y$6,JA!$CI:$CI,$W$7,JA!$BE:$BE,Parkki!$Y$5,JA!$AI:$AI,Parkki!$Y$4,JA!CT:CT,1,JA!$Y:$Y,Parkki!$W$6,JA!$AJ:$AJ,Parkki!$Y$2,JA!$X:$X,Parkki!$W$5)</f>
        <v>0</v>
      </c>
      <c r="AA142" s="469">
        <f>SUMIFS(JA!$Z:$Z,JA!$AE:$AE,"OK",JA!$AT:$AT,Parkki!$AB142,JA!$AU:$AU,Parkki!$X$8,JA!$X:$X,Parkki!$Y$6,JA!$CI:$CI,$W$7,JA!$BE:$BE,Parkki!$Y$5,JA!$AI:$AI,Parkki!$Y$4,JA!CT:CT,1,JA!$Y:$Y,Parkki!$W$6,JA!$AJ:$AJ,Parkki!$Y$2,JA!$X:$X,Parkki!$W$5)</f>
        <v>0</v>
      </c>
      <c r="AB142" s="86" t="s">
        <v>465</v>
      </c>
      <c r="AC142" s="469">
        <f>SUMIFS(JA!$Z:$Z,JA!$AE:$AE,"OK",JA!$AT:$AT,Parkki!$AE142,JA!$X:$X,Parkki!$Y$6,JA!$CI:$CI,$W$7,JA!$BE:$BE,Parkki!$Y$5,JA!$AI:$AI,Parkki!$Y$4,JA!CW:CW,1,JA!$Y:$Y,Parkki!$W$6,JA!$AJ:$AJ,Parkki!$Y$2,JA!$X:$X,Parkki!$W$5)</f>
        <v>0</v>
      </c>
      <c r="AD142" s="469">
        <f>SUMIFS(JA!$Z:$Z,JA!$AE:$AE,"OK",JA!$AT:$AT,Parkki!$AE142,JA!$AU:$AU,Parkki!$X$8,JA!$X:$X,Parkki!$Y$6,JA!$CI:$CI,$W$7,JA!$BE:$BE,Parkki!$Y$5,JA!$AI:$AI,Parkki!$Y$4,JA!CW:CW,1,JA!$Y:$Y,Parkki!$W$6,JA!$AJ:$AJ,Parkki!$Y$2,JA!$X:$X,Parkki!$W$5)</f>
        <v>0</v>
      </c>
      <c r="AE142" s="86" t="s">
        <v>466</v>
      </c>
    </row>
    <row r="143" spans="1:37" x14ac:dyDescent="0.25">
      <c r="A143" s="936" t="s">
        <v>287</v>
      </c>
      <c r="B143" s="583" t="s">
        <v>467</v>
      </c>
      <c r="C143" s="469">
        <f>SUMIFS(JA!$Z:$Z,JA!$AE:$AE,"OK",JA!$AT:$AT,Parkki!$X143,JA!$X:$X,$W$8,JA!$CI:$CI,$W$7,JA!$BE:$BE,Parkki!$Y$5,JA!$AI:$AI,Parkki!$Y$4,JA!CT:CT,1,JA!$Y:$Y,Parkki!$W$6,JA!$AJ:$AJ,Parkki!$Y$2,JA!$X:$X,Parkki!$W$5)+Z143+AC143+AF143</f>
        <v>0</v>
      </c>
      <c r="D143" s="469">
        <f>SUMIFS(JA!$Z:$Z,JA!$AE:$AE,"OK",JA!$AT:$AT,Parkki!$X143,JA!$AU:$AU,Parkki!$X$8,JA!$X:$X,$W$8,JA!$CI:$CI,$W$7,JA!$BE:$BE,Parkki!$Y$5,JA!$AI:$AI,Parkki!$Y$4,JA!CT:CT,1,JA!$Y:$Y,Parkki!$W$6,JA!$AJ:$AJ,Parkki!$Y$2,JA!$X:$X,Parkki!$W$5)+AA143+AD143+AG143</f>
        <v>0</v>
      </c>
      <c r="F143" s="816"/>
      <c r="G143" s="168"/>
      <c r="H143" s="168"/>
      <c r="I143" s="168"/>
      <c r="J143" s="168"/>
      <c r="K143" s="817"/>
      <c r="V143" s="907"/>
      <c r="X143" s="86" t="s">
        <v>468</v>
      </c>
      <c r="Z143" s="469"/>
      <c r="AA143" s="469"/>
    </row>
    <row r="144" spans="1:37" x14ac:dyDescent="0.25">
      <c r="A144" s="944"/>
      <c r="B144" s="583" t="s">
        <v>469</v>
      </c>
      <c r="C144" s="469">
        <f>SUMIFS(JA!$Z:$Z,JA!$AE:$AE,"OK",JA!$AT:$AT,Parkki!$X144,JA!$X:$X,$W$8,JA!$CI:$CI,$W$7,JA!$BE:$BE,Parkki!$Y$5,JA!$AI:$AI,Parkki!$Y$4,JA!CT:CT,1,JA!$Y:$Y,Parkki!$W$6,JA!$AJ:$AJ,Parkki!$Y$2,JA!$X:$X,Parkki!$W$5)+Z144+AC144+AF144</f>
        <v>0</v>
      </c>
      <c r="D144" s="469">
        <f>SUMIFS(JA!$Z:$Z,JA!$AE:$AE,"OK",JA!$AT:$AT,Parkki!$X144,JA!$AU:$AU,Parkki!$X$8,JA!$X:$X,$W$8,JA!$CI:$CI,$W$7,JA!$BE:$BE,Parkki!$Y$5,JA!$AI:$AI,Parkki!$Y$4,JA!CT:CT,1,JA!$Y:$Y,Parkki!$W$6,JA!$AJ:$AJ,Parkki!$Y$2,JA!$X:$X,Parkki!$W$5)+AA144+AD144+AG144</f>
        <v>0</v>
      </c>
      <c r="F144" s="816"/>
      <c r="G144" s="168"/>
      <c r="H144" s="168"/>
      <c r="I144" s="168"/>
      <c r="J144" s="168"/>
      <c r="K144" s="817"/>
      <c r="S144" s="228"/>
      <c r="T144" s="228"/>
      <c r="V144" s="907"/>
      <c r="X144" t="s">
        <v>470</v>
      </c>
    </row>
    <row r="145" spans="1:34" x14ac:dyDescent="0.25">
      <c r="A145" s="944"/>
      <c r="B145" s="583" t="s">
        <v>471</v>
      </c>
      <c r="C145" s="469">
        <f>SUMIFS(JA!$Z:$Z,JA!$AE:$AE,"OK",JA!$AT:$AT,Parkki!$X145,JA!$X:$X,$W$8,JA!$CI:$CI,$W$7,JA!$BE:$BE,Parkki!$Y$5,JA!$AI:$AI,Parkki!$Y$4,JA!CT:CT,1,JA!$Y:$Y,Parkki!$W$6,JA!$AJ:$AJ,Parkki!$Y$2,JA!$X:$X,Parkki!$W$5)+Z145+AC145+AF145</f>
        <v>0</v>
      </c>
      <c r="D145" s="469">
        <f>SUMIFS(JA!$Z:$Z,JA!$AE:$AE,"OK",JA!$AT:$AT,Parkki!$X145,JA!$AU:$AU,Parkki!$X$8,JA!$X:$X,$W$8,JA!$CI:$CI,$W$7,JA!$BE:$BE,Parkki!$Y$5,JA!$AI:$AI,Parkki!$Y$4,JA!CT:CT,1,JA!$Y:$Y,Parkki!$W$6,JA!$AJ:$AJ,Parkki!$Y$2,JA!$X:$X,Parkki!$W$5)+AA145+AD145+AG145</f>
        <v>0</v>
      </c>
      <c r="F145" s="816"/>
      <c r="G145" s="168"/>
      <c r="H145" s="168"/>
      <c r="I145" s="168"/>
      <c r="J145" s="168"/>
      <c r="K145" s="817"/>
      <c r="S145" s="228"/>
      <c r="T145" s="228"/>
      <c r="V145" s="907"/>
      <c r="X145" t="s">
        <v>472</v>
      </c>
    </row>
    <row r="146" spans="1:34" x14ac:dyDescent="0.25">
      <c r="A146" s="944"/>
      <c r="B146" s="583" t="s">
        <v>473</v>
      </c>
      <c r="C146" s="469">
        <f>SUMIFS(JA!$Z:$Z,JA!$AE:$AE,"OK",JA!$AT:$AT,Parkki!$X146,JA!$X:$X,$W$8,JA!$CI:$CI,$W$7,JA!$BE:$BE,Parkki!$Y$5,JA!$AI:$AI,Parkki!$Y$4,JA!CT:CT,1,JA!$Y:$Y,Parkki!$W$6,JA!$AJ:$AJ,Parkki!$Y$2,JA!$X:$X,Parkki!$W$5)+Z146+AC146+AF146</f>
        <v>0</v>
      </c>
      <c r="D146" s="469">
        <f>SUMIFS(JA!$Z:$Z,JA!$AE:$AE,"OK",JA!$AT:$AT,Parkki!$X146,JA!$AU:$AU,Parkki!$X$8,JA!$X:$X,$W$8,JA!$CI:$CI,$W$7,JA!$BE:$BE,Parkki!$Y$5,JA!$AI:$AI,Parkki!$Y$4,JA!CT:CT,1,JA!$Y:$Y,Parkki!$W$6,JA!$AJ:$AJ,Parkki!$Y$2,JA!$X:$X,Parkki!$W$5)+AA146+AD146+AG146</f>
        <v>0</v>
      </c>
      <c r="F146" s="816"/>
      <c r="G146" s="168"/>
      <c r="H146" s="168"/>
      <c r="I146" s="168"/>
      <c r="J146" s="168"/>
      <c r="K146" s="817"/>
      <c r="V146" s="907"/>
      <c r="X146" s="86" t="s">
        <v>474</v>
      </c>
      <c r="Z146" s="469">
        <f>SUMIFS(JA!$Z:$Z,JA!$AE:$AE,"OK",JA!$AT:$AT,Parkki!#REF!,JA!$X:$X,Parkki!$Y$6,JA!$CI:$CI,$W$7,JA!$BE:$BE,Parkki!$Y$5,JA!$AI:$AI,Parkki!$Y$4,JA!CT:CT,1,JA!$Y:$Y,Parkki!$W$6,JA!$AJ:$AJ,Parkki!$Y$2,JA!$X:$X,Parkki!$W$5)</f>
        <v>0</v>
      </c>
      <c r="AA146" s="469">
        <f>SUMIFS(JA!$Z:$Z,JA!$AE:$AE,"OK",JA!$AT:$AT,Parkki!#REF!,JA!$AU:$AU,Parkki!$X$8,JA!$X:$X,Parkki!$Y$6,JA!$CI:$CI,$W$7,JA!$BE:$BE,Parkki!$Y$5,JA!$AI:$AI,Parkki!$Y$4,JA!CT:CT,1,JA!$Y:$Y,Parkki!$W$6,JA!$AJ:$AJ,Parkki!$Y$2,JA!$X:$X,Parkki!$W$5)</f>
        <v>0</v>
      </c>
      <c r="AB146" s="86"/>
    </row>
    <row r="147" spans="1:34" x14ac:dyDescent="0.25">
      <c r="A147" s="937"/>
      <c r="B147" s="583" t="s">
        <v>475</v>
      </c>
      <c r="C147" s="469">
        <f>SUMIFS(JA!$Z:$Z,JA!$AE:$AE,"OK",JA!$AT:$AT,Parkki!$X147,JA!$X:$X,$W$8,JA!$CI:$CI,$W$7,JA!$BE:$BE,Parkki!$Y$5,JA!$AI:$AI,Parkki!$Y$4,JA!CT:CT,1,JA!$Y:$Y,Parkki!$W$6,JA!$AJ:$AJ,Parkki!$Y$2,JA!$X:$X,Parkki!$W$5)+Z147+AC147+AF147</f>
        <v>0</v>
      </c>
      <c r="D147" s="469">
        <f>SUMIFS(JA!$Z:$Z,JA!$AE:$AE,"OK",JA!$AT:$AT,Parkki!$X147,JA!$AU:$AU,Parkki!$X$8,JA!$X:$X,$W$8,JA!$CI:$CI,$W$7,JA!$BE:$BE,Parkki!$Y$5,JA!$AI:$AI,Parkki!$Y$4,JA!CT:CT,1,JA!$Y:$Y,Parkki!$W$6,JA!$AJ:$AJ,Parkki!$Y$2,JA!$X:$X,Parkki!$W$5)+AA147+AD147+AG147</f>
        <v>0</v>
      </c>
      <c r="F147" s="816"/>
      <c r="G147" s="168"/>
      <c r="H147" s="168"/>
      <c r="I147" s="168"/>
      <c r="J147" s="168"/>
      <c r="K147" s="817"/>
      <c r="V147" s="907"/>
      <c r="X147" s="627" t="s">
        <v>476</v>
      </c>
      <c r="Z147" s="469">
        <f>SUMIFS(JA!$Z:$Z,JA!$AE:$AE,"OK",JA!$AT:$AT,Parkki!$AB147,JA!$X:$X,Parkki!$Y$6,JA!$CI:$CI,$W$7,JA!$BE:$BE,Parkki!$Y$5,JA!$AI:$AI,Parkki!$Y$4,JA!CT:CT,1,JA!$Y:$Y,Parkki!$W$6,JA!$AJ:$AJ,Parkki!$Y$2,JA!$X:$X,Parkki!$W$5)</f>
        <v>0</v>
      </c>
      <c r="AA147" s="469">
        <f>SUMIFS(JA!$Z:$Z,JA!$AE:$AE,"OK",JA!$AT:$AT,Parkki!$AB147,JA!$AU:$AU,Parkki!$X$8,JA!$X:$X,Parkki!$Y$6,JA!$CI:$CI,$W$7,JA!$BE:$BE,Parkki!$Y$5,JA!$AI:$AI,Parkki!$Y$4,JA!CT:CT,1,JA!$Y:$Y,Parkki!$W$6,JA!$AJ:$AJ,Parkki!$Y$2,JA!$X:$X,Parkki!$W$5)</f>
        <v>0</v>
      </c>
      <c r="AB147" s="627" t="s">
        <v>477</v>
      </c>
      <c r="AC147" s="916">
        <f>AC99</f>
        <v>0</v>
      </c>
      <c r="AD147" s="916">
        <f>AD99</f>
        <v>0</v>
      </c>
      <c r="AE147" s="917" t="s">
        <v>478</v>
      </c>
      <c r="AF147" s="469">
        <f>SUMIFS(JA!$Z:$Z,JA!$AE:$AE,"OK",JA!$AT:$AT,Parkki!$AH147,JA!$X:$X,Parkki!$Y$6,JA!$CI:$CI,$W$7,JA!$BE:$BE,Parkki!$Y$5,JA!$AI:$AI,Parkki!$Y$4,JA!CZ:CZ,1,JA!$Y:$Y,Parkki!$W$6,JA!$AJ:$AJ,Parkki!$Y$2,JA!$X:$X,Parkki!$W$5)</f>
        <v>0</v>
      </c>
      <c r="AG147" s="469">
        <f>SUMIFS(JA!$Z:$Z,JA!$AE:$AE,"OK",JA!$AT:$AT,Parkki!$AH147,JA!$AU:$AU,Parkki!$X$8,JA!$X:$X,Parkki!$Y$6,JA!$CI:$CI,$W$7,JA!$BE:$BE,Parkki!$Y$5,JA!$AI:$AI,Parkki!$Y$4,JA!CZ:CZ,1,JA!$Y:$Y,Parkki!$W$6,JA!$AJ:$AJ,Parkki!$Y$2,JA!$X:$X,Parkki!$W$5)</f>
        <v>0</v>
      </c>
      <c r="AH147" s="86" t="s">
        <v>479</v>
      </c>
    </row>
    <row r="148" spans="1:34" x14ac:dyDescent="0.25">
      <c r="A148" s="945" t="s">
        <v>480</v>
      </c>
      <c r="B148" s="583" t="s">
        <v>481</v>
      </c>
      <c r="C148" s="469">
        <f>SUMIFS(JA!$Z:$Z,JA!$AE:$AE,"OK",JA!$AT:$AT,Parkki!$X148,JA!$X:$X,$W$8,JA!$CI:$CI,$W$7,JA!$BE:$BE,Parkki!$Y$5,JA!$AI:$AI,Parkki!$Y$4,JA!CT:CT,1,JA!$Y:$Y,Parkki!$W$6,JA!$AJ:$AJ,Parkki!$Y$2,JA!$X:$X,Parkki!$W$5)+Z148+AC148+AF148</f>
        <v>0</v>
      </c>
      <c r="D148" s="469">
        <f>SUMIFS(JA!$Z:$Z,JA!$AE:$AE,"OK",JA!$AT:$AT,Parkki!$X148,JA!$AU:$AU,Parkki!$X$8,JA!$X:$X,$W$8,JA!$CI:$CI,$W$7,JA!$BE:$BE,Parkki!$Y$5,JA!$AI:$AI,Parkki!$Y$4,JA!CT:CT,1,JA!$Y:$Y,Parkki!$W$6,JA!$AJ:$AJ,Parkki!$Y$2,JA!$X:$X,Parkki!$W$5)+AA148+AD148+AG148</f>
        <v>0</v>
      </c>
      <c r="F148" s="816"/>
      <c r="G148" s="168"/>
      <c r="H148" s="168"/>
      <c r="I148" s="168"/>
      <c r="J148" s="168"/>
      <c r="K148" s="817"/>
      <c r="V148" s="907"/>
      <c r="X148" s="86" t="s">
        <v>482</v>
      </c>
      <c r="Z148" s="469">
        <f>SUMIFS(JA!$Z:$Z,JA!$AE:$AE,"OK",JA!$AT:$AT,Parkki!$AB148,JA!$X:$X,Parkki!$Y$6,JA!$CI:$CI,$W$7,JA!$BE:$BE,Parkki!$Y$5,JA!$AI:$AI,Parkki!$Y$4,JA!CT:CT,1,JA!$Y:$Y,Parkki!$W$6,JA!$AJ:$AJ,Parkki!$Y$2,JA!$X:$X,Parkki!$W$5)</f>
        <v>0</v>
      </c>
      <c r="AA148" s="469">
        <f>SUMIFS(JA!$Z:$Z,JA!$AE:$AE,"OK",JA!$AT:$AT,Parkki!$AB148,JA!$AU:$AU,Parkki!$X$8,JA!$X:$X,Parkki!$Y$6,JA!$CI:$CI,$W$7,JA!$BE:$BE,Parkki!$Y$5,JA!$AI:$AI,Parkki!$Y$4,JA!CT:CT,1,JA!$Y:$Y,Parkki!$W$6,JA!$AJ:$AJ,Parkki!$Y$2,JA!$X:$X,Parkki!$W$5)</f>
        <v>0</v>
      </c>
      <c r="AC148" s="469">
        <f>SUMIFS(JA!$Z:$Z,JA!$AE:$AE,"OK",JA!$AT:$AT,Parkki!$AE148,JA!$X:$X,Parkki!$Y$6,JA!$CI:$CI,$W$7,JA!$BE:$BE,Parkki!$Y$5,JA!$AI:$AI,Parkki!$Y$4,JA!CW:CW,1,JA!$Y:$Y,Parkki!$W$6,JA!$AJ:$AJ,Parkki!$Y$2,JA!$X:$X,Parkki!$W$5)</f>
        <v>0</v>
      </c>
      <c r="AD148" s="469">
        <f>SUMIFS(JA!$Z:$Z,JA!$AE:$AE,"OK",JA!$AT:$AT,Parkki!$AE148,JA!$AU:$AU,Parkki!$X$8,JA!$X:$X,Parkki!$Y$6,JA!$CI:$CI,$W$7,JA!$BE:$BE,Parkki!$Y$5,JA!$AI:$AI,Parkki!$Y$4,JA!CW:CW,1,JA!$Y:$Y,Parkki!$W$6,JA!$AJ:$AJ,Parkki!$Y$2,JA!$X:$X,Parkki!$W$5)</f>
        <v>0</v>
      </c>
      <c r="AF148" s="469">
        <f>SUMIFS(JA!$Z:$Z,JA!$AE:$AE,"OK",JA!$AT:$AT,Parkki!$AH148,JA!$X:$X,Parkki!$Y$6,JA!$CI:$CI,$W$7,JA!$BE:$BE,Parkki!$Y$5,JA!$AI:$AI,Parkki!$Y$4,JA!CZ:CZ,1,JA!$Y:$Y,Parkki!$W$6,JA!$AJ:$AJ,Parkki!$Y$2,JA!$X:$X,Parkki!$W$5)</f>
        <v>0</v>
      </c>
      <c r="AG148" s="469">
        <f>SUMIFS(JA!$Z:$Z,JA!$AE:$AE,"OK",JA!$AT:$AT,Parkki!$AH148,JA!$AU:$AU,Parkki!$X$8,JA!$X:$X,Parkki!$Y$6,JA!$CI:$CI,$W$7,JA!$BE:$BE,Parkki!$Y$5,JA!$AI:$AI,Parkki!$Y$4,JA!CZ:CZ,1,JA!$Y:$Y,Parkki!$W$6,JA!$AJ:$AJ,Parkki!$Y$2,JA!$X:$X,Parkki!$W$5)</f>
        <v>0</v>
      </c>
    </row>
    <row r="149" spans="1:34" x14ac:dyDescent="0.25">
      <c r="A149" s="946"/>
      <c r="B149" s="583" t="s">
        <v>483</v>
      </c>
      <c r="C149" s="469">
        <f>SUMIFS(JA!$Z:$Z,JA!$AE:$AE,"OK",JA!$AT:$AT,Parkki!$X149,JA!$X:$X,$W$8,JA!$CI:$CI,$W$7,JA!$BE:$BE,Parkki!$Y$5,JA!$AI:$AI,Parkki!$Y$4,JA!CT:CT,1,JA!$Y:$Y,Parkki!$W$6,JA!$AJ:$AJ,Parkki!$Y$2,JA!$X:$X,Parkki!$W$5)+Z149+AC149+AF149</f>
        <v>0</v>
      </c>
      <c r="D149" s="469">
        <f>SUMIFS(JA!$Z:$Z,JA!$AE:$AE,"OK",JA!$AT:$AT,Parkki!$X149,JA!$AU:$AU,Parkki!$X$8,JA!$X:$X,$W$8,JA!$CI:$CI,$W$7,JA!$BE:$BE,Parkki!$Y$5,JA!$AI:$AI,Parkki!$Y$4,JA!CT:CT,1,JA!$Y:$Y,Parkki!$W$6,JA!$AJ:$AJ,Parkki!$Y$2,JA!$X:$X,Parkki!$W$5)+AA149+AD149+AG149</f>
        <v>0</v>
      </c>
      <c r="F149" s="816"/>
      <c r="G149" s="168"/>
      <c r="H149" s="168"/>
      <c r="I149" s="168"/>
      <c r="J149" s="168"/>
      <c r="K149" s="817"/>
      <c r="V149" s="907"/>
      <c r="X149" s="86" t="s">
        <v>484</v>
      </c>
    </row>
    <row r="150" spans="1:34" x14ac:dyDescent="0.25">
      <c r="A150" s="947"/>
      <c r="B150" s="583" t="s">
        <v>485</v>
      </c>
      <c r="C150" s="469">
        <f>SUMIFS(JA!$Z:$Z,JA!$AE:$AE,"OK",JA!$AT:$AT,Parkki!$X150,JA!$X:$X,$W$8,JA!$CI:$CI,$W$7,JA!$BE:$BE,Parkki!$Y$5,JA!$AI:$AI,Parkki!$Y$4,JA!CT:CT,1,JA!$Y:$Y,Parkki!$W$6,JA!$AJ:$AJ,Parkki!$Y$2,JA!$X:$X,Parkki!$W$5)+Z150+AC150+AF150</f>
        <v>0</v>
      </c>
      <c r="D150" s="469">
        <f>SUMIFS(JA!$Z:$Z,JA!$AE:$AE,"OK",JA!$AT:$AT,Parkki!$X150,JA!$AU:$AU,Parkki!$X$8,JA!$X:$X,$W$8,JA!$CI:$CI,$W$7,JA!$BE:$BE,Parkki!$Y$5,JA!$AI:$AI,Parkki!$Y$4,JA!CT:CT,1,JA!$Y:$Y,Parkki!$W$6,JA!$AJ:$AJ,Parkki!$Y$2,JA!$X:$X,Parkki!$W$5)+AA150+AD150+AG150</f>
        <v>0</v>
      </c>
      <c r="F150" s="816"/>
      <c r="G150" s="168"/>
      <c r="H150" s="168"/>
      <c r="I150" s="168"/>
      <c r="J150" s="168"/>
      <c r="K150" s="817"/>
      <c r="V150" s="907"/>
      <c r="X150" s="86" t="s">
        <v>486</v>
      </c>
      <c r="Z150" s="469">
        <f>SUMIFS(JA!$Z:$Z,JA!$AE:$AE,"OK",JA!$AT:$AT,Parkki!$AB150,JA!$X:$X,Parkki!$Y$6,JA!$CI:$CI,$W$7,JA!$BE:$BE,Parkki!$Y$5,JA!$AI:$AI,Parkki!$Y$4,JA!CT:CT,1,JA!$Y:$Y,Parkki!$W$6,JA!$AJ:$AJ,Parkki!$Y$2,JA!$X:$X,Parkki!$W$5)</f>
        <v>0</v>
      </c>
      <c r="AA150" s="469">
        <f>SUMIFS(JA!$Z:$Z,JA!$AE:$AE,"OK",JA!$AT:$AT,Parkki!$AB150,JA!$AU:$AU,Parkki!$X$8,JA!$X:$X,Parkki!$Y$6,JA!$CI:$CI,$W$7,JA!$BE:$BE,Parkki!$Y$5,JA!$AI:$AI,Parkki!$Y$4,JA!CT:CT,1,JA!$Y:$Y,Parkki!$W$6,JA!$AJ:$AJ,Parkki!$Y$2,JA!$X:$X,Parkki!$W$5)</f>
        <v>0</v>
      </c>
      <c r="AB150" s="477" t="s">
        <v>487</v>
      </c>
      <c r="AC150" s="469">
        <f>SUMIFS(JA!$Z:$Z,JA!$AE:$AE,"OK",JA!$AT:$AT,Parkki!$AE150,JA!$X:$X,Parkki!$Y$6,JA!$CI:$CI,$W$7,JA!$BE:$BE,Parkki!$Y$5,JA!$AI:$AI,Parkki!$Y$4,JA!CW:CW,1,JA!$Y:$Y,Parkki!$W$6,JA!$AJ:$AJ,Parkki!$Y$2,JA!$X:$X,Parkki!$W$5)</f>
        <v>0</v>
      </c>
      <c r="AD150" s="469">
        <f>SUMIFS(JA!$Z:$Z,JA!$AE:$AE,"OK",JA!$AT:$AT,Parkki!$AE150,JA!$AU:$AU,Parkki!$X$8,JA!$X:$X,Parkki!$Y$6,JA!$CI:$CI,$W$7,JA!$BE:$BE,Parkki!$Y$5,JA!$AI:$AI,Parkki!$Y$4,JA!CW:CW,1,JA!$Y:$Y,Parkki!$W$6,JA!$AJ:$AJ,Parkki!$Y$2,JA!$X:$X,Parkki!$W$5)</f>
        <v>0</v>
      </c>
      <c r="AE150" s="918" t="s">
        <v>488</v>
      </c>
      <c r="AF150" s="469">
        <f>SUMIFS(JA!$Z:$Z,JA!$AE:$AE,"OK",JA!$AT:$AT,Parkki!$AH150,JA!$X:$X,Parkki!$Y$6,JA!$CI:$CI,$W$7,JA!$BE:$BE,Parkki!$Y$5,JA!$AI:$AI,Parkki!$Y$4,JA!CZ:CZ,1,JA!$Y:$Y,Parkki!$W$6,JA!$AJ:$AJ,Parkki!$Y$2,JA!$X:$X,Parkki!$W$5)</f>
        <v>0</v>
      </c>
      <c r="AG150" s="469">
        <f>SUMIFS(JA!$Z:$Z,JA!$AE:$AE,"OK",JA!$AT:$AT,Parkki!$AH150,JA!$AU:$AU,Parkki!$X$8,JA!$X:$X,Parkki!$Y$6,JA!$CI:$CI,$W$7,JA!$BE:$BE,Parkki!$Y$5,JA!$AI:$AI,Parkki!$Y$4,JA!CZ:CZ,1,JA!$Y:$Y,Parkki!$W$6,JA!$AJ:$AJ,Parkki!$Y$2,JA!$X:$X,Parkki!$W$5)</f>
        <v>0</v>
      </c>
      <c r="AH150" s="918" t="s">
        <v>489</v>
      </c>
    </row>
    <row r="151" spans="1:34" x14ac:dyDescent="0.25">
      <c r="A151" s="921" t="s">
        <v>490</v>
      </c>
      <c r="B151" s="583" t="s">
        <v>491</v>
      </c>
      <c r="C151" s="469">
        <f>SUMIFS(JA!$Z:$Z,JA!$AE:$AE,"OK",JA!$AT:$AT,Parkki!$X151,JA!$X:$X,$W$8,JA!$CI:$CI,$W$7,JA!$BE:$BE,Parkki!$Y$5,JA!$AI:$AI,Parkki!$Y$4,JA!CT:CT,1,JA!$Y:$Y,Parkki!$W$6,JA!$AJ:$AJ,Parkki!$Y$2,JA!$X:$X,Parkki!$W$5)+Z151+AC151+AF151</f>
        <v>0</v>
      </c>
      <c r="D151" s="469">
        <f>SUMIFS(JA!$Z:$Z,JA!$AE:$AE,"OK",JA!$AT:$AT,Parkki!$X151,JA!$AU:$AU,Parkki!$X$8,JA!$X:$X,$W$8,JA!$CI:$CI,$W$7,JA!$BE:$BE,Parkki!$Y$5,JA!$AI:$AI,Parkki!$Y$4,JA!CT:CT,1,JA!$Y:$Y,Parkki!$W$6,JA!$AJ:$AJ,Parkki!$Y$2,JA!$X:$X,Parkki!$W$5)+AA151+AD151+AG151</f>
        <v>0</v>
      </c>
      <c r="F151" s="816"/>
      <c r="G151" s="168"/>
      <c r="H151" s="168"/>
      <c r="I151" s="168"/>
      <c r="J151" s="168"/>
      <c r="K151" s="817"/>
      <c r="X151" s="85" t="s">
        <v>492</v>
      </c>
    </row>
    <row r="152" spans="1:34" x14ac:dyDescent="0.25">
      <c r="A152" s="921"/>
      <c r="B152" s="583" t="s">
        <v>493</v>
      </c>
      <c r="C152" s="469">
        <f>SUMIFS(AS!$W:$W,AS!$AB:$AB,"OK",AS!$AW:$AW,$Y$6,AS!$BF:$BF,"EI",JA!$Y:$Y,Parkki!$W$6,JA!$AJ:$AJ,Parkki!$Y$2,JA!$X:$X,Parkki!$W$5)</f>
        <v>0</v>
      </c>
      <c r="D152" s="469">
        <f>SUMIFS(AS!$W:$W,AS!$AB:$AB,"OK",AS!$AH:$AH,$X$8,AS!$AW:$AW,$Y$6,AS!$BF:$BF,"EI",JA!$BE:$BE,$Y$5,JA!$AI:$AI,$Y$4,JA!$Y:$Y,Parkki!$W$6,JA!$AJ:$AJ,Parkki!$Y$2,JA!$X:$X,Parkki!$W$5)</f>
        <v>0</v>
      </c>
      <c r="F152" s="816"/>
      <c r="G152" s="168"/>
      <c r="H152" s="168"/>
      <c r="I152" s="168"/>
      <c r="J152" s="168"/>
      <c r="K152" s="817"/>
      <c r="X152" s="477" t="s">
        <v>494</v>
      </c>
    </row>
    <row r="153" spans="1:34" x14ac:dyDescent="0.25">
      <c r="A153" s="922" t="s">
        <v>243</v>
      </c>
      <c r="B153" s="923"/>
      <c r="C153" s="471">
        <f>IFERROR(SUM(C112:C152),"")</f>
        <v>0</v>
      </c>
      <c r="D153" s="471">
        <f>IFERROR(SUM(D112:D152),"")</f>
        <v>0</v>
      </c>
      <c r="F153" s="818"/>
      <c r="G153" s="819"/>
      <c r="H153" s="819"/>
      <c r="I153" s="819"/>
      <c r="J153" s="819"/>
      <c r="K153" s="820"/>
    </row>
    <row r="154" spans="1:34" x14ac:dyDescent="0.25">
      <c r="A154" s="544"/>
      <c r="B154" s="436"/>
      <c r="C154" s="428"/>
    </row>
    <row r="155" spans="1:34" x14ac:dyDescent="0.25">
      <c r="A155" s="924" t="str">
        <f>"Työpajalla olleiden valmentautujien sijoittuminen työpajajakson jälkeen" &amp; X10&amp;X12</f>
        <v>Työpajalla olleiden valmentautujien sijoittuminen työpajajakson jälkeen - 01.01.2026-31.12.2026 (Kaikki kunnat - tiedot perustiedoista, Kaikki yksiköt - tiedot perustiedoista, Kaikki asiakkuudet)</v>
      </c>
      <c r="B155" s="924"/>
      <c r="C155" s="924"/>
      <c r="D155" s="924"/>
    </row>
    <row r="156" spans="1:34" x14ac:dyDescent="0.25">
      <c r="A156" s="925"/>
      <c r="B156" s="925"/>
      <c r="C156" s="925"/>
      <c r="D156" s="925"/>
      <c r="F156" s="919" t="s">
        <v>495</v>
      </c>
      <c r="G156" s="919"/>
      <c r="H156" s="919"/>
      <c r="M156" s="846"/>
    </row>
    <row r="157" spans="1:34" x14ac:dyDescent="0.25">
      <c r="A157" s="930" t="s">
        <v>496</v>
      </c>
      <c r="B157" s="931"/>
      <c r="C157" s="578" t="s">
        <v>69</v>
      </c>
      <c r="D157" s="578" t="s">
        <v>148</v>
      </c>
      <c r="F157" s="920"/>
      <c r="G157" s="920"/>
      <c r="H157" s="920"/>
      <c r="J157" s="844"/>
      <c r="K157" s="845"/>
      <c r="L157" s="845"/>
      <c r="M157" s="848"/>
    </row>
    <row r="158" spans="1:34" x14ac:dyDescent="0.25">
      <c r="A158" s="794" t="s">
        <v>497</v>
      </c>
      <c r="B158" s="577" t="s">
        <v>497</v>
      </c>
      <c r="C158" s="469">
        <f>SUMIFS(AS!$W:$W,AS!$AB:$AB,"OK",AS!$AY:$AY,Parkki!$X158,AS!$AW:$AW,$W$8,AS!$K:$K,$W$7,AS!$X:$X,Parkki!$Y$5,AS!$AV:$AV,Parkki!$Y$2,AS!$CY:$CY,$U$6,AS!$CZ:$CZ,$U$5)</f>
        <v>0</v>
      </c>
      <c r="D158" s="469">
        <f>SUMIFS(AS!$W:$W,AS!$AB:$AB,"OK",AS!$AY:$AY,Parkki!$X158,AS!$AW:$AW,$W$8,AS!$K:$K,$W$7,AS!$X:$X,Parkki!$Y$5,AS!$AV:$AV,Parkki!$Y$2,AS!$AH:$AH,Parkki!$X$8,AS!$CY:$CY,$U$6,AS!$CZ:$CZ,$U$5)</f>
        <v>0</v>
      </c>
      <c r="F158" s="468"/>
      <c r="G158" s="578" t="s">
        <v>69</v>
      </c>
      <c r="H158" s="578" t="s">
        <v>148</v>
      </c>
      <c r="J158" s="847"/>
      <c r="K158" s="814"/>
      <c r="L158" s="814"/>
      <c r="M158" s="848"/>
      <c r="X158" t="s">
        <v>498</v>
      </c>
      <c r="AH158">
        <v>2020</v>
      </c>
    </row>
    <row r="159" spans="1:34" x14ac:dyDescent="0.25">
      <c r="A159" s="938" t="s">
        <v>499</v>
      </c>
      <c r="B159" s="577" t="s">
        <v>500</v>
      </c>
      <c r="C159" s="469">
        <f>SUMIFS(AS!$W:$W,AS!$AB:$AB,"OK",AS!$AY:$AY,Parkki!$X159,AS!$AW:$AW,$W$8,AS!$K:$K,$W$7,AS!$X:$X,Parkki!$Y$5,AS!$AV:$AV,Parkki!$Y$2,AS!$CY:$CY,$U$6,AS!$CZ:$CZ,$U$5)</f>
        <v>0</v>
      </c>
      <c r="D159" s="469">
        <f>SUMIFS(AS!$W:$W,AS!$AB:$AB,"OK",AS!$AY:$AY,Parkki!$X159,AS!$AW:$AW,$W$8,AS!$K:$K,$W$7,AS!$X:$X,Parkki!$Y$5,AS!$AV:$AV,Parkki!$Y$2,AS!$AH:$AH,Parkki!$X$8,AS!$CY:$CY,$U$6,AS!$CZ:$CZ,$U$5)</f>
        <v>0</v>
      </c>
      <c r="F159" s="468" t="s">
        <v>499</v>
      </c>
      <c r="G159" s="469">
        <f>SUM(C159:C163)</f>
        <v>0</v>
      </c>
      <c r="H159" s="469">
        <f>SUM(D159:D163)</f>
        <v>0</v>
      </c>
      <c r="J159" s="847"/>
      <c r="K159" s="814"/>
      <c r="L159" s="814"/>
      <c r="M159" s="848"/>
      <c r="X159" t="s">
        <v>501</v>
      </c>
      <c r="AH159" t="s">
        <v>502</v>
      </c>
    </row>
    <row r="160" spans="1:34" x14ac:dyDescent="0.25">
      <c r="A160" s="939"/>
      <c r="B160" s="577" t="s">
        <v>413</v>
      </c>
      <c r="C160" s="469">
        <f>SUMIFS(AS!$W:$W,AS!$AB:$AB,"OK",AS!$AY:$AY,Parkki!$X160,AS!$AW:$AW,$W$8,AS!$K:$K,$W$7,AS!$X:$X,Parkki!$Y$5,AS!$AV:$AV,Parkki!$Y$2,AS!$CY:$CY,$U$6,AS!$CZ:$CZ,$U$5)</f>
        <v>0</v>
      </c>
      <c r="D160" s="469">
        <f>SUMIFS(AS!$W:$W,AS!$AB:$AB,"OK",AS!$AY:$AY,Parkki!$X160,AS!$AW:$AW,$W$8,AS!$K:$K,$W$7,AS!$X:$X,Parkki!$Y$5,AS!$AV:$AV,Parkki!$Y$2,AS!$AH:$AH,Parkki!$X$8,AS!$CY:$CY,$U$6,AS!$CZ:$CZ,$U$5)</f>
        <v>0</v>
      </c>
      <c r="F160" s="469" t="s">
        <v>503</v>
      </c>
      <c r="G160" s="469">
        <f>C164+C165+C166</f>
        <v>0</v>
      </c>
      <c r="H160" s="469">
        <f>D164+D165+D166</f>
        <v>0</v>
      </c>
      <c r="J160" s="847"/>
      <c r="K160" s="814"/>
      <c r="L160" s="814"/>
      <c r="M160" s="848"/>
      <c r="X160" s="86" t="s">
        <v>504</v>
      </c>
      <c r="AH160" t="s">
        <v>505</v>
      </c>
    </row>
    <row r="161" spans="1:34" x14ac:dyDescent="0.25">
      <c r="A161" s="939"/>
      <c r="B161" s="577" t="s">
        <v>506</v>
      </c>
      <c r="C161" s="469">
        <f>SUMIFS(AS!$W:$W,AS!$AB:$AB,"OK",AS!$AY:$AY,Parkki!$X161,AS!$AW:$AW,$W$8,AS!$K:$K,$W$7,AS!$X:$X,Parkki!$Y$5,AS!$AV:$AV,Parkki!$Y$2,AS!$CY:$CY,$U$6,AS!$CZ:$CZ,$U$5)+Z161</f>
        <v>0</v>
      </c>
      <c r="D161" s="469">
        <f>SUMIFS(AS!$W:$W,AS!$AB:$AB,"OK",AS!$AY:$AY,Parkki!$X161,AS!$AW:$AW,$W$8,AS!$K:$K,$W$7,AS!$X:$X,Parkki!$Y$5,AS!$AV:$AV,Parkki!$Y$2,AS!$AH:$AH,Parkki!$X$8,AS!$CY:$CY,$U$6,AS!$CZ:$CZ,$U$5)+AA161</f>
        <v>0</v>
      </c>
      <c r="F161" s="468" t="s">
        <v>507</v>
      </c>
      <c r="G161" s="469">
        <f>C167+C168+C169+C170+C171+C172</f>
        <v>0</v>
      </c>
      <c r="H161" s="469">
        <f>D167+D168+D169+D170+D171+D172</f>
        <v>0</v>
      </c>
      <c r="J161" s="847"/>
      <c r="K161" s="814"/>
      <c r="L161" s="814"/>
      <c r="M161" s="848"/>
      <c r="X161" s="86" t="s">
        <v>508</v>
      </c>
      <c r="Z161" s="469">
        <f>SUMIFS(AS!$W:$W,AS!$AB:$AB,"OK",AS!$AY:$AY,Parkki!$AB161,AS!$AW:$AW,$W$8,AS!$K:$K,$W$7,AS!$X:$X,Parkki!$Y$5,AS!$AV:$AV,Parkki!$Y$2,AS!$CY:$CY,$U$6,AS!$CZ:$CZ,$U$5)</f>
        <v>0</v>
      </c>
      <c r="AA161" s="469">
        <f>SUMIFS(AS!$W:$W,AS!$AB:$AB,"OK",AS!$AY:$AY,Parkki!$AB161,AS!$AW:$AW,$W$8,AS!$K:$K,$W$7,AS!$X:$X,Parkki!$Y$5,AS!$AV:$AV,Parkki!$Y$2,AS!$AH:$AH,Parkki!$X$8,AS!$CY:$CY,$U$6,AS!$CZ:$CZ,$U$5)</f>
        <v>0</v>
      </c>
      <c r="AB161" s="86" t="s">
        <v>509</v>
      </c>
      <c r="AH161" t="s">
        <v>498</v>
      </c>
    </row>
    <row r="162" spans="1:34" x14ac:dyDescent="0.25">
      <c r="A162" s="939"/>
      <c r="B162" s="577" t="s">
        <v>510</v>
      </c>
      <c r="C162" s="469">
        <f>SUMIFS(AS!$W:$W,AS!$AB:$AB,"OK",AS!$AY:$AY,Parkki!$X162,AS!$AW:$AW,$W$8,AS!$K:$K,$W$7,AS!$X:$X,Parkki!$Y$5,AS!$AV:$AV,Parkki!$Y$2,AS!$CY:$CY,$U$6,AS!$CZ:$CZ,$U$5)+Z162</f>
        <v>0</v>
      </c>
      <c r="D162" s="469">
        <f>SUMIFS(AS!$W:$W,AS!$AB:$AB,"OK",AS!$AY:$AY,Parkki!$X162,AS!$AW:$AW,$W$8,AS!$K:$K,$W$7,AS!$X:$X,Parkki!$Y$5,AS!$AV:$AV,Parkki!$Y$2,AS!$AH:$AH,Parkki!$X$8,AS!$CY:$CY,$U$6,AS!$CZ:$CZ,$U$5)+AA162</f>
        <v>0</v>
      </c>
      <c r="F162" s="468" t="s">
        <v>511</v>
      </c>
      <c r="G162" s="469">
        <f>C173+C174+C175+C176+C177+C178</f>
        <v>0</v>
      </c>
      <c r="H162" s="469">
        <f>D173+D174+D175+D176+D177+D178</f>
        <v>0</v>
      </c>
      <c r="J162" s="847"/>
      <c r="K162" s="814"/>
      <c r="L162" s="814"/>
      <c r="M162" s="848"/>
      <c r="X162" s="86" t="s">
        <v>512</v>
      </c>
      <c r="Z162" s="618"/>
      <c r="AA162" s="618"/>
      <c r="AB162" s="86"/>
    </row>
    <row r="163" spans="1:34" x14ac:dyDescent="0.25">
      <c r="A163" s="940"/>
      <c r="B163" s="620" t="s">
        <v>499</v>
      </c>
      <c r="C163" s="469">
        <f>SUMIFS(AS!$W:$W,AS!$AB:$AB,"OK",AS!$AY:$AY,Parkki!$X163,AS!$AW:$AW,$W$8,AS!$K:$K,$W$7,AS!$X:$X,Parkki!$Y$5,AS!$AV:$AV,Parkki!$Y$2,AS!$CY:$CY,$U$6,AS!$CZ:$CZ,$U$5)</f>
        <v>0</v>
      </c>
      <c r="D163" s="469">
        <f>SUMIFS(AS!$W:$W,AS!$AB:$AB,"OK",AS!$AY:$AY,Parkki!$X163,AS!$AW:$AW,$W$8,AS!$K:$K,$W$7,AS!$X:$X,Parkki!$Y$5,AS!$AV:$AV,Parkki!$Y$2,AS!$AH:$AH,Parkki!$X$8,AS!$CY:$CY,$U$6,AS!$CZ:$CZ,$U$5)</f>
        <v>0</v>
      </c>
      <c r="F163" s="468" t="s">
        <v>513</v>
      </c>
      <c r="G163" s="469">
        <f>C179+C180</f>
        <v>0</v>
      </c>
      <c r="H163" s="469">
        <f>D179+D180</f>
        <v>0</v>
      </c>
      <c r="J163" s="847"/>
      <c r="K163" s="814"/>
      <c r="L163" s="814"/>
      <c r="M163" s="848"/>
      <c r="X163" s="228" t="s">
        <v>514</v>
      </c>
      <c r="AH163" t="s">
        <v>515</v>
      </c>
    </row>
    <row r="164" spans="1:34" x14ac:dyDescent="0.25">
      <c r="A164" s="921" t="s">
        <v>503</v>
      </c>
      <c r="B164" s="577" t="s">
        <v>516</v>
      </c>
      <c r="C164" s="469">
        <f>SUMIFS(AS!$W:$W,AS!$AB:$AB,"OK",AS!$AY:$AY,Parkki!$X164,AS!$AW:$AW,$W$8,AS!$K:$K,$W$7,AS!$X:$X,Parkki!$Y$5,AS!$AV:$AV,Parkki!$Y$2,AS!$CY:$CY,$U$6,AS!$CZ:$CZ,$U$5)</f>
        <v>0</v>
      </c>
      <c r="D164" s="469">
        <f>SUMIFS(AS!$W:$W,AS!$AB:$AB,"OK",AS!$AY:$AY,Parkki!$X164,AS!$AW:$AW,$W$8,AS!$K:$K,$W$7,AS!$X:$X,Parkki!$Y$5,AS!$AV:$AV,Parkki!$Y$2,AS!$AH:$AH,Parkki!$X$8,AS!$CY:$CY,$U$6,AS!$CZ:$CZ,$U$5)</f>
        <v>0</v>
      </c>
      <c r="F164" s="585" t="s">
        <v>517</v>
      </c>
      <c r="G164" s="469">
        <f>C183</f>
        <v>0</v>
      </c>
      <c r="H164" s="469">
        <f>D183</f>
        <v>0</v>
      </c>
      <c r="J164" s="847"/>
      <c r="K164" s="814"/>
      <c r="L164" s="814"/>
      <c r="M164" s="848"/>
      <c r="X164" t="s">
        <v>518</v>
      </c>
      <c r="AH164" t="s">
        <v>501</v>
      </c>
    </row>
    <row r="165" spans="1:34" x14ac:dyDescent="0.25">
      <c r="A165" s="921"/>
      <c r="B165" s="577" t="s">
        <v>519</v>
      </c>
      <c r="C165" s="469">
        <f>SUMIFS(AS!$W:$W,AS!$AB:$AB,"OK",AS!$AY:$AY,Parkki!$X165,AS!$AW:$AW,$W$8,AS!$K:$K,$W$7,AS!$X:$X,Parkki!$Y$5,AS!$AV:$AV,Parkki!$Y$2,AS!$CY:$CY,$U$6,AS!$CZ:$CZ,$U$5)+Z165</f>
        <v>0</v>
      </c>
      <c r="D165" s="469">
        <f>SUMIFS(AS!$W:$W,AS!$AB:$AB,"OK",AS!$AY:$AY,Parkki!$X165,AS!$AW:$AW,$W$8,AS!$K:$K,$W$7,AS!$X:$X,Parkki!$Y$5,AS!$AV:$AV,Parkki!$Y$2,AS!$AH:$AH,Parkki!$X$8,AS!$CY:$CY,$U$6,AS!$CZ:$CZ,$U$5)+AA165</f>
        <v>0</v>
      </c>
      <c r="F165" s="470" t="s">
        <v>243</v>
      </c>
      <c r="G165" s="471">
        <f>IFERROR(SUM(G159:G164),"")</f>
        <v>0</v>
      </c>
      <c r="H165" s="471">
        <f>IFERROR(SUM(H159:H164),"")</f>
        <v>0</v>
      </c>
      <c r="J165" s="847"/>
      <c r="K165" s="814"/>
      <c r="L165" s="814"/>
      <c r="M165" s="848"/>
      <c r="X165" t="s">
        <v>520</v>
      </c>
      <c r="Z165" s="469">
        <f>SUMIFS(AS!$W:$W,AS!$AB:$AB,"OK",AS!$AY:$AY,Parkki!$AB165,AS!$AW:$AW,$W$8,AS!$K:$K,$W$7,AS!$X:$X,Parkki!$Y$5,AS!$AV:$AV,Parkki!$Y$2,AS!$CY:$CY,$U$6,AS!$CZ:$CZ,$U$5)</f>
        <v>0</v>
      </c>
      <c r="AA165" s="469">
        <f>SUMIFS(AS!$W:$W,AS!$AB:$AB,"OK",AS!$AY:$AY,Parkki!$AB165,AS!$AW:$AW,$W$8,AS!$K:$K,$W$7,AS!$X:$X,Parkki!$Y$5,AS!$AV:$AV,Parkki!$Y$2,AS!$AH:$AH,Parkki!$X$8,AS!$CY:$CY,$U$6,AS!$CZ:$CZ,$U$5)</f>
        <v>0</v>
      </c>
      <c r="AB165" t="s">
        <v>521</v>
      </c>
      <c r="AH165" t="s">
        <v>509</v>
      </c>
    </row>
    <row r="166" spans="1:34" x14ac:dyDescent="0.25">
      <c r="A166" s="921"/>
      <c r="B166" s="620" t="s">
        <v>503</v>
      </c>
      <c r="C166" s="469">
        <f>SUMIFS(AS!$W:$W,AS!$AB:$AB,"OK",AS!$AY:$AY,Parkki!$X166,AS!$AW:$AW,$W$8,AS!$K:$K,$W$7,AS!$X:$X,Parkki!$Y$5,AS!$AV:$AV,Parkki!$Y$2,AS!$CY:$CY,$U$6,AS!$CZ:$CZ,$U$5)</f>
        <v>0</v>
      </c>
      <c r="D166" s="469">
        <f>SUMIFS(AS!$W:$W,AS!$AB:$AB,"OK",AS!$AY:$AY,Parkki!$X166,AS!$AW:$AW,$W$8,AS!$K:$K,$W$7,AS!$X:$X,Parkki!$Y$5,AS!$AV:$AV,Parkki!$Y$2,AS!$AH:$AH,Parkki!$X$8,AS!$CY:$CY,$U$6,AS!$CZ:$CZ,$U$5)</f>
        <v>0</v>
      </c>
      <c r="J166" s="847"/>
      <c r="K166" s="814"/>
      <c r="L166" s="814"/>
      <c r="M166" s="848"/>
      <c r="X166" s="228" t="s">
        <v>522</v>
      </c>
      <c r="AH166" t="s">
        <v>523</v>
      </c>
    </row>
    <row r="167" spans="1:34" x14ac:dyDescent="0.25">
      <c r="A167" s="943" t="s">
        <v>507</v>
      </c>
      <c r="B167" s="577" t="s">
        <v>524</v>
      </c>
      <c r="C167" s="469">
        <f>SUMIFS(AS!$W:$W,AS!$AB:$AB,"OK",AS!$AY:$AY,Parkki!$X167,AS!$AW:$AW,$W$8,AS!$K:$K,$W$7,AS!$X:$X,Parkki!$Y$5,AS!$AV:$AV,Parkki!$Y$2,AS!$CY:$CY,$U$6,AS!$CZ:$CZ,$U$5)</f>
        <v>0</v>
      </c>
      <c r="D167" s="469">
        <f>SUMIFS(AS!$W:$W,AS!$AB:$AB,"OK",AS!$AY:$AY,Parkki!$X167,AS!$AW:$AW,$W$8,AS!$K:$K,$W$7,AS!$X:$X,Parkki!$Y$5,AS!$AV:$AV,Parkki!$Y$2,AS!$AH:$AH,Parkki!$X$8,AS!$CY:$CY,$U$6,AS!$CZ:$CZ,$U$5)</f>
        <v>0</v>
      </c>
      <c r="F167" s="549"/>
      <c r="J167" s="847"/>
      <c r="K167" s="814"/>
      <c r="L167" s="814"/>
      <c r="M167" s="848"/>
      <c r="X167" t="s">
        <v>525</v>
      </c>
      <c r="AH167" t="s">
        <v>518</v>
      </c>
    </row>
    <row r="168" spans="1:34" x14ac:dyDescent="0.25">
      <c r="A168" s="943"/>
      <c r="B168" s="577" t="s">
        <v>453</v>
      </c>
      <c r="C168" s="469">
        <f>SUMIFS(AS!$W:$W,AS!$AB:$AB,"OK",AS!$AY:$AY,Parkki!$X168,AS!$AW:$AW,$W$8,AS!$K:$K,$W$7,AS!$X:$X,Parkki!$Y$5,AS!$AV:$AV,Parkki!$Y$2,AS!$CY:$CY,$U$6,AS!$CZ:$CZ,$U$5)</f>
        <v>0</v>
      </c>
      <c r="D168" s="469">
        <f>SUMIFS(AS!$W:$W,AS!$AB:$AB,"OK",AS!$AY:$AY,Parkki!$X168,AS!$AW:$AW,$W$8,AS!$K:$K,$W$7,AS!$X:$X,Parkki!$Y$5,AS!$AV:$AV,Parkki!$Y$2,AS!$AH:$AH,Parkki!$X$8,AS!$CY:$CY,$U$6,AS!$CZ:$CZ,$U$5)</f>
        <v>0</v>
      </c>
      <c r="F168" s="468"/>
      <c r="G168" s="578" t="s">
        <v>69</v>
      </c>
      <c r="H168" s="578" t="s">
        <v>148</v>
      </c>
      <c r="J168" s="847"/>
      <c r="K168" s="814"/>
      <c r="L168" s="814"/>
      <c r="M168" s="848"/>
      <c r="X168" t="s">
        <v>526</v>
      </c>
      <c r="AH168" t="s">
        <v>521</v>
      </c>
    </row>
    <row r="169" spans="1:34" x14ac:dyDescent="0.25">
      <c r="A169" s="943"/>
      <c r="B169" s="577" t="s">
        <v>527</v>
      </c>
      <c r="C169" s="469">
        <f>SUMIFS(AS!$W:$W,AS!$AB:$AB,"OK",AS!$AY:$AY,Parkki!$X169,AS!$AW:$AW,$W$8,AS!$K:$K,$W$7,AS!$X:$X,Parkki!$Y$5,AS!$AV:$AV,Parkki!$Y$2,AS!$CY:$CY,$U$6,AS!$CZ:$CZ,$U$5)</f>
        <v>0</v>
      </c>
      <c r="D169" s="469">
        <f>SUMIFS(AS!$W:$W,AS!$AB:$AB,"OK",AS!$AY:$AY,Parkki!$X169,AS!$AW:$AW,$W$8,AS!$K:$K,$W$7,AS!$X:$X,Parkki!$Y$5,AS!$AV:$AV,Parkki!$Y$2,AS!$AH:$AH,Parkki!$X$8,AS!$CY:$CY,$U$6,AS!$CZ:$CZ,$U$5)</f>
        <v>0</v>
      </c>
      <c r="F169" s="468" t="s">
        <v>497</v>
      </c>
      <c r="G169" s="586">
        <f>C158</f>
        <v>0</v>
      </c>
      <c r="H169" s="586">
        <f>D158</f>
        <v>0</v>
      </c>
      <c r="J169" s="847"/>
      <c r="K169" s="814"/>
      <c r="L169" s="814"/>
      <c r="M169" s="848"/>
      <c r="X169" t="s">
        <v>528</v>
      </c>
      <c r="AH169" t="s">
        <v>529</v>
      </c>
    </row>
    <row r="170" spans="1:34" x14ac:dyDescent="0.25">
      <c r="A170" s="943"/>
      <c r="B170" s="577" t="s">
        <v>281</v>
      </c>
      <c r="C170" s="469">
        <f>SUMIFS(AS!$W:$W,AS!$AB:$AB,"OK",AS!$AY:$AY,Parkki!$X170,AS!$AW:$AW,$W$8,AS!$K:$K,$W$7,AS!$X:$X,Parkki!$Y$5,AS!$AV:$AV,Parkki!$Y$2,AS!$CY:$CY,$U$6,AS!$CZ:$CZ,$U$5)</f>
        <v>0</v>
      </c>
      <c r="D170" s="469">
        <f>SUMIFS(AS!$W:$W,AS!$AB:$AB,"OK",AS!$AY:$AY,Parkki!$X170,AS!$AW:$AW,$W$8,AS!$K:$K,$W$7,AS!$X:$X,Parkki!$Y$5,AS!$AV:$AV,Parkki!$Y$2,AS!$AH:$AH,Parkki!$X$8,AS!$CY:$CY,$U$6,AS!$CZ:$CZ,$U$5)</f>
        <v>0</v>
      </c>
      <c r="F170" s="585" t="s">
        <v>530</v>
      </c>
      <c r="G170" s="586">
        <f>C181+C182</f>
        <v>0</v>
      </c>
      <c r="H170" s="586">
        <f>D181+D182</f>
        <v>0</v>
      </c>
      <c r="J170" s="847"/>
      <c r="K170" s="814"/>
      <c r="L170" s="814"/>
      <c r="M170" s="851"/>
      <c r="X170" t="s">
        <v>531</v>
      </c>
      <c r="AH170" t="s">
        <v>525</v>
      </c>
    </row>
    <row r="171" spans="1:34" x14ac:dyDescent="0.25">
      <c r="A171" s="943"/>
      <c r="B171" s="577" t="s">
        <v>532</v>
      </c>
      <c r="C171" s="469">
        <f>SUMIFS(AS!$W:$W,AS!$AB:$AB,"OK",AS!$AY:$AY,Parkki!$X171,AS!$AW:$AW,$W$8,AS!$K:$K,$W$7,AS!$X:$X,Parkki!$Y$5,AS!$AV:$AV,Parkki!$Y$2,AS!$CY:$CY,$U$6,AS!$CZ:$CZ,$U$5)</f>
        <v>0</v>
      </c>
      <c r="D171" s="469">
        <f>SUMIFS(AS!$W:$W,AS!$AB:$AB,"OK",AS!$AY:$AY,Parkki!$X171,AS!$AW:$AW,$W$8,AS!$K:$K,$W$7,AS!$X:$X,Parkki!$Y$5,AS!$AV:$AV,Parkki!$Y$2,AS!$AH:$AH,Parkki!$X$8,AS!$CY:$CY,$U$6,AS!$CZ:$CZ,$U$5)</f>
        <v>0</v>
      </c>
      <c r="F171" s="468" t="s">
        <v>239</v>
      </c>
      <c r="G171" s="586">
        <f>C184+C185</f>
        <v>0</v>
      </c>
      <c r="H171" s="586">
        <f>D184+D185</f>
        <v>0</v>
      </c>
      <c r="J171" s="849"/>
      <c r="K171" s="850"/>
      <c r="L171" s="850"/>
      <c r="M171" s="838"/>
      <c r="X171" t="s">
        <v>533</v>
      </c>
      <c r="AH171" t="s">
        <v>526</v>
      </c>
    </row>
    <row r="172" spans="1:34" x14ac:dyDescent="0.25">
      <c r="A172" s="943"/>
      <c r="B172" s="577" t="s">
        <v>507</v>
      </c>
      <c r="C172" s="469">
        <f>SUMIFS(AS!$W:$W,AS!$AB:$AB,"OK",AS!$AY:$AY,Parkki!$X172,AS!$AW:$AW,$W$8,AS!$K:$K,$W$7,AS!$X:$X,Parkki!$Y$5,AS!$AV:$AV,Parkki!$Y$2,AS!$CY:$CY,$U$6,AS!$CZ:$CZ,$U$5)</f>
        <v>0</v>
      </c>
      <c r="D172" s="469">
        <f>SUMIFS(AS!$W:$W,AS!$AB:$AB,"OK",AS!$AY:$AY,Parkki!$X172,AS!$AW:$AW,$W$8,AS!$K:$K,$W$7,AS!$X:$X,Parkki!$Y$5,AS!$AV:$AV,Parkki!$Y$2,AS!$AH:$AH,Parkki!$X$8,AS!$CY:$CY,$U$6,AS!$CZ:$CZ,$U$5)</f>
        <v>0</v>
      </c>
      <c r="F172" s="470" t="s">
        <v>243</v>
      </c>
      <c r="G172" s="471">
        <f>IFERROR(SUM(G169:G171),"")</f>
        <v>0</v>
      </c>
      <c r="H172" s="471">
        <f>IFERROR(SUM(H169:H171),"")</f>
        <v>0</v>
      </c>
      <c r="J172" s="836"/>
      <c r="K172" s="837"/>
      <c r="L172" s="837"/>
      <c r="M172" s="840"/>
      <c r="X172" t="s">
        <v>534</v>
      </c>
      <c r="AH172" t="s">
        <v>528</v>
      </c>
    </row>
    <row r="173" spans="1:34" x14ac:dyDescent="0.25">
      <c r="A173" s="921" t="s">
        <v>511</v>
      </c>
      <c r="B173" s="577" t="s">
        <v>535</v>
      </c>
      <c r="C173" s="469">
        <f>SUMIFS(AS!$W:$W,AS!$AB:$AB,"OK",AS!$AY:$AY,Parkki!$X173,AS!$AW:$AW,$W$8,AS!$K:$K,$W$7,AS!$X:$X,Parkki!$Y$5,AS!$AV:$AV,Parkki!$Y$2,AS!$CY:$CY,$U$6,AS!$CZ:$CZ,$U$5)</f>
        <v>0</v>
      </c>
      <c r="D173" s="469">
        <f>SUMIFS(AS!$W:$W,AS!$AB:$AB,"OK",AS!$AY:$AY,Parkki!$X173,AS!$AW:$AW,$W$8,AS!$K:$K,$W$7,AS!$X:$X,Parkki!$Y$5,AS!$AV:$AV,Parkki!$Y$2,AS!$AH:$AH,Parkki!$X$8,AS!$CY:$CY,$U$6,AS!$CZ:$CZ,$U$5)</f>
        <v>0</v>
      </c>
      <c r="J173" s="839"/>
      <c r="K173" s="168"/>
      <c r="L173" s="168"/>
      <c r="M173" s="840"/>
      <c r="X173" t="s">
        <v>536</v>
      </c>
      <c r="AH173" t="s">
        <v>531</v>
      </c>
    </row>
    <row r="174" spans="1:34" x14ac:dyDescent="0.25">
      <c r="A174" s="921"/>
      <c r="B174" s="577" t="s">
        <v>537</v>
      </c>
      <c r="C174" s="469">
        <f>SUMIFS(AS!$W:$W,AS!$AB:$AB,"OK",AS!$AY:$AY,Parkki!$X174,AS!$AW:$AW,$W$8,AS!$K:$K,$W$7,AS!$X:$X,Parkki!$Y$5,AS!$AV:$AV,Parkki!$Y$2,AS!$CY:$CY,$U$6,AS!$CZ:$CZ,$U$5)</f>
        <v>0</v>
      </c>
      <c r="D174" s="469">
        <f>SUMIFS(AS!$W:$W,AS!$AB:$AB,"OK",AS!$AY:$AY,Parkki!$X174,AS!$AW:$AW,$W$8,AS!$K:$K,$W$7,AS!$X:$X,Parkki!$Y$5,AS!$AV:$AV,Parkki!$Y$2,AS!$AH:$AH,Parkki!$X$8,AS!$CY:$CY,$U$6,AS!$CZ:$CZ,$U$5)</f>
        <v>0</v>
      </c>
      <c r="J174" s="839"/>
      <c r="K174" s="168"/>
      <c r="L174" s="168"/>
      <c r="M174" s="840"/>
      <c r="X174" t="s">
        <v>538</v>
      </c>
      <c r="AH174" t="s">
        <v>533</v>
      </c>
    </row>
    <row r="175" spans="1:34" x14ac:dyDescent="0.25">
      <c r="A175" s="921"/>
      <c r="B175" s="577" t="s">
        <v>539</v>
      </c>
      <c r="C175" s="469">
        <f>SUMIFS(AS!$W:$W,AS!$AB:$AB,"OK",AS!$AY:$AY,Parkki!$X175,AS!$AW:$AW,$W$8,AS!$K:$K,$W$7,AS!$X:$X,Parkki!$Y$5,AS!$AV:$AV,Parkki!$Y$2,AS!$CY:$CY,$U$6,AS!$CZ:$CZ,$U$5)</f>
        <v>0</v>
      </c>
      <c r="D175" s="469">
        <f>SUMIFS(AS!$W:$W,AS!$AB:$AB,"OK",AS!$AY:$AY,Parkki!$X175,AS!$AW:$AW,$W$8,AS!$K:$K,$W$7,AS!$X:$X,Parkki!$Y$5,AS!$AV:$AV,Parkki!$Y$2,AS!$AH:$AH,Parkki!$X$8,AS!$CY:$CY,$U$6,AS!$CZ:$CZ,$U$5)</f>
        <v>0</v>
      </c>
      <c r="J175" s="839"/>
      <c r="K175" s="168"/>
      <c r="L175" s="168"/>
      <c r="M175" s="840"/>
      <c r="X175" t="s">
        <v>540</v>
      </c>
      <c r="AH175" t="s">
        <v>534</v>
      </c>
    </row>
    <row r="176" spans="1:34" x14ac:dyDescent="0.25">
      <c r="A176" s="921"/>
      <c r="B176" s="577" t="s">
        <v>541</v>
      </c>
      <c r="C176" s="469">
        <f>SUMIFS(AS!$W:$W,AS!$AB:$AB,"OK",AS!$AY:$AY,Parkki!$X176,AS!$AW:$AW,$W$8,AS!$K:$K,$W$7,AS!$X:$X,Parkki!$Y$5,AS!$AV:$AV,Parkki!$Y$2,AS!$CY:$CY,$U$6,AS!$CZ:$CZ,$U$5)</f>
        <v>0</v>
      </c>
      <c r="D176" s="469">
        <f>SUMIFS(AS!$W:$W,AS!$AB:$AB,"OK",AS!$AY:$AY,Parkki!$X176,AS!$AW:$AW,$W$8,AS!$K:$K,$W$7,AS!$X:$X,Parkki!$Y$5,AS!$AV:$AV,Parkki!$Y$2,AS!$AH:$AH,Parkki!$X$8,AS!$CY:$CY,$U$6,AS!$CZ:$CZ,$U$5)</f>
        <v>0</v>
      </c>
      <c r="J176" s="839"/>
      <c r="K176" s="168"/>
      <c r="L176" s="168"/>
      <c r="M176" s="840"/>
      <c r="X176" t="s">
        <v>542</v>
      </c>
      <c r="AH176" t="s">
        <v>543</v>
      </c>
    </row>
    <row r="177" spans="1:34" x14ac:dyDescent="0.25">
      <c r="A177" s="921"/>
      <c r="B177" s="577" t="s">
        <v>544</v>
      </c>
      <c r="C177" s="469">
        <f>SUMIFS(AS!$W:$W,AS!$AB:$AB,"OK",AS!$AY:$AY,Parkki!$X177,AS!$AW:$AW,$W$8,AS!$K:$K,$W$7,AS!$X:$X,Parkki!$Y$5,AS!$AV:$AV,Parkki!$Y$2,AS!$CY:$CY,$U$6,AS!$CZ:$CZ,$U$5)</f>
        <v>0</v>
      </c>
      <c r="D177" s="469">
        <f>SUMIFS(AS!$W:$W,AS!$AB:$AB,"OK",AS!$AY:$AY,Parkki!$X177,AS!$AW:$AW,$W$8,AS!$K:$K,$W$7,AS!$X:$X,Parkki!$Y$5,AS!$AV:$AV,Parkki!$Y$2,AS!$AH:$AH,Parkki!$X$8,AS!$CY:$CY,$U$6,AS!$CZ:$CZ,$U$5)</f>
        <v>0</v>
      </c>
      <c r="J177" s="839"/>
      <c r="K177" s="168"/>
      <c r="L177" s="168"/>
      <c r="M177" s="840"/>
      <c r="X177" t="s">
        <v>545</v>
      </c>
      <c r="AH177" t="s">
        <v>536</v>
      </c>
    </row>
    <row r="178" spans="1:34" x14ac:dyDescent="0.25">
      <c r="A178" s="921"/>
      <c r="B178" s="577" t="s">
        <v>511</v>
      </c>
      <c r="C178" s="469">
        <f>SUMIFS(AS!$W:$W,AS!$AB:$AB,"OK",AS!$AY:$AY,Parkki!$X178,AS!$AW:$AW,$W$8,AS!$K:$K,$W$7,AS!$X:$X,Parkki!$Y$5,AS!$AV:$AV,Parkki!$Y$2,AS!$CY:$CY,$U$6,AS!$CZ:$CZ,$U$5)</f>
        <v>0</v>
      </c>
      <c r="D178" s="469">
        <f>SUMIFS(AS!$W:$W,AS!$AB:$AB,"OK",AS!$AY:$AY,Parkki!$X178,AS!$AW:$AW,$W$8,AS!$K:$K,$W$7,AS!$X:$X,Parkki!$Y$5,AS!$AV:$AV,Parkki!$Y$2,AS!$AH:$AH,Parkki!$X$8,AS!$CY:$CY,$U$6,AS!$CZ:$CZ,$U$5)</f>
        <v>0</v>
      </c>
      <c r="J178" s="839"/>
      <c r="K178" s="168"/>
      <c r="L178" s="168"/>
      <c r="M178" s="840"/>
      <c r="X178" t="s">
        <v>546</v>
      </c>
      <c r="AH178" t="s">
        <v>538</v>
      </c>
    </row>
    <row r="179" spans="1:34" x14ac:dyDescent="0.25">
      <c r="A179" s="936" t="s">
        <v>513</v>
      </c>
      <c r="B179" s="577" t="s">
        <v>513</v>
      </c>
      <c r="C179" s="469">
        <f>SUMIFS(AS!$W:$W,AS!$AB:$AB,"OK",AS!$AY:$AY,Parkki!$X179,AS!$AW:$AW,$W$8,AS!$K:$K,$W$7,AS!$X:$X,Parkki!$Y$5,AS!$AV:$AV,Parkki!$Y$2,AS!$CY:$CY,$U$6,AS!$CZ:$CZ,$U$5)</f>
        <v>0</v>
      </c>
      <c r="D179" s="469">
        <f>SUMIFS(AS!$W:$W,AS!$AB:$AB,"OK",AS!$AY:$AY,Parkki!$X179,AS!$AW:$AW,$W$8,AS!$K:$K,$W$7,AS!$X:$X,Parkki!$Y$5,AS!$AV:$AV,Parkki!$Y$2,AS!$AH:$AH,Parkki!$X$8,AS!$CY:$CY,$U$6,AS!$CZ:$CZ,$U$5)</f>
        <v>0</v>
      </c>
      <c r="J179" s="839"/>
      <c r="K179" s="168"/>
      <c r="L179" s="168"/>
      <c r="M179" s="840"/>
      <c r="X179" t="s">
        <v>547</v>
      </c>
    </row>
    <row r="180" spans="1:34" x14ac:dyDescent="0.25">
      <c r="A180" s="937"/>
      <c r="B180" s="892" t="s">
        <v>274</v>
      </c>
      <c r="C180" s="469">
        <f>SUMIFS(AS!$W:$W,AS!$AB:$AB,"OK",AS!$AY:$AY,Parkki!$X180,AS!$AW:$AW,$W$8,AS!$K:$K,$W$7,AS!$X:$X,Parkki!$Y$5,AS!$AV:$AV,Parkki!$Y$2,AS!$CY:$CY,$U$6,AS!$CZ:$CZ,$U$5)</f>
        <v>0</v>
      </c>
      <c r="D180" s="469">
        <f>SUMIFS(AS!$W:$W,AS!$AB:$AB,"OK",AS!$AY:$AY,Parkki!$X180,AS!$AW:$AW,$W$8,AS!$K:$K,$W$7,AS!$X:$X,Parkki!$Y$5,AS!$AV:$AV,Parkki!$Y$2,AS!$AH:$AH,Parkki!$X$8,AS!$CY:$CY,$U$6,AS!$CZ:$CZ,$U$5)</f>
        <v>0</v>
      </c>
      <c r="J180" s="839"/>
      <c r="K180" s="168"/>
      <c r="L180" s="168"/>
      <c r="M180" s="840"/>
      <c r="X180" t="s">
        <v>548</v>
      </c>
      <c r="AH180" t="s">
        <v>540</v>
      </c>
    </row>
    <row r="181" spans="1:34" x14ac:dyDescent="0.25">
      <c r="A181" s="921" t="s">
        <v>549</v>
      </c>
      <c r="B181" s="577" t="s">
        <v>550</v>
      </c>
      <c r="C181" s="469">
        <f>SUMIFS(AS!$W:$W,AS!$AB:$AB,"OK",AS!$AY:$AY,Parkki!$X181,AS!$AW:$AW,$W$8,AS!$K:$K,$W$7,AS!$X:$X,Parkki!$Y$5,AS!$AV:$AV,Parkki!$Y$2,AS!$CY:$CY,$U$6,AS!$CZ:$CZ,$U$5)</f>
        <v>0</v>
      </c>
      <c r="D181" s="469">
        <f>SUMIFS(AS!$W:$W,AS!$AB:$AB,"OK",AS!$AY:$AY,Parkki!$X181,AS!$AW:$AW,$W$8,AS!$K:$K,$W$7,AS!$X:$X,Parkki!$Y$5,AS!$AV:$AV,Parkki!$Y$2,AS!$AH:$AH,Parkki!$X$8,AS!$CY:$CY,$U$6,AS!$CZ:$CZ,$U$5)</f>
        <v>0</v>
      </c>
      <c r="J181" s="839"/>
      <c r="K181" s="168"/>
      <c r="L181" s="168"/>
      <c r="M181" s="840"/>
      <c r="X181" t="s">
        <v>505</v>
      </c>
      <c r="AH181" t="s">
        <v>542</v>
      </c>
    </row>
    <row r="182" spans="1:34" x14ac:dyDescent="0.25">
      <c r="A182" s="921"/>
      <c r="B182" s="577" t="s">
        <v>551</v>
      </c>
      <c r="C182" s="469">
        <f>SUMIFS(AS!$W:$W,AS!$AB:$AB,"OK",AS!$AY:$AY,Parkki!$X182,AS!$AW:$AW,$W$8,AS!$K:$K,$W$7,AS!$X:$X,Parkki!$Y$5,AS!$AV:$AV,Parkki!$Y$2,AS!$CY:$CY,$U$6,AS!$CZ:$CZ,$U$5)</f>
        <v>0</v>
      </c>
      <c r="D182" s="469">
        <f>SUMIFS(AS!$W:$W,AS!$AB:$AB,"OK",AS!$AY:$AY,Parkki!$X182,AS!$AW:$AW,$W$8,AS!$K:$K,$W$7,AS!$X:$X,Parkki!$Y$5,AS!$AV:$AV,Parkki!$Y$2,AS!$AH:$AH,Parkki!$X$8,AS!$CY:$CY,$U$6,AS!$CZ:$CZ,$U$5)</f>
        <v>0</v>
      </c>
      <c r="J182" s="839"/>
      <c r="K182" s="168"/>
      <c r="L182" s="168"/>
      <c r="M182" s="840"/>
      <c r="X182" t="s">
        <v>552</v>
      </c>
      <c r="AH182" t="s">
        <v>545</v>
      </c>
    </row>
    <row r="183" spans="1:34" x14ac:dyDescent="0.25">
      <c r="A183" s="921"/>
      <c r="B183" s="577" t="s">
        <v>517</v>
      </c>
      <c r="C183" s="469">
        <f>SUMIFS(AS!$W:$W,AS!$AB:$AB,"OK",AS!$AY:$AY,Parkki!$X183,AS!$AW:$AW,$W$8,AS!$K:$K,$W$7,AS!$X:$X,Parkki!$Y$5,AS!$AV:$AV,Parkki!$Y$2,AS!$CY:$CY,$U$6,AS!$CZ:$CZ,$U$5)</f>
        <v>0</v>
      </c>
      <c r="D183" s="469">
        <f>SUMIFS(AS!$W:$W,AS!$AB:$AB,"OK",AS!$AY:$AY,Parkki!$X183,AS!$AW:$AW,$W$8,AS!$K:$K,$W$7,AS!$X:$X,Parkki!$Y$5,AS!$AV:$AV,Parkki!$Y$2,AS!$AH:$AH,Parkki!$X$8,AS!$CY:$CY,$U$6,AS!$CZ:$CZ,$U$5)</f>
        <v>0</v>
      </c>
      <c r="J183" s="839"/>
      <c r="K183" s="168"/>
      <c r="L183" s="168"/>
      <c r="M183" s="840"/>
      <c r="X183" t="s">
        <v>553</v>
      </c>
      <c r="AH183" t="s">
        <v>546</v>
      </c>
    </row>
    <row r="184" spans="1:34" x14ac:dyDescent="0.25">
      <c r="A184" s="921" t="s">
        <v>239</v>
      </c>
      <c r="B184" s="577" t="s">
        <v>239</v>
      </c>
      <c r="C184" s="469">
        <f>SUMIFS(AS!$W:$W,AS!$AB:$AB,"OK",AS!$AY:$AY,Parkki!$X184,AS!$AW:$AW,$W$8,AS!$K:$K,$W$7,AS!$X:$X,Parkki!$Y$5,AS!$AV:$AV,Parkki!$Y$2,AS!$CY:$CY,$U$6,AS!$CZ:$CZ,$U$5)</f>
        <v>0</v>
      </c>
      <c r="D184" s="469">
        <f>SUMIFS(AS!$W:$W,AS!$AB:$AB,"OK",AS!$AY:$AY,Parkki!$X184,AS!$AW:$AW,$W$8,AS!$K:$K,$W$7,AS!$X:$X,Parkki!$Y$5,AS!$AV:$AV,Parkki!$Y$2,AS!$AH:$AH,Parkki!$X$8,AS!$CY:$CY,$U$6,AS!$CZ:$CZ,$U$5)</f>
        <v>0</v>
      </c>
      <c r="J184" s="839"/>
      <c r="K184" s="168"/>
      <c r="L184" s="168"/>
      <c r="M184" s="840"/>
      <c r="X184" t="s">
        <v>554</v>
      </c>
      <c r="AH184" t="s">
        <v>555</v>
      </c>
    </row>
    <row r="185" spans="1:34" x14ac:dyDescent="0.25">
      <c r="A185" s="921"/>
      <c r="B185" s="577" t="s">
        <v>556</v>
      </c>
      <c r="C185" s="469">
        <f>SUMIFS(AS!$W:$W,AS!$AB:$AB,"OK",AS!$AY:$AY,Parkki!$X185,AS!$AW:$AW,$W$8,AS!$K:$K,$W$7,AS!$X:$X,Parkki!$Y$5,AS!$AV:$AV,Parkki!$Y$2,AS!$CY:$CY,$U$6,AS!$CZ:$CZ,$U$5)</f>
        <v>0</v>
      </c>
      <c r="D185" s="469">
        <f>SUMIFS(AS!$W:$W,AS!$AB:$AB,"OK",AS!$AY:$AY,Parkki!$X185,AS!$AW:$AW,$W$8,AS!$K:$K,$W$7,AS!$X:$X,Parkki!$Y$5,AS!$AV:$AV,Parkki!$Y$2,AS!$AH:$AH,Parkki!$X$8,AS!$CY:$CY,$U$6,AS!$CZ:$CZ,$U$5)</f>
        <v>0</v>
      </c>
      <c r="J185" s="839"/>
      <c r="K185" s="168"/>
      <c r="L185" s="168"/>
      <c r="M185" s="843"/>
      <c r="X185" t="s">
        <v>557</v>
      </c>
      <c r="AH185" t="s">
        <v>547</v>
      </c>
    </row>
    <row r="186" spans="1:34" x14ac:dyDescent="0.25">
      <c r="A186" s="922" t="s">
        <v>243</v>
      </c>
      <c r="B186" s="923"/>
      <c r="C186" s="471">
        <f>IFERROR(SUM(C158:C185),"")</f>
        <v>0</v>
      </c>
      <c r="D186" s="471">
        <f>IFERROR(SUM(D158:D185),"")</f>
        <v>0</v>
      </c>
      <c r="J186" s="841"/>
      <c r="K186" s="842"/>
      <c r="L186" s="842"/>
      <c r="AH186" t="s">
        <v>558</v>
      </c>
    </row>
    <row r="187" spans="1:34" x14ac:dyDescent="0.25">
      <c r="A187" s="460"/>
      <c r="AH187" t="s">
        <v>552</v>
      </c>
    </row>
    <row r="188" spans="1:34" x14ac:dyDescent="0.25">
      <c r="AH188" t="s">
        <v>553</v>
      </c>
    </row>
    <row r="189" spans="1:34" x14ac:dyDescent="0.25">
      <c r="AH189" t="s">
        <v>554</v>
      </c>
    </row>
    <row r="190" spans="1:34" x14ac:dyDescent="0.25">
      <c r="AH190" t="s">
        <v>557</v>
      </c>
    </row>
    <row r="192" spans="1:34" x14ac:dyDescent="0.25">
      <c r="AH192" t="s">
        <v>559</v>
      </c>
    </row>
    <row r="193" spans="1:34" x14ac:dyDescent="0.25">
      <c r="AH193" t="s">
        <v>560</v>
      </c>
    </row>
    <row r="194" spans="1:34" x14ac:dyDescent="0.25">
      <c r="AH194" t="s">
        <v>561</v>
      </c>
    </row>
    <row r="195" spans="1:34" x14ac:dyDescent="0.25">
      <c r="AH195" t="s">
        <v>562</v>
      </c>
    </row>
    <row r="196" spans="1:34" x14ac:dyDescent="0.25">
      <c r="X196" s="86"/>
      <c r="AH196" t="s">
        <v>563</v>
      </c>
    </row>
    <row r="197" spans="1:34" x14ac:dyDescent="0.25">
      <c r="AH197" t="s">
        <v>564</v>
      </c>
    </row>
    <row r="198" spans="1:34" x14ac:dyDescent="0.25">
      <c r="AH198" t="s">
        <v>565</v>
      </c>
    </row>
    <row r="199" spans="1:34" x14ac:dyDescent="0.25">
      <c r="AH199" t="s">
        <v>566</v>
      </c>
    </row>
    <row r="200" spans="1:34" x14ac:dyDescent="0.25">
      <c r="AH200" t="s">
        <v>567</v>
      </c>
    </row>
    <row r="204" spans="1:34" x14ac:dyDescent="0.25">
      <c r="A204" s="388" t="s">
        <v>568</v>
      </c>
      <c r="B204" s="550"/>
      <c r="C204" s="550"/>
      <c r="D204" s="550"/>
    </row>
  </sheetData>
  <sheetProtection sheet="1" objects="1" scenarios="1"/>
  <mergeCells count="58">
    <mergeCell ref="A69:A70"/>
    <mergeCell ref="A71:A75"/>
    <mergeCell ref="A80:A84"/>
    <mergeCell ref="A85:A87"/>
    <mergeCell ref="A76:A79"/>
    <mergeCell ref="A94:B94"/>
    <mergeCell ref="A112:A116"/>
    <mergeCell ref="A117:A125"/>
    <mergeCell ref="A126:A131"/>
    <mergeCell ref="A132:A138"/>
    <mergeCell ref="P10:P12"/>
    <mergeCell ref="M10:M12"/>
    <mergeCell ref="A95:A97"/>
    <mergeCell ref="M44:M46"/>
    <mergeCell ref="N44:N46"/>
    <mergeCell ref="O44:O46"/>
    <mergeCell ref="P44:P46"/>
    <mergeCell ref="B26:D27"/>
    <mergeCell ref="A37:D38"/>
    <mergeCell ref="A62:D63"/>
    <mergeCell ref="A92:D93"/>
    <mergeCell ref="A90:B90"/>
    <mergeCell ref="A43:A57"/>
    <mergeCell ref="A65:A68"/>
    <mergeCell ref="N10:N12"/>
    <mergeCell ref="O10:O12"/>
    <mergeCell ref="A186:B186"/>
    <mergeCell ref="A157:B157"/>
    <mergeCell ref="A103:A104"/>
    <mergeCell ref="A105:A106"/>
    <mergeCell ref="A107:B107"/>
    <mergeCell ref="A179:A180"/>
    <mergeCell ref="A159:A163"/>
    <mergeCell ref="A109:D110"/>
    <mergeCell ref="A184:A185"/>
    <mergeCell ref="A164:A166"/>
    <mergeCell ref="A167:A172"/>
    <mergeCell ref="A173:A178"/>
    <mergeCell ref="A181:A183"/>
    <mergeCell ref="A139:A142"/>
    <mergeCell ref="A143:A147"/>
    <mergeCell ref="A148:A150"/>
    <mergeCell ref="F156:H157"/>
    <mergeCell ref="A151:A152"/>
    <mergeCell ref="A153:B153"/>
    <mergeCell ref="A155:D156"/>
    <mergeCell ref="B9:D9"/>
    <mergeCell ref="B10:D10"/>
    <mergeCell ref="B12:D12"/>
    <mergeCell ref="A58:A59"/>
    <mergeCell ref="A40:A42"/>
    <mergeCell ref="A39:B39"/>
    <mergeCell ref="A60:B60"/>
    <mergeCell ref="A88:A89"/>
    <mergeCell ref="A64:B64"/>
    <mergeCell ref="B13:D14"/>
    <mergeCell ref="A98:A100"/>
    <mergeCell ref="A101:A102"/>
  </mergeCells>
  <phoneticPr fontId="63" type="noConversion"/>
  <conditionalFormatting sqref="B9">
    <cfRule type="containsText" dxfId="26" priority="57" operator="containsText" text="Tarkista">
      <formula>NOT(ISERROR(SEARCH("Tarkista",B9)))</formula>
    </cfRule>
  </conditionalFormatting>
  <conditionalFormatting sqref="M16:P37 M50:P76">
    <cfRule type="expression" dxfId="25" priority="29">
      <formula>$S16=0</formula>
    </cfRule>
  </conditionalFormatting>
  <conditionalFormatting sqref="M38:P38">
    <cfRule type="expression" dxfId="24" priority="51">
      <formula>$S$38=0</formula>
    </cfRule>
  </conditionalFormatting>
  <conditionalFormatting sqref="M39:P39">
    <cfRule type="expression" dxfId="23" priority="52">
      <formula>$S$39=0</formula>
    </cfRule>
  </conditionalFormatting>
  <conditionalFormatting sqref="M40:P40">
    <cfRule type="expression" dxfId="22" priority="53">
      <formula>$S$40=0</formula>
    </cfRule>
  </conditionalFormatting>
  <conditionalFormatting sqref="M41:P41">
    <cfRule type="expression" dxfId="21" priority="54">
      <formula>$S$41=0</formula>
    </cfRule>
  </conditionalFormatting>
  <conditionalFormatting sqref="M42:P42">
    <cfRule type="expression" dxfId="20" priority="55">
      <formula>$S$42=0</formula>
    </cfRule>
  </conditionalFormatting>
  <dataValidations count="7">
    <dataValidation type="list" allowBlank="1" showInputMessage="1" showErrorMessage="1" sqref="F6" xr:uid="{00000000-0002-0000-0200-000001000000}">
      <formula1>$X$2:$X$4</formula1>
    </dataValidation>
    <dataValidation type="list" showInputMessage="1" showErrorMessage="1" sqref="F4" xr:uid="{00000000-0002-0000-0200-000003000000}">
      <formula1>$AB$5:$AB$61</formula1>
    </dataValidation>
    <dataValidation type="list" allowBlank="1" showInputMessage="1" showErrorMessage="1" sqref="F7" xr:uid="{00000000-0002-0000-0200-000004000000}">
      <formula1>$X$2:$X$3</formula1>
    </dataValidation>
    <dataValidation type="list" allowBlank="1" showInputMessage="1" showErrorMessage="1" sqref="F5" xr:uid="{00000000-0002-0000-0200-000002000000}">
      <formula1>$AD$5:$AD$62</formula1>
    </dataValidation>
    <dataValidation type="list" showInputMessage="1" showErrorMessage="1" sqref="I4:I5" xr:uid="{3B3E55F7-63E1-49DE-B54C-6423883759D1}">
      <formula1>$V$2:$V$3</formula1>
    </dataValidation>
    <dataValidation type="date" allowBlank="1" showInputMessage="1" showErrorMessage="1" error="Kirjoita päivämäärä muodossa _x000a_pp.kk.vvvv_x000a__x000a_Päivämäärän on oltava _x000a_suurempi kuin 01.01.2008 ja _x000a_pienempi kuin 31.12.2020" sqref="F1 F3" xr:uid="{32CE7092-DF37-474E-874E-9D015ABFB110}">
      <formula1>36526</formula1>
      <formula2>55153</formula2>
    </dataValidation>
    <dataValidation type="date" allowBlank="1" showInputMessage="1" showErrorMessage="1" error="Kirjoita päivämäärä muodossa _x000a_pp.kk.vvvv_x000a__x000a_Päivämäärän on oltava _x000a_suurempi kuin 01.01.2008 ja _x000a_pienempi kuin 31.12.2020" sqref="F2" xr:uid="{587FA905-F1C2-4F6C-B802-BB24D1E4992D}">
      <formula1>39448</formula1>
      <formula2>44196</formula2>
    </dataValidation>
  </dataValidations>
  <hyperlinks>
    <hyperlink ref="F2" location="Asiakastilastot!A2" display="Asiakastilastot!A2" xr:uid="{C2AD8272-6267-4196-BA6F-45B2180919B8}"/>
    <hyperlink ref="A204" location="Parkki!A1" display="Sivun alkuun" xr:uid="{7CE41DC7-947F-4A61-A3D2-734E94527FD1}"/>
  </hyperlinks>
  <pageMargins left="0.23622047244094491" right="0.23622047244094491" top="0.74803149606299213" bottom="0.83333333333333337" header="0" footer="0"/>
  <pageSetup paperSize="9" scale="55" fitToWidth="0" fitToHeight="2" orientation="portrait" horizontalDpi="300" r:id="rId1"/>
  <headerFooter>
    <oddFooter>&amp;L 
PAR työpaja
osoitettie
0100, paikka&amp;C&amp;G&amp;R&amp;P/&amp;N</oddFooter>
  </headerFooter>
  <rowBreaks count="4" manualBreakCount="4">
    <brk id="35" max="16383" man="1"/>
    <brk id="90" max="16383" man="1"/>
    <brk id="107" max="16383" man="1"/>
    <brk id="153" max="16383" man="1"/>
  </rowBreaks>
  <colBreaks count="1" manualBreakCount="1">
    <brk id="4"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ul3">
    <tabColor rgb="FF92D050"/>
  </sheetPr>
  <dimension ref="A1:AF82"/>
  <sheetViews>
    <sheetView showGridLines="0" zoomScaleNormal="100" workbookViewId="0">
      <selection activeCell="G10" sqref="G10"/>
    </sheetView>
  </sheetViews>
  <sheetFormatPr defaultRowHeight="15" x14ac:dyDescent="0.25"/>
  <cols>
    <col min="1" max="1" width="56.5703125" customWidth="1"/>
    <col min="2" max="4" width="12.42578125" customWidth="1"/>
    <col min="5" max="7" width="12.5703125" customWidth="1"/>
    <col min="8" max="9" width="13.85546875" customWidth="1"/>
    <col min="10" max="16" width="13.7109375" customWidth="1"/>
    <col min="21" max="21" width="9.140625" customWidth="1"/>
    <col min="22" max="28" width="9.140625" hidden="1" customWidth="1"/>
    <col min="29" max="29" width="12" hidden="1" customWidth="1"/>
    <col min="30" max="31" width="9.140625" hidden="1" customWidth="1"/>
    <col min="32" max="32" width="9.140625" customWidth="1"/>
  </cols>
  <sheetData>
    <row r="1" spans="1:31" ht="15.75" thickBot="1" x14ac:dyDescent="0.3">
      <c r="A1" s="358" t="s">
        <v>0</v>
      </c>
      <c r="V1" s="91" t="s">
        <v>1</v>
      </c>
      <c r="W1" s="91" t="s">
        <v>1</v>
      </c>
      <c r="X1" s="92" t="s">
        <v>1</v>
      </c>
      <c r="Y1" s="92" t="s">
        <v>1</v>
      </c>
      <c r="Z1" s="92" t="s">
        <v>1</v>
      </c>
      <c r="AA1" s="92" t="s">
        <v>1</v>
      </c>
      <c r="AB1" s="92" t="s">
        <v>1</v>
      </c>
      <c r="AC1" s="92" t="s">
        <v>1</v>
      </c>
      <c r="AD1" s="92" t="s">
        <v>1</v>
      </c>
      <c r="AE1" s="92" t="s">
        <v>1</v>
      </c>
    </row>
    <row r="2" spans="1:31" x14ac:dyDescent="0.25">
      <c r="A2" s="791">
        <f>Asiakastilastot!$A$2</f>
        <v>46023</v>
      </c>
      <c r="V2" t="s">
        <v>569</v>
      </c>
      <c r="W2" s="93" t="s">
        <v>4</v>
      </c>
      <c r="X2" s="94" t="s">
        <v>26</v>
      </c>
      <c r="Y2" s="95" t="s">
        <v>4</v>
      </c>
    </row>
    <row r="3" spans="1:31" x14ac:dyDescent="0.25">
      <c r="A3" s="791">
        <f>Asiakastilastot!$A$3</f>
        <v>46387</v>
      </c>
      <c r="V3" t="s">
        <v>570</v>
      </c>
      <c r="W3" s="96" t="s">
        <v>571</v>
      </c>
      <c r="X3" s="97" t="s">
        <v>572</v>
      </c>
      <c r="Y3" s="95" t="s">
        <v>11</v>
      </c>
    </row>
    <row r="4" spans="1:31" x14ac:dyDescent="0.25">
      <c r="D4" s="78"/>
      <c r="V4" t="s">
        <v>573</v>
      </c>
      <c r="W4" s="96" t="s">
        <v>574</v>
      </c>
      <c r="X4" s="97" t="s">
        <v>575</v>
      </c>
    </row>
    <row r="5" spans="1:31" ht="15.75" thickBot="1" x14ac:dyDescent="0.3">
      <c r="A5" s="554" t="str">
        <f>IF(D22=D36,"","Tarkasta HTV yhteensä. Kysymyksissä 1. ja 2. on oltava sama summa")</f>
        <v/>
      </c>
      <c r="D5" s="78"/>
      <c r="G5" s="66" t="s">
        <v>576</v>
      </c>
      <c r="W5" s="98" t="s">
        <v>577</v>
      </c>
      <c r="X5" s="99" t="s">
        <v>578</v>
      </c>
    </row>
    <row r="6" spans="1:31" x14ac:dyDescent="0.25">
      <c r="A6" s="554" t="str">
        <f>IF(E22=E36,"","Tarkasta HTV, naisia yhteensä. Kysymyksissä 1. ja 2. on oltava sama summa")</f>
        <v/>
      </c>
      <c r="D6" s="78"/>
      <c r="G6" s="968" t="s">
        <v>573</v>
      </c>
      <c r="H6" s="969"/>
      <c r="I6" s="969"/>
      <c r="J6" s="969"/>
      <c r="X6" s="100" t="str">
        <f>IF(A6="","*",INDEX($W$1:W5,MATCH($A$2,$V$1:$V$3,0)))</f>
        <v>*</v>
      </c>
      <c r="Y6" s="100" t="e">
        <f>IF(#REF!="","*",INDEX(Z8:Z41,MATCH(#REF!,AA8:AA41,0)))</f>
        <v>#REF!</v>
      </c>
    </row>
    <row r="7" spans="1:31" x14ac:dyDescent="0.25">
      <c r="A7" s="554" t="str">
        <f>IF(F22+F36=F50+B66,"","Tarkasta (HLÖ) henkilömäärä yhteensä. Kysymyksissä 1- 4 on oltava sama summa")</f>
        <v/>
      </c>
      <c r="D7" s="78"/>
      <c r="W7" s="101"/>
      <c r="X7" s="102" t="s">
        <v>579</v>
      </c>
      <c r="Y7" s="103" t="s">
        <v>580</v>
      </c>
    </row>
    <row r="8" spans="1:31" x14ac:dyDescent="0.25">
      <c r="A8" s="554" t="str">
        <f>IF(G22+G36/2=G50,"","Tarkasta (HLÖ) henkilömäärä, naisia yhteensä. Kysymyksissä 1- 3 on oltava sama summa")</f>
        <v/>
      </c>
      <c r="D8" s="78"/>
      <c r="W8" s="101"/>
      <c r="X8" s="104" t="s">
        <v>40</v>
      </c>
      <c r="Y8" s="104" t="s">
        <v>581</v>
      </c>
    </row>
    <row r="9" spans="1:31" ht="15" customHeight="1" x14ac:dyDescent="0.25">
      <c r="A9" s="971" t="s">
        <v>582</v>
      </c>
      <c r="B9" s="962" t="s">
        <v>583</v>
      </c>
      <c r="C9" s="962"/>
      <c r="D9" s="962" t="s">
        <v>584</v>
      </c>
      <c r="E9" s="962"/>
      <c r="W9" s="101"/>
      <c r="X9" s="105" t="s">
        <v>44</v>
      </c>
      <c r="Y9" s="101"/>
    </row>
    <row r="10" spans="1:31" x14ac:dyDescent="0.25">
      <c r="A10" s="972"/>
      <c r="B10" s="108" t="s">
        <v>186</v>
      </c>
      <c r="C10" s="108" t="s">
        <v>70</v>
      </c>
      <c r="D10" s="108" t="s">
        <v>186</v>
      </c>
      <c r="E10" s="556" t="s">
        <v>70</v>
      </c>
      <c r="X10" s="106" t="str">
        <f>" - "&amp;TEXT($A$2,$X$11)&amp;"-"&amp;TEXT($A$3,$X$11)&amp;""</f>
        <v xml:space="preserve"> - 01.01.2026-31.12.2026</v>
      </c>
    </row>
    <row r="11" spans="1:31" x14ac:dyDescent="0.25">
      <c r="A11" s="557" t="s">
        <v>585</v>
      </c>
      <c r="B11" s="558">
        <f>D22</f>
        <v>0</v>
      </c>
      <c r="C11" s="558">
        <f t="shared" ref="C11:E11" si="0">E22</f>
        <v>0</v>
      </c>
      <c r="D11" s="810">
        <f t="shared" si="0"/>
        <v>0</v>
      </c>
      <c r="E11" s="810">
        <f t="shared" si="0"/>
        <v>0</v>
      </c>
      <c r="X11" s="107" t="s">
        <v>55</v>
      </c>
    </row>
    <row r="13" spans="1:31" s="71" customFormat="1" x14ac:dyDescent="0.25">
      <c r="A13" s="57" t="str">
        <f>"1. "&amp;W13&amp;X10</f>
        <v>1. Henkilöstön määrä - 01.01.2026-31.12.2026</v>
      </c>
      <c r="B13" s="57"/>
      <c r="C13" s="57"/>
      <c r="D13"/>
      <c r="E13"/>
      <c r="W13" s="106" t="s">
        <v>586</v>
      </c>
      <c r="X13" s="109" t="s">
        <v>587</v>
      </c>
      <c r="Y13"/>
      <c r="Z13"/>
    </row>
    <row r="14" spans="1:31" ht="59.25" customHeight="1" x14ac:dyDescent="0.25">
      <c r="A14" s="967" t="s">
        <v>588</v>
      </c>
      <c r="B14" s="967"/>
      <c r="C14" s="967"/>
      <c r="D14" s="973" t="s">
        <v>583</v>
      </c>
      <c r="E14" s="962"/>
      <c r="F14" s="962" t="s">
        <v>584</v>
      </c>
      <c r="G14" s="962"/>
      <c r="W14" s="111" t="s">
        <v>589</v>
      </c>
      <c r="X14" s="112" t="s">
        <v>590</v>
      </c>
    </row>
    <row r="15" spans="1:31" x14ac:dyDescent="0.25">
      <c r="A15" s="967"/>
      <c r="B15" s="967"/>
      <c r="C15" s="967"/>
      <c r="D15" s="599" t="s">
        <v>186</v>
      </c>
      <c r="E15" s="108" t="s">
        <v>70</v>
      </c>
      <c r="F15" s="108" t="s">
        <v>186</v>
      </c>
      <c r="G15" s="108" t="s">
        <v>70</v>
      </c>
      <c r="V15" s="111" t="s">
        <v>591</v>
      </c>
      <c r="W15" s="111" t="s">
        <v>592</v>
      </c>
      <c r="X15" s="112" t="s">
        <v>593</v>
      </c>
    </row>
    <row r="16" spans="1:31" x14ac:dyDescent="0.25">
      <c r="A16" s="956" t="s">
        <v>594</v>
      </c>
      <c r="B16" s="956"/>
      <c r="C16" s="956"/>
      <c r="D16" s="600">
        <f>IFERROR(SUMIFS(Data_Kayttis!$AZ:$AZ,Data_Kayttis!$AX:$AX,Henkilöstö!$W14,Data_Kayttis!$AU:$AU,$X$9),"-")</f>
        <v>0</v>
      </c>
      <c r="E16" s="551">
        <f>IFERROR(SUMIFS(Data_Kayttis!$AZ:$AZ,Data_Kayttis!$AX:$AX,Henkilöstö!$W14,Data_Kayttis!$C:$C,$X$7,Data_Kayttis!$AU:$AU,$X$9),"-")</f>
        <v>0</v>
      </c>
      <c r="F16" s="552">
        <f>IFERROR(COUNTIFS(Data_Kayttis!$AX:$AX,Henkilöstö!$W14,Data_Kayttis!$AU:$AU,$X$9),"-")</f>
        <v>0</v>
      </c>
      <c r="G16" s="552">
        <f>IFERROR(COUNTIFS(Data_Kayttis!$AX:$AX,Henkilöstö!$W14,Data_Kayttis!$C:$C,$X$7,Data_Kayttis!$AU:$AU,$X$9),"-")</f>
        <v>0</v>
      </c>
      <c r="V16" s="111" t="s">
        <v>595</v>
      </c>
      <c r="W16" s="111" t="s">
        <v>596</v>
      </c>
      <c r="X16" s="112" t="s">
        <v>597</v>
      </c>
    </row>
    <row r="17" spans="1:32" x14ac:dyDescent="0.25">
      <c r="A17" s="956" t="s">
        <v>598</v>
      </c>
      <c r="B17" s="956"/>
      <c r="C17" s="956"/>
      <c r="D17" s="600">
        <f>IFERROR(SUMIFS(Data_Kayttis!$AZ:$AZ,Data_Kayttis!$AX:$AX,Henkilöstö!$V16,Data_Kayttis!$AU:$AU,$X$9),"-")+IFERROR(SUMIFS(Data_Kayttis!$AZ:$AZ,Data_Kayttis!$AX:$AX,Henkilöstö!$W16,Data_Kayttis!$AU:$AU,$X$9),"-")</f>
        <v>0</v>
      </c>
      <c r="E17" s="551">
        <f>IFERROR(SUMIFS(Data_Kayttis!$AZ:$AZ,Data_Kayttis!$AX:$AX,Henkilöstö!$V16,Data_Kayttis!$C:$C,$X$7,Data_Kayttis!$AU:$AU,$X$9),"-")+IFERROR(SUMIFS(Data_Kayttis!$AZ:$AZ,Data_Kayttis!$AX:$AX,Henkilöstö!$W16,Data_Kayttis!$C:$C,$X$7,Data_Kayttis!$AU:$AU,$X$9),"-")</f>
        <v>0</v>
      </c>
      <c r="F17" s="552">
        <f>IFERROR(COUNTIFS(Data_Kayttis!$AX:$AX,Henkilöstö!$V16,Data_Kayttis!$AU:$AU,$X$9),"-")+IFERROR(COUNTIFS(Data_Kayttis!$AX:$AX,Henkilöstö!$W16,Data_Kayttis!$AU:$AU,$X$9),"-")</f>
        <v>0</v>
      </c>
      <c r="G17" s="552">
        <f>IFERROR(COUNTIFS(Data_Kayttis!$AX:$AX,Henkilöstö!$V16,Data_Kayttis!$C:$C,$X$7,Data_Kayttis!$AU:$AU,$X$9),"-")+IFERROR(COUNTIFS(Data_Kayttis!$AX:$AX,Henkilöstö!$W16,Data_Kayttis!$C:$C,$X$7,Data_Kayttis!$AU:$AU,$X$9),"-")</f>
        <v>0</v>
      </c>
      <c r="W17" s="111" t="s">
        <v>599</v>
      </c>
      <c r="X17" s="112" t="s">
        <v>600</v>
      </c>
    </row>
    <row r="18" spans="1:32" x14ac:dyDescent="0.25">
      <c r="A18" s="956" t="s">
        <v>601</v>
      </c>
      <c r="B18" s="956"/>
      <c r="C18" s="956"/>
      <c r="D18" s="601">
        <f>IFERROR(SUMIFS(Data_Kayttis!$AZ:$AZ,Data_Kayttis!$AX:$AX,Henkilöstö!$V15,Data_Kayttis!$AU:$AU,$X$9),"-")+IFERROR(SUMIFS(Data_Kayttis!$AZ:$AZ,Data_Kayttis!$AX:$AX,Henkilöstö!$W15,Data_Kayttis!$AU:$AU,$X$9),"-")</f>
        <v>0</v>
      </c>
      <c r="E18" s="572">
        <f>IFERROR(SUMIFS(Data_Kayttis!$AZ:$AZ,Data_Kayttis!$AX:$AX,Henkilöstö!$V15,Data_Kayttis!$C:$C,$X$7,Data_Kayttis!$AU:$AU,$X$9),"-")+IFERROR(SUMIFS(Data_Kayttis!$AZ:$AZ,Data_Kayttis!$AX:$AX,Henkilöstö!$W15,Data_Kayttis!$C:$C,$X$7,Data_Kayttis!$AU:$AU,$X$9),"-")</f>
        <v>0</v>
      </c>
      <c r="F18" s="573">
        <f>IFERROR(COUNTIFS(Data_Kayttis!$AX:$AX,Henkilöstö!$V15,Data_Kayttis!$AU:$AU,$X$9),"-")+IFERROR(COUNTIFS(Data_Kayttis!$AX:$AX,Henkilöstö!$W15,Data_Kayttis!$AU:$AU,$X$9),"-")</f>
        <v>0</v>
      </c>
      <c r="G18" s="573">
        <f>IFERROR(COUNTIFS(Data_Kayttis!$AX:$AX,Henkilöstö!$V15,Data_Kayttis!$C:$C,$X$7,Data_Kayttis!$AU:$AU,$X$9),"-")+IFERROR(COUNTIFS(Data_Kayttis!$AX:$AX,Henkilöstö!$W15,Data_Kayttis!$C:$C,$X$7,Data_Kayttis!$AU:$AU,$X$9),"-")</f>
        <v>0</v>
      </c>
      <c r="W18" s="574" t="s">
        <v>602</v>
      </c>
      <c r="X18" s="116" t="s">
        <v>603</v>
      </c>
    </row>
    <row r="19" spans="1:32" x14ac:dyDescent="0.25">
      <c r="A19" s="956" t="s">
        <v>604</v>
      </c>
      <c r="B19" s="956"/>
      <c r="C19" s="956"/>
      <c r="D19" s="600">
        <f>IFERROR(SUMIFS(Data_Kayttis!$AZ:$AZ,Data_Kayttis!$AX:$AX,Henkilöstö!$W17,Data_Kayttis!$AU:$AU,$X$9),"-")</f>
        <v>0</v>
      </c>
      <c r="E19" s="551">
        <f>IFERROR(SUMIFS(Data_Kayttis!$AZ:$AZ,Data_Kayttis!$AX:$AX,Henkilöstö!$W17,Data_Kayttis!$C:$C,$X$7,Data_Kayttis!$AU:$AU,$X$9),"-")</f>
        <v>0</v>
      </c>
      <c r="F19" s="552">
        <f>IFERROR(COUNTIFS(Data_Kayttis!$AX:$AX,Henkilöstö!$W17,Data_Kayttis!$AU:$AU,$X$9),"-")</f>
        <v>0</v>
      </c>
      <c r="G19" s="552">
        <f>IFERROR(COUNTIFS(Data_Kayttis!$AX:$AX,Henkilöstö!$W17,Data_Kayttis!$C:$C,$X$7,Data_Kayttis!$AU:$AU,$X$9),"-")</f>
        <v>0</v>
      </c>
      <c r="W19" s="111" t="s">
        <v>605</v>
      </c>
      <c r="X19" s="112" t="s">
        <v>606</v>
      </c>
    </row>
    <row r="20" spans="1:32" x14ac:dyDescent="0.25">
      <c r="A20" s="956" t="s">
        <v>347</v>
      </c>
      <c r="B20" s="956"/>
      <c r="C20" s="956"/>
      <c r="D20" s="600">
        <f>IFERROR(SUMIFS(Data_Kayttis!$AZ:$AZ,Data_Kayttis!$AX:$AX,Henkilöstö!$W18,Data_Kayttis!$AU:$AU,$X$9),"-")</f>
        <v>0</v>
      </c>
      <c r="E20" s="551">
        <f>IFERROR(SUMIFS(Data_Kayttis!$AZ:$AZ,Data_Kayttis!$AX:$AX,Henkilöstö!$W18,Data_Kayttis!$C:$C,$X$7,Data_Kayttis!$AU:$AU,$X$9),"-")</f>
        <v>0</v>
      </c>
      <c r="F20" s="552">
        <f>IFERROR(COUNTIFS(Data_Kayttis!$AX:$AX,Henkilöstö!$W18,Data_Kayttis!$AU:$AU,$X$9),"-")</f>
        <v>0</v>
      </c>
      <c r="G20" s="552">
        <f>IFERROR(COUNTIFS(Data_Kayttis!$AX:$AX,Henkilöstö!$W18,Data_Kayttis!$C:$C,$X$7,Data_Kayttis!$AU:$AU,$X$9),"-")</f>
        <v>0</v>
      </c>
      <c r="X20" s="112" t="s">
        <v>607</v>
      </c>
    </row>
    <row r="21" spans="1:32" x14ac:dyDescent="0.25">
      <c r="A21" s="956" t="s">
        <v>239</v>
      </c>
      <c r="B21" s="956"/>
      <c r="C21" s="956"/>
      <c r="D21" s="600">
        <f>IFERROR(SUMIFS(Data_Kayttis!$AZ:$AZ,Data_Kayttis!$AX:$AX,Henkilöstö!$W19,Data_Kayttis!$AU:$AU,$X$9),"-")</f>
        <v>0</v>
      </c>
      <c r="E21" s="551">
        <f>IFERROR(SUMIFS(Data_Kayttis!$AZ:$AZ,Data_Kayttis!$AX:$AX,Henkilöstö!$W19,Data_Kayttis!$C:$C,$X$7,Data_Kayttis!$AU:$AU,$X$9),"-")</f>
        <v>0</v>
      </c>
      <c r="F21" s="552">
        <f>IFERROR(COUNTIFS(Data_Kayttis!$AX:$AX,Henkilöstö!$W19,Data_Kayttis!$AU:$AU,$X$9),"-")</f>
        <v>0</v>
      </c>
      <c r="G21" s="552">
        <f>IFERROR(COUNTIFS(Data_Kayttis!$AX:$AX,Henkilöstö!$W19,Data_Kayttis!$C:$C,$X$7,Data_Kayttis!$AU:$AU,$X$9),"-")</f>
        <v>0</v>
      </c>
      <c r="X21" s="112" t="s">
        <v>608</v>
      </c>
    </row>
    <row r="22" spans="1:32" x14ac:dyDescent="0.25">
      <c r="A22" s="957" t="s">
        <v>243</v>
      </c>
      <c r="B22" s="958"/>
      <c r="C22" s="958"/>
      <c r="D22" s="567">
        <f>SUM(D16:D21)</f>
        <v>0</v>
      </c>
      <c r="E22" s="567">
        <f>SUM(E16:E21)</f>
        <v>0</v>
      </c>
      <c r="F22" s="567">
        <f>SUM(F16:F21)</f>
        <v>0</v>
      </c>
      <c r="G22" s="567">
        <f>SUM(G16:G21)</f>
        <v>0</v>
      </c>
      <c r="J22" s="1"/>
    </row>
    <row r="24" spans="1:32" ht="15" customHeight="1" x14ac:dyDescent="0.25">
      <c r="A24" s="67" t="str">
        <f>"2. "&amp;W26&amp;X10&amp;" (laskurissa pääasiallinen tehtävä)"</f>
        <v>2. Millaisissa tehtävissä henkilöstö toimi? - 01.01.2026-31.12.2026 (laskurissa pääasiallinen tehtävä)</v>
      </c>
      <c r="B24" s="57"/>
      <c r="C24" s="57"/>
    </row>
    <row r="25" spans="1:32" ht="60" customHeight="1" x14ac:dyDescent="0.25">
      <c r="A25" s="960" t="s">
        <v>609</v>
      </c>
      <c r="B25" s="970" t="s">
        <v>610</v>
      </c>
      <c r="C25" s="970"/>
      <c r="D25" s="962" t="s">
        <v>583</v>
      </c>
      <c r="E25" s="962"/>
      <c r="F25" s="962" t="s">
        <v>584</v>
      </c>
      <c r="G25" s="962"/>
      <c r="AD25" t="s">
        <v>611</v>
      </c>
    </row>
    <row r="26" spans="1:32" s="71" customFormat="1" x14ac:dyDescent="0.25">
      <c r="A26" s="961"/>
      <c r="B26" s="602" t="s">
        <v>186</v>
      </c>
      <c r="C26" s="602" t="s">
        <v>70</v>
      </c>
      <c r="D26" s="108" t="s">
        <v>186</v>
      </c>
      <c r="E26" s="108" t="s">
        <v>70</v>
      </c>
      <c r="F26" s="108" t="s">
        <v>186</v>
      </c>
      <c r="G26" s="108" t="s">
        <v>70</v>
      </c>
      <c r="W26" s="106" t="s">
        <v>612</v>
      </c>
      <c r="X26" s="106" t="s">
        <v>613</v>
      </c>
      <c r="Y26"/>
      <c r="Z26"/>
      <c r="AA26"/>
      <c r="AB26"/>
      <c r="AC26"/>
      <c r="AD26" t="s">
        <v>614</v>
      </c>
      <c r="AE26" s="565"/>
      <c r="AF26"/>
    </row>
    <row r="27" spans="1:32" x14ac:dyDescent="0.25">
      <c r="A27" s="110" t="s">
        <v>615</v>
      </c>
      <c r="B27" s="603">
        <f>IFERROR(SUMIFS(Data_Kayttis!$BE:$BE,Data_Kayttis!$BB:$BB,Henkilöstö!$X27,Data_Kayttis!$AU:$AU,$X$9)+SUMIFS(Data_Kayttis!$AZ:$AZ,Data_Kayttis!$BB:$BB,Henkilöstö!$W27,Data_Kayttis!$AU:$AU,$X$9),"-")</f>
        <v>0</v>
      </c>
      <c r="C27" s="603">
        <f>IFERROR(SUMIFS(Data_Kayttis!$BE:$BE,Data_Kayttis!$BB:$BB,Henkilöstö!$X27,Data_Kayttis!$C:$C,$X$7,Data_Kayttis!$AU:$AU,$X$9)+SUMIFS(Data_Kayttis!$AZ:$AZ,Data_Kayttis!$BB:$BB,Henkilöstö!$W27,Data_Kayttis!$C:$C,$X$7,Data_Kayttis!$AU:$AU,$X$9),"-")</f>
        <v>0</v>
      </c>
      <c r="D27" s="551">
        <f>IFERROR(SUMIFS(Data_Kayttis!$AZ:$AZ,Data_Kayttis!$BB:$BB,Henkilöstö!$X27,Data_Kayttis!$AU:$AU,$X$9)+SUMIFS(Data_Kayttis!$AZ:$AZ,Data_Kayttis!$BB:$BB,Henkilöstö!$W27,Data_Kayttis!$AU:$AU,$X$9),"-")</f>
        <v>0</v>
      </c>
      <c r="E27" s="551">
        <f>IFERROR(SUMIFS(Data_Kayttis!$AZ:$AZ,Data_Kayttis!$BB:$BB,Henkilöstö!$X27,Data_Kayttis!$C:$C,$X$7,Data_Kayttis!$AU:$AU,$X$9)+SUMIFS(Data_Kayttis!$AZ:$AZ,Data_Kayttis!$BB:$BB,Henkilöstö!$W27,Data_Kayttis!$C:$C,$X$7,Data_Kayttis!$AU:$AU,$X$9),"-")</f>
        <v>0</v>
      </c>
      <c r="F27" s="552">
        <f>IFERROR(COUNTIFS(Data_Kayttis!$BB:$BB,Henkilöstö!$X27,Data_Kayttis!$AU:$AU,$X$9)+COUNTIFS(Data_Kayttis!$BB:$BB,Henkilöstö!$W27,Data_Kayttis!$AU:$AU,$X$9),"-")</f>
        <v>0</v>
      </c>
      <c r="G27" s="552">
        <f>IFERROR(COUNTIFS(Data_Kayttis!$BB:$BB,Henkilöstö!$X27,Data_Kayttis!$C:$C,$X$7,Data_Kayttis!$AU:$AU,$X$9)+COUNTIFS(Data_Kayttis!$BB:$BB,Henkilöstö!$W27,Data_Kayttis!$C:$C,$X$7,Data_Kayttis!$AU:$AU,$X$9),"-")</f>
        <v>0</v>
      </c>
      <c r="Q27" s="2"/>
      <c r="W27" s="102" t="s">
        <v>614</v>
      </c>
      <c r="X27" s="228" t="s">
        <v>616</v>
      </c>
      <c r="AD27" t="s">
        <v>617</v>
      </c>
      <c r="AE27" s="565"/>
    </row>
    <row r="28" spans="1:32" x14ac:dyDescent="0.25">
      <c r="A28" s="110" t="s">
        <v>618</v>
      </c>
      <c r="B28" s="603">
        <f>IFERROR(SUMIFS(Data_Kayttis!$BE:$BE,Data_Kayttis!$BB:$BB,Henkilöstö!$W28,Data_Kayttis!$AU:$AU,$X$9),"-")</f>
        <v>0</v>
      </c>
      <c r="C28" s="603">
        <f>IFERROR(SUMIFS(Data_Kayttis!$BE:$BE,Data_Kayttis!$BB:$BB,Henkilöstö!$W28,Data_Kayttis!$C:$C,$X$7,Data_Kayttis!$AU:$AU,$X$9),"-")</f>
        <v>0</v>
      </c>
      <c r="D28" s="551">
        <f>IFERROR(SUMIFS(Data_Kayttis!$AZ:$AZ,Data_Kayttis!$BB:$BB,Henkilöstö!$W28,Data_Kayttis!$AU:$AU,$X$9),"-")</f>
        <v>0</v>
      </c>
      <c r="E28" s="551">
        <f>IFERROR(SUMIFS(Data_Kayttis!$AZ:$AZ,Data_Kayttis!$BB:$BB,Henkilöstö!$W28,Data_Kayttis!$C:$C,$X$7,Data_Kayttis!$AU:$AU,$X$9),"-")</f>
        <v>0</v>
      </c>
      <c r="F28" s="552">
        <f>IFERROR(COUNTIFS(Data_Kayttis!$BB:$BB,Henkilöstö!$W28,Data_Kayttis!$AU:$AU,$X$9),"-")</f>
        <v>0</v>
      </c>
      <c r="G28" s="552">
        <f>IFERROR(COUNTIFS(Data_Kayttis!$BB:$BB,Henkilöstö!$W28,Data_Kayttis!$C:$C,$X$7,Data_Kayttis!$AU:$AU,$X$9),"-")</f>
        <v>0</v>
      </c>
      <c r="W28" s="102" t="s">
        <v>619</v>
      </c>
      <c r="AD28" t="s">
        <v>619</v>
      </c>
      <c r="AE28" s="565"/>
    </row>
    <row r="29" spans="1:32" x14ac:dyDescent="0.25">
      <c r="A29" s="110" t="s">
        <v>620</v>
      </c>
      <c r="B29" s="603">
        <f>IFERROR(SUMIFS(Data_Kayttis!$BE:$BE,Data_Kayttis!$BB:$BB,Henkilöstö!$W29,Data_Kayttis!$AU:$AU,$X$9),"-")</f>
        <v>0</v>
      </c>
      <c r="C29" s="603">
        <f>IFERROR(SUMIFS(Data_Kayttis!$BE:$BE,Data_Kayttis!$BB:$BB,Henkilöstö!$W29,Data_Kayttis!$C:$C,$X$7,Data_Kayttis!$AU:$AU,$X$9),"-")</f>
        <v>0</v>
      </c>
      <c r="D29" s="551">
        <f>IFERROR(SUMIFS(Data_Kayttis!$AZ:$AZ,Data_Kayttis!$BB:$BB,Henkilöstö!$W29,Data_Kayttis!$AU:$AU,$X$9),"-")</f>
        <v>0</v>
      </c>
      <c r="E29" s="551">
        <f>IFERROR(SUMIFS(Data_Kayttis!$AZ:$AZ,Data_Kayttis!$BB:$BB,Henkilöstö!$W29,Data_Kayttis!$C:$C,$X$7,Data_Kayttis!$AU:$AU,$X$9),"-")</f>
        <v>0</v>
      </c>
      <c r="F29" s="552">
        <f>IFERROR(COUNTIFS(Data_Kayttis!$BB:$BB,Henkilöstö!$W29,Data_Kayttis!$AU:$AU,$X$9),"-")</f>
        <v>0</v>
      </c>
      <c r="G29" s="552">
        <f>IFERROR(COUNTIFS(Data_Kayttis!$BB:$BB,Henkilöstö!$W29,Data_Kayttis!$C:$C,$X$7,Data_Kayttis!$AU:$AU,$X$9),"-")</f>
        <v>0</v>
      </c>
      <c r="W29" s="102" t="s">
        <v>617</v>
      </c>
      <c r="AD29" t="s">
        <v>621</v>
      </c>
      <c r="AE29" s="565"/>
    </row>
    <row r="30" spans="1:32" x14ac:dyDescent="0.25">
      <c r="A30" s="110" t="s">
        <v>622</v>
      </c>
      <c r="B30" s="603">
        <f>IFERROR(SUMIFS(Data_Kayttis!$BE:$BE,Data_Kayttis!$BB:$BB,Henkilöstö!$W30,Data_Kayttis!$AU:$AU,$X$9),"-")</f>
        <v>0</v>
      </c>
      <c r="C30" s="603">
        <f>IFERROR(SUMIFS(Data_Kayttis!$BE:$BE,Data_Kayttis!$BB:$BB,Henkilöstö!$W30,Data_Kayttis!$C:$C,$X$7,Data_Kayttis!$AU:$AU,$X$9),"-")</f>
        <v>0</v>
      </c>
      <c r="D30" s="551">
        <f>IFERROR(SUMIFS(Data_Kayttis!$AZ:$AZ,Data_Kayttis!$BB:$BB,Henkilöstö!$W30,Data_Kayttis!$AU:$AU,$X$9),"-")</f>
        <v>0</v>
      </c>
      <c r="E30" s="551">
        <f>IFERROR(SUMIFS(Data_Kayttis!$AZ:$AZ,Data_Kayttis!$BB:$BB,Henkilöstö!$W30,Data_Kayttis!$C:$C,$X$7,Data_Kayttis!$AU:$AU,$X$9),"-")</f>
        <v>0</v>
      </c>
      <c r="F30" s="552">
        <f>IFERROR(COUNTIFS(Data_Kayttis!$BB:$BB,Henkilöstö!$W30,Data_Kayttis!$AU:$AU,$X$9),"-")</f>
        <v>0</v>
      </c>
      <c r="G30" s="552">
        <f>IFERROR(COUNTIFS(Data_Kayttis!$BB:$BB,Henkilöstö!$W30,Data_Kayttis!$C:$C,$X$7,Data_Kayttis!$AU:$AU,$X$9),"-")</f>
        <v>0</v>
      </c>
      <c r="W30" s="102" t="s">
        <v>621</v>
      </c>
      <c r="AD30" t="s">
        <v>623</v>
      </c>
      <c r="AE30" s="565"/>
    </row>
    <row r="31" spans="1:32" x14ac:dyDescent="0.25">
      <c r="A31" s="110" t="s">
        <v>624</v>
      </c>
      <c r="B31" s="603">
        <f>IFERROR(SUMIFS(Data_Kayttis!$BE:$BE,Data_Kayttis!$BB:$BB,Henkilöstö!$W31,Data_Kayttis!$AU:$AU,$X$9),"-")</f>
        <v>0</v>
      </c>
      <c r="C31" s="603">
        <f>IFERROR(SUMIFS(Data_Kayttis!$BE:$BE,Data_Kayttis!$BB:$BB,Henkilöstö!$W31,Data_Kayttis!$C:$C,$X$7,Data_Kayttis!$AU:$AU,$X$9),"-")</f>
        <v>0</v>
      </c>
      <c r="D31" s="551">
        <f>IFERROR(SUMIFS(Data_Kayttis!$AZ:$AZ,Data_Kayttis!$BB:$BB,Henkilöstö!$W31,Data_Kayttis!$AU:$AU,$X$9),"-")</f>
        <v>0</v>
      </c>
      <c r="E31" s="551">
        <f>IFERROR(SUMIFS(Data_Kayttis!$AZ:$AZ,Data_Kayttis!$BB:$BB,Henkilöstö!$W31,Data_Kayttis!$C:$C,$X$7,Data_Kayttis!$AU:$AU,$X$9),"-")</f>
        <v>0</v>
      </c>
      <c r="F31" s="552">
        <f>IFERROR(COUNTIFS(Data_Kayttis!$BB:$BB,Henkilöstö!$W31,Data_Kayttis!$AU:$AU,$X$9),"-")</f>
        <v>0</v>
      </c>
      <c r="G31" s="552">
        <f>IFERROR(COUNTIFS(Data_Kayttis!$BB:$BB,Henkilöstö!$W31,Data_Kayttis!$C:$C,$X$7,Data_Kayttis!$AU:$AU,$X$9),"-")</f>
        <v>0</v>
      </c>
      <c r="W31" s="102" t="s">
        <v>623</v>
      </c>
      <c r="AD31" t="s">
        <v>625</v>
      </c>
      <c r="AE31" s="566"/>
    </row>
    <row r="32" spans="1:32" x14ac:dyDescent="0.25">
      <c r="A32" s="110" t="s">
        <v>626</v>
      </c>
      <c r="B32" s="603">
        <f>IFERROR(SUMIFS(Data_Kayttis!$BE:$BE,Data_Kayttis!$BB:$BB,Henkilöstö!$W32,Data_Kayttis!$AU:$AU,$X$9),"-")</f>
        <v>0</v>
      </c>
      <c r="C32" s="603">
        <f>IFERROR(SUMIFS(Data_Kayttis!$BE:$BE,Data_Kayttis!$BB:$BB,Henkilöstö!$W32,Data_Kayttis!$C:$C,$X$7,Data_Kayttis!$AU:$AU,$X$9),"-")</f>
        <v>0</v>
      </c>
      <c r="D32" s="551">
        <f>IFERROR(SUMIFS(Data_Kayttis!$AZ:$AZ,Data_Kayttis!$BB:$BB,Henkilöstö!$W32,Data_Kayttis!$AU:$AU,$X$9),"-")</f>
        <v>0</v>
      </c>
      <c r="E32" s="551">
        <f>IFERROR(SUMIFS(Data_Kayttis!$AZ:$AZ,Data_Kayttis!$BB:$BB,Henkilöstö!$W32,Data_Kayttis!$C:$C,$X$7,Data_Kayttis!$AU:$AU,$X$9),"-")</f>
        <v>0</v>
      </c>
      <c r="F32" s="552">
        <f>IFERROR(COUNTIFS(Data_Kayttis!$BB:$BB,Henkilöstö!$W32,Data_Kayttis!$AU:$AU,$X$9),"-")</f>
        <v>0</v>
      </c>
      <c r="G32" s="552">
        <f>IFERROR(COUNTIFS(Data_Kayttis!$BB:$BB,Henkilöstö!$W32,Data_Kayttis!$C:$C,$X$7,Data_Kayttis!$AU:$AU,$X$9),"-")</f>
        <v>0</v>
      </c>
      <c r="W32" s="102" t="s">
        <v>625</v>
      </c>
      <c r="AD32" t="s">
        <v>627</v>
      </c>
      <c r="AE32" s="566"/>
    </row>
    <row r="33" spans="1:31" x14ac:dyDescent="0.25">
      <c r="A33" s="110" t="s">
        <v>628</v>
      </c>
      <c r="B33" s="603">
        <f>IFERROR(SUMIFS(Data_Kayttis!$BE:$BE,Data_Kayttis!$BB:$BB,Henkilöstö!$W33,Data_Kayttis!$AU:$AU,$X$9),"-")</f>
        <v>0</v>
      </c>
      <c r="C33" s="603">
        <f>IFERROR(SUMIFS(Data_Kayttis!$BE:$BE,Data_Kayttis!$BB:$BB,Henkilöstö!$W33,Data_Kayttis!$C:$C,$X$7,Data_Kayttis!$AU:$AU,$X$9),"-")</f>
        <v>0</v>
      </c>
      <c r="D33" s="551">
        <f>IFERROR(SUMIFS(Data_Kayttis!$AZ:$AZ,Data_Kayttis!$BB:$BB,Henkilöstö!$W33,Data_Kayttis!$AU:$AU,$X$9),"-")</f>
        <v>0</v>
      </c>
      <c r="E33" s="551">
        <f>IFERROR(SUMIFS(Data_Kayttis!$AZ:$AZ,Data_Kayttis!$BB:$BB,Henkilöstö!$W33,Data_Kayttis!$C:$C,$X$7,Data_Kayttis!$AU:$AU,$X$9),"-")</f>
        <v>0</v>
      </c>
      <c r="F33" s="552">
        <f>IFERROR(COUNTIFS(Data_Kayttis!$BB:$BB,Henkilöstö!$W33,Data_Kayttis!$AU:$AU,$X$9),"-")</f>
        <v>0</v>
      </c>
      <c r="G33" s="552">
        <f>IFERROR(COUNTIFS(Data_Kayttis!$BB:$BB,Henkilöstö!$W33,Data_Kayttis!$C:$C,$X$7,Data_Kayttis!$AU:$AU,$X$9),"-")</f>
        <v>0</v>
      </c>
      <c r="W33" s="102" t="s">
        <v>627</v>
      </c>
      <c r="AD33" t="s">
        <v>629</v>
      </c>
      <c r="AE33" s="566"/>
    </row>
    <row r="34" spans="1:31" x14ac:dyDescent="0.25">
      <c r="A34" s="110" t="s">
        <v>630</v>
      </c>
      <c r="B34" s="603">
        <f>IFERROR(SUMIFS(Data_Kayttis!$BE:$BE,Data_Kayttis!$BB:$BB,Henkilöstö!$W34,Data_Kayttis!$AU:$AU,$X$9),"-")</f>
        <v>0</v>
      </c>
      <c r="C34" s="603">
        <f>IFERROR(SUMIFS(Data_Kayttis!$BE:$BE,Data_Kayttis!$BB:$BB,Henkilöstö!$W34,Data_Kayttis!$C:$C,$X$7,Data_Kayttis!$AU:$AU,$X$9),"-")</f>
        <v>0</v>
      </c>
      <c r="D34" s="551">
        <f>IFERROR(SUMIFS(Data_Kayttis!$AZ:$AZ,Data_Kayttis!$BB:$BB,Henkilöstö!$W34,Data_Kayttis!$AU:$AU,$X$9),"-")</f>
        <v>0</v>
      </c>
      <c r="E34" s="551">
        <f>IFERROR(SUMIFS(Data_Kayttis!$AZ:$AZ,Data_Kayttis!$BB:$BB,Henkilöstö!$W34,Data_Kayttis!$C:$C,$X$7,Data_Kayttis!$AU:$AU,$X$9),"-")</f>
        <v>0</v>
      </c>
      <c r="F34" s="552">
        <f>IFERROR(COUNTIFS(Data_Kayttis!$BB:$BB,Henkilöstö!$W34,Data_Kayttis!$AU:$AU,$X$9),"-")</f>
        <v>0</v>
      </c>
      <c r="G34" s="552">
        <f>IFERROR(COUNTIFS(Data_Kayttis!$BB:$BB,Henkilöstö!$W34,Data_Kayttis!$C:$C,$X$7,Data_Kayttis!$AU:$AU,$X$9),"-")</f>
        <v>0</v>
      </c>
      <c r="W34" s="102" t="s">
        <v>629</v>
      </c>
      <c r="AD34" t="s">
        <v>631</v>
      </c>
      <c r="AE34" s="566"/>
    </row>
    <row r="35" spans="1:31" x14ac:dyDescent="0.25">
      <c r="A35" s="110" t="s">
        <v>239</v>
      </c>
      <c r="B35" s="603">
        <f>IFERROR(SUMIFS(Data_Kayttis!$BE:$BE,Data_Kayttis!$BB:$BB,Henkilöstö!$W35,Data_Kayttis!$AU:$AU,$X$9),"-")</f>
        <v>0</v>
      </c>
      <c r="C35" s="603">
        <f>IFERROR(SUMIFS(Data_Kayttis!$BE:$BE,Data_Kayttis!$BB:$BB,Henkilöstö!$W35,Data_Kayttis!$C:$C,$X$7,Data_Kayttis!$AU:$AU,$X$9),"-")</f>
        <v>0</v>
      </c>
      <c r="D35" s="551">
        <f>IFERROR(SUMIFS(Data_Kayttis!$AZ:$AZ,Data_Kayttis!$BB:$BB,Henkilöstö!$W35,Data_Kayttis!$AU:$AU,$X$9),"-")</f>
        <v>0</v>
      </c>
      <c r="E35" s="551">
        <f>IFERROR(SUMIFS(Data_Kayttis!$AZ:$AZ,Data_Kayttis!$BB:$BB,Henkilöstö!$W35,Data_Kayttis!$C:$C,$X$7,Data_Kayttis!$AU:$AU,$X$9),"-")</f>
        <v>0</v>
      </c>
      <c r="F35" s="552">
        <f>IFERROR(COUNTIFS(Data_Kayttis!$BB:$BB,Henkilöstö!$W35,Data_Kayttis!$AU:$AU,$X$9),"-")</f>
        <v>0</v>
      </c>
      <c r="G35" s="552">
        <f>IFERROR(COUNTIFS(Data_Kayttis!$BB:$BB,Henkilöstö!$W35,Data_Kayttis!$C:$C,$X$7,Data_Kayttis!$AU:$AU,$X$9),"-")</f>
        <v>0</v>
      </c>
      <c r="W35" s="102" t="s">
        <v>631</v>
      </c>
    </row>
    <row r="36" spans="1:31" x14ac:dyDescent="0.25">
      <c r="A36" s="113" t="s">
        <v>243</v>
      </c>
      <c r="B36" s="604">
        <f t="shared" ref="B36:G36" si="1">SUM(B27:B35)</f>
        <v>0</v>
      </c>
      <c r="C36" s="604">
        <f t="shared" si="1"/>
        <v>0</v>
      </c>
      <c r="D36" s="567">
        <f t="shared" si="1"/>
        <v>0</v>
      </c>
      <c r="E36" s="567">
        <f t="shared" si="1"/>
        <v>0</v>
      </c>
      <c r="F36" s="567">
        <f t="shared" si="1"/>
        <v>0</v>
      </c>
      <c r="G36" s="567">
        <f t="shared" si="1"/>
        <v>0</v>
      </c>
    </row>
    <row r="37" spans="1:31" x14ac:dyDescent="0.25">
      <c r="A37" s="575"/>
      <c r="B37" s="1"/>
      <c r="C37" s="1"/>
    </row>
    <row r="38" spans="1:31" x14ac:dyDescent="0.25">
      <c r="B38" s="1"/>
      <c r="C38" s="1"/>
    </row>
    <row r="39" spans="1:31" x14ac:dyDescent="0.25">
      <c r="A39" s="65" t="str">
        <f>"3. "&amp;X13&amp;X10</f>
        <v>3. Henkilöstön koulutustausta ja sukupuoli - 01.01.2026-31.12.2026</v>
      </c>
      <c r="B39" s="65"/>
      <c r="C39" s="65"/>
    </row>
    <row r="40" spans="1:31" x14ac:dyDescent="0.25">
      <c r="A40" s="967" t="s">
        <v>632</v>
      </c>
      <c r="B40" s="967"/>
      <c r="C40" s="967"/>
      <c r="D40" s="967"/>
      <c r="E40" s="967"/>
      <c r="F40" s="963" t="s">
        <v>584</v>
      </c>
      <c r="G40" s="963"/>
    </row>
    <row r="41" spans="1:31" s="569" customFormat="1" ht="32.25" customHeight="1" x14ac:dyDescent="0.25">
      <c r="A41" s="967"/>
      <c r="B41" s="967"/>
      <c r="C41" s="967"/>
      <c r="D41" s="967"/>
      <c r="E41" s="967"/>
      <c r="F41" s="588" t="s">
        <v>186</v>
      </c>
      <c r="G41" s="589" t="s">
        <v>70</v>
      </c>
      <c r="H41"/>
      <c r="I41"/>
      <c r="J41"/>
      <c r="K41"/>
      <c r="L41"/>
      <c r="W41" s="570" t="s">
        <v>633</v>
      </c>
      <c r="X41" s="570" t="s">
        <v>634</v>
      </c>
      <c r="Y41" s="571"/>
      <c r="Z41" s="571"/>
    </row>
    <row r="42" spans="1:31" x14ac:dyDescent="0.25">
      <c r="A42" s="959" t="s">
        <v>635</v>
      </c>
      <c r="B42" s="959"/>
      <c r="C42" s="959"/>
      <c r="D42" s="959"/>
      <c r="E42" s="959"/>
      <c r="F42" s="552">
        <f>COUNTIFS(Data_Kayttis!$BA:$BA,Henkilöstö!$X14,Data_Kayttis!$AU:$AU,$X$9)</f>
        <v>0</v>
      </c>
      <c r="G42" s="552">
        <f>COUNTIFS(Data_Kayttis!$BA:$BA,Henkilöstö!$X14,Data_Kayttis!$C:$C,$X$7,Data_Kayttis!$AU:$AU,$X$9)</f>
        <v>0</v>
      </c>
      <c r="X42" s="112" t="s">
        <v>636</v>
      </c>
    </row>
    <row r="43" spans="1:31" x14ac:dyDescent="0.25">
      <c r="A43" s="959" t="s">
        <v>637</v>
      </c>
      <c r="B43" s="959"/>
      <c r="C43" s="959"/>
      <c r="D43" s="959"/>
      <c r="E43" s="959"/>
      <c r="F43" s="552">
        <f>COUNTIFS(Data_Kayttis!$BA:$BA,Henkilöstö!$X15,Data_Kayttis!$AU:$AU,$X$9)</f>
        <v>0</v>
      </c>
      <c r="G43" s="552">
        <f>COUNTIFS(Data_Kayttis!$BA:$BA,Henkilöstö!$X15,Data_Kayttis!$C:$C,$X$7,Data_Kayttis!$AU:$AU,$X$9)</f>
        <v>0</v>
      </c>
      <c r="X43" s="116" t="s">
        <v>638</v>
      </c>
    </row>
    <row r="44" spans="1:31" x14ac:dyDescent="0.25">
      <c r="A44" s="959" t="s">
        <v>639</v>
      </c>
      <c r="B44" s="959"/>
      <c r="C44" s="959"/>
      <c r="D44" s="959"/>
      <c r="E44" s="959"/>
      <c r="F44" s="552">
        <f>COUNTIFS(Data_Kayttis!$BA:$BA,Henkilöstö!$X16,Data_Kayttis!$AU:$AU,$X$9)</f>
        <v>0</v>
      </c>
      <c r="G44" s="552">
        <f>COUNTIFS(Data_Kayttis!$BA:$BA,Henkilöstö!$X16,Data_Kayttis!$C:$C,$X$7,Data_Kayttis!$AU:$AU,$X$9)</f>
        <v>0</v>
      </c>
      <c r="X44" s="112" t="s">
        <v>640</v>
      </c>
    </row>
    <row r="45" spans="1:31" x14ac:dyDescent="0.25">
      <c r="A45" s="959" t="s">
        <v>641</v>
      </c>
      <c r="B45" s="959"/>
      <c r="C45" s="959"/>
      <c r="D45" s="959"/>
      <c r="E45" s="959"/>
      <c r="F45" s="552">
        <f>COUNTIFS(Data_Kayttis!$BA:$BA,Henkilöstö!$X17,Data_Kayttis!$AU:$AU,$X$9)</f>
        <v>0</v>
      </c>
      <c r="G45" s="552">
        <f>COUNTIFS(Data_Kayttis!$BA:$BA,Henkilöstö!$X17,Data_Kayttis!$C:$C,$X$7,Data_Kayttis!$AU:$AU,$X$9)</f>
        <v>0</v>
      </c>
      <c r="X45" s="112" t="s">
        <v>642</v>
      </c>
    </row>
    <row r="46" spans="1:31" x14ac:dyDescent="0.25">
      <c r="A46" s="959" t="s">
        <v>643</v>
      </c>
      <c r="B46" s="959"/>
      <c r="C46" s="959"/>
      <c r="D46" s="959"/>
      <c r="E46" s="959"/>
      <c r="F46" s="552">
        <f>COUNTIFS(Data_Kayttis!$BA:$BA,Henkilöstö!$X18,Data_Kayttis!$AU:$AU,$X$9)</f>
        <v>0</v>
      </c>
      <c r="G46" s="552">
        <f>COUNTIFS(Data_Kayttis!$BA:$BA,Henkilöstö!$X18,Data_Kayttis!$C:$C,$X$7,Data_Kayttis!$AU:$AU,$X$9)</f>
        <v>0</v>
      </c>
      <c r="X46" s="112" t="s">
        <v>644</v>
      </c>
    </row>
    <row r="47" spans="1:31" x14ac:dyDescent="0.25">
      <c r="A47" s="959" t="s">
        <v>645</v>
      </c>
      <c r="B47" s="959"/>
      <c r="C47" s="959"/>
      <c r="D47" s="959"/>
      <c r="E47" s="959"/>
      <c r="F47" s="552">
        <f>COUNTIFS(Data_Kayttis!$BA:$BA,Henkilöstö!$X19,Data_Kayttis!$AU:$AU,$X$9)</f>
        <v>0</v>
      </c>
      <c r="G47" s="552">
        <f>COUNTIFS(Data_Kayttis!$BA:$BA,Henkilöstö!$X19,Data_Kayttis!$C:$C,$X$7,Data_Kayttis!$AU:$AU,$X$9)</f>
        <v>0</v>
      </c>
      <c r="X47" s="112" t="s">
        <v>646</v>
      </c>
    </row>
    <row r="48" spans="1:31" x14ac:dyDescent="0.25">
      <c r="A48" s="959" t="s">
        <v>347</v>
      </c>
      <c r="B48" s="959"/>
      <c r="C48" s="959"/>
      <c r="D48" s="959"/>
      <c r="E48" s="959"/>
      <c r="F48" s="552">
        <f>COUNTIFS(Data_Kayttis!$BA:$BA,Henkilöstö!$X20,Data_Kayttis!$AU:$AU,$X$9)</f>
        <v>0</v>
      </c>
      <c r="G48" s="552">
        <f>COUNTIFS(Data_Kayttis!$BA:$BA,Henkilöstö!$X20,Data_Kayttis!$C:$C,$X$7,Data_Kayttis!$AU:$AU,$X$9)</f>
        <v>0</v>
      </c>
      <c r="X48" s="112" t="s">
        <v>647</v>
      </c>
    </row>
    <row r="49" spans="1:27" x14ac:dyDescent="0.25">
      <c r="A49" s="959" t="s">
        <v>239</v>
      </c>
      <c r="B49" s="959"/>
      <c r="C49" s="959"/>
      <c r="D49" s="959"/>
      <c r="E49" s="959"/>
      <c r="F49" s="552">
        <f>COUNTIFS(Data_Kayttis!$BA:$BA,Henkilöstö!$X21,Data_Kayttis!$AU:$AU,$X$9)</f>
        <v>0</v>
      </c>
      <c r="G49" s="552">
        <f>COUNTIFS(Data_Kayttis!$BA:$BA,Henkilöstö!$X21,Data_Kayttis!$C:$C,$X$7,Data_Kayttis!$AU:$AU,$X$9)</f>
        <v>0</v>
      </c>
      <c r="X49" s="112" t="s">
        <v>648</v>
      </c>
    </row>
    <row r="50" spans="1:27" x14ac:dyDescent="0.25">
      <c r="A50" s="964" t="s">
        <v>649</v>
      </c>
      <c r="B50" s="965"/>
      <c r="C50" s="965"/>
      <c r="D50" s="965"/>
      <c r="E50" s="965"/>
      <c r="F50" s="567">
        <f>SUM(F42:F49)</f>
        <v>0</v>
      </c>
      <c r="G50" s="567">
        <f>SUM(G42:G49)</f>
        <v>0</v>
      </c>
      <c r="X50" s="112" t="s">
        <v>650</v>
      </c>
    </row>
    <row r="51" spans="1:27" x14ac:dyDescent="0.25">
      <c r="X51" s="112" t="s">
        <v>651</v>
      </c>
    </row>
    <row r="52" spans="1:27" x14ac:dyDescent="0.25">
      <c r="X52" s="112" t="s">
        <v>652</v>
      </c>
    </row>
    <row r="54" spans="1:27" x14ac:dyDescent="0.25">
      <c r="A54" s="67" t="str">
        <f>"4. "&amp;X26&amp;X10 &amp;" (laskurissa pääasiallinen tehtävä)"</f>
        <v>4. Henkilöstön koulutustausta ja tehtävä - 01.01.2026-31.12.2026 (laskurissa pääasiallinen tehtävä)</v>
      </c>
      <c r="B54" s="57"/>
      <c r="C54" s="57"/>
      <c r="D54" s="57"/>
      <c r="E54" s="57"/>
      <c r="F54" s="57"/>
      <c r="G54" s="57"/>
      <c r="H54" s="57"/>
      <c r="I54" s="57"/>
    </row>
    <row r="55" spans="1:27" ht="15.75" customHeight="1" x14ac:dyDescent="0.25">
      <c r="A55" s="960" t="s">
        <v>653</v>
      </c>
      <c r="B55" s="966" t="s">
        <v>584</v>
      </c>
      <c r="C55" s="966"/>
      <c r="D55" s="966"/>
      <c r="E55" s="966"/>
      <c r="F55" s="966"/>
      <c r="G55" s="966"/>
      <c r="H55" s="966"/>
      <c r="I55" s="966"/>
      <c r="J55" s="966"/>
      <c r="W55" s="57" t="str">
        <f>W41&amp;X10</f>
        <v>Henkilöstön kielitaito - 01.01.2026-31.12.2026</v>
      </c>
      <c r="X55" s="57"/>
      <c r="Y55" s="57"/>
    </row>
    <row r="56" spans="1:27" ht="39.75" customHeight="1" x14ac:dyDescent="0.25">
      <c r="A56" s="961" t="s">
        <v>653</v>
      </c>
      <c r="B56" s="587" t="s">
        <v>243</v>
      </c>
      <c r="C56" s="587" t="s">
        <v>635</v>
      </c>
      <c r="D56" s="587" t="s">
        <v>654</v>
      </c>
      <c r="E56" s="587" t="s">
        <v>655</v>
      </c>
      <c r="F56" s="587" t="s">
        <v>641</v>
      </c>
      <c r="G56" s="587" t="s">
        <v>643</v>
      </c>
      <c r="H56" s="587" t="s">
        <v>645</v>
      </c>
      <c r="I56" s="587" t="s">
        <v>656</v>
      </c>
      <c r="J56" s="587" t="s">
        <v>239</v>
      </c>
      <c r="W56" s="114" t="s">
        <v>657</v>
      </c>
      <c r="X56" s="114" t="s">
        <v>186</v>
      </c>
      <c r="Y56" s="114" t="s">
        <v>658</v>
      </c>
      <c r="Z56" s="114" t="s">
        <v>70</v>
      </c>
      <c r="AA56" s="114" t="s">
        <v>658</v>
      </c>
    </row>
    <row r="57" spans="1:27" x14ac:dyDescent="0.25">
      <c r="A57" s="110" t="s">
        <v>659</v>
      </c>
      <c r="B57" s="110">
        <f>SUM(C57:J57)</f>
        <v>0</v>
      </c>
      <c r="C57" s="552">
        <f>COUNTIFS(Data_Kayttis!$BB:$BB,Henkilöstö!$X27,Data_Kayttis!$BA:$BA,Henkilöstö!$X$14,Data_Kayttis!$AU:$AU,$X$9)+COUNTIFS(Data_Kayttis!$BB:$BB,Henkilöstö!$W27,Data_Kayttis!$BA:$BA,Henkilöstö!$X$14,Data_Kayttis!$AU:$AU,$X$9)</f>
        <v>0</v>
      </c>
      <c r="D57" s="552">
        <f>COUNTIFS(Data_Kayttis!$BB:$BB,Henkilöstö!$X27,Data_Kayttis!$BA:$BA,Henkilöstö!$X$15,Data_Kayttis!$AU:$AU,$X$9)+COUNTIFS(Data_Kayttis!$BB:$BB,Henkilöstö!$W27,Data_Kayttis!$BA:$BA,Henkilöstö!$X$15,Data_Kayttis!$AU:$AU,$X$9)</f>
        <v>0</v>
      </c>
      <c r="E57" s="552">
        <f>COUNTIFS(Data_Kayttis!$BB:$BB,Henkilöstö!$X27,Data_Kayttis!$BA:$BA,Henkilöstö!$X$16,Data_Kayttis!$AU:$AU,$X$9)+COUNTIFS(Data_Kayttis!$BB:$BB,Henkilöstö!$W27,Data_Kayttis!$BA:$BA,Henkilöstö!$X$16,Data_Kayttis!$AU:$AU,$X$9)</f>
        <v>0</v>
      </c>
      <c r="F57" s="552">
        <f>COUNTIFS(Data_Kayttis!$BB:$BB,Henkilöstö!$X27,Data_Kayttis!$BA:$BA,Henkilöstö!$X$17,Data_Kayttis!$AU:$AU,$X$9)+COUNTIFS(Data_Kayttis!$BB:$BB,Henkilöstö!$W27,Data_Kayttis!$BA:$BA,Henkilöstö!$X$17,Data_Kayttis!$AU:$AU,$X$9)</f>
        <v>0</v>
      </c>
      <c r="G57" s="552">
        <f>COUNTIFS(Data_Kayttis!$BB:$BB,Henkilöstö!$X27,Data_Kayttis!$BA:$BA,Henkilöstö!$X$18,Data_Kayttis!$AU:$AU,$X$9)+COUNTIFS(Data_Kayttis!$BB:$BB,Henkilöstö!$W27,Data_Kayttis!$BA:$BA,Henkilöstö!$X$18,Data_Kayttis!$AU:$AU,$X$9)</f>
        <v>0</v>
      </c>
      <c r="H57" s="552">
        <f>COUNTIFS(Data_Kayttis!$BB:$BB,Henkilöstö!$X27,Data_Kayttis!$BA:$BA,Henkilöstö!$X$19,Data_Kayttis!$AU:$AU,$X$9)+COUNTIFS(Data_Kayttis!$BB:$BB,Henkilöstö!$W27,Data_Kayttis!$BA:$BA,Henkilöstö!$X$19,Data_Kayttis!$AU:$AU,$X$9)</f>
        <v>0</v>
      </c>
      <c r="I57" s="552">
        <f>COUNTIFS(Data_Kayttis!$BB:$BB,Henkilöstö!$X27,Data_Kayttis!$BA:$BA,Henkilöstö!$X$20,Data_Kayttis!$AU:$AU,$X$9)+COUNTIFS(Data_Kayttis!$BB:$BB,Henkilöstö!$W27,Data_Kayttis!$BA:$BA,Henkilöstö!$X$20,Data_Kayttis!$AU:$AU,$X$9)</f>
        <v>0</v>
      </c>
      <c r="J57" s="552">
        <f>COUNTIFS(Data_Kayttis!$BB:$BB,Henkilöstö!$X27,Data_Kayttis!$BA:$BA,Henkilöstö!$X$21,Data_Kayttis!$AU:$AU,$X$9)+COUNTIFS(Data_Kayttis!$BB:$BB,Henkilöstö!$W27,Data_Kayttis!$BA:$BA,Henkilöstö!$X$21,Data_Kayttis!$AU:$AU,$X$9)</f>
        <v>0</v>
      </c>
      <c r="W57" s="110" t="s">
        <v>198</v>
      </c>
      <c r="X57" s="110">
        <f>SUMIFS(Data_Kayttis!$AT:$AT,Data_Kayttis!I:I,TRUE,Data_Kayttis!$AU:$AU,$X$9)</f>
        <v>0</v>
      </c>
      <c r="Y57" s="376" t="str">
        <f t="shared" ref="Y57:Y66" si="2">IFERROR(X57/$F$36,"-")</f>
        <v>-</v>
      </c>
      <c r="Z57" s="110">
        <f>SUMIFS(Data_Kayttis!$AT:$AT,Data_Kayttis!I:I,TRUE,Data_Kayttis!$C:$C,$X$7,Data_Kayttis!$AU:$AU,$X$9)</f>
        <v>0</v>
      </c>
      <c r="AA57" s="115" t="str">
        <f t="shared" ref="AA57:AA66" si="3">IFERROR(Z57/$G$36,"-")</f>
        <v>-</v>
      </c>
    </row>
    <row r="58" spans="1:27" x14ac:dyDescent="0.25">
      <c r="A58" s="110" t="s">
        <v>660</v>
      </c>
      <c r="B58" s="110">
        <f t="shared" ref="B58:B66" si="4">SUM(C58:J58)</f>
        <v>0</v>
      </c>
      <c r="C58" s="552">
        <f>COUNTIFS(Data_Kayttis!$BB:$BB,Henkilöstö!$W28,Data_Kayttis!$BA:$BA,Henkilöstö!$X$14,Data_Kayttis!$AU:$AU,$X$9)</f>
        <v>0</v>
      </c>
      <c r="D58" s="552">
        <f>COUNTIFS(Data_Kayttis!$BB:$BB,Henkilöstö!$W28,Data_Kayttis!$BA:$BA,Henkilöstö!$X$15,Data_Kayttis!$AU:$AU,$X$9)</f>
        <v>0</v>
      </c>
      <c r="E58" s="552">
        <f>COUNTIFS(Data_Kayttis!$BB:$BB,Henkilöstö!$W28,Data_Kayttis!$BA:$BA,Henkilöstö!$X$16,Data_Kayttis!$AU:$AU,$X$9)</f>
        <v>0</v>
      </c>
      <c r="F58" s="552">
        <f>COUNTIFS(Data_Kayttis!$BB:$BB,Henkilöstö!$W28,Data_Kayttis!$BA:$BA,Henkilöstö!$X$17,Data_Kayttis!$AU:$AU,$X$9)</f>
        <v>0</v>
      </c>
      <c r="G58" s="552">
        <f>COUNTIFS(Data_Kayttis!$BB:$BB,Henkilöstö!$W28,Data_Kayttis!$BA:$BA,Henkilöstö!$X$18,Data_Kayttis!$AU:$AU,$X$9)</f>
        <v>0</v>
      </c>
      <c r="H58" s="552">
        <f>COUNTIFS(Data_Kayttis!$BB:$BB,Henkilöstö!$W28,Data_Kayttis!$BA:$BA,Henkilöstö!$X$19,Data_Kayttis!$AU:$AU,$X$9)</f>
        <v>0</v>
      </c>
      <c r="I58" s="552">
        <f>COUNTIFS(Data_Kayttis!$BB:$BB,Henkilöstö!$W28,Data_Kayttis!$BA:$BA,Henkilöstö!$X$20,Data_Kayttis!$AU:$AU,$X$9)</f>
        <v>0</v>
      </c>
      <c r="J58" s="552">
        <f>COUNTIFS(Data_Kayttis!$BB:$BB,Henkilöstö!$W28,Data_Kayttis!$BA:$BA,Henkilöstö!$X$21,Data_Kayttis!$AU:$AU,$X$9)</f>
        <v>0</v>
      </c>
      <c r="W58" s="110" t="s">
        <v>201</v>
      </c>
      <c r="X58" s="110">
        <f>SUMIFS(Data_Kayttis!$AT:$AT,Data_Kayttis!J:J,TRUE,Data_Kayttis!$AU:$AU,$X$9)</f>
        <v>0</v>
      </c>
      <c r="Y58" s="376" t="str">
        <f t="shared" si="2"/>
        <v>-</v>
      </c>
      <c r="Z58" s="110">
        <f>SUMIFS(Data_Kayttis!$AT:$AT,Data_Kayttis!J:J,TRUE,Data_Kayttis!$C:$C,$X$7,Data_Kayttis!$AU:$AU,$X$9)</f>
        <v>0</v>
      </c>
      <c r="AA58" s="115" t="str">
        <f t="shared" si="3"/>
        <v>-</v>
      </c>
    </row>
    <row r="59" spans="1:27" x14ac:dyDescent="0.25">
      <c r="A59" s="110" t="s">
        <v>661</v>
      </c>
      <c r="B59" s="110">
        <f>SUM(C59:J59)</f>
        <v>0</v>
      </c>
      <c r="C59" s="552">
        <f>COUNTIFS(Data_Kayttis!$BB:$BB,Henkilöstö!$W29,Data_Kayttis!$BA:$BA,Henkilöstö!$X$14,Data_Kayttis!$AU:$AU,$X$9)</f>
        <v>0</v>
      </c>
      <c r="D59" s="552">
        <f>COUNTIFS(Data_Kayttis!$BB:$BB,Henkilöstö!$W29,Data_Kayttis!$BA:$BA,Henkilöstö!$X$15,Data_Kayttis!$AU:$AU,$X$9)</f>
        <v>0</v>
      </c>
      <c r="E59" s="552">
        <f>COUNTIFS(Data_Kayttis!$BB:$BB,Henkilöstö!$W29,Data_Kayttis!$BA:$BA,Henkilöstö!$X$16,Data_Kayttis!$AU:$AU,$X$9)</f>
        <v>0</v>
      </c>
      <c r="F59" s="552">
        <f>COUNTIFS(Data_Kayttis!$BB:$BB,Henkilöstö!$W29,Data_Kayttis!$BA:$BA,Henkilöstö!$X$17,Data_Kayttis!$AU:$AU,$X$9)</f>
        <v>0</v>
      </c>
      <c r="G59" s="552">
        <f>COUNTIFS(Data_Kayttis!$BB:$BB,Henkilöstö!$W29,Data_Kayttis!$BA:$BA,Henkilöstö!$X$18,Data_Kayttis!$AU:$AU,$X$9)</f>
        <v>0</v>
      </c>
      <c r="H59" s="552">
        <f>COUNTIFS(Data_Kayttis!$BB:$BB,Henkilöstö!$W29,Data_Kayttis!$BA:$BA,Henkilöstö!$X$19,Data_Kayttis!$AU:$AU,$X$9)</f>
        <v>0</v>
      </c>
      <c r="I59" s="552">
        <f>COUNTIFS(Data_Kayttis!$BB:$BB,Henkilöstö!$W29,Data_Kayttis!$BA:$BA,Henkilöstö!$X$20,Data_Kayttis!$AU:$AU,$X$9)</f>
        <v>0</v>
      </c>
      <c r="J59" s="552">
        <f>COUNTIFS(Data_Kayttis!$BB:$BB,Henkilöstö!$W29,Data_Kayttis!$BA:$BA,Henkilöstö!$X$21,Data_Kayttis!$AU:$AU,$X$9)</f>
        <v>0</v>
      </c>
      <c r="W59" s="110" t="s">
        <v>203</v>
      </c>
      <c r="X59" s="110">
        <f>SUMIFS(Data_Kayttis!$AT:$AT,Data_Kayttis!Q:Q,TRUE,Data_Kayttis!$AU:$AU,$X$9)</f>
        <v>0</v>
      </c>
      <c r="Y59" s="376" t="str">
        <f t="shared" si="2"/>
        <v>-</v>
      </c>
      <c r="Z59" s="110">
        <f>SUMIFS(Data_Kayttis!$AT:$AT,Data_Kayttis!Q:Q,TRUE,Data_Kayttis!$C:$C,$X$7,Data_Kayttis!$AU:$AU,$X$9)</f>
        <v>0</v>
      </c>
      <c r="AA59" s="115" t="str">
        <f t="shared" si="3"/>
        <v>-</v>
      </c>
    </row>
    <row r="60" spans="1:27" x14ac:dyDescent="0.25">
      <c r="A60" s="110" t="s">
        <v>256</v>
      </c>
      <c r="B60" s="110">
        <f t="shared" si="4"/>
        <v>0</v>
      </c>
      <c r="C60" s="552">
        <f>COUNTIFS(Data_Kayttis!$BB:$BB,Henkilöstö!$W30,Data_Kayttis!$BA:$BA,Henkilöstö!$X$14,Data_Kayttis!$AU:$AU,$X$9)</f>
        <v>0</v>
      </c>
      <c r="D60" s="552">
        <f>COUNTIFS(Data_Kayttis!$BB:$BB,Henkilöstö!$W30,Data_Kayttis!$BA:$BA,Henkilöstö!$X$15,Data_Kayttis!$AU:$AU,$X$9)</f>
        <v>0</v>
      </c>
      <c r="E60" s="552">
        <f>COUNTIFS(Data_Kayttis!$BB:$BB,Henkilöstö!$W30,Data_Kayttis!$BA:$BA,Henkilöstö!$X$16,Data_Kayttis!$AU:$AU,$X$9)</f>
        <v>0</v>
      </c>
      <c r="F60" s="552">
        <f>COUNTIFS(Data_Kayttis!$BB:$BB,Henkilöstö!$W30,Data_Kayttis!$BA:$BA,Henkilöstö!$X$17,Data_Kayttis!$AU:$AU,$X$9)</f>
        <v>0</v>
      </c>
      <c r="G60" s="552">
        <f>COUNTIFS(Data_Kayttis!$BB:$BB,Henkilöstö!$W30,Data_Kayttis!$BA:$BA,Henkilöstö!$X$18,Data_Kayttis!$AU:$AU,$X$9)</f>
        <v>0</v>
      </c>
      <c r="H60" s="552">
        <f>COUNTIFS(Data_Kayttis!$BB:$BB,Henkilöstö!$W30,Data_Kayttis!$BA:$BA,Henkilöstö!$X$19,Data_Kayttis!$AU:$AU,$X$9)</f>
        <v>0</v>
      </c>
      <c r="I60" s="552">
        <f>COUNTIFS(Data_Kayttis!$BB:$BB,Henkilöstö!$W30,Data_Kayttis!$BA:$BA,Henkilöstö!$X$20,Data_Kayttis!$AU:$AU,$X$9)</f>
        <v>0</v>
      </c>
      <c r="J60" s="552">
        <f>COUNTIFS(Data_Kayttis!$BB:$BB,Henkilöstö!$W30,Data_Kayttis!$BA:$BA,Henkilöstö!$X$21,Data_Kayttis!$AU:$AU,$X$9)</f>
        <v>0</v>
      </c>
      <c r="W60" s="110" t="s">
        <v>218</v>
      </c>
      <c r="X60" s="110">
        <f>SUMIFS(Data_Kayttis!$AT:$AT,Data_Kayttis!K:K,TRUE,Data_Kayttis!$AU:$AU,$X$9)</f>
        <v>0</v>
      </c>
      <c r="Y60" s="376" t="str">
        <f t="shared" si="2"/>
        <v>-</v>
      </c>
      <c r="Z60" s="110">
        <f>SUMIFS(Data_Kayttis!$AT:$AT,Data_Kayttis!K:K,TRUE,Data_Kayttis!$C:$C,$X$7,Data_Kayttis!$AU:$AU,$X$9)</f>
        <v>0</v>
      </c>
      <c r="AA60" s="115" t="str">
        <f t="shared" si="3"/>
        <v>-</v>
      </c>
    </row>
    <row r="61" spans="1:27" x14ac:dyDescent="0.25">
      <c r="A61" s="110" t="s">
        <v>662</v>
      </c>
      <c r="B61" s="110">
        <f t="shared" si="4"/>
        <v>0</v>
      </c>
      <c r="C61" s="552">
        <f>COUNTIFS(Data_Kayttis!$BB:$BB,Henkilöstö!$W31,Data_Kayttis!$BA:$BA,Henkilöstö!$X$14,Data_Kayttis!$AU:$AU,$X$9)</f>
        <v>0</v>
      </c>
      <c r="D61" s="552">
        <f>COUNTIFS(Data_Kayttis!$BB:$BB,Henkilöstö!$W31,Data_Kayttis!$BA:$BA,Henkilöstö!$X$15,Data_Kayttis!$AU:$AU,$X$9)</f>
        <v>0</v>
      </c>
      <c r="E61" s="552">
        <f>COUNTIFS(Data_Kayttis!$BB:$BB,Henkilöstö!$W31,Data_Kayttis!$BA:$BA,Henkilöstö!$X$16,Data_Kayttis!$AU:$AU,$X$9)</f>
        <v>0</v>
      </c>
      <c r="F61" s="552">
        <f>COUNTIFS(Data_Kayttis!$BB:$BB,Henkilöstö!$W31,Data_Kayttis!$BA:$BA,Henkilöstö!$X$17,Data_Kayttis!$AU:$AU,$X$9)</f>
        <v>0</v>
      </c>
      <c r="G61" s="552">
        <f>COUNTIFS(Data_Kayttis!$BB:$BB,Henkilöstö!$W31,Data_Kayttis!$BA:$BA,Henkilöstö!$X$18,Data_Kayttis!$AU:$AU,$X$9)</f>
        <v>0</v>
      </c>
      <c r="H61" s="552">
        <f>COUNTIFS(Data_Kayttis!$BB:$BB,Henkilöstö!$W31,Data_Kayttis!$BA:$BA,Henkilöstö!$X$19,Data_Kayttis!$AU:$AU,$X$9)</f>
        <v>0</v>
      </c>
      <c r="I61" s="552">
        <f>COUNTIFS(Data_Kayttis!$BB:$BB,Henkilöstö!$W31,Data_Kayttis!$BA:$BA,Henkilöstö!$X$20,Data_Kayttis!$AU:$AU,$X$9)</f>
        <v>0</v>
      </c>
      <c r="J61" s="552">
        <f>COUNTIFS(Data_Kayttis!$BB:$BB,Henkilöstö!$W31,Data_Kayttis!$BA:$BA,Henkilöstö!$X$21,Data_Kayttis!$AU:$AU,$X$9)</f>
        <v>0</v>
      </c>
      <c r="W61" s="110" t="s">
        <v>223</v>
      </c>
      <c r="X61" s="110">
        <f>SUMIFS(Data_Kayttis!$AT:$AT,Data_Kayttis!L:L,TRUE,Data_Kayttis!$AU:$AU,$X$9)</f>
        <v>0</v>
      </c>
      <c r="Y61" s="376" t="str">
        <f t="shared" si="2"/>
        <v>-</v>
      </c>
      <c r="Z61" s="110">
        <f>SUMIFS(Data_Kayttis!$AT:$AT,Data_Kayttis!L:L,TRUE,Data_Kayttis!$C:$C,$X$7,Data_Kayttis!$AU:$AU,$X$9)</f>
        <v>0</v>
      </c>
      <c r="AA61" s="115" t="str">
        <f t="shared" si="3"/>
        <v>-</v>
      </c>
    </row>
    <row r="62" spans="1:27" x14ac:dyDescent="0.25">
      <c r="A62" s="110" t="s">
        <v>663</v>
      </c>
      <c r="B62" s="110">
        <f t="shared" si="4"/>
        <v>0</v>
      </c>
      <c r="C62" s="552">
        <f>COUNTIFS(Data_Kayttis!$BB:$BB,Henkilöstö!$W32,Data_Kayttis!$BA:$BA,Henkilöstö!$X$14,Data_Kayttis!$AU:$AU,$X$9)</f>
        <v>0</v>
      </c>
      <c r="D62" s="552">
        <f>COUNTIFS(Data_Kayttis!$BB:$BB,Henkilöstö!$W32,Data_Kayttis!$BA:$BA,Henkilöstö!$X$15,Data_Kayttis!$AU:$AU,$X$9)</f>
        <v>0</v>
      </c>
      <c r="E62" s="552">
        <f>COUNTIFS(Data_Kayttis!$BB:$BB,Henkilöstö!$W32,Data_Kayttis!$BA:$BA,Henkilöstö!$X$16,Data_Kayttis!$AU:$AU,$X$9)</f>
        <v>0</v>
      </c>
      <c r="F62" s="552">
        <f>COUNTIFS(Data_Kayttis!$BB:$BB,Henkilöstö!$W32,Data_Kayttis!$BA:$BA,Henkilöstö!$X$17,Data_Kayttis!$AU:$AU,$X$9)</f>
        <v>0</v>
      </c>
      <c r="G62" s="552">
        <f>COUNTIFS(Data_Kayttis!$BB:$BB,Henkilöstö!$W32,Data_Kayttis!$BA:$BA,Henkilöstö!$X$18,Data_Kayttis!$AU:$AU,$X$9)</f>
        <v>0</v>
      </c>
      <c r="H62" s="552">
        <f>COUNTIFS(Data_Kayttis!$BB:$BB,Henkilöstö!$W32,Data_Kayttis!$BA:$BA,Henkilöstö!$X$19,Data_Kayttis!$AU:$AU,$X$9)</f>
        <v>0</v>
      </c>
      <c r="I62" s="552">
        <f>COUNTIFS(Data_Kayttis!$BB:$BB,Henkilöstö!$W32,Data_Kayttis!$BA:$BA,Henkilöstö!$X$20,Data_Kayttis!$AU:$AU,$X$9)</f>
        <v>0</v>
      </c>
      <c r="J62" s="552">
        <f>COUNTIFS(Data_Kayttis!$BB:$BB,Henkilöstö!$W32,Data_Kayttis!$BA:$BA,Henkilöstö!$X$21,Data_Kayttis!$AU:$AU,$X$9)</f>
        <v>0</v>
      </c>
      <c r="W62" s="110" t="s">
        <v>222</v>
      </c>
      <c r="X62" s="110">
        <f>SUMIFS(Data_Kayttis!$AT:$AT,Data_Kayttis!M:M,TRUE,Data_Kayttis!$AU:$AU,$X$9)</f>
        <v>0</v>
      </c>
      <c r="Y62" s="376" t="str">
        <f t="shared" si="2"/>
        <v>-</v>
      </c>
      <c r="Z62" s="110">
        <f>SUMIFS(Data_Kayttis!$AT:$AT,Data_Kayttis!M:M,TRUE,Data_Kayttis!$C:$C,$X$7,Data_Kayttis!$AU:$AU,$X$9)</f>
        <v>0</v>
      </c>
      <c r="AA62" s="115" t="str">
        <f t="shared" si="3"/>
        <v>-</v>
      </c>
    </row>
    <row r="63" spans="1:27" x14ac:dyDescent="0.25">
      <c r="A63" s="110" t="s">
        <v>664</v>
      </c>
      <c r="B63" s="110">
        <f>SUM(C63:J63)</f>
        <v>0</v>
      </c>
      <c r="C63" s="552">
        <f>COUNTIFS(Data_Kayttis!$BB:$BB,Henkilöstö!$W33,Data_Kayttis!$BA:$BA,Henkilöstö!$X$14,Data_Kayttis!$AU:$AU,$X$9)</f>
        <v>0</v>
      </c>
      <c r="D63" s="552">
        <f>COUNTIFS(Data_Kayttis!$BB:$BB,Henkilöstö!$W33,Data_Kayttis!$BA:$BA,Henkilöstö!$X$15,Data_Kayttis!$AU:$AU,$X$9)</f>
        <v>0</v>
      </c>
      <c r="E63" s="552">
        <f>COUNTIFS(Data_Kayttis!$BB:$BB,Henkilöstö!$W33,Data_Kayttis!$BA:$BA,Henkilöstö!$X$16,Data_Kayttis!$AU:$AU,$X$9)</f>
        <v>0</v>
      </c>
      <c r="F63" s="552">
        <f>COUNTIFS(Data_Kayttis!$BB:$BB,Henkilöstö!$W33,Data_Kayttis!$BA:$BA,Henkilöstö!$X$17,Data_Kayttis!$AU:$AU,$X$9)</f>
        <v>0</v>
      </c>
      <c r="G63" s="552">
        <f>COUNTIFS(Data_Kayttis!$BB:$BB,Henkilöstö!$W33,Data_Kayttis!$BA:$BA,Henkilöstö!$X$18,Data_Kayttis!$AU:$AU,$X$9)</f>
        <v>0</v>
      </c>
      <c r="H63" s="552">
        <f>COUNTIFS(Data_Kayttis!$BB:$BB,Henkilöstö!$W33,Data_Kayttis!$BA:$BA,Henkilöstö!$X$19,Data_Kayttis!$AU:$AU,$X$9)</f>
        <v>0</v>
      </c>
      <c r="I63" s="552">
        <f>COUNTIFS(Data_Kayttis!$BB:$BB,Henkilöstö!$W33,Data_Kayttis!$BA:$BA,Henkilöstö!$X$20,Data_Kayttis!$AU:$AU,$X$9)</f>
        <v>0</v>
      </c>
      <c r="J63" s="552">
        <f>COUNTIFS(Data_Kayttis!$BB:$BB,Henkilöstö!$W33,Data_Kayttis!$BA:$BA,Henkilöstö!$X$21,Data_Kayttis!$AU:$AU,$X$9)</f>
        <v>0</v>
      </c>
      <c r="W63" s="110" t="s">
        <v>216</v>
      </c>
      <c r="X63" s="110">
        <f>SUMIFS(Data_Kayttis!$AT:$AT,Data_Kayttis!N:N,TRUE,Data_Kayttis!$AU:$AU,$X$9)</f>
        <v>0</v>
      </c>
      <c r="Y63" s="376" t="str">
        <f t="shared" si="2"/>
        <v>-</v>
      </c>
      <c r="Z63" s="110">
        <f>SUMIFS(Data_Kayttis!$AT:$AT,Data_Kayttis!N:N,TRUE,Data_Kayttis!$C:$C,$X$7,Data_Kayttis!$AU:$AU,$X$9)</f>
        <v>0</v>
      </c>
      <c r="AA63" s="115" t="str">
        <f t="shared" si="3"/>
        <v>-</v>
      </c>
    </row>
    <row r="64" spans="1:27" x14ac:dyDescent="0.25">
      <c r="A64" s="110" t="s">
        <v>347</v>
      </c>
      <c r="B64" s="110">
        <f t="shared" si="4"/>
        <v>0</v>
      </c>
      <c r="C64" s="552">
        <f>COUNTIFS(Data_Kayttis!$BB:$BB,Henkilöstö!$W34,Data_Kayttis!$BA:$BA,Henkilöstö!$X$14,Data_Kayttis!$AU:$AU,$X$9)</f>
        <v>0</v>
      </c>
      <c r="D64" s="552">
        <f>COUNTIFS(Data_Kayttis!$BB:$BB,Henkilöstö!$W34,Data_Kayttis!$BA:$BA,Henkilöstö!$X$15,Data_Kayttis!$AU:$AU,$X$9)</f>
        <v>0</v>
      </c>
      <c r="E64" s="552">
        <f>COUNTIFS(Data_Kayttis!$BB:$BB,Henkilöstö!$W34,Data_Kayttis!$BA:$BA,Henkilöstö!$X$16,Data_Kayttis!$AU:$AU,$X$9)</f>
        <v>0</v>
      </c>
      <c r="F64" s="552">
        <f>COUNTIFS(Data_Kayttis!$BB:$BB,Henkilöstö!$W34,Data_Kayttis!$BA:$BA,Henkilöstö!$X$17,Data_Kayttis!$AU:$AU,$X$9)</f>
        <v>0</v>
      </c>
      <c r="G64" s="552">
        <f>COUNTIFS(Data_Kayttis!$BB:$BB,Henkilöstö!$W34,Data_Kayttis!$BA:$BA,Henkilöstö!$X$18,Data_Kayttis!$AU:$AU,$X$9)</f>
        <v>0</v>
      </c>
      <c r="H64" s="552">
        <f>COUNTIFS(Data_Kayttis!$BB:$BB,Henkilöstö!$W34,Data_Kayttis!$BA:$BA,Henkilöstö!$X$19,Data_Kayttis!$AU:$AU,$X$9)</f>
        <v>0</v>
      </c>
      <c r="I64" s="552">
        <f>COUNTIFS(Data_Kayttis!$BB:$BB,Henkilöstö!$W34,Data_Kayttis!$BA:$BA,Henkilöstö!$X$20,Data_Kayttis!$AU:$AU,$X$9)</f>
        <v>0</v>
      </c>
      <c r="J64" s="552">
        <f>COUNTIFS(Data_Kayttis!$BB:$BB,Henkilöstö!$W34,Data_Kayttis!$BA:$BA,Henkilöstö!$X$21,Data_Kayttis!$AU:$AU,$X$9)</f>
        <v>0</v>
      </c>
      <c r="W64" s="110" t="s">
        <v>234</v>
      </c>
      <c r="X64" s="110">
        <f>SUMIFS(Data_Kayttis!$AT:$AT,Data_Kayttis!O:O,TRUE,Data_Kayttis!$AU:$AU,$X$9)</f>
        <v>0</v>
      </c>
      <c r="Y64" s="376" t="str">
        <f t="shared" si="2"/>
        <v>-</v>
      </c>
      <c r="Z64" s="110">
        <f>SUMIFS(Data_Kayttis!$AT:$AT,Data_Kayttis!O:O,TRUE,Data_Kayttis!$C:$C,$X$7,Data_Kayttis!$AU:$AU,$X$9)</f>
        <v>0</v>
      </c>
      <c r="AA64" s="115" t="str">
        <f t="shared" si="3"/>
        <v>-</v>
      </c>
    </row>
    <row r="65" spans="1:27" x14ac:dyDescent="0.25">
      <c r="A65" s="110" t="s">
        <v>239</v>
      </c>
      <c r="B65" s="110">
        <f t="shared" si="4"/>
        <v>0</v>
      </c>
      <c r="C65" s="552">
        <f>COUNTIFS(Data_Kayttis!$BB:$BB,Henkilöstö!$W35,Data_Kayttis!$BA:$BA,Henkilöstö!$X$14,Data_Kayttis!$AU:$AU,$X$9)</f>
        <v>0</v>
      </c>
      <c r="D65" s="552">
        <f>COUNTIFS(Data_Kayttis!$BB:$BB,Henkilöstö!$W35,Data_Kayttis!$BA:$BA,Henkilöstö!$X$15,Data_Kayttis!$AU:$AU,$X$9)</f>
        <v>0</v>
      </c>
      <c r="E65" s="552">
        <f>COUNTIFS(Data_Kayttis!$BB:$BB,Henkilöstö!$W35,Data_Kayttis!$BA:$BA,Henkilöstö!$X$16,Data_Kayttis!$AU:$AU,$X$9)</f>
        <v>0</v>
      </c>
      <c r="F65" s="552">
        <f>COUNTIFS(Data_Kayttis!$BB:$BB,Henkilöstö!$W35,Data_Kayttis!$BA:$BA,Henkilöstö!$X$17,Data_Kayttis!$AU:$AU,$X$9)</f>
        <v>0</v>
      </c>
      <c r="G65" s="552">
        <f>COUNTIFS(Data_Kayttis!$BB:$BB,Henkilöstö!$W35,Data_Kayttis!$BA:$BA,Henkilöstö!$X$18,Data_Kayttis!$AU:$AU,$X$9)</f>
        <v>0</v>
      </c>
      <c r="H65" s="552">
        <f>COUNTIFS(Data_Kayttis!$BB:$BB,Henkilöstö!$W35,Data_Kayttis!$BA:$BA,Henkilöstö!$X$19,Data_Kayttis!$AU:$AU,$X$9)</f>
        <v>0</v>
      </c>
      <c r="I65" s="552">
        <f>COUNTIFS(Data_Kayttis!$BB:$BB,Henkilöstö!$W35,Data_Kayttis!$BA:$BA,Henkilöstö!$X$20,Data_Kayttis!$AU:$AU,$X$9)</f>
        <v>0</v>
      </c>
      <c r="J65" s="552">
        <f>COUNTIFS(Data_Kayttis!$BB:$BB,Henkilöstö!$W35,Data_Kayttis!$BA:$BA,Henkilöstö!$X$21,Data_Kayttis!$AU:$AU,$X$9)</f>
        <v>0</v>
      </c>
      <c r="W65" s="110" t="s">
        <v>225</v>
      </c>
      <c r="X65" s="110">
        <f>SUMIFS(Data_Kayttis!$AT:$AT,Data_Kayttis!P:P,TRUE,Data_Kayttis!$AU:$AU,$X$9)</f>
        <v>0</v>
      </c>
      <c r="Y65" s="376" t="str">
        <f t="shared" si="2"/>
        <v>-</v>
      </c>
      <c r="Z65" s="110">
        <f>SUMIFS(Data_Kayttis!$AT:$AT,Data_Kayttis!P:P,TRUE,Data_Kayttis!$C:$C,$X$7,Data_Kayttis!$AU:$AU,$X$9)</f>
        <v>0</v>
      </c>
      <c r="AA65" s="115" t="str">
        <f t="shared" si="3"/>
        <v>-</v>
      </c>
    </row>
    <row r="66" spans="1:27" x14ac:dyDescent="0.25">
      <c r="A66" s="113" t="s">
        <v>649</v>
      </c>
      <c r="B66" s="567">
        <f t="shared" si="4"/>
        <v>0</v>
      </c>
      <c r="C66" s="567">
        <f t="shared" ref="C66:J66" si="5">SUM(C57:C65)</f>
        <v>0</v>
      </c>
      <c r="D66" s="567">
        <f t="shared" si="5"/>
        <v>0</v>
      </c>
      <c r="E66" s="567">
        <f t="shared" si="5"/>
        <v>0</v>
      </c>
      <c r="F66" s="567">
        <f t="shared" si="5"/>
        <v>0</v>
      </c>
      <c r="G66" s="567">
        <f t="shared" si="5"/>
        <v>0</v>
      </c>
      <c r="H66" s="567">
        <f t="shared" si="5"/>
        <v>0</v>
      </c>
      <c r="I66" s="567">
        <f t="shared" si="5"/>
        <v>0</v>
      </c>
      <c r="J66" s="567">
        <f t="shared" si="5"/>
        <v>0</v>
      </c>
      <c r="W66" s="110" t="s">
        <v>347</v>
      </c>
      <c r="X66" s="110">
        <f>SUMIFS(Data_Kayttis!$AT:$AT,Data_Kayttis!R:R,TRUE,Data_Kayttis!$AU:$AU,$X$9)</f>
        <v>0</v>
      </c>
      <c r="Y66" s="376" t="str">
        <f t="shared" si="2"/>
        <v>-</v>
      </c>
      <c r="Z66" s="110">
        <f>SUMIFS(Data_Kayttis!$AT:$AT,Data_Kayttis!R:R,TRUE,Data_Kayttis!$C:$C,$X$7,Data_Kayttis!$AU:$AU,$X$9)</f>
        <v>0</v>
      </c>
      <c r="AA66" s="115" t="str">
        <f t="shared" si="3"/>
        <v>-</v>
      </c>
    </row>
    <row r="67" spans="1:27" x14ac:dyDescent="0.25">
      <c r="A67" s="575"/>
      <c r="B67" s="1"/>
      <c r="C67" s="3"/>
      <c r="D67" s="3"/>
      <c r="E67" s="3"/>
      <c r="F67" s="3"/>
      <c r="G67" s="3"/>
      <c r="H67" s="3"/>
      <c r="I67" s="3"/>
      <c r="W67" s="117"/>
      <c r="X67" s="117"/>
      <c r="Y67" s="117"/>
      <c r="Z67" s="117"/>
      <c r="AA67" s="117"/>
    </row>
    <row r="69" spans="1:27" ht="105" x14ac:dyDescent="0.25">
      <c r="W69" s="57" t="str">
        <f>X41&amp;X10</f>
        <v>Etsivien ammattinimike - 01.01.2026-31.12.2026</v>
      </c>
      <c r="X69" s="57"/>
      <c r="Y69" s="57"/>
    </row>
    <row r="70" spans="1:27" ht="25.5" x14ac:dyDescent="0.25">
      <c r="A70" s="388" t="s">
        <v>568</v>
      </c>
      <c r="W70" s="114" t="s">
        <v>665</v>
      </c>
      <c r="X70" s="114" t="s">
        <v>186</v>
      </c>
      <c r="Y70" s="114" t="s">
        <v>70</v>
      </c>
    </row>
    <row r="71" spans="1:27" ht="39" x14ac:dyDescent="0.25">
      <c r="W71" s="110" t="s">
        <v>666</v>
      </c>
      <c r="X71" s="110">
        <f>SUMIFS(Data_Kayttis!$AT:$AT,Data_Kayttis!$BC:$BC,Henkilöstö!$X42,Data_Kayttis!$BB:$BB,Henkilöstö!$W$30,Data_Kayttis!$AU:$AU,$X$9)</f>
        <v>0</v>
      </c>
      <c r="Y71" s="110">
        <f>SUMIFS(Data_Kayttis!$AT:$AT,Data_Kayttis!$BC:$BC,Henkilöstö!$X42,Data_Kayttis!$C:$C,$X$7,Data_Kayttis!$BB:$BB,Henkilöstö!$W$30,Data_Kayttis!$AU:$AU,$X$9)</f>
        <v>0</v>
      </c>
    </row>
    <row r="72" spans="1:27" ht="51.75" x14ac:dyDescent="0.25">
      <c r="W72" s="110" t="s">
        <v>667</v>
      </c>
      <c r="X72" s="110">
        <f>SUMIFS(Data_Kayttis!$AT:$AT,Data_Kayttis!$BC:$BC,Henkilöstö!$X43,Data_Kayttis!$BB:$BB,Henkilöstö!$W$30,Data_Kayttis!$AU:$AU,$X$9)</f>
        <v>0</v>
      </c>
      <c r="Y72" s="110">
        <f>SUMIFS(Data_Kayttis!$AT:$AT,Data_Kayttis!$BC:$BC,Henkilöstö!$X43,Data_Kayttis!$C:$C,$X$7,Data_Kayttis!$BB:$BB,Henkilöstö!$W$30,Data_Kayttis!$AU:$AU,$X$9)</f>
        <v>0</v>
      </c>
    </row>
    <row r="73" spans="1:27" ht="26.25" x14ac:dyDescent="0.25">
      <c r="W73" s="110" t="s">
        <v>668</v>
      </c>
      <c r="X73" s="110">
        <f>SUMIFS(Data_Kayttis!$AT:$AT,Data_Kayttis!$BC:$BC,Henkilöstö!$X44,Data_Kayttis!$BB:$BB,Henkilöstö!$W$30,Data_Kayttis!$AU:$AU,$X$9)</f>
        <v>0</v>
      </c>
      <c r="Y73" s="110">
        <f>SUMIFS(Data_Kayttis!$AT:$AT,Data_Kayttis!$BC:$BC,Henkilöstö!$X44,Data_Kayttis!$C:$C,$X$7,Data_Kayttis!$BB:$BB,Henkilöstö!$W$30,Data_Kayttis!$AU:$AU,$X$9)</f>
        <v>0</v>
      </c>
    </row>
    <row r="74" spans="1:27" ht="26.25" x14ac:dyDescent="0.25">
      <c r="W74" s="110" t="s">
        <v>669</v>
      </c>
      <c r="X74" s="110">
        <f>SUMIFS(Data_Kayttis!$AT:$AT,Data_Kayttis!$BC:$BC,Henkilöstö!$X45,Data_Kayttis!$BB:$BB,Henkilöstö!$W$30,Data_Kayttis!$AU:$AU,$X$9)</f>
        <v>0</v>
      </c>
      <c r="Y74" s="110">
        <f>SUMIFS(Data_Kayttis!$AT:$AT,Data_Kayttis!$BC:$BC,Henkilöstö!$X45,Data_Kayttis!$C:$C,$X$7,Data_Kayttis!$BB:$BB,Henkilöstö!$W$30,Data_Kayttis!$AU:$AU,$X$9)</f>
        <v>0</v>
      </c>
    </row>
    <row r="75" spans="1:27" ht="51.75" x14ac:dyDescent="0.25">
      <c r="W75" s="110" t="s">
        <v>670</v>
      </c>
      <c r="X75" s="110">
        <f>SUMIFS(Data_Kayttis!$AT:$AT,Data_Kayttis!$BC:$BC,Henkilöstö!$X46,Data_Kayttis!$BB:$BB,Henkilöstö!$W$30,Data_Kayttis!$AU:$AU,$X$9)</f>
        <v>0</v>
      </c>
      <c r="Y75" s="110">
        <f>SUMIFS(Data_Kayttis!$AT:$AT,Data_Kayttis!$BC:$BC,Henkilöstö!$X46,Data_Kayttis!$C:$C,$X$7,Data_Kayttis!$BB:$BB,Henkilöstö!$W$30,Data_Kayttis!$AU:$AU,$X$9)</f>
        <v>0</v>
      </c>
    </row>
    <row r="76" spans="1:27" ht="26.25" x14ac:dyDescent="0.25">
      <c r="W76" s="110" t="s">
        <v>671</v>
      </c>
      <c r="X76" s="110">
        <f>SUMIFS(Data_Kayttis!$AT:$AT,Data_Kayttis!$BC:$BC,Henkilöstö!$X47,Data_Kayttis!$BB:$BB,Henkilöstö!$W$30,Data_Kayttis!$AU:$AU,$X$9)</f>
        <v>0</v>
      </c>
      <c r="Y76" s="110">
        <f>SUMIFS(Data_Kayttis!$AT:$AT,Data_Kayttis!$BC:$BC,Henkilöstö!$X47,Data_Kayttis!$C:$C,$X$7,Data_Kayttis!$BB:$BB,Henkilöstö!$W$30,Data_Kayttis!$AU:$AU,$X$9)</f>
        <v>0</v>
      </c>
    </row>
    <row r="77" spans="1:27" ht="26.25" x14ac:dyDescent="0.25">
      <c r="W77" s="110" t="s">
        <v>672</v>
      </c>
      <c r="X77" s="110">
        <f>SUMIFS(Data_Kayttis!$AT:$AT,Data_Kayttis!$BC:$BC,Henkilöstö!$X48,Data_Kayttis!$BB:$BB,Henkilöstö!$W$30,Data_Kayttis!$AU:$AU,$X$9)</f>
        <v>0</v>
      </c>
      <c r="Y77" s="110">
        <f>SUMIFS(Data_Kayttis!$AT:$AT,Data_Kayttis!$BC:$BC,Henkilöstö!$X48,Data_Kayttis!$C:$C,$X$7,Data_Kayttis!$BB:$BB,Henkilöstö!$W$30,Data_Kayttis!$AU:$AU,$X$9)</f>
        <v>0</v>
      </c>
    </row>
    <row r="78" spans="1:27" ht="26.25" x14ac:dyDescent="0.25">
      <c r="W78" s="110" t="s">
        <v>673</v>
      </c>
      <c r="X78" s="110">
        <f>SUMIFS(Data_Kayttis!$AT:$AT,Data_Kayttis!$BC:$BC,Henkilöstö!$X49,Data_Kayttis!$BB:$BB,Henkilöstö!$W$30,Data_Kayttis!$AU:$AU,$X$9)</f>
        <v>0</v>
      </c>
      <c r="Y78" s="110">
        <f>SUMIFS(Data_Kayttis!$AT:$AT,Data_Kayttis!$BC:$BC,Henkilöstö!$X49,Data_Kayttis!$C:$C,$X$7,Data_Kayttis!$BB:$BB,Henkilöstö!$W$30,Data_Kayttis!$AU:$AU,$X$9)</f>
        <v>0</v>
      </c>
    </row>
    <row r="79" spans="1:27" ht="26.25" x14ac:dyDescent="0.25">
      <c r="W79" s="110" t="s">
        <v>674</v>
      </c>
      <c r="X79" s="110">
        <f>SUMIFS(Data_Kayttis!$AT:$AT,Data_Kayttis!$BC:$BC,Henkilöstö!$X50,Data_Kayttis!$BB:$BB,Henkilöstö!$W$30,Data_Kayttis!$AU:$AU,$X$9)</f>
        <v>0</v>
      </c>
      <c r="Y79" s="110">
        <f>SUMIFS(Data_Kayttis!$AT:$AT,Data_Kayttis!$BC:$BC,Henkilöstö!$X50,Data_Kayttis!$C:$C,$X$7,Data_Kayttis!$BB:$BB,Henkilöstö!$W$30,Data_Kayttis!$AU:$AU,$X$9)</f>
        <v>0</v>
      </c>
    </row>
    <row r="80" spans="1:27" x14ac:dyDescent="0.25">
      <c r="W80" s="110" t="s">
        <v>675</v>
      </c>
      <c r="X80" s="110">
        <f>SUMIFS(Data_Kayttis!$AT:$AT,Data_Kayttis!$BC:$BC,Henkilöstö!$X51,Data_Kayttis!$BB:$BB,Henkilöstö!$W$30,Data_Kayttis!$AU:$AU,$X$9)</f>
        <v>0</v>
      </c>
      <c r="Y80" s="110">
        <f>SUMIFS(Data_Kayttis!$AT:$AT,Data_Kayttis!$BC:$BC,Henkilöstö!$X51,Data_Kayttis!$C:$C,$X$7,Data_Kayttis!$BB:$BB,Henkilöstö!$W$30,Data_Kayttis!$AU:$AU,$X$9)</f>
        <v>0</v>
      </c>
    </row>
    <row r="81" spans="23:25" x14ac:dyDescent="0.25">
      <c r="W81" s="110" t="s">
        <v>362</v>
      </c>
      <c r="X81" s="110">
        <f>SUMIFS(Data_Kayttis!$AT:$AT,Data_Kayttis!$BC:$BC,Henkilöstö!$X52,Data_Kayttis!$BB:$BB,Henkilöstö!$W$30,Data_Kayttis!$AU:$AU,$X$9)</f>
        <v>0</v>
      </c>
      <c r="Y81" s="110">
        <f>SUMIFS(Data_Kayttis!$AT:$AT,Data_Kayttis!$BC:$BC,Henkilöstö!$X52,Data_Kayttis!$C:$C,$X$7,Data_Kayttis!$BB:$BB,Henkilöstö!$W$30,Data_Kayttis!$AU:$AU,$X$9)</f>
        <v>0</v>
      </c>
    </row>
    <row r="82" spans="23:25" x14ac:dyDescent="0.25">
      <c r="W82" s="118" t="s">
        <v>243</v>
      </c>
      <c r="X82" s="118">
        <f>SUM(X71:X81)</f>
        <v>0</v>
      </c>
      <c r="Y82" s="118">
        <f>SUM(Y71:Y81)</f>
        <v>0</v>
      </c>
    </row>
  </sheetData>
  <sheetProtection sheet="1" objects="1" scenarios="1"/>
  <mergeCells count="31">
    <mergeCell ref="A55:A56"/>
    <mergeCell ref="B55:J55"/>
    <mergeCell ref="A40:E41"/>
    <mergeCell ref="G6:J6"/>
    <mergeCell ref="B25:C25"/>
    <mergeCell ref="F14:G14"/>
    <mergeCell ref="F25:G25"/>
    <mergeCell ref="A14:C15"/>
    <mergeCell ref="A16:C16"/>
    <mergeCell ref="A17:C17"/>
    <mergeCell ref="A18:C18"/>
    <mergeCell ref="A19:C19"/>
    <mergeCell ref="B9:C9"/>
    <mergeCell ref="D9:E9"/>
    <mergeCell ref="A9:A10"/>
    <mergeCell ref="D14:E14"/>
    <mergeCell ref="A49:E49"/>
    <mergeCell ref="F40:G40"/>
    <mergeCell ref="A50:E50"/>
    <mergeCell ref="A42:E42"/>
    <mergeCell ref="A43:E43"/>
    <mergeCell ref="A44:E44"/>
    <mergeCell ref="A45:E45"/>
    <mergeCell ref="A46:E46"/>
    <mergeCell ref="A20:C20"/>
    <mergeCell ref="A21:C21"/>
    <mergeCell ref="A22:C22"/>
    <mergeCell ref="A47:E47"/>
    <mergeCell ref="A48:E48"/>
    <mergeCell ref="A25:A26"/>
    <mergeCell ref="D25:E25"/>
  </mergeCells>
  <conditionalFormatting sqref="G6">
    <cfRule type="containsText" dxfId="19" priority="1" operator="containsText" text="valitsematta">
      <formula>NOT(ISERROR(SEARCH("valitsematta",G6)))</formula>
    </cfRule>
    <cfRule type="containsText" dxfId="18" priority="2" operator="containsText" text="ei">
      <formula>NOT(ISERROR(SEARCH("ei",G6)))</formula>
    </cfRule>
  </conditionalFormatting>
  <dataValidations count="4">
    <dataValidation type="date" allowBlank="1" showInputMessage="1" showErrorMessage="1" error="Kirjoita päivämäärä muodossa _x000a_pp.kk.vvvv_x000a__x000a_Päivämäärän on oltava _x000a_suurempi kuin 01.01.2008 ja _x000a_pienempi kuin 31.12.2020" sqref="A2:A3" xr:uid="{00000000-0002-0000-0000-000000000000}">
      <formula1>39448</formula1>
      <formula2>44196</formula2>
    </dataValidation>
    <dataValidation type="list" allowBlank="1" showInputMessage="1" showErrorMessage="1" sqref="G6" xr:uid="{0EBBA841-6A8D-40C9-B244-94CDFA995C47}">
      <formula1>$V$2:$V$4</formula1>
    </dataValidation>
    <dataValidation type="whole" operator="greaterThan" allowBlank="1" showInputMessage="1" showErrorMessage="1" error="Kirjoita kokonaislukuina. Desimaalilukuja voi kirjoittaa vain HTV:n kohdalle" sqref="F27:G35 F42:G49 C57:J65 F16:G21" xr:uid="{0FBFF634-EEB8-4B2B-816D-53E982ECF747}">
      <formula1>-1</formula1>
    </dataValidation>
    <dataValidation type="decimal" operator="greaterThan" allowBlank="1" showInputMessage="1" showErrorMessage="1" sqref="D16:E21 B27:E35" xr:uid="{EBA4BAA2-57D7-4722-8FDC-3B54DFA4D1C9}">
      <formula1>-1</formula1>
    </dataValidation>
  </dataValidations>
  <hyperlinks>
    <hyperlink ref="A70" location="Henkilöstö!A1" display="Sivun alkuun" xr:uid="{7751C405-0ECB-4B14-8D43-4D7A12C4D936}"/>
  </hyperlinks>
  <pageMargins left="0.70866141732283472" right="0.70866141732283472" top="0.74803149606299213" bottom="0.83333333333333337" header="0" footer="0"/>
  <pageSetup paperSize="9" scale="75" fitToHeight="0" orientation="landscape" r:id="rId1"/>
  <headerFooter>
    <oddFooter>&amp;L 
PAR työpaja
osoitettie
0100, paikka&amp;C&amp;G&amp;R&amp;P/&amp;N</oddFooter>
  </headerFooter>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179DC-4C12-4F97-8C65-643BEA1C322A}">
  <sheetPr codeName="Taul19"/>
  <dimension ref="A1:P20"/>
  <sheetViews>
    <sheetView showGridLines="0" workbookViewId="0">
      <selection activeCell="A14" sqref="A14:P14"/>
    </sheetView>
  </sheetViews>
  <sheetFormatPr defaultColWidth="9.140625" defaultRowHeight="15" x14ac:dyDescent="0.25"/>
  <cols>
    <col min="1" max="1" width="21.85546875" customWidth="1"/>
    <col min="2" max="3" width="14.42578125" customWidth="1"/>
    <col min="4" max="4" width="7.85546875" customWidth="1"/>
    <col min="5" max="5" width="14" hidden="1" customWidth="1"/>
    <col min="7" max="7" width="11.5703125" bestFit="1" customWidth="1"/>
    <col min="10" max="10" width="22" customWidth="1"/>
    <col min="11" max="12" width="13.85546875" customWidth="1"/>
    <col min="14" max="14" width="0" hidden="1" customWidth="1"/>
  </cols>
  <sheetData>
    <row r="1" spans="1:16" ht="18.75" x14ac:dyDescent="0.3">
      <c r="A1" s="593" t="s">
        <v>676</v>
      </c>
      <c r="B1" s="66"/>
      <c r="C1" s="66"/>
    </row>
    <row r="2" spans="1:16" x14ac:dyDescent="0.25">
      <c r="A2" t="s">
        <v>677</v>
      </c>
    </row>
    <row r="4" spans="1:16" ht="18.75" x14ac:dyDescent="0.3">
      <c r="A4" s="593" t="s">
        <v>678</v>
      </c>
      <c r="B4" s="66"/>
      <c r="C4" s="66"/>
      <c r="D4" s="66"/>
      <c r="E4" s="66"/>
      <c r="F4" s="66"/>
      <c r="G4" s="66"/>
      <c r="H4" s="66"/>
      <c r="I4" s="66"/>
      <c r="J4" s="593" t="s">
        <v>679</v>
      </c>
    </row>
    <row r="5" spans="1:16" ht="45" x14ac:dyDescent="0.25">
      <c r="A5" s="560" t="s">
        <v>680</v>
      </c>
      <c r="B5" s="569" t="s">
        <v>681</v>
      </c>
      <c r="C5" s="569" t="s">
        <v>682</v>
      </c>
      <c r="D5" s="560" t="s">
        <v>683</v>
      </c>
      <c r="E5" s="569" t="s">
        <v>684</v>
      </c>
      <c r="F5" s="569" t="s">
        <v>685</v>
      </c>
      <c r="G5" s="560" t="s">
        <v>583</v>
      </c>
      <c r="J5" s="560" t="s">
        <v>680</v>
      </c>
      <c r="K5" s="569" t="s">
        <v>681</v>
      </c>
      <c r="L5" s="569" t="s">
        <v>682</v>
      </c>
      <c r="M5" s="560" t="s">
        <v>683</v>
      </c>
      <c r="N5" s="569" t="s">
        <v>684</v>
      </c>
      <c r="O5" s="569" t="s">
        <v>685</v>
      </c>
      <c r="P5" s="560" t="s">
        <v>583</v>
      </c>
    </row>
    <row r="6" spans="1:16" x14ac:dyDescent="0.25">
      <c r="A6" s="358"/>
      <c r="B6" s="594"/>
      <c r="C6" s="594"/>
      <c r="D6" s="595">
        <f t="shared" ref="D6:D11" si="0">_xlfn.DAYS(C6,B6)</f>
        <v>0</v>
      </c>
      <c r="E6" s="358">
        <f t="shared" ref="E6:E11" si="1">D6/365</f>
        <v>0</v>
      </c>
      <c r="F6" s="596"/>
      <c r="G6" s="597">
        <f t="shared" ref="G6:G11" si="2">ROUND(E6*F6,2)</f>
        <v>0</v>
      </c>
      <c r="J6" s="358" t="s">
        <v>686</v>
      </c>
      <c r="K6" s="594">
        <v>46023</v>
      </c>
      <c r="L6" s="594">
        <v>46172</v>
      </c>
      <c r="M6" s="595">
        <f t="shared" ref="M6:M11" si="3">_xlfn.DAYS(L6,K6)</f>
        <v>149</v>
      </c>
      <c r="N6" s="358">
        <f t="shared" ref="N6:N11" si="4">M6/365</f>
        <v>0.40821917808219177</v>
      </c>
      <c r="O6" s="596">
        <v>1</v>
      </c>
      <c r="P6" s="597">
        <f t="shared" ref="P6:P11" si="5">ROUND(N6*O6,2)</f>
        <v>0.41</v>
      </c>
    </row>
    <row r="7" spans="1:16" x14ac:dyDescent="0.25">
      <c r="A7" s="358"/>
      <c r="B7" s="594"/>
      <c r="C7" s="594"/>
      <c r="D7" s="595">
        <f t="shared" si="0"/>
        <v>0</v>
      </c>
      <c r="E7" s="358">
        <f t="shared" si="1"/>
        <v>0</v>
      </c>
      <c r="F7" s="596"/>
      <c r="G7" s="597">
        <f t="shared" si="2"/>
        <v>0</v>
      </c>
      <c r="J7" s="358"/>
      <c r="K7" s="594">
        <v>46220</v>
      </c>
      <c r="L7" s="594">
        <v>46283</v>
      </c>
      <c r="M7" s="595">
        <f t="shared" si="3"/>
        <v>63</v>
      </c>
      <c r="N7" s="358">
        <f t="shared" si="4"/>
        <v>0.17260273972602741</v>
      </c>
      <c r="O7" s="596">
        <v>0.75</v>
      </c>
      <c r="P7" s="597">
        <f t="shared" si="5"/>
        <v>0.13</v>
      </c>
    </row>
    <row r="8" spans="1:16" x14ac:dyDescent="0.25">
      <c r="A8" s="358"/>
      <c r="B8" s="358"/>
      <c r="C8" s="358"/>
      <c r="D8" s="595">
        <f t="shared" si="0"/>
        <v>0</v>
      </c>
      <c r="E8" s="358">
        <f t="shared" si="1"/>
        <v>0</v>
      </c>
      <c r="F8" s="596"/>
      <c r="G8" s="597">
        <f t="shared" si="2"/>
        <v>0</v>
      </c>
      <c r="J8" s="358"/>
      <c r="K8" s="594">
        <v>46356</v>
      </c>
      <c r="L8" s="594">
        <v>46387</v>
      </c>
      <c r="M8" s="595">
        <f t="shared" si="3"/>
        <v>31</v>
      </c>
      <c r="N8" s="358">
        <f t="shared" si="4"/>
        <v>8.4931506849315067E-2</v>
      </c>
      <c r="O8" s="596">
        <v>1</v>
      </c>
      <c r="P8" s="597">
        <f t="shared" si="5"/>
        <v>0.08</v>
      </c>
    </row>
    <row r="9" spans="1:16" x14ac:dyDescent="0.25">
      <c r="A9" s="358"/>
      <c r="B9" s="358"/>
      <c r="C9" s="358"/>
      <c r="D9" s="595">
        <f t="shared" si="0"/>
        <v>0</v>
      </c>
      <c r="E9" s="358">
        <f t="shared" si="1"/>
        <v>0</v>
      </c>
      <c r="F9" s="596"/>
      <c r="G9" s="597">
        <f t="shared" si="2"/>
        <v>0</v>
      </c>
      <c r="J9" s="358"/>
      <c r="K9" s="358"/>
      <c r="L9" s="358"/>
      <c r="M9" s="595">
        <f t="shared" si="3"/>
        <v>0</v>
      </c>
      <c r="N9" s="358">
        <f t="shared" si="4"/>
        <v>0</v>
      </c>
      <c r="O9" s="596"/>
      <c r="P9" s="597">
        <f t="shared" si="5"/>
        <v>0</v>
      </c>
    </row>
    <row r="10" spans="1:16" x14ac:dyDescent="0.25">
      <c r="A10" s="358"/>
      <c r="B10" s="358"/>
      <c r="C10" s="358"/>
      <c r="D10" s="595">
        <f t="shared" si="0"/>
        <v>0</v>
      </c>
      <c r="E10" s="358">
        <f t="shared" si="1"/>
        <v>0</v>
      </c>
      <c r="F10" s="596"/>
      <c r="G10" s="597">
        <f t="shared" si="2"/>
        <v>0</v>
      </c>
      <c r="J10" s="358"/>
      <c r="K10" s="358"/>
      <c r="L10" s="358"/>
      <c r="M10" s="595">
        <f t="shared" si="3"/>
        <v>0</v>
      </c>
      <c r="N10" s="358">
        <f t="shared" si="4"/>
        <v>0</v>
      </c>
      <c r="O10" s="596"/>
      <c r="P10" s="597">
        <f t="shared" si="5"/>
        <v>0</v>
      </c>
    </row>
    <row r="11" spans="1:16" x14ac:dyDescent="0.25">
      <c r="A11" s="358"/>
      <c r="B11" s="358"/>
      <c r="C11" s="358"/>
      <c r="D11" s="595">
        <f t="shared" si="0"/>
        <v>0</v>
      </c>
      <c r="E11" s="358">
        <f t="shared" si="1"/>
        <v>0</v>
      </c>
      <c r="F11" s="596"/>
      <c r="G11" s="597">
        <f t="shared" si="2"/>
        <v>0</v>
      </c>
      <c r="J11" s="358"/>
      <c r="K11" s="358"/>
      <c r="L11" s="358"/>
      <c r="M11" s="595">
        <f t="shared" si="3"/>
        <v>0</v>
      </c>
      <c r="N11" s="358">
        <f t="shared" si="4"/>
        <v>0</v>
      </c>
      <c r="O11" s="596"/>
      <c r="P11" s="597">
        <f t="shared" si="5"/>
        <v>0</v>
      </c>
    </row>
    <row r="12" spans="1:16" x14ac:dyDescent="0.25">
      <c r="A12" s="595" t="s">
        <v>687</v>
      </c>
      <c r="B12" s="595"/>
      <c r="C12" s="595"/>
      <c r="D12" s="595"/>
      <c r="E12" s="595"/>
      <c r="F12" s="595"/>
      <c r="G12" s="597">
        <f>SUBTOTAL(109,Taulukko133[HTV])</f>
        <v>0</v>
      </c>
      <c r="J12" s="595" t="s">
        <v>687</v>
      </c>
      <c r="K12" s="595"/>
      <c r="L12" s="595"/>
      <c r="M12" s="595"/>
      <c r="N12" s="595"/>
      <c r="O12" s="595"/>
      <c r="P12" s="595">
        <f>SUBTOTAL(109,Taulukko13[HTV])</f>
        <v>0.62</v>
      </c>
    </row>
    <row r="14" spans="1:16" ht="120" customHeight="1" x14ac:dyDescent="0.25">
      <c r="A14" s="974" t="s">
        <v>688</v>
      </c>
      <c r="B14" s="974"/>
      <c r="C14" s="974"/>
      <c r="D14" s="974"/>
      <c r="E14" s="974"/>
      <c r="F14" s="974"/>
      <c r="G14" s="974"/>
      <c r="H14" s="974"/>
      <c r="I14" s="974"/>
      <c r="J14" s="974"/>
      <c r="K14" s="974"/>
      <c r="L14" s="974"/>
      <c r="M14" s="974"/>
      <c r="N14" s="974"/>
      <c r="O14" s="974"/>
      <c r="P14" s="974"/>
    </row>
    <row r="15" spans="1:16" x14ac:dyDescent="0.25">
      <c r="A15" s="598"/>
      <c r="B15" s="598"/>
      <c r="C15" s="598"/>
      <c r="D15" s="598"/>
      <c r="E15" s="598"/>
      <c r="F15" s="598"/>
      <c r="G15" s="598"/>
    </row>
    <row r="16" spans="1:16" x14ac:dyDescent="0.25">
      <c r="A16" s="559" t="s">
        <v>689</v>
      </c>
      <c r="B16" s="598"/>
      <c r="C16" s="598"/>
      <c r="D16" s="598"/>
      <c r="E16" s="598"/>
      <c r="F16" s="598"/>
      <c r="G16" s="598"/>
    </row>
    <row r="17" spans="1:7" x14ac:dyDescent="0.25">
      <c r="A17" s="975" t="s">
        <v>690</v>
      </c>
      <c r="B17" s="975"/>
      <c r="C17" s="975"/>
      <c r="D17" s="598"/>
      <c r="E17" s="598"/>
      <c r="F17" s="598"/>
      <c r="G17" s="598"/>
    </row>
    <row r="18" spans="1:7" x14ac:dyDescent="0.25">
      <c r="A18" s="598"/>
      <c r="B18" s="598"/>
      <c r="C18" s="598"/>
      <c r="D18" s="598"/>
      <c r="E18" s="598"/>
      <c r="F18" s="598"/>
      <c r="G18" s="598"/>
    </row>
    <row r="19" spans="1:7" x14ac:dyDescent="0.25">
      <c r="A19" s="598"/>
      <c r="B19" s="598"/>
      <c r="C19" s="598"/>
      <c r="D19" s="598"/>
      <c r="E19" s="598"/>
      <c r="F19" s="598"/>
      <c r="G19" s="598"/>
    </row>
    <row r="20" spans="1:7" ht="114.75" customHeight="1" x14ac:dyDescent="0.25">
      <c r="A20" s="598"/>
      <c r="B20" s="598"/>
      <c r="C20" s="598"/>
      <c r="D20" s="598"/>
      <c r="E20" s="598"/>
      <c r="F20" s="598"/>
      <c r="G20" s="598"/>
    </row>
  </sheetData>
  <sheetProtection sheet="1" objects="1" scenarios="1"/>
  <mergeCells count="2">
    <mergeCell ref="A14:P14"/>
    <mergeCell ref="A17:C17"/>
  </mergeCells>
  <hyperlinks>
    <hyperlink ref="A17" r:id="rId1" xr:uid="{1A7D9FE6-54FB-48B2-A124-1647AE5D1D98}"/>
  </hyperlinks>
  <pageMargins left="0.7" right="0.7" top="0.75" bottom="0.83333333333333337" header="0" footer="0"/>
  <pageSetup paperSize="9" orientation="portrait" horizontalDpi="300" r:id="rId2"/>
  <headerFooter>
    <oddFooter>&amp;L 
PAR työpaja
osoitettie
0100, paikka&amp;C&amp;G&amp;R&amp;P/&amp;N</oddFooter>
  </headerFooter>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ul16">
    <pageSetUpPr fitToPage="1"/>
  </sheetPr>
  <dimension ref="A1:AG138"/>
  <sheetViews>
    <sheetView showGridLines="0" zoomScaleNormal="100" workbookViewId="0">
      <selection activeCell="W1" sqref="W1:AG1048576"/>
    </sheetView>
  </sheetViews>
  <sheetFormatPr defaultRowHeight="15" x14ac:dyDescent="0.25"/>
  <cols>
    <col min="1" max="1" width="36.5703125" customWidth="1"/>
    <col min="2" max="2" width="8.7109375" style="518" customWidth="1"/>
    <col min="3" max="14" width="8.7109375" customWidth="1"/>
    <col min="15" max="15" width="9.7109375" customWidth="1"/>
    <col min="16" max="16" width="9.7109375" style="507" customWidth="1"/>
    <col min="17" max="17" width="9.7109375" customWidth="1"/>
    <col min="23" max="24" width="9.140625" hidden="1" customWidth="1"/>
    <col min="25" max="25" width="12" hidden="1" customWidth="1"/>
    <col min="26" max="33" width="9.140625" hidden="1" customWidth="1"/>
  </cols>
  <sheetData>
    <row r="1" spans="1:33" x14ac:dyDescent="0.25">
      <c r="A1" s="792" t="s">
        <v>0</v>
      </c>
      <c r="C1" s="335"/>
      <c r="W1" s="91" t="s">
        <v>1</v>
      </c>
      <c r="X1" s="91" t="s">
        <v>1</v>
      </c>
      <c r="Y1" s="100" t="str">
        <f>IF(A5="","*",INDEX(AE5:AE54,MATCH(A5,AD5:AD54,0)))</f>
        <v>*</v>
      </c>
      <c r="Z1" s="92" t="s">
        <v>1</v>
      </c>
      <c r="AA1" s="92" t="s">
        <v>1</v>
      </c>
      <c r="AB1" s="92" t="s">
        <v>1</v>
      </c>
      <c r="AC1" s="92" t="s">
        <v>1</v>
      </c>
      <c r="AD1" s="92" t="s">
        <v>1</v>
      </c>
      <c r="AE1" s="92" t="s">
        <v>1</v>
      </c>
    </row>
    <row r="2" spans="1:33" x14ac:dyDescent="0.25">
      <c r="A2" s="791">
        <f>Asiakastilastot!$A$2</f>
        <v>46023</v>
      </c>
      <c r="B2" s="516" t="s">
        <v>2</v>
      </c>
      <c r="W2" t="str">
        <f>TEXT($A$2,"vvvv")</f>
        <v>2026</v>
      </c>
      <c r="X2" s="95" t="s">
        <v>4</v>
      </c>
      <c r="Y2" s="100" t="str">
        <f>IF(A6=X3,"OK","*")</f>
        <v>OK</v>
      </c>
      <c r="Z2" s="409" t="s">
        <v>5</v>
      </c>
      <c r="AA2" s="168" t="s">
        <v>6</v>
      </c>
      <c r="AB2" s="169" t="s">
        <v>7</v>
      </c>
      <c r="AC2" s="168" t="s">
        <v>6</v>
      </c>
      <c r="AD2" s="169" t="s">
        <v>8</v>
      </c>
    </row>
    <row r="3" spans="1:33" x14ac:dyDescent="0.25">
      <c r="A3" s="780">
        <f>Asiakastilastot!$A$3</f>
        <v>46387</v>
      </c>
      <c r="B3" s="516" t="s">
        <v>9</v>
      </c>
      <c r="W3" t="str">
        <f>TEXT($A$3,"kk")</f>
        <v>12</v>
      </c>
      <c r="X3" s="95" t="s">
        <v>11</v>
      </c>
      <c r="Z3" s="409" t="s">
        <v>12</v>
      </c>
      <c r="AA3" s="168" t="s">
        <v>13</v>
      </c>
      <c r="AB3" s="169" t="e">
        <f>INDEX(Data_Omakoodi!K:K,MATCH($AB$2,Data_Omakoodi!$I:$I,0))</f>
        <v>#N/A</v>
      </c>
      <c r="AC3" s="168" t="s">
        <v>13</v>
      </c>
      <c r="AD3" s="169" t="e">
        <f>INDEX(Data_Omakoodi!K:K,MATCH($AD$2,Data_Omakoodi!$I:$I,0))</f>
        <v>#N/A</v>
      </c>
    </row>
    <row r="4" spans="1:33" x14ac:dyDescent="0.25">
      <c r="A4" s="378" t="s">
        <v>16</v>
      </c>
      <c r="B4" s="516" t="s">
        <v>17</v>
      </c>
      <c r="X4" s="95" t="s">
        <v>19</v>
      </c>
      <c r="Y4" t="s">
        <v>691</v>
      </c>
      <c r="AA4" s="168" t="s">
        <v>20</v>
      </c>
      <c r="AB4" s="169" t="str">
        <f>IFERROR(MATCH($AB$2,Data_Omakoodi!$I:$I,0),"")</f>
        <v/>
      </c>
      <c r="AC4" s="168" t="s">
        <v>20</v>
      </c>
      <c r="AD4" s="169" t="str">
        <f>IFERROR(MATCH($AB$2,Data_Omakoodi!$I:$I,0),"")</f>
        <v/>
      </c>
    </row>
    <row r="5" spans="1:33" x14ac:dyDescent="0.25">
      <c r="A5" s="378" t="s">
        <v>22</v>
      </c>
      <c r="B5" s="516" t="s">
        <v>23</v>
      </c>
      <c r="Y5" s="100" t="str">
        <f>IF(A6="","*",IF(A6=X2,"*",IF(A6=X4,X9,"*")))</f>
        <v>*</v>
      </c>
      <c r="AA5" s="168" t="s">
        <v>26</v>
      </c>
      <c r="AB5" s="169" t="s">
        <v>16</v>
      </c>
      <c r="AC5" s="168" t="s">
        <v>26</v>
      </c>
      <c r="AD5" s="169" t="s">
        <v>22</v>
      </c>
      <c r="AE5" s="168" t="s">
        <v>26</v>
      </c>
    </row>
    <row r="6" spans="1:33" x14ac:dyDescent="0.25">
      <c r="A6" s="378" t="s">
        <v>11</v>
      </c>
      <c r="B6" s="516" t="s">
        <v>27</v>
      </c>
      <c r="Y6" s="100" t="str">
        <f>IF(A4="","*",INDEX(AA5:AA54,MATCH(A4,AB5:AB54,0)))</f>
        <v>*</v>
      </c>
      <c r="AA6" s="168" t="s">
        <v>29</v>
      </c>
      <c r="AB6" s="170" t="s">
        <v>30</v>
      </c>
      <c r="AC6" s="168" t="s">
        <v>29</v>
      </c>
      <c r="AD6" s="170" t="s">
        <v>31</v>
      </c>
      <c r="AE6" s="168" t="s">
        <v>29</v>
      </c>
    </row>
    <row r="7" spans="1:33" x14ac:dyDescent="0.25">
      <c r="B7" s="517"/>
      <c r="X7" s="171" t="s">
        <v>34</v>
      </c>
      <c r="Y7" s="171" t="s">
        <v>35</v>
      </c>
      <c r="AA7" s="168" t="s">
        <v>36</v>
      </c>
      <c r="AB7" s="170" t="s">
        <v>37</v>
      </c>
      <c r="AC7" s="168" t="s">
        <v>36</v>
      </c>
      <c r="AD7" s="170" t="s">
        <v>38</v>
      </c>
      <c r="AE7" s="168" t="s">
        <v>36</v>
      </c>
      <c r="AF7" s="101"/>
      <c r="AG7" s="101"/>
    </row>
    <row r="8" spans="1:33" x14ac:dyDescent="0.25">
      <c r="X8" s="233" t="s">
        <v>40</v>
      </c>
      <c r="AA8" s="176" t="s">
        <v>41</v>
      </c>
      <c r="AB8" s="169" t="str">
        <f>IFERROR(INDEX(Data_Omakoodi!E:E,MATCH(AA8,Data_Omakoodi!A:A,0)),"")</f>
        <v/>
      </c>
      <c r="AC8" t="s">
        <v>42</v>
      </c>
      <c r="AD8" s="169" t="str">
        <f>IFERROR(INDEX(Data_Omakoodi!E:E,MATCH(AC8,Data_Omakoodi!A:A,0)),"")</f>
        <v/>
      </c>
      <c r="AE8" t="s">
        <v>42</v>
      </c>
      <c r="AF8" t="s">
        <v>43</v>
      </c>
    </row>
    <row r="9" spans="1:33" x14ac:dyDescent="0.25">
      <c r="X9" s="105" t="s">
        <v>44</v>
      </c>
      <c r="AA9" s="176" t="s">
        <v>45</v>
      </c>
      <c r="AB9" s="169" t="str">
        <f>IFERROR(INDEX(Data_Omakoodi!E:E,MATCH(AA9,Data_Omakoodi!A:A,0)),"")</f>
        <v/>
      </c>
      <c r="AC9" t="s">
        <v>46</v>
      </c>
      <c r="AD9" s="169" t="str">
        <f>IFERROR(INDEX(Data_Omakoodi!E:E,MATCH(AC9,Data_Omakoodi!A:A,0)),"")</f>
        <v/>
      </c>
      <c r="AE9" t="s">
        <v>46</v>
      </c>
      <c r="AF9" t="s">
        <v>47</v>
      </c>
    </row>
    <row r="10" spans="1:33" x14ac:dyDescent="0.25">
      <c r="X10" s="106" t="str">
        <f>" - "&amp;TEXT($A$2,$X$11)&amp;"-"&amp;TEXT($A$3,$X$11)&amp;" "</f>
        <v xml:space="preserve"> - 01.01.2026-31.12.2026 </v>
      </c>
      <c r="Y10" s="101"/>
      <c r="AA10" s="176" t="s">
        <v>52</v>
      </c>
      <c r="AB10" s="169" t="str">
        <f>IFERROR(INDEX(Data_Omakoodi!E:E,MATCH(AA10,Data_Omakoodi!A:A,0)),"")</f>
        <v/>
      </c>
      <c r="AC10" t="s">
        <v>53</v>
      </c>
      <c r="AD10" s="169" t="str">
        <f>IFERROR(INDEX(Data_Omakoodi!E:E,MATCH(AC10,Data_Omakoodi!A:A,0)),"")</f>
        <v/>
      </c>
      <c r="AE10" t="s">
        <v>53</v>
      </c>
      <c r="AF10" t="s">
        <v>54</v>
      </c>
    </row>
    <row r="11" spans="1:33" x14ac:dyDescent="0.25">
      <c r="C11" s="80"/>
      <c r="D11" s="80"/>
      <c r="E11" s="80"/>
      <c r="F11" s="80"/>
      <c r="G11" s="80"/>
      <c r="H11" s="80"/>
      <c r="I11" s="80"/>
      <c r="J11" s="80"/>
      <c r="K11" s="80"/>
      <c r="L11" s="80"/>
      <c r="M11" s="80"/>
      <c r="N11" s="80"/>
      <c r="X11" s="106" t="s">
        <v>55</v>
      </c>
      <c r="Y11" s="107" t="s">
        <v>56</v>
      </c>
      <c r="AA11" s="176" t="s">
        <v>57</v>
      </c>
      <c r="AB11" s="169" t="str">
        <f>IFERROR(INDEX(Data_Omakoodi!E:E,MATCH(AA11,Data_Omakoodi!A:A,0)),"")</f>
        <v/>
      </c>
      <c r="AC11" t="s">
        <v>58</v>
      </c>
      <c r="AD11" s="169" t="str">
        <f>IFERROR(INDEX(Data_Omakoodi!E:E,MATCH(AC11,Data_Omakoodi!A:A,0)),"")</f>
        <v/>
      </c>
      <c r="AE11" t="s">
        <v>58</v>
      </c>
      <c r="AF11" t="s">
        <v>59</v>
      </c>
    </row>
    <row r="12" spans="1:33" x14ac:dyDescent="0.25">
      <c r="X12" s="106" t="str">
        <f>"("&amp;A4&amp;", "&amp;A5&amp;")"</f>
        <v>(Kaikki kunnat, Kaikki yksiköt)</v>
      </c>
      <c r="Y12" s="101"/>
      <c r="AA12" s="176" t="s">
        <v>60</v>
      </c>
      <c r="AB12" s="169" t="str">
        <f>IFERROR(INDEX(Data_Omakoodi!E:E,MATCH(AA12,Data_Omakoodi!A:A,0)),"")</f>
        <v/>
      </c>
      <c r="AC12" t="s">
        <v>61</v>
      </c>
      <c r="AD12" s="169" t="str">
        <f>IFERROR(INDEX(Data_Omakoodi!E:E,MATCH(AC12,Data_Omakoodi!A:A,0)),"")</f>
        <v/>
      </c>
      <c r="AE12" t="s">
        <v>61</v>
      </c>
      <c r="AF12" t="s">
        <v>62</v>
      </c>
    </row>
    <row r="13" spans="1:33" x14ac:dyDescent="0.25">
      <c r="A13" s="66" t="str">
        <f>"Uudet asiakkaat - ei aikaisempia jaksoja "&amp;X12</f>
        <v>Uudet asiakkaat - ei aikaisempia jaksoja (Kaikki kunnat, Kaikki yksiköt)</v>
      </c>
      <c r="B13" s="519"/>
      <c r="X13" s="302" t="s">
        <v>123</v>
      </c>
      <c r="AA13" s="176" t="s">
        <v>63</v>
      </c>
      <c r="AB13" s="169" t="str">
        <f>IFERROR(INDEX(Data_Omakoodi!E:E,MATCH(AA13,Data_Omakoodi!A:A,0)),"")</f>
        <v/>
      </c>
      <c r="AC13" t="s">
        <v>64</v>
      </c>
      <c r="AD13" s="169" t="str">
        <f>IFERROR(INDEX(Data_Omakoodi!E:E,MATCH(AC13,Data_Omakoodi!A:A,0)),"")</f>
        <v/>
      </c>
      <c r="AE13" t="s">
        <v>64</v>
      </c>
      <c r="AF13" t="s">
        <v>65</v>
      </c>
    </row>
    <row r="14" spans="1:33" x14ac:dyDescent="0.25">
      <c r="A14" s="978" t="s">
        <v>692</v>
      </c>
      <c r="B14" s="979"/>
      <c r="C14" s="976" t="str">
        <f>TEXT($A$2,"vvvv")</f>
        <v>2026</v>
      </c>
      <c r="D14" s="977"/>
      <c r="E14" s="977"/>
      <c r="F14" s="977"/>
      <c r="G14" s="977"/>
      <c r="H14" s="977"/>
      <c r="I14" s="977"/>
      <c r="J14" s="977"/>
      <c r="K14" s="977"/>
      <c r="L14" s="977"/>
      <c r="M14" s="977"/>
      <c r="N14" s="977"/>
      <c r="O14" s="480" t="s">
        <v>11</v>
      </c>
      <c r="P14" s="508" t="s">
        <v>693</v>
      </c>
      <c r="Q14" s="480" t="s">
        <v>4</v>
      </c>
      <c r="X14" t="s">
        <v>35</v>
      </c>
      <c r="AA14" s="176" t="s">
        <v>66</v>
      </c>
      <c r="AB14" s="169" t="str">
        <f>IFERROR(INDEX(Data_Omakoodi!E:E,MATCH(AA14,Data_Omakoodi!A:A,0)),"")</f>
        <v/>
      </c>
      <c r="AC14" t="s">
        <v>67</v>
      </c>
      <c r="AD14" s="169" t="str">
        <f>IFERROR(INDEX(Data_Omakoodi!E:E,MATCH(AC14,Data_Omakoodi!A:A,0)),"")</f>
        <v/>
      </c>
      <c r="AE14" t="s">
        <v>67</v>
      </c>
      <c r="AF14" t="s">
        <v>68</v>
      </c>
    </row>
    <row r="15" spans="1:33" x14ac:dyDescent="0.25">
      <c r="A15" s="980"/>
      <c r="B15" s="981"/>
      <c r="C15" s="455" t="s">
        <v>694</v>
      </c>
      <c r="D15" s="455" t="s">
        <v>695</v>
      </c>
      <c r="E15" s="455" t="s">
        <v>696</v>
      </c>
      <c r="F15" s="455" t="s">
        <v>697</v>
      </c>
      <c r="G15" s="455" t="s">
        <v>698</v>
      </c>
      <c r="H15" s="455" t="s">
        <v>699</v>
      </c>
      <c r="I15" s="455" t="s">
        <v>700</v>
      </c>
      <c r="J15" s="455" t="s">
        <v>701</v>
      </c>
      <c r="K15" s="455" t="s">
        <v>702</v>
      </c>
      <c r="L15" s="455" t="s">
        <v>703</v>
      </c>
      <c r="M15" s="455" t="s">
        <v>704</v>
      </c>
      <c r="N15" s="455" t="s">
        <v>705</v>
      </c>
      <c r="O15" s="481" t="s">
        <v>186</v>
      </c>
      <c r="P15" s="509" t="s">
        <v>706</v>
      </c>
      <c r="Q15" s="481" t="s">
        <v>186</v>
      </c>
      <c r="X15" t="s">
        <v>34</v>
      </c>
      <c r="AA15" s="176" t="s">
        <v>73</v>
      </c>
      <c r="AB15" s="169" t="str">
        <f>IFERROR(INDEX(Data_Omakoodi!E:E,MATCH(AA15,Data_Omakoodi!A:A,0)),"")</f>
        <v/>
      </c>
      <c r="AC15" t="s">
        <v>74</v>
      </c>
      <c r="AD15" s="169" t="str">
        <f>IFERROR(INDEX(Data_Omakoodi!E:E,MATCH(AC15,Data_Omakoodi!A:A,0)),"")</f>
        <v/>
      </c>
      <c r="AE15" t="s">
        <v>74</v>
      </c>
      <c r="AF15" t="s">
        <v>75</v>
      </c>
    </row>
    <row r="16" spans="1:33" x14ac:dyDescent="0.25">
      <c r="A16" s="990" t="s">
        <v>707</v>
      </c>
      <c r="B16" s="991"/>
      <c r="C16" s="479">
        <f ca="1">SUMIFS(AS!$W:$W,AS!$V:$V,"OK",AS!$K:$K,$Y$1,AS!BP:BP,"OK",AS!$F:$F,Trendit!$X$14,AS!$AW:$AW,Trendit!$Y$6)</f>
        <v>0</v>
      </c>
      <c r="D16" s="479">
        <f ca="1">SUMIFS(AS!$W:$W,AS!$V:$V,"OK",AS!$K:$K,$Y$1,AS!BQ:BQ,"OK",AS!$F:$F,Trendit!$X$14,AS!$AW:$AW,Trendit!$Y$6)</f>
        <v>0</v>
      </c>
      <c r="E16" s="479">
        <f ca="1">SUMIFS(AS!$W:$W,AS!$V:$V,"OK",AS!$K:$K,$Y$1,AS!BR:BR,"OK",AS!$F:$F,Trendit!$X$14,AS!$AW:$AW,Trendit!$Y$6)</f>
        <v>0</v>
      </c>
      <c r="F16" s="479">
        <f ca="1">SUMIFS(AS!$W:$W,AS!$V:$V,"OK",AS!$K:$K,$Y$1,AS!BS:BS,"OK",AS!$F:$F,Trendit!$X$14,AS!$AW:$AW,Trendit!$Y$6)</f>
        <v>0</v>
      </c>
      <c r="G16" s="479">
        <f ca="1">SUMIFS(AS!$W:$W,AS!$V:$V,"OK",AS!$K:$K,$Y$1,AS!BT:BT,"OK",AS!$F:$F,Trendit!$X$14,AS!$AW:$AW,Trendit!$Y$6)</f>
        <v>0</v>
      </c>
      <c r="H16" s="479">
        <f ca="1">SUMIFS(AS!$W:$W,AS!$V:$V,"OK",AS!$K:$K,$Y$1,AS!BU:BU,"OK",AS!$F:$F,Trendit!$X$14,AS!$AW:$AW,Trendit!$Y$6)</f>
        <v>0</v>
      </c>
      <c r="I16" s="479">
        <f ca="1">SUMIFS(AS!$W:$W,AS!$V:$V,"OK",AS!$K:$K,$Y$1,AS!BV:BV,"OK",AS!$F:$F,Trendit!$X$14,AS!$AW:$AW,Trendit!$Y$6)</f>
        <v>0</v>
      </c>
      <c r="J16" s="479">
        <f ca="1">SUMIFS(AS!$W:$W,AS!$V:$V,"OK",AS!$K:$K,$Y$1,AS!BW:BW,"OK",AS!$F:$F,Trendit!$X$14,AS!$AW:$AW,Trendit!$Y$6)</f>
        <v>0</v>
      </c>
      <c r="K16" s="479">
        <f ca="1">SUMIFS(AS!$W:$W,AS!$V:$V,"OK",AS!$K:$K,$Y$1,AS!BX:BX,"OK",AS!$F:$F,Trendit!$X$14,AS!$AW:$AW,Trendit!$Y$6)</f>
        <v>0</v>
      </c>
      <c r="L16" s="479">
        <f ca="1">SUMIFS(AS!$W:$W,AS!$V:$V,"OK",AS!$K:$K,$Y$1,AS!BY:BY,"OK",AS!$F:$F,Trendit!$X$14,AS!$AW:$AW,Trendit!$Y$6)</f>
        <v>0</v>
      </c>
      <c r="M16" s="479">
        <f ca="1">SUMIFS(AS!$W:$W,AS!$V:$V,"OK",AS!$K:$K,$Y$1,AS!BZ:BZ,"OK",AS!$F:$F,Trendit!$X$14,AS!$AW:$AW,Trendit!$Y$6)</f>
        <v>0</v>
      </c>
      <c r="N16" s="479">
        <f ca="1">SUMIFS(AS!$W:$W,AS!$V:$V,"OK",AS!$K:$K,$Y$1,AS!CA:CA,"OK",AS!$F:$F,Trendit!$X$14,AS!$AW:$AW,Trendit!$Y$6)</f>
        <v>0</v>
      </c>
      <c r="O16" s="445">
        <f ca="1">SUM(C16:N16)</f>
        <v>0</v>
      </c>
      <c r="P16" s="611">
        <f ca="1">IFERROR(O16/Q16,0)</f>
        <v>0</v>
      </c>
      <c r="Q16" s="445">
        <f>IF($W$3="12",SUMIFS(AS!$W:$W,AS!AB:AB,"OK",AS!$F:$F,$X$14,AS!$AW:$AW,$Y$6,AS!$K:$K,$Y$1),"ks. aika")</f>
        <v>0</v>
      </c>
      <c r="AA16" s="176" t="s">
        <v>80</v>
      </c>
      <c r="AB16" s="169" t="str">
        <f>IFERROR(INDEX(Data_Omakoodi!E:E,MATCH(AA16,Data_Omakoodi!A:A,0)),"")</f>
        <v/>
      </c>
      <c r="AC16" t="s">
        <v>81</v>
      </c>
      <c r="AD16" s="169" t="str">
        <f>IFERROR(INDEX(Data_Omakoodi!E:E,MATCH(AC16,Data_Omakoodi!A:A,0)),"")</f>
        <v/>
      </c>
      <c r="AE16" t="s">
        <v>81</v>
      </c>
      <c r="AF16" t="s">
        <v>82</v>
      </c>
    </row>
    <row r="17" spans="1:32" x14ac:dyDescent="0.25">
      <c r="A17" s="992" t="s">
        <v>708</v>
      </c>
      <c r="B17" s="993"/>
      <c r="C17" s="139">
        <f ca="1">SUMIFS(AS!$W:$W,AS!$V:$V,"OK",AS!$K:$K,$Y$1,AS!BP:BP,"OK",AS!$F:$F,Trendit!$X$15,AS!$AW:$AW,Trendit!$Y$6)</f>
        <v>0</v>
      </c>
      <c r="D17" s="139">
        <f ca="1">SUMIFS(AS!$W:$W,AS!$V:$V,"OK",AS!$K:$K,$Y$1,AS!BQ:BQ,"OK",AS!$F:$F,Trendit!$X$15,AS!$AW:$AW,Trendit!$Y$6)</f>
        <v>0</v>
      </c>
      <c r="E17" s="139">
        <f ca="1">SUMIFS(AS!$W:$W,AS!$V:$V,"OK",AS!$K:$K,$Y$1,AS!BR:BR,"OK",AS!$F:$F,Trendit!$X$15,AS!$AW:$AW,Trendit!$Y$6)</f>
        <v>0</v>
      </c>
      <c r="F17" s="139">
        <f ca="1">SUMIFS(AS!$W:$W,AS!$V:$V,"OK",AS!$K:$K,$Y$1,AS!BS:BS,"OK",AS!$F:$F,Trendit!$X$15,AS!$AW:$AW,Trendit!$Y$6)</f>
        <v>0</v>
      </c>
      <c r="G17" s="139">
        <f ca="1">SUMIFS(AS!$W:$W,AS!$V:$V,"OK",AS!$K:$K,$Y$1,AS!BT:BT,"OK",AS!$F:$F,Trendit!$X$15,AS!$AW:$AW,Trendit!$Y$6)</f>
        <v>0</v>
      </c>
      <c r="H17" s="139">
        <f ca="1">SUMIFS(AS!$W:$W,AS!$V:$V,"OK",AS!$K:$K,$Y$1,AS!BU:BU,"OK",AS!$F:$F,Trendit!$X$15,AS!$AW:$AW,Trendit!$Y$6)</f>
        <v>0</v>
      </c>
      <c r="I17" s="139">
        <f ca="1">SUMIFS(AS!$W:$W,AS!$V:$V,"OK",AS!$K:$K,$Y$1,AS!BV:BV,"OK",AS!$F:$F,Trendit!$X$15,AS!$AW:$AW,Trendit!$Y$6)</f>
        <v>0</v>
      </c>
      <c r="J17" s="139">
        <f ca="1">SUMIFS(AS!$W:$W,AS!$V:$V,"OK",AS!$K:$K,$Y$1,AS!BW:BW,"OK",AS!$F:$F,Trendit!$X$15,AS!$AW:$AW,Trendit!$Y$6)</f>
        <v>0</v>
      </c>
      <c r="K17" s="139">
        <f ca="1">SUMIFS(AS!$W:$W,AS!$V:$V,"OK",AS!$K:$K,$Y$1,AS!BX:BX,"OK",AS!$F:$F,Trendit!$X$15,AS!$AW:$AW,Trendit!$Y$6)</f>
        <v>0</v>
      </c>
      <c r="L17" s="139">
        <f ca="1">SUMIFS(AS!$W:$W,AS!$V:$V,"OK",AS!$K:$K,$Y$1,AS!BY:BY,"OK",AS!$F:$F,Trendit!$X$15,AS!$AW:$AW,Trendit!$Y$6)</f>
        <v>0</v>
      </c>
      <c r="M17" s="139">
        <f ca="1">SUMIFS(AS!$W:$W,AS!$V:$V,"OK",AS!$K:$K,$Y$1,AS!BZ:BZ,"OK",AS!$F:$F,Trendit!$X$15,AS!$AW:$AW,Trendit!$Y$6)</f>
        <v>0</v>
      </c>
      <c r="N17" s="139">
        <f ca="1">SUMIFS(AS!$W:$W,AS!$V:$V,"OK",AS!$K:$K,$Y$1,AS!CA:CA,"OK",AS!$F:$F,Trendit!$X$15,AS!$AW:$AW,Trendit!$Y$6)</f>
        <v>0</v>
      </c>
      <c r="O17" s="445">
        <f ca="1">SUM(C17:N17)</f>
        <v>0</v>
      </c>
      <c r="P17" s="611">
        <f ca="1">IFERROR(O17/Q17,0)</f>
        <v>0</v>
      </c>
      <c r="Q17" s="445">
        <f>IF($W$3="12",SUMIFS(AS!$W:$W,AS!$AB:$AB,"OK",AS!$F:$F,$X$15,AS!$AW:$AW,$Y$6,AS!$K:$K,$Y$1),0)</f>
        <v>0</v>
      </c>
      <c r="AA17" s="176" t="s">
        <v>87</v>
      </c>
      <c r="AB17" s="169" t="str">
        <f>IFERROR(INDEX(Data_Omakoodi!E:E,MATCH(AA17,Data_Omakoodi!A:A,0)),"")</f>
        <v/>
      </c>
      <c r="AC17" t="s">
        <v>88</v>
      </c>
      <c r="AD17" s="169" t="str">
        <f>IFERROR(INDEX(Data_Omakoodi!E:E,MATCH(AC17,Data_Omakoodi!A:A,0)),"")</f>
        <v/>
      </c>
      <c r="AE17" t="s">
        <v>88</v>
      </c>
      <c r="AF17" t="s">
        <v>89</v>
      </c>
    </row>
    <row r="18" spans="1:32" x14ac:dyDescent="0.25">
      <c r="A18" s="986" t="s">
        <v>243</v>
      </c>
      <c r="B18" s="987"/>
      <c r="C18" s="89">
        <f ca="1">SUM(C16:C17)</f>
        <v>0</v>
      </c>
      <c r="D18" s="89">
        <f t="shared" ref="D18:O18" ca="1" si="0">SUM(D16:D17)</f>
        <v>0</v>
      </c>
      <c r="E18" s="89">
        <f t="shared" ca="1" si="0"/>
        <v>0</v>
      </c>
      <c r="F18" s="89">
        <f t="shared" ca="1" si="0"/>
        <v>0</v>
      </c>
      <c r="G18" s="89">
        <f t="shared" ca="1" si="0"/>
        <v>0</v>
      </c>
      <c r="H18" s="89">
        <f t="shared" ca="1" si="0"/>
        <v>0</v>
      </c>
      <c r="I18" s="89">
        <f t="shared" ca="1" si="0"/>
        <v>0</v>
      </c>
      <c r="J18" s="89">
        <f t="shared" ca="1" si="0"/>
        <v>0</v>
      </c>
      <c r="K18" s="89">
        <f t="shared" ca="1" si="0"/>
        <v>0</v>
      </c>
      <c r="L18" s="89">
        <f t="shared" ca="1" si="0"/>
        <v>0</v>
      </c>
      <c r="M18" s="89">
        <f t="shared" ca="1" si="0"/>
        <v>0</v>
      </c>
      <c r="N18" s="89">
        <f t="shared" ca="1" si="0"/>
        <v>0</v>
      </c>
      <c r="O18" s="424">
        <f t="shared" ca="1" si="0"/>
        <v>0</v>
      </c>
      <c r="P18" s="510">
        <f ca="1">IFERROR(O18/Q18,0)</f>
        <v>0</v>
      </c>
      <c r="Q18" s="424">
        <f>IFERROR(SUM(Q16:Q17),"")</f>
        <v>0</v>
      </c>
      <c r="AA18" s="176" t="s">
        <v>94</v>
      </c>
      <c r="AB18" s="169" t="str">
        <f>IFERROR(INDEX(Data_Omakoodi!E:E,MATCH(AA18,Data_Omakoodi!A:A,0)),"")</f>
        <v/>
      </c>
      <c r="AC18" t="s">
        <v>95</v>
      </c>
      <c r="AD18" s="169" t="str">
        <f>IFERROR(INDEX(Data_Omakoodi!E:E,MATCH(AC18,Data_Omakoodi!A:A,0)),"")</f>
        <v/>
      </c>
      <c r="AE18" t="s">
        <v>95</v>
      </c>
      <c r="AF18" t="s">
        <v>96</v>
      </c>
    </row>
    <row r="19" spans="1:32" x14ac:dyDescent="0.25">
      <c r="AA19" s="176" t="s">
        <v>101</v>
      </c>
      <c r="AB19" s="169" t="str">
        <f>IFERROR(INDEX(Data_Omakoodi!E:E,MATCH(AA19,Data_Omakoodi!A:A,0)),"")</f>
        <v/>
      </c>
      <c r="AC19" t="s">
        <v>102</v>
      </c>
      <c r="AD19" s="169" t="str">
        <f>IFERROR(INDEX(Data_Omakoodi!E:E,MATCH(AC19,Data_Omakoodi!A:A,0)),"")</f>
        <v/>
      </c>
      <c r="AE19" t="s">
        <v>102</v>
      </c>
      <c r="AF19" t="s">
        <v>103</v>
      </c>
    </row>
    <row r="20" spans="1:32" x14ac:dyDescent="0.25">
      <c r="A20" s="66" t="str">
        <f>"Uudet asiakkaat - jaksoja voi olla aikaisempina vuosina "&amp;X12</f>
        <v>Uudet asiakkaat - jaksoja voi olla aikaisempina vuosina (Kaikki kunnat, Kaikki yksiköt)</v>
      </c>
      <c r="B20" s="519"/>
      <c r="AA20" s="176" t="s">
        <v>107</v>
      </c>
      <c r="AB20" s="169" t="str">
        <f>IFERROR(INDEX(Data_Omakoodi!E:E,MATCH(AA20,Data_Omakoodi!A:A,0)),"")</f>
        <v/>
      </c>
      <c r="AC20" t="s">
        <v>108</v>
      </c>
      <c r="AD20" s="169" t="str">
        <f>IFERROR(INDEX(Data_Omakoodi!E:E,MATCH(AC20,Data_Omakoodi!A:A,0)),"")</f>
        <v/>
      </c>
      <c r="AE20" t="s">
        <v>108</v>
      </c>
      <c r="AF20" t="s">
        <v>109</v>
      </c>
    </row>
    <row r="21" spans="1:32" ht="15" customHeight="1" x14ac:dyDescent="0.25">
      <c r="A21" s="988" t="s">
        <v>692</v>
      </c>
      <c r="B21" s="520" t="str">
        <f>TEXT($A$2-365,"VVVV")&amp;"-"</f>
        <v>2025-</v>
      </c>
      <c r="C21" s="976" t="str">
        <f>TEXT($A$2,"vvvv")</f>
        <v>2026</v>
      </c>
      <c r="D21" s="977"/>
      <c r="E21" s="977"/>
      <c r="F21" s="977"/>
      <c r="G21" s="977"/>
      <c r="H21" s="977"/>
      <c r="I21" s="977"/>
      <c r="J21" s="977"/>
      <c r="K21" s="977"/>
      <c r="L21" s="977"/>
      <c r="M21" s="977"/>
      <c r="N21" s="977"/>
      <c r="O21" s="480" t="s">
        <v>11</v>
      </c>
      <c r="P21" s="508" t="s">
        <v>693</v>
      </c>
      <c r="Q21" s="480" t="s">
        <v>4</v>
      </c>
      <c r="AA21" s="176" t="s">
        <v>112</v>
      </c>
      <c r="AB21" s="169" t="str">
        <f>IFERROR(INDEX(Data_Omakoodi!E:E,MATCH(AA21,Data_Omakoodi!A:A,0)),"")</f>
        <v/>
      </c>
      <c r="AC21" t="s">
        <v>113</v>
      </c>
      <c r="AD21" s="169" t="str">
        <f>IFERROR(INDEX(Data_Omakoodi!E:E,MATCH(AC21,Data_Omakoodi!A:A,0)),"")</f>
        <v/>
      </c>
      <c r="AE21" t="s">
        <v>113</v>
      </c>
      <c r="AF21" t="s">
        <v>114</v>
      </c>
    </row>
    <row r="22" spans="1:32" x14ac:dyDescent="0.25">
      <c r="A22" s="989"/>
      <c r="B22" s="521" t="s">
        <v>709</v>
      </c>
      <c r="C22" s="455" t="s">
        <v>694</v>
      </c>
      <c r="D22" s="455" t="s">
        <v>695</v>
      </c>
      <c r="E22" s="455" t="s">
        <v>696</v>
      </c>
      <c r="F22" s="455" t="s">
        <v>697</v>
      </c>
      <c r="G22" s="455" t="s">
        <v>698</v>
      </c>
      <c r="H22" s="455" t="s">
        <v>699</v>
      </c>
      <c r="I22" s="455" t="s">
        <v>700</v>
      </c>
      <c r="J22" s="455" t="s">
        <v>701</v>
      </c>
      <c r="K22" s="455" t="s">
        <v>702</v>
      </c>
      <c r="L22" s="455" t="s">
        <v>703</v>
      </c>
      <c r="M22" s="455" t="s">
        <v>704</v>
      </c>
      <c r="N22" s="455" t="s">
        <v>705</v>
      </c>
      <c r="O22" s="481" t="s">
        <v>186</v>
      </c>
      <c r="P22" s="509" t="s">
        <v>706</v>
      </c>
      <c r="Q22" s="481" t="s">
        <v>186</v>
      </c>
      <c r="AA22" s="176" t="s">
        <v>117</v>
      </c>
      <c r="AB22" s="169" t="str">
        <f>IFERROR(INDEX(Data_Omakoodi!E:E,MATCH(AA22,Data_Omakoodi!A:A,0)),"")</f>
        <v/>
      </c>
      <c r="AC22" t="s">
        <v>118</v>
      </c>
      <c r="AD22" s="169" t="str">
        <f>IFERROR(INDEX(Data_Omakoodi!E:E,MATCH(AC22,Data_Omakoodi!A:A,0)),"")</f>
        <v/>
      </c>
      <c r="AE22" t="s">
        <v>118</v>
      </c>
      <c r="AF22" t="s">
        <v>119</v>
      </c>
    </row>
    <row r="23" spans="1:32" x14ac:dyDescent="0.25">
      <c r="A23" s="456" t="s">
        <v>707</v>
      </c>
      <c r="B23" s="522">
        <f>IFERROR(Q23-O23,0)</f>
        <v>0</v>
      </c>
      <c r="C23" s="479">
        <f>SUMIFS(AS!$W:$W,AS!$V:$V,"OK",AS!$K:$K,$Y$1,AS!CK:CK,"OK",AS!$F:$F,Trendit!$X$14,AS!$AW:$AW,Trendit!$Y$6)</f>
        <v>0</v>
      </c>
      <c r="D23" s="479">
        <f>SUMIFS(AS!$W:$W,AS!$V:$V,"OK",AS!$K:$K,$Y$1,AS!CL:CL,"OK",AS!$F:$F,Trendit!$X$14,AS!$AW:$AW,Trendit!$Y$6)</f>
        <v>0</v>
      </c>
      <c r="E23" s="479">
        <f>SUMIFS(AS!$W:$W,AS!$V:$V,"OK",AS!$K:$K,$Y$1,AS!CM:CM,"OK",AS!$F:$F,Trendit!$X$14,AS!$AW:$AW,Trendit!$Y$6)</f>
        <v>0</v>
      </c>
      <c r="F23" s="479">
        <f>SUMIFS(AS!$W:$W,AS!$V:$V,"OK",AS!$K:$K,$Y$1,AS!CN:CN,"OK",AS!$F:$F,Trendit!$X$14,AS!$AW:$AW,Trendit!$Y$6)</f>
        <v>0</v>
      </c>
      <c r="G23" s="479">
        <f>SUMIFS(AS!$W:$W,AS!$V:$V,"OK",AS!$K:$K,$Y$1,AS!CO:CO,"OK",AS!$F:$F,Trendit!$X$14,AS!$AW:$AW,Trendit!$Y$6)</f>
        <v>0</v>
      </c>
      <c r="H23" s="479">
        <f>SUMIFS(AS!$W:$W,AS!$V:$V,"OK",AS!$K:$K,$Y$1,AS!CP:CP,"OK",AS!$F:$F,Trendit!$X$14,AS!$AW:$AW,Trendit!$Y$6)</f>
        <v>0</v>
      </c>
      <c r="I23" s="479">
        <f>SUMIFS(AS!$W:$W,AS!$V:$V,"OK",AS!$K:$K,$Y$1,AS!CQ:CQ,"OK",AS!$F:$F,Trendit!$X$14,AS!$AW:$AW,Trendit!$Y$6)</f>
        <v>0</v>
      </c>
      <c r="J23" s="479">
        <f>SUMIFS(AS!$W:$W,AS!$V:$V,"OK",AS!$K:$K,$Y$1,AS!CR:CR,"OK",AS!$F:$F,Trendit!$X$14,AS!$AW:$AW,Trendit!$Y$6)</f>
        <v>0</v>
      </c>
      <c r="K23" s="479">
        <f>SUMIFS(AS!$W:$W,AS!$V:$V,"OK",AS!$K:$K,$Y$1,AS!CS:CS,"OK",AS!$F:$F,Trendit!$X$14,AS!$AW:$AW,Trendit!$Y$6)</f>
        <v>0</v>
      </c>
      <c r="L23" s="479">
        <f>SUMIFS(AS!$W:$W,AS!$V:$V,"OK",AS!$K:$K,$Y$1,AS!CT:CT,"OK",AS!$F:$F,Trendit!$X$14,AS!$AW:$AW,Trendit!$Y$6)</f>
        <v>0</v>
      </c>
      <c r="M23" s="479">
        <f>SUMIFS(AS!$W:$W,AS!$V:$V,"OK",AS!$K:$K,$Y$1,AS!CU:CU,"OK",AS!$F:$F,Trendit!$X$14,AS!$AW:$AW,Trendit!$Y$6)</f>
        <v>0</v>
      </c>
      <c r="N23" s="479">
        <f>SUMIFS(AS!$W:$W,AS!$V:$V,"OK",AS!$K:$K,$Y$1,AS!CV:CV,"OK",AS!$F:$F,Trendit!$X$14,AS!$AW:$AW,Trendit!$Y$6)</f>
        <v>0</v>
      </c>
      <c r="O23" s="445">
        <f>SUM(C23:N23)</f>
        <v>0</v>
      </c>
      <c r="P23" s="611">
        <f>IFERROR(O23/Q23,0)</f>
        <v>0</v>
      </c>
      <c r="Q23" s="445">
        <f>IF($W$3="12",SUMIFS(AS!$W:$W,AS!AB:AB,"OK",AS!$F:$F,$X$14,AS!$AW:$AW,$Y$6,AS!$K:$K,$Y$1),"ks. aika")</f>
        <v>0</v>
      </c>
      <c r="AA23" s="176" t="s">
        <v>124</v>
      </c>
      <c r="AB23" s="169" t="str">
        <f>IFERROR(INDEX(Data_Omakoodi!E:E,MATCH(AA23,Data_Omakoodi!A:A,0)),"")</f>
        <v/>
      </c>
      <c r="AC23" t="s">
        <v>125</v>
      </c>
      <c r="AD23" s="169" t="str">
        <f>IFERROR(INDEX(Data_Omakoodi!E:E,MATCH(AC23,Data_Omakoodi!A:A,0)),"")</f>
        <v/>
      </c>
      <c r="AE23" t="s">
        <v>125</v>
      </c>
      <c r="AF23" t="s">
        <v>126</v>
      </c>
    </row>
    <row r="24" spans="1:32" x14ac:dyDescent="0.25">
      <c r="A24" s="457" t="s">
        <v>708</v>
      </c>
      <c r="B24" s="523">
        <f>IFERROR(Q24-O24,0)</f>
        <v>0</v>
      </c>
      <c r="C24" s="139">
        <f>SUMIFS(AS!$W:$W,AS!$V:$V,"OK",AS!$K:$K,$Y$1,AS!CK:CK,"OK",AS!$F:$F,Trendit!$X$15,AS!$AW:$AW,Trendit!$Y$6)</f>
        <v>0</v>
      </c>
      <c r="D24" s="139">
        <f>SUMIFS(AS!$W:$W,AS!$V:$V,"OK",AS!$K:$K,$Y$1,AS!CL:CL,"OK",AS!$F:$F,Trendit!$X$15,AS!$AW:$AW,Trendit!$Y$6)</f>
        <v>0</v>
      </c>
      <c r="E24" s="139">
        <f>SUMIFS(AS!$W:$W,AS!$V:$V,"OK",AS!$K:$K,$Y$1,AS!CM:CM,"OK",AS!$F:$F,Trendit!$X$15,AS!$AW:$AW,Trendit!$Y$6)</f>
        <v>0</v>
      </c>
      <c r="F24" s="139">
        <f>SUMIFS(AS!$W:$W,AS!$V:$V,"OK",AS!$K:$K,$Y$1,AS!CN:CN,"OK",AS!$F:$F,Trendit!$X$15,AS!$AW:$AW,Trendit!$Y$6)</f>
        <v>0</v>
      </c>
      <c r="G24" s="139">
        <f>SUMIFS(AS!$W:$W,AS!$V:$V,"OK",AS!$K:$K,$Y$1,AS!CO:CO,"OK",AS!$F:$F,Trendit!$X$15,AS!$AW:$AW,Trendit!$Y$6)</f>
        <v>0</v>
      </c>
      <c r="H24" s="139">
        <f>SUMIFS(AS!$W:$W,AS!$V:$V,"OK",AS!$K:$K,$Y$1,AS!CP:CP,"OK",AS!$F:$F,Trendit!$X$15,AS!$AW:$AW,Trendit!$Y$6)</f>
        <v>0</v>
      </c>
      <c r="I24" s="139">
        <f>SUMIFS(AS!$W:$W,AS!$V:$V,"OK",AS!$K:$K,$Y$1,AS!CQ:CQ,"OK",AS!$F:$F,Trendit!$X$15,AS!$AW:$AW,Trendit!$Y$6)</f>
        <v>0</v>
      </c>
      <c r="J24" s="139">
        <f>SUMIFS(AS!$W:$W,AS!$V:$V,"OK",AS!$K:$K,$Y$1,AS!CR:CR,"OK",AS!$F:$F,Trendit!$X$15,AS!$AW:$AW,Trendit!$Y$6)</f>
        <v>0</v>
      </c>
      <c r="K24" s="139">
        <f>SUMIFS(AS!$W:$W,AS!$V:$V,"OK",AS!$K:$K,$Y$1,AS!CS:CS,"OK",AS!$F:$F,Trendit!$X$15,AS!$AW:$AW,Trendit!$Y$6)</f>
        <v>0</v>
      </c>
      <c r="L24" s="139">
        <f>SUMIFS(AS!$W:$W,AS!$V:$V,"OK",AS!$K:$K,$Y$1,AS!CT:CT,"OK",AS!$F:$F,Trendit!$X$15,AS!$AW:$AW,Trendit!$Y$6)</f>
        <v>0</v>
      </c>
      <c r="M24" s="139">
        <f>SUMIFS(AS!$W:$W,AS!$V:$V,"OK",AS!$K:$K,$Y$1,AS!CU:CU,"OK",AS!$F:$F,Trendit!$X$15,AS!$AW:$AW,Trendit!$Y$6)</f>
        <v>0</v>
      </c>
      <c r="N24" s="139">
        <f>SUMIFS(AS!$W:$W,AS!$V:$V,"OK",AS!$K:$K,$Y$1,AS!CV:CV,"OK",AS!$F:$F,Trendit!$X$15,AS!$AW:$AW,Trendit!$Y$6)</f>
        <v>0</v>
      </c>
      <c r="O24" s="445">
        <f>SUM(C24:N24)</f>
        <v>0</v>
      </c>
      <c r="P24" s="611">
        <f>IFERROR(O24/Q24,0)</f>
        <v>0</v>
      </c>
      <c r="Q24" s="445">
        <f>IF($W$3="12",SUMIFS(AS!$W:$W,AS!$AB:$AB,"OK",AS!$F:$F,$X$15,AS!$AW:$AW,$Y$6,AS!$K:$K,$Y$1),0)</f>
        <v>0</v>
      </c>
      <c r="AA24" s="176" t="s">
        <v>131</v>
      </c>
      <c r="AB24" s="169" t="str">
        <f>IFERROR(INDEX(Data_Omakoodi!E:E,MATCH(AA24,Data_Omakoodi!A:A,0)),"")</f>
        <v/>
      </c>
      <c r="AC24" t="s">
        <v>132</v>
      </c>
      <c r="AD24" s="169" t="str">
        <f>IFERROR(INDEX(Data_Omakoodi!E:E,MATCH(AC24,Data_Omakoodi!A:A,0)),"")</f>
        <v/>
      </c>
      <c r="AE24" t="s">
        <v>132</v>
      </c>
      <c r="AF24" t="s">
        <v>133</v>
      </c>
    </row>
    <row r="25" spans="1:32" x14ac:dyDescent="0.25">
      <c r="A25" s="419" t="s">
        <v>243</v>
      </c>
      <c r="B25" s="524">
        <f>IFERROR(Q25-O25,0)</f>
        <v>0</v>
      </c>
      <c r="C25" s="89">
        <f>SUM(C23:C24)</f>
        <v>0</v>
      </c>
      <c r="D25" s="89">
        <f t="shared" ref="D25:O25" si="1">SUM(D23:D24)</f>
        <v>0</v>
      </c>
      <c r="E25" s="89">
        <f t="shared" si="1"/>
        <v>0</v>
      </c>
      <c r="F25" s="89">
        <f t="shared" si="1"/>
        <v>0</v>
      </c>
      <c r="G25" s="89">
        <f t="shared" si="1"/>
        <v>0</v>
      </c>
      <c r="H25" s="89">
        <f t="shared" si="1"/>
        <v>0</v>
      </c>
      <c r="I25" s="89">
        <f t="shared" si="1"/>
        <v>0</v>
      </c>
      <c r="J25" s="89">
        <f t="shared" si="1"/>
        <v>0</v>
      </c>
      <c r="K25" s="89">
        <f t="shared" si="1"/>
        <v>0</v>
      </c>
      <c r="L25" s="89">
        <f t="shared" si="1"/>
        <v>0</v>
      </c>
      <c r="M25" s="89">
        <f t="shared" si="1"/>
        <v>0</v>
      </c>
      <c r="N25" s="89">
        <f t="shared" si="1"/>
        <v>0</v>
      </c>
      <c r="O25" s="424">
        <f t="shared" si="1"/>
        <v>0</v>
      </c>
      <c r="P25" s="510">
        <f>IFERROR(O25/Q25,0)</f>
        <v>0</v>
      </c>
      <c r="Q25" s="424">
        <f>IFERROR(SUM(Q23:Q24),0)</f>
        <v>0</v>
      </c>
      <c r="AA25" s="176" t="s">
        <v>136</v>
      </c>
      <c r="AB25" s="169" t="str">
        <f>IFERROR(INDEX(Data_Omakoodi!E:E,MATCH(AA25,Data_Omakoodi!A:A,0)),"")</f>
        <v/>
      </c>
      <c r="AC25" t="s">
        <v>137</v>
      </c>
      <c r="AD25" s="169" t="str">
        <f>IFERROR(INDEX(Data_Omakoodi!E:E,MATCH(AC25,Data_Omakoodi!A:A,0)),"")</f>
        <v/>
      </c>
      <c r="AE25" t="s">
        <v>137</v>
      </c>
      <c r="AF25" t="s">
        <v>138</v>
      </c>
    </row>
    <row r="26" spans="1:32" x14ac:dyDescent="0.25">
      <c r="AA26" s="176" t="s">
        <v>140</v>
      </c>
      <c r="AB26" s="169" t="str">
        <f>IFERROR(INDEX(Data_Omakoodi!E:E,MATCH(AA26,Data_Omakoodi!A:A,0)),"")</f>
        <v/>
      </c>
      <c r="AC26" t="s">
        <v>141</v>
      </c>
      <c r="AD26" s="169" t="str">
        <f>IFERROR(INDEX(Data_Omakoodi!E:E,MATCH(AC26,Data_Omakoodi!A:A,0)),"")</f>
        <v/>
      </c>
      <c r="AE26" t="s">
        <v>141</v>
      </c>
      <c r="AF26" t="s">
        <v>142</v>
      </c>
    </row>
    <row r="27" spans="1:32" x14ac:dyDescent="0.25">
      <c r="A27" s="66" t="str">
        <f>"Uudet JAKSOT aloituskuukauden perusteella " &amp;X12</f>
        <v>Uudet JAKSOT aloituskuukauden perusteella (Kaikki kunnat, Kaikki yksiköt)</v>
      </c>
      <c r="B27" s="519"/>
      <c r="AA27" s="176" t="s">
        <v>145</v>
      </c>
      <c r="AB27" s="169" t="str">
        <f>IFERROR(INDEX(Data_Omakoodi!E:E,MATCH(AA27,Data_Omakoodi!A:A,0)),"")</f>
        <v/>
      </c>
      <c r="AC27" t="s">
        <v>146</v>
      </c>
      <c r="AD27" s="169" t="str">
        <f>IFERROR(INDEX(Data_Omakoodi!E:E,MATCH(AC27,Data_Omakoodi!A:A,0)),"")</f>
        <v/>
      </c>
      <c r="AE27" t="s">
        <v>146</v>
      </c>
      <c r="AF27" t="s">
        <v>147</v>
      </c>
    </row>
    <row r="28" spans="1:32" x14ac:dyDescent="0.25">
      <c r="A28" s="988" t="s">
        <v>692</v>
      </c>
      <c r="B28" s="520" t="str">
        <f>TEXT($A$2-365,"VVVV")&amp;"-"</f>
        <v>2025-</v>
      </c>
      <c r="C28" s="976" t="str">
        <f>TEXT($A$2,"vvvv")</f>
        <v>2026</v>
      </c>
      <c r="D28" s="977"/>
      <c r="E28" s="977"/>
      <c r="F28" s="977"/>
      <c r="G28" s="977"/>
      <c r="H28" s="977"/>
      <c r="I28" s="977"/>
      <c r="J28" s="977"/>
      <c r="K28" s="977"/>
      <c r="L28" s="977"/>
      <c r="M28" s="977"/>
      <c r="N28" s="977"/>
      <c r="O28" s="480" t="s">
        <v>710</v>
      </c>
      <c r="P28" s="508" t="s">
        <v>711</v>
      </c>
      <c r="Q28" s="480" t="s">
        <v>712</v>
      </c>
      <c r="AA28" s="176" t="s">
        <v>150</v>
      </c>
      <c r="AB28" s="169" t="str">
        <f>IFERROR(INDEX(Data_Omakoodi!E:E,MATCH(AA28,Data_Omakoodi!A:A,0)),"")</f>
        <v/>
      </c>
      <c r="AC28" t="s">
        <v>151</v>
      </c>
      <c r="AD28" s="169" t="str">
        <f>IFERROR(INDEX(Data_Omakoodi!E:E,MATCH(AC28,Data_Omakoodi!A:A,0)),"")</f>
        <v/>
      </c>
      <c r="AE28" t="s">
        <v>151</v>
      </c>
      <c r="AF28" t="s">
        <v>152</v>
      </c>
    </row>
    <row r="29" spans="1:32" x14ac:dyDescent="0.25">
      <c r="A29" s="989"/>
      <c r="B29" s="521" t="s">
        <v>709</v>
      </c>
      <c r="C29" s="455" t="s">
        <v>694</v>
      </c>
      <c r="D29" s="455" t="s">
        <v>695</v>
      </c>
      <c r="E29" s="455" t="s">
        <v>696</v>
      </c>
      <c r="F29" s="455" t="s">
        <v>697</v>
      </c>
      <c r="G29" s="455" t="s">
        <v>698</v>
      </c>
      <c r="H29" s="455" t="s">
        <v>699</v>
      </c>
      <c r="I29" s="455" t="s">
        <v>700</v>
      </c>
      <c r="J29" s="455" t="s">
        <v>701</v>
      </c>
      <c r="K29" s="455" t="s">
        <v>702</v>
      </c>
      <c r="L29" s="455" t="s">
        <v>703</v>
      </c>
      <c r="M29" s="455" t="s">
        <v>704</v>
      </c>
      <c r="N29" s="455" t="s">
        <v>705</v>
      </c>
      <c r="O29" s="481" t="s">
        <v>186</v>
      </c>
      <c r="P29" s="509" t="s">
        <v>706</v>
      </c>
      <c r="Q29" s="481" t="s">
        <v>186</v>
      </c>
      <c r="AA29" s="176" t="s">
        <v>157</v>
      </c>
      <c r="AB29" s="169" t="str">
        <f>IFERROR(INDEX(Data_Omakoodi!E:E,MATCH(AA29,Data_Omakoodi!A:A,0)),"")</f>
        <v/>
      </c>
      <c r="AC29" t="s">
        <v>158</v>
      </c>
      <c r="AD29" s="169" t="str">
        <f>IFERROR(INDEX(Data_Omakoodi!E:E,MATCH(AC29,Data_Omakoodi!A:A,0)),"")</f>
        <v/>
      </c>
      <c r="AE29" t="s">
        <v>158</v>
      </c>
      <c r="AF29" t="s">
        <v>159</v>
      </c>
    </row>
    <row r="30" spans="1:32" x14ac:dyDescent="0.25">
      <c r="A30" s="441" t="s">
        <v>707</v>
      </c>
      <c r="B30" s="522">
        <f>IFERROR(Q30-O30,0)</f>
        <v>0</v>
      </c>
      <c r="C30" s="479">
        <f>SUMIFS(JA!$Z:$Z,JA!$CI:$CI,Trendit!$Y$1,JA!BV:BV,"OK",JA!$CH:$CH,$X$14,JA!$AX:$AX,$Y$6)</f>
        <v>0</v>
      </c>
      <c r="D30" s="479">
        <f>SUMIFS(JA!$Z:$Z,JA!$CI:$CI,Trendit!$Y$1,JA!BW:BW,"OK",JA!$CH:$CH,$X$14,JA!$AX:$AX,$Y$6)</f>
        <v>0</v>
      </c>
      <c r="E30" s="479">
        <f>SUMIFS(JA!$Z:$Z,JA!$CI:$CI,Trendit!$Y$1,JA!BX:BX,"OK",JA!$CH:$CH,$X$14,JA!$AX:$AX,$Y$6)</f>
        <v>0</v>
      </c>
      <c r="F30" s="479">
        <f>SUMIFS(JA!$Z:$Z,JA!$CI:$CI,Trendit!$Y$1,JA!BY:BY,"OK",JA!$CH:$CH,$X$14,JA!$AX:$AX,$Y$6)</f>
        <v>0</v>
      </c>
      <c r="G30" s="479">
        <f>SUMIFS(JA!$Z:$Z,JA!$CI:$CI,Trendit!$Y$1,JA!BZ:BZ,"OK",JA!$CH:$CH,$X$14,JA!$AX:$AX,$Y$6)</f>
        <v>0</v>
      </c>
      <c r="H30" s="479">
        <f>SUMIFS(JA!$Z:$Z,JA!$CI:$CI,Trendit!$Y$1,JA!CA:CA,"OK",JA!$CH:$CH,$X$14,JA!$AX:$AX,$Y$6)</f>
        <v>0</v>
      </c>
      <c r="I30" s="479">
        <f>SUMIFS(JA!$Z:$Z,JA!$CI:$CI,Trendit!$Y$1,JA!CB:CB,"OK",JA!$CH:$CH,$X$14,JA!$AX:$AX,$Y$6)</f>
        <v>0</v>
      </c>
      <c r="J30" s="479">
        <f>SUMIFS(JA!$Z:$Z,JA!$CI:$CI,Trendit!$Y$1,JA!CC:CC,"OK",JA!$CH:$CH,$X$14,JA!$AX:$AX,$Y$6)</f>
        <v>0</v>
      </c>
      <c r="K30" s="479">
        <f>SUMIFS(JA!$Z:$Z,JA!$CI:$CI,Trendit!$Y$1,JA!CD:CD,"OK",JA!$CH:$CH,$X$14,JA!$AX:$AX,$Y$6)</f>
        <v>0</v>
      </c>
      <c r="L30" s="479">
        <f>SUMIFS(JA!$Z:$Z,JA!$CI:$CI,Trendit!$Y$1,JA!CE:CE,"OK",JA!$CH:$CH,$X$14,JA!$AX:$AX,$Y$6)</f>
        <v>0</v>
      </c>
      <c r="M30" s="479">
        <f>SUMIFS(JA!$Z:$Z,JA!$CI:$CI,Trendit!$Y$1,JA!CF:CF,"OK",JA!$CH:$CH,$X$14,JA!$AX:$AX,$Y$6)</f>
        <v>0</v>
      </c>
      <c r="N30" s="479">
        <f>SUMIFS(JA!$Z:$Z,JA!$CI:$CI,Trendit!$Y$1,JA!CG:CG,"OK",JA!$CH:$CH,$X$14,JA!$AX:$AX,$Y$6)</f>
        <v>0</v>
      </c>
      <c r="O30" s="445">
        <f>SUM(C30:N30)</f>
        <v>0</v>
      </c>
      <c r="P30" s="611">
        <f>IFERROR(O30/Q30,0)</f>
        <v>0</v>
      </c>
      <c r="Q30" s="445">
        <f>IF($W$3="12",SUMIFS(JA!$Z:$Z,JA!$CI:$CI,Trendit!$Y$1,JA!AE:AE,"OK",JA!$CH:$CH,$X$14,JA!$AX:$AX,$Y$6),"ks. aika")</f>
        <v>0</v>
      </c>
      <c r="AA30" s="176" t="s">
        <v>164</v>
      </c>
      <c r="AB30" s="169" t="str">
        <f>IFERROR(INDEX(Data_Omakoodi!E:E,MATCH(AA30,Data_Omakoodi!A:A,0)),"")</f>
        <v/>
      </c>
      <c r="AC30" t="s">
        <v>165</v>
      </c>
      <c r="AD30" s="169" t="str">
        <f>IFERROR(INDEX(Data_Omakoodi!E:E,MATCH(AC30,Data_Omakoodi!A:A,0)),"")</f>
        <v/>
      </c>
      <c r="AE30" t="s">
        <v>165</v>
      </c>
      <c r="AF30" t="s">
        <v>166</v>
      </c>
    </row>
    <row r="31" spans="1:32" x14ac:dyDescent="0.25">
      <c r="A31" s="459" t="s">
        <v>708</v>
      </c>
      <c r="B31" s="523">
        <f>IFERROR(Q31-O31,0)</f>
        <v>0</v>
      </c>
      <c r="C31" s="479">
        <f>SUMIFS(JA!$Z:$Z,JA!$CI:$CI,Trendit!$Y$1,JA!BV:BV,"OK",JA!$CH:$CH,$X$15,JA!$AX:$AX,$Y$6)</f>
        <v>0</v>
      </c>
      <c r="D31" s="479">
        <f>SUMIFS(JA!$Z:$Z,JA!$CI:$CI,Trendit!$Y$1,JA!BW:BW,"OK",JA!$CH:$CH,$X$15,JA!$AX:$AX,$Y$6)</f>
        <v>0</v>
      </c>
      <c r="E31" s="479">
        <f>SUMIFS(JA!$Z:$Z,JA!$CI:$CI,Trendit!$Y$1,JA!BX:BX,"OK",JA!$CH:$CH,$X$15,JA!$AX:$AX,$Y$6)</f>
        <v>0</v>
      </c>
      <c r="F31" s="479">
        <f>SUMIFS(JA!$Z:$Z,JA!$CI:$CI,Trendit!$Y$1,JA!BY:BY,"OK",JA!$CH:$CH,$X$15,JA!$AX:$AX,$Y$6)</f>
        <v>0</v>
      </c>
      <c r="G31" s="479">
        <f>SUMIFS(JA!$Z:$Z,JA!$CI:$CI,Trendit!$Y$1,JA!BZ:BZ,"OK",JA!$CH:$CH,$X$15,JA!$AX:$AX,$Y$6)</f>
        <v>0</v>
      </c>
      <c r="H31" s="479">
        <f>SUMIFS(JA!$Z:$Z,JA!$CI:$CI,Trendit!$Y$1,JA!CA:CA,"OK",JA!$CH:$CH,$X$15,JA!$AX:$AX,$Y$6)</f>
        <v>0</v>
      </c>
      <c r="I31" s="479">
        <f>SUMIFS(JA!$Z:$Z,JA!$CI:$CI,Trendit!$Y$1,JA!CB:CB,"OK",JA!$CH:$CH,$X$15,JA!$AX:$AX,$Y$6)</f>
        <v>0</v>
      </c>
      <c r="J31" s="479">
        <f>SUMIFS(JA!$Z:$Z,JA!$CI:$CI,Trendit!$Y$1,JA!CC:CC,"OK",JA!$CH:$CH,$X$15,JA!$AX:$AX,$Y$6)</f>
        <v>0</v>
      </c>
      <c r="K31" s="479">
        <f>SUMIFS(JA!$Z:$Z,JA!$CI:$CI,Trendit!$Y$1,JA!CD:CD,"OK",JA!$CH:$CH,$X$15,JA!$AX:$AX,$Y$6)</f>
        <v>0</v>
      </c>
      <c r="L31" s="479">
        <f>SUMIFS(JA!$Z:$Z,JA!$CI:$CI,Trendit!$Y$1,JA!CE:CE,"OK",JA!$CH:$CH,$X$15,JA!$AX:$AX,$Y$6)</f>
        <v>0</v>
      </c>
      <c r="M31" s="479">
        <f>SUMIFS(JA!$Z:$Z,JA!$CI:$CI,Trendit!$Y$1,JA!CF:CF,"OK",JA!$CH:$CH,$X$15,JA!$AX:$AX,$Y$6)</f>
        <v>0</v>
      </c>
      <c r="N31" s="479">
        <f>SUMIFS(JA!$Z:$Z,JA!$CI:$CI,Trendit!$Y$1,JA!CG:CG,"OK",JA!$CH:$CH,$X$15,JA!$AX:$AX,$Y$6)</f>
        <v>0</v>
      </c>
      <c r="O31" s="446">
        <f>SUM(C31:N31)</f>
        <v>0</v>
      </c>
      <c r="P31" s="611">
        <f>IFERROR(O31/Q31,0)</f>
        <v>0</v>
      </c>
      <c r="Q31" s="484">
        <f>IF($W$3="12",SUMIFS(JA!$Z:$Z,JA!$CI:$CI,Trendit!$Y$1,JA!AE:AE,"OK",JA!$CH:$CH,$X$15,JA!$AX:$AX,$Y$6),0)</f>
        <v>0</v>
      </c>
      <c r="AA31" s="176" t="s">
        <v>169</v>
      </c>
      <c r="AB31" s="169" t="str">
        <f>IFERROR(INDEX(Data_Omakoodi!E:E,MATCH(AA31,Data_Omakoodi!A:A,0)),"")</f>
        <v/>
      </c>
      <c r="AC31" t="s">
        <v>170</v>
      </c>
      <c r="AD31" s="169" t="str">
        <f>IFERROR(INDEX(Data_Omakoodi!E:E,MATCH(AC31,Data_Omakoodi!A:A,0)),"")</f>
        <v/>
      </c>
      <c r="AE31" t="s">
        <v>170</v>
      </c>
      <c r="AF31" t="s">
        <v>171</v>
      </c>
    </row>
    <row r="32" spans="1:32" x14ac:dyDescent="0.25">
      <c r="A32" s="419" t="s">
        <v>243</v>
      </c>
      <c r="B32" s="524">
        <f>IFERROR(Q32-O32,0)</f>
        <v>0</v>
      </c>
      <c r="C32" s="89">
        <f>SUM(C30:C31)</f>
        <v>0</v>
      </c>
      <c r="D32" s="89">
        <f t="shared" ref="D32:O32" si="2">SUM(D30:D31)</f>
        <v>0</v>
      </c>
      <c r="E32" s="89">
        <f t="shared" si="2"/>
        <v>0</v>
      </c>
      <c r="F32" s="89">
        <f t="shared" si="2"/>
        <v>0</v>
      </c>
      <c r="G32" s="89">
        <f t="shared" si="2"/>
        <v>0</v>
      </c>
      <c r="H32" s="89">
        <f t="shared" si="2"/>
        <v>0</v>
      </c>
      <c r="I32" s="89">
        <f t="shared" si="2"/>
        <v>0</v>
      </c>
      <c r="J32" s="89">
        <f t="shared" si="2"/>
        <v>0</v>
      </c>
      <c r="K32" s="89">
        <f t="shared" si="2"/>
        <v>0</v>
      </c>
      <c r="L32" s="89">
        <f t="shared" si="2"/>
        <v>0</v>
      </c>
      <c r="M32" s="89">
        <f t="shared" si="2"/>
        <v>0</v>
      </c>
      <c r="N32" s="89">
        <f t="shared" si="2"/>
        <v>0</v>
      </c>
      <c r="O32" s="424">
        <f t="shared" si="2"/>
        <v>0</v>
      </c>
      <c r="P32" s="510">
        <f>IFERROR(O32/Q32,0)</f>
        <v>0</v>
      </c>
      <c r="Q32" s="424">
        <f>IFERROR(SUM(Q30:Q31),0)</f>
        <v>0</v>
      </c>
      <c r="AA32" s="176" t="s">
        <v>174</v>
      </c>
      <c r="AB32" s="169" t="str">
        <f>IFERROR(INDEX(Data_Omakoodi!E:E,MATCH(AA32,Data_Omakoodi!A:A,0)),"")</f>
        <v/>
      </c>
      <c r="AC32" t="s">
        <v>175</v>
      </c>
      <c r="AD32" s="169" t="str">
        <f>IFERROR(INDEX(Data_Omakoodi!E:E,MATCH(AC32,Data_Omakoodi!A:A,0)),"")</f>
        <v/>
      </c>
      <c r="AE32" t="s">
        <v>175</v>
      </c>
      <c r="AF32" t="s">
        <v>176</v>
      </c>
    </row>
    <row r="33" spans="1:32" x14ac:dyDescent="0.25">
      <c r="AA33" s="176" t="s">
        <v>179</v>
      </c>
      <c r="AB33" s="169" t="str">
        <f>IFERROR(INDEX(Data_Omakoodi!E:E,MATCH(AA33,Data_Omakoodi!A:A,0)),"")</f>
        <v/>
      </c>
      <c r="AC33" t="s">
        <v>180</v>
      </c>
      <c r="AD33" s="169" t="str">
        <f>IFERROR(INDEX(Data_Omakoodi!E:E,MATCH(AC33,Data_Omakoodi!A:A,0)),"")</f>
        <v/>
      </c>
      <c r="AE33" t="s">
        <v>180</v>
      </c>
      <c r="AF33" t="s">
        <v>181</v>
      </c>
    </row>
    <row r="34" spans="1:32" x14ac:dyDescent="0.25">
      <c r="A34" s="66" t="str">
        <f>"Kaikki JAKSOT  &gt; kaikkien käynnissä olevien jaksojen määrä kuukausitain "&amp;X12</f>
        <v>Kaikki JAKSOT  &gt; kaikkien käynnissä olevien jaksojen määrä kuukausitain (Kaikki kunnat, Kaikki yksiköt)</v>
      </c>
      <c r="B34" s="519"/>
      <c r="H34" s="228"/>
      <c r="AA34" s="176" t="s">
        <v>183</v>
      </c>
      <c r="AB34" s="169" t="str">
        <f>IFERROR(INDEX(Data_Omakoodi!E:E,MATCH(AA34,Data_Omakoodi!A:A,0)),"")</f>
        <v/>
      </c>
      <c r="AC34" t="s">
        <v>184</v>
      </c>
      <c r="AD34" s="169" t="str">
        <f>IFERROR(INDEX(Data_Omakoodi!E:E,MATCH(AC34,Data_Omakoodi!A:A,0)),"")</f>
        <v/>
      </c>
      <c r="AE34" t="s">
        <v>184</v>
      </c>
      <c r="AF34" t="s">
        <v>185</v>
      </c>
    </row>
    <row r="35" spans="1:32" x14ac:dyDescent="0.25">
      <c r="A35" s="978" t="s">
        <v>692</v>
      </c>
      <c r="B35" s="979"/>
      <c r="C35" s="976" t="str">
        <f>TEXT($A$2,"vvvv")</f>
        <v>2026</v>
      </c>
      <c r="D35" s="977"/>
      <c r="E35" s="977"/>
      <c r="F35" s="977"/>
      <c r="G35" s="977"/>
      <c r="H35" s="977"/>
      <c r="I35" s="977"/>
      <c r="J35" s="977"/>
      <c r="K35" s="977"/>
      <c r="L35" s="977"/>
      <c r="M35" s="977"/>
      <c r="N35" s="977"/>
      <c r="O35" s="480" t="s">
        <v>713</v>
      </c>
      <c r="AA35" s="176" t="s">
        <v>187</v>
      </c>
      <c r="AB35" s="169" t="str">
        <f>IFERROR(INDEX(Data_Omakoodi!E:E,MATCH(AA35,Data_Omakoodi!A:A,0)),"")</f>
        <v/>
      </c>
      <c r="AC35" t="s">
        <v>188</v>
      </c>
      <c r="AD35" s="169" t="str">
        <f>IFERROR(INDEX(Data_Omakoodi!E:E,MATCH(AC35,Data_Omakoodi!A:A,0)),"")</f>
        <v/>
      </c>
      <c r="AE35" t="s">
        <v>188</v>
      </c>
      <c r="AF35" t="s">
        <v>189</v>
      </c>
    </row>
    <row r="36" spans="1:32" x14ac:dyDescent="0.25">
      <c r="A36" s="980"/>
      <c r="B36" s="981"/>
      <c r="C36" s="455" t="s">
        <v>694</v>
      </c>
      <c r="D36" s="455" t="s">
        <v>695</v>
      </c>
      <c r="E36" s="455" t="s">
        <v>696</v>
      </c>
      <c r="F36" s="455" t="s">
        <v>697</v>
      </c>
      <c r="G36" s="455" t="s">
        <v>698</v>
      </c>
      <c r="H36" s="455" t="s">
        <v>699</v>
      </c>
      <c r="I36" s="455" t="s">
        <v>700</v>
      </c>
      <c r="J36" s="455" t="s">
        <v>701</v>
      </c>
      <c r="K36" s="455" t="s">
        <v>702</v>
      </c>
      <c r="L36" s="455" t="s">
        <v>703</v>
      </c>
      <c r="M36" s="455" t="s">
        <v>704</v>
      </c>
      <c r="N36" s="455" t="s">
        <v>705</v>
      </c>
      <c r="O36" s="481" t="s">
        <v>714</v>
      </c>
      <c r="AA36" s="176" t="s">
        <v>190</v>
      </c>
      <c r="AB36" s="169" t="str">
        <f>IFERROR(INDEX(Data_Omakoodi!E:E,MATCH(AA36,Data_Omakoodi!A:A,0)),"")</f>
        <v/>
      </c>
      <c r="AC36" t="s">
        <v>191</v>
      </c>
      <c r="AD36" s="169" t="str">
        <f>IFERROR(INDEX(Data_Omakoodi!E:E,MATCH(AC36,Data_Omakoodi!A:A,0)),"")</f>
        <v/>
      </c>
      <c r="AE36" t="s">
        <v>191</v>
      </c>
      <c r="AF36" t="s">
        <v>192</v>
      </c>
    </row>
    <row r="37" spans="1:32" x14ac:dyDescent="0.25">
      <c r="A37" s="982" t="s">
        <v>707</v>
      </c>
      <c r="B37" s="983"/>
      <c r="C37" s="479">
        <f>SUMIFS(JA!$Z:$Z,JA!$CI:$CI,Trendit!$Y$1,JA!BJ:BJ,"OK",JA!$CH:$CH,$X$14,JA!$AX:$AX,$Y$6)</f>
        <v>0</v>
      </c>
      <c r="D37" s="479">
        <f>SUMIFS(JA!$Z:$Z,JA!$CI:$CI,Trendit!$Y$1,JA!BK:BK,"OK",JA!$CH:$CH,$X$14,JA!$AX:$AX,$Y$6)</f>
        <v>0</v>
      </c>
      <c r="E37" s="479">
        <f>SUMIFS(JA!$Z:$Z,JA!$CI:$CI,Trendit!$Y$1,JA!BL:BL,"OK",JA!$CH:$CH,$X$14,JA!$AX:$AX,$Y$6)</f>
        <v>0</v>
      </c>
      <c r="F37" s="479">
        <f>SUMIFS(JA!$Z:$Z,JA!$CI:$CI,Trendit!$Y$1,JA!BM:BM,"OK",JA!$CH:$CH,$X$14,JA!$AX:$AX,$Y$6)</f>
        <v>0</v>
      </c>
      <c r="G37" s="479">
        <f>SUMIFS(JA!$Z:$Z,JA!$CI:$CI,Trendit!$Y$1,JA!BN:BN,"OK",JA!$CH:$CH,$X$14,JA!$AX:$AX,$Y$6)</f>
        <v>0</v>
      </c>
      <c r="H37" s="479">
        <f>SUMIFS(JA!$Z:$Z,JA!$CI:$CI,Trendit!$Y$1,JA!BO:BO,"OK",JA!$CH:$CH,$X$14,JA!$AX:$AX,$Y$6)</f>
        <v>0</v>
      </c>
      <c r="I37" s="479">
        <f>SUMIFS(JA!$Z:$Z,JA!$CI:$CI,Trendit!$Y$1,JA!BP:BP,"OK",JA!$CH:$CH,$X$14,JA!$AX:$AX,$Y$6)</f>
        <v>0</v>
      </c>
      <c r="J37" s="479">
        <f>SUMIFS(JA!$Z:$Z,JA!$CI:$CI,Trendit!$Y$1,JA!BQ:BQ,"OK",JA!$CH:$CH,$X$14,JA!$AX:$AX,$Y$6)</f>
        <v>0</v>
      </c>
      <c r="K37" s="479">
        <f>SUMIFS(JA!$Z:$Z,JA!$CI:$CI,Trendit!$Y$1,JA!BR:BR,"OK",JA!$CH:$CH,$X$14,JA!$AX:$AX,$Y$6)</f>
        <v>0</v>
      </c>
      <c r="L37" s="479">
        <f>SUMIFS(JA!$Z:$Z,JA!$CI:$CI,Trendit!$Y$1,JA!BS:BS,"OK",JA!$CH:$CH,$X$14,JA!$AX:$AX,$Y$6)</f>
        <v>0</v>
      </c>
      <c r="M37" s="479">
        <f>SUMIFS(JA!$Z:$Z,JA!$CI:$CI,Trendit!$Y$1,JA!BT:BT,"OK",JA!$CH:$CH,$X$14,JA!$AX:$AX,$Y$6)</f>
        <v>0</v>
      </c>
      <c r="N37" s="479">
        <f>SUMIFS(JA!$Z:$Z,JA!$CI:$CI,Trendit!$Y$1,JA!BU:BU,"OK",JA!$CH:$CH,$X$14,JA!$AX:$AX,$Y$6)</f>
        <v>0</v>
      </c>
      <c r="O37" s="445">
        <f>SUM(C37:N37)</f>
        <v>0</v>
      </c>
      <c r="AA37" s="176" t="s">
        <v>193</v>
      </c>
      <c r="AB37" s="169" t="str">
        <f>IFERROR(INDEX(Data_Omakoodi!E:E,MATCH(AA37,Data_Omakoodi!A:A,0)),"")</f>
        <v/>
      </c>
      <c r="AC37" t="s">
        <v>194</v>
      </c>
      <c r="AD37" s="169" t="str">
        <f>IFERROR(INDEX(Data_Omakoodi!E:E,MATCH(AC37,Data_Omakoodi!A:A,0)),"")</f>
        <v/>
      </c>
      <c r="AE37" t="s">
        <v>194</v>
      </c>
      <c r="AF37" t="s">
        <v>195</v>
      </c>
    </row>
    <row r="38" spans="1:32" x14ac:dyDescent="0.25">
      <c r="A38" s="984" t="s">
        <v>708</v>
      </c>
      <c r="B38" s="985"/>
      <c r="C38" s="479">
        <f>SUMIFS(JA!$Z:$Z,JA!$CI:$CI,Trendit!$Y$1,JA!BJ:BJ,"OK",JA!$CH:$CH,$X$15,JA!$AX:$AX,$Y$6)</f>
        <v>0</v>
      </c>
      <c r="D38" s="479">
        <f>SUMIFS(JA!$Z:$Z,JA!$CI:$CI,Trendit!$Y$1,JA!BK:BK,"OK",JA!$CH:$CH,$X$15,JA!$AX:$AX,$Y$6)</f>
        <v>0</v>
      </c>
      <c r="E38" s="479">
        <f>SUMIFS(JA!$Z:$Z,JA!$CI:$CI,Trendit!$Y$1,JA!BL:BL,"OK",JA!$CH:$CH,$X$15,JA!$AX:$AX,$Y$6)</f>
        <v>0</v>
      </c>
      <c r="F38" s="479">
        <f>SUMIFS(JA!$Z:$Z,JA!$CI:$CI,Trendit!$Y$1,JA!BM:BM,"OK",JA!$CH:$CH,$X$15,JA!$AX:$AX,$Y$6)</f>
        <v>0</v>
      </c>
      <c r="G38" s="479">
        <f>SUMIFS(JA!$Z:$Z,JA!$CI:$CI,Trendit!$Y$1,JA!BN:BN,"OK",JA!$CH:$CH,$X$15,JA!$AX:$AX,$Y$6)</f>
        <v>0</v>
      </c>
      <c r="H38" s="479">
        <f>SUMIFS(JA!$Z:$Z,JA!$CI:$CI,Trendit!$Y$1,JA!BO:BO,"OK",JA!$CH:$CH,$X$15,JA!$AX:$AX,$Y$6)</f>
        <v>0</v>
      </c>
      <c r="I38" s="479">
        <f>SUMIFS(JA!$Z:$Z,JA!$CI:$CI,Trendit!$Y$1,JA!BP:BP,"OK",JA!$CH:$CH,$X$15,JA!$AX:$AX,$Y$6)</f>
        <v>0</v>
      </c>
      <c r="J38" s="479">
        <f>SUMIFS(JA!$Z:$Z,JA!$CI:$CI,Trendit!$Y$1,JA!BQ:BQ,"OK",JA!$CH:$CH,$X$15,JA!$AX:$AX,$Y$6)</f>
        <v>0</v>
      </c>
      <c r="K38" s="479">
        <f>SUMIFS(JA!$Z:$Z,JA!$CI:$CI,Trendit!$Y$1,JA!BR:BR,"OK",JA!$CH:$CH,$X$15,JA!$AX:$AX,$Y$6)</f>
        <v>0</v>
      </c>
      <c r="L38" s="479">
        <f>SUMIFS(JA!$Z:$Z,JA!$CI:$CI,Trendit!$Y$1,JA!BS:BS,"OK",JA!$CH:$CH,$X$15,JA!$AX:$AX,$Y$6)</f>
        <v>0</v>
      </c>
      <c r="M38" s="479">
        <f>SUMIFS(JA!$Z:$Z,JA!$CI:$CI,Trendit!$Y$1,JA!BT:BT,"OK",JA!$CH:$CH,$X$15,JA!$AX:$AX,$Y$6)</f>
        <v>0</v>
      </c>
      <c r="N38" s="479">
        <f>SUMIFS(JA!$Z:$Z,JA!$CI:$CI,Trendit!$Y$1,JA!BU:BU,"OK",JA!$CH:$CH,$X$15,JA!$AX:$AX,$Y$6)</f>
        <v>0</v>
      </c>
      <c r="O38" s="446">
        <f>SUM(C38:N38)</f>
        <v>0</v>
      </c>
      <c r="AA38" s="176"/>
      <c r="AB38" s="394"/>
    </row>
    <row r="39" spans="1:32" x14ac:dyDescent="0.25">
      <c r="A39" s="986" t="s">
        <v>243</v>
      </c>
      <c r="B39" s="987"/>
      <c r="C39" s="89">
        <f>SUM(C37:C38)</f>
        <v>0</v>
      </c>
      <c r="D39" s="89">
        <f t="shared" ref="D39:O39" si="3">SUM(D37:D38)</f>
        <v>0</v>
      </c>
      <c r="E39" s="89">
        <f t="shared" si="3"/>
        <v>0</v>
      </c>
      <c r="F39" s="89">
        <f t="shared" si="3"/>
        <v>0</v>
      </c>
      <c r="G39" s="89">
        <f t="shared" si="3"/>
        <v>0</v>
      </c>
      <c r="H39" s="89">
        <f t="shared" si="3"/>
        <v>0</v>
      </c>
      <c r="I39" s="89">
        <f t="shared" si="3"/>
        <v>0</v>
      </c>
      <c r="J39" s="89">
        <f t="shared" si="3"/>
        <v>0</v>
      </c>
      <c r="K39" s="89">
        <f t="shared" si="3"/>
        <v>0</v>
      </c>
      <c r="L39" s="89">
        <f t="shared" si="3"/>
        <v>0</v>
      </c>
      <c r="M39" s="89">
        <f t="shared" si="3"/>
        <v>0</v>
      </c>
      <c r="N39" s="89">
        <f t="shared" si="3"/>
        <v>0</v>
      </c>
      <c r="O39" s="424">
        <f t="shared" si="3"/>
        <v>0</v>
      </c>
    </row>
    <row r="43" spans="1:32" x14ac:dyDescent="0.25">
      <c r="A43" s="66" t="str">
        <f>IF(A6=X3,A20,A13)</f>
        <v>Uudet asiakkaat - jaksoja voi olla aikaisempina vuosina (Kaikki kunnat, Kaikki yksiköt)</v>
      </c>
      <c r="B43" s="519"/>
    </row>
    <row r="44" spans="1:32" x14ac:dyDescent="0.25">
      <c r="A44" s="988" t="s">
        <v>715</v>
      </c>
      <c r="B44" s="520" t="str">
        <f>TEXT($A$2-365,"VVVV")&amp;"-"</f>
        <v>2025-</v>
      </c>
      <c r="C44" s="976" t="str">
        <f>TEXT($A$2,"vvvv")</f>
        <v>2026</v>
      </c>
      <c r="D44" s="977"/>
      <c r="E44" s="977"/>
      <c r="F44" s="977"/>
      <c r="G44" s="977"/>
      <c r="H44" s="977"/>
      <c r="I44" s="977"/>
      <c r="J44" s="977"/>
      <c r="K44" s="977"/>
      <c r="L44" s="977"/>
      <c r="M44" s="977"/>
      <c r="N44" s="977"/>
      <c r="O44" s="480" t="s">
        <v>11</v>
      </c>
      <c r="P44" s="508" t="s">
        <v>693</v>
      </c>
      <c r="Q44" s="480" t="s">
        <v>4</v>
      </c>
    </row>
    <row r="45" spans="1:32" x14ac:dyDescent="0.25">
      <c r="A45" s="989"/>
      <c r="B45" s="521" t="s">
        <v>709</v>
      </c>
      <c r="C45" s="455" t="s">
        <v>694</v>
      </c>
      <c r="D45" s="455" t="s">
        <v>695</v>
      </c>
      <c r="E45" s="455" t="s">
        <v>696</v>
      </c>
      <c r="F45" s="455" t="s">
        <v>697</v>
      </c>
      <c r="G45" s="455" t="s">
        <v>698</v>
      </c>
      <c r="H45" s="455" t="s">
        <v>699</v>
      </c>
      <c r="I45" s="455" t="s">
        <v>700</v>
      </c>
      <c r="J45" s="455" t="s">
        <v>701</v>
      </c>
      <c r="K45" s="455" t="s">
        <v>702</v>
      </c>
      <c r="L45" s="455" t="s">
        <v>703</v>
      </c>
      <c r="M45" s="455" t="s">
        <v>704</v>
      </c>
      <c r="N45" s="455" t="s">
        <v>705</v>
      </c>
      <c r="O45" s="481" t="s">
        <v>186</v>
      </c>
      <c r="P45" s="509" t="s">
        <v>706</v>
      </c>
      <c r="Q45" s="481" t="s">
        <v>186</v>
      </c>
    </row>
    <row r="46" spans="1:32" x14ac:dyDescent="0.25">
      <c r="A46" s="458" t="s">
        <v>716</v>
      </c>
      <c r="B46" s="525">
        <f t="shared" ref="B46:B54" ca="1" si="4">IFERROR(Q46-O46,0)</f>
        <v>0</v>
      </c>
      <c r="C46" s="5">
        <f ca="1">SUM(C47:C50)</f>
        <v>0</v>
      </c>
      <c r="D46" s="5">
        <f t="shared" ref="D46:N46" ca="1" si="5">SUM(D47:D50)</f>
        <v>0</v>
      </c>
      <c r="E46" s="5">
        <f t="shared" ca="1" si="5"/>
        <v>0</v>
      </c>
      <c r="F46" s="5">
        <f t="shared" ca="1" si="5"/>
        <v>0</v>
      </c>
      <c r="G46" s="5">
        <f t="shared" ca="1" si="5"/>
        <v>0</v>
      </c>
      <c r="H46" s="5">
        <f t="shared" ca="1" si="5"/>
        <v>0</v>
      </c>
      <c r="I46" s="5">
        <f t="shared" ca="1" si="5"/>
        <v>0</v>
      </c>
      <c r="J46" s="5">
        <f t="shared" ca="1" si="5"/>
        <v>0</v>
      </c>
      <c r="K46" s="5">
        <f t="shared" ca="1" si="5"/>
        <v>0</v>
      </c>
      <c r="L46" s="5">
        <f t="shared" ca="1" si="5"/>
        <v>0</v>
      </c>
      <c r="M46" s="5">
        <f t="shared" ca="1" si="5"/>
        <v>0</v>
      </c>
      <c r="N46" s="5">
        <f t="shared" ca="1" si="5"/>
        <v>0</v>
      </c>
      <c r="O46" s="420">
        <f ca="1">SUM(C46:N46)</f>
        <v>0</v>
      </c>
      <c r="P46" s="511">
        <f t="shared" ref="P46:P54" ca="1" si="6">IFERROR(O46/Q46,0)</f>
        <v>0</v>
      </c>
      <c r="Q46" s="420">
        <f>SUM(Q47:Q50)</f>
        <v>0</v>
      </c>
    </row>
    <row r="47" spans="1:32" x14ac:dyDescent="0.25">
      <c r="A47" s="474" t="s">
        <v>717</v>
      </c>
      <c r="B47" s="526">
        <f t="shared" ca="1" si="4"/>
        <v>0</v>
      </c>
      <c r="C47" s="131">
        <f ca="1">SUMIFS(AS!$W:$W,AS!$AG:$AG,Trendit!$X47,AS!$AW:$AW,Trendit!$Y$6,AS!$V:$V,$Y$4,AS!$K:$K,$Y$1,AS!BP:BP,$Y$5,AS!CK:CK,$Y$2)</f>
        <v>0</v>
      </c>
      <c r="D47" s="131">
        <f ca="1">SUMIFS(AS!$W:$W,AS!$AG:$AG,Trendit!$X47,AS!$AW:$AW,Trendit!$Y$6,AS!$V:$V,$Y$4,AS!$K:$K,$Y$1,AS!BQ:BQ,$Y$5,AS!CL:CL,$Y$2)</f>
        <v>0</v>
      </c>
      <c r="E47" s="131">
        <f ca="1">SUMIFS(AS!$W:$W,AS!$AG:$AG,Trendit!$X47,AS!$AW:$AW,Trendit!$Y$6,AS!$V:$V,$Y$4,AS!$K:$K,$Y$1,AS!BR:BR,$Y$5,AS!CM:CM,$Y$2)</f>
        <v>0</v>
      </c>
      <c r="F47" s="131">
        <f ca="1">SUMIFS(AS!$W:$W,AS!$AG:$AG,Trendit!$X47,AS!$AW:$AW,Trendit!$Y$6,AS!$V:$V,$Y$4,AS!$K:$K,$Y$1,AS!BS:BS,$Y$5,AS!CN:CN,$Y$2)</f>
        <v>0</v>
      </c>
      <c r="G47" s="131">
        <f ca="1">SUMIFS(AS!$W:$W,AS!$AG:$AG,Trendit!$X47,AS!$AW:$AW,Trendit!$Y$6,AS!$V:$V,$Y$4,AS!$K:$K,$Y$1,AS!BT:BT,$Y$5,AS!CO:CO,$Y$2)</f>
        <v>0</v>
      </c>
      <c r="H47" s="131">
        <f ca="1">SUMIFS(AS!$W:$W,AS!$AG:$AG,Trendit!$X47,AS!$AW:$AW,Trendit!$Y$6,AS!$V:$V,$Y$4,AS!$K:$K,$Y$1,AS!BU:BU,$Y$5,AS!CP:CP,$Y$2)</f>
        <v>0</v>
      </c>
      <c r="I47" s="131">
        <f ca="1">SUMIFS(AS!$W:$W,AS!$AG:$AG,Trendit!$X47,AS!$AW:$AW,Trendit!$Y$6,AS!$V:$V,$Y$4,AS!$K:$K,$Y$1,AS!BV:BV,$Y$5,AS!CQ:CQ,$Y$2)</f>
        <v>0</v>
      </c>
      <c r="J47" s="131">
        <f ca="1">SUMIFS(AS!$W:$W,AS!$AG:$AG,Trendit!$X47,AS!$AW:$AW,Trendit!$Y$6,AS!$V:$V,$Y$4,AS!$K:$K,$Y$1,AS!BW:BW,$Y$5,AS!CR:CR,$Y$2)</f>
        <v>0</v>
      </c>
      <c r="K47" s="131">
        <f ca="1">SUMIFS(AS!$W:$W,AS!$AG:$AG,Trendit!$X47,AS!$AW:$AW,Trendit!$Y$6,AS!$V:$V,$Y$4,AS!$K:$K,$Y$1,AS!BX:BX,$Y$5,AS!CS:CS,$Y$2)</f>
        <v>0</v>
      </c>
      <c r="L47" s="131">
        <f ca="1">SUMIFS(AS!$W:$W,AS!$AG:$AG,Trendit!$X47,AS!$AW:$AW,Trendit!$Y$6,AS!$V:$V,$Y$4,AS!$K:$K,$Y$1,AS!BY:BY,$Y$5,AS!CT:CT,$Y$2)</f>
        <v>0</v>
      </c>
      <c r="M47" s="131">
        <f ca="1">SUMIFS(AS!$W:$W,AS!$AG:$AG,Trendit!$X47,AS!$AW:$AW,Trendit!$Y$6,AS!$V:$V,$Y$4,AS!$K:$K,$Y$1,AS!BZ:BZ,$Y$5,AS!CU:CU,$Y$2)</f>
        <v>0</v>
      </c>
      <c r="N47" s="131">
        <f ca="1">SUMIFS(AS!$W:$W,AS!$AG:$AG,Trendit!$X47,AS!$AW:$AW,Trendit!$Y$6,AS!$V:$V,$Y$4,AS!$K:$K,$Y$1,AS!CA:CA,$Y$5,AS!CV:CV,$Y$2)</f>
        <v>0</v>
      </c>
      <c r="O47" s="445">
        <f ca="1">SUM(C47:N47)</f>
        <v>0</v>
      </c>
      <c r="P47" s="611">
        <f t="shared" ca="1" si="6"/>
        <v>0</v>
      </c>
      <c r="Q47" s="445">
        <f>IF($W$3="12",SUMIFS(AS!$W:$W,AS!$AB:$AB,"OK",AS!$AG:$AG,$X47,AS!$AW:$AW,$Y$6,AS!$K:$K,$Y$1),0)</f>
        <v>0</v>
      </c>
      <c r="X47" t="s">
        <v>79</v>
      </c>
    </row>
    <row r="48" spans="1:32" x14ac:dyDescent="0.25">
      <c r="A48" s="155" t="s">
        <v>718</v>
      </c>
      <c r="B48" s="527">
        <f t="shared" ca="1" si="4"/>
        <v>0</v>
      </c>
      <c r="C48" s="135">
        <f ca="1">SUMIFS(AS!$W:$W,AS!$AG:$AG,Trendit!$X48,AS!$AW:$AW,Trendit!$Y$6,AS!$V:$V,$Y$4,AS!$K:$K,$Y$1,AS!BP:BP,$Y$5,AS!CK:CK,$Y$2)</f>
        <v>0</v>
      </c>
      <c r="D48" s="135">
        <f ca="1">SUMIFS(AS!$W:$W,AS!$AG:$AG,Trendit!$X48,AS!$AW:$AW,Trendit!$Y$6,AS!$V:$V,$Y$4,AS!$K:$K,$Y$1,AS!BQ:BQ,$Y$5,AS!CL:CL,$Y$2)</f>
        <v>0</v>
      </c>
      <c r="E48" s="135">
        <f ca="1">SUMIFS(AS!$W:$W,AS!$AG:$AG,Trendit!$X48,AS!$AW:$AW,Trendit!$Y$6,AS!$V:$V,$Y$4,AS!$K:$K,$Y$1,AS!BR:BR,$Y$5,AS!CM:CM,$Y$2)</f>
        <v>0</v>
      </c>
      <c r="F48" s="135">
        <f ca="1">SUMIFS(AS!$W:$W,AS!$AG:$AG,Trendit!$X48,AS!$AW:$AW,Trendit!$Y$6,AS!$V:$V,$Y$4,AS!$K:$K,$Y$1,AS!BS:BS,$Y$5,AS!CN:CN,$Y$2)</f>
        <v>0</v>
      </c>
      <c r="G48" s="135">
        <f ca="1">SUMIFS(AS!$W:$W,AS!$AG:$AG,Trendit!$X48,AS!$AW:$AW,Trendit!$Y$6,AS!$V:$V,$Y$4,AS!$K:$K,$Y$1,AS!BT:BT,$Y$5,AS!CO:CO,$Y$2)</f>
        <v>0</v>
      </c>
      <c r="H48" s="135">
        <f ca="1">SUMIFS(AS!$W:$W,AS!$AG:$AG,Trendit!$X48,AS!$AW:$AW,Trendit!$Y$6,AS!$V:$V,$Y$4,AS!$K:$K,$Y$1,AS!BU:BU,$Y$5,AS!CP:CP,$Y$2)</f>
        <v>0</v>
      </c>
      <c r="I48" s="135">
        <f ca="1">SUMIFS(AS!$W:$W,AS!$AG:$AG,Trendit!$X48,AS!$AW:$AW,Trendit!$Y$6,AS!$V:$V,$Y$4,AS!$K:$K,$Y$1,AS!BV:BV,$Y$5,AS!CQ:CQ,$Y$2)</f>
        <v>0</v>
      </c>
      <c r="J48" s="135">
        <f ca="1">SUMIFS(AS!$W:$W,AS!$AG:$AG,Trendit!$X48,AS!$AW:$AW,Trendit!$Y$6,AS!$V:$V,$Y$4,AS!$K:$K,$Y$1,AS!BW:BW,$Y$5,AS!CR:CR,$Y$2)</f>
        <v>0</v>
      </c>
      <c r="K48" s="135">
        <f ca="1">SUMIFS(AS!$W:$W,AS!$AG:$AG,Trendit!$X48,AS!$AW:$AW,Trendit!$Y$6,AS!$V:$V,$Y$4,AS!$K:$K,$Y$1,AS!BX:BX,$Y$5,AS!CS:CS,$Y$2)</f>
        <v>0</v>
      </c>
      <c r="L48" s="135">
        <f ca="1">SUMIFS(AS!$W:$W,AS!$AG:$AG,Trendit!$X48,AS!$AW:$AW,Trendit!$Y$6,AS!$V:$V,$Y$4,AS!$K:$K,$Y$1,AS!BY:BY,$Y$5,AS!CT:CT,$Y$2)</f>
        <v>0</v>
      </c>
      <c r="M48" s="135">
        <f ca="1">SUMIFS(AS!$W:$W,AS!$AG:$AG,Trendit!$X48,AS!$AW:$AW,Trendit!$Y$6,AS!$V:$V,$Y$4,AS!$K:$K,$Y$1,AS!BZ:BZ,$Y$5,AS!CU:CU,$Y$2)</f>
        <v>0</v>
      </c>
      <c r="N48" s="135">
        <f ca="1">SUMIFS(AS!$W:$W,AS!$AG:$AG,Trendit!$X48,AS!$AW:$AW,Trendit!$Y$6,AS!$V:$V,$Y$4,AS!$K:$K,$Y$1,AS!CA:CA,$Y$5,AS!CV:CV,$Y$2)</f>
        <v>0</v>
      </c>
      <c r="O48" s="445">
        <f t="shared" ref="O48:O54" ca="1" si="7">SUM(C48:N48)</f>
        <v>0</v>
      </c>
      <c r="P48" s="611">
        <f t="shared" ca="1" si="6"/>
        <v>0</v>
      </c>
      <c r="Q48" s="445">
        <f>IF($W$3="12",SUMIFS(AS!$W:$W,AS!$AB:$AB,"OK",AS!$AG:$AG,$X48,AS!$AW:$AW,$Y$6,AS!$K:$K,$Y$1),0)</f>
        <v>0</v>
      </c>
      <c r="X48" t="s">
        <v>86</v>
      </c>
    </row>
    <row r="49" spans="1:24" x14ac:dyDescent="0.25">
      <c r="A49" s="155" t="s">
        <v>719</v>
      </c>
      <c r="B49" s="527">
        <f t="shared" ca="1" si="4"/>
        <v>0</v>
      </c>
      <c r="C49" s="135">
        <f ca="1">SUMIFS(AS!$W:$W,AS!$AG:$AG,Trendit!$X49,AS!$AW:$AW,Trendit!$Y$6,AS!$V:$V,$Y$4,AS!$K:$K,$Y$1,AS!BP:BP,$Y$5,AS!CK:CK,$Y$2)</f>
        <v>0</v>
      </c>
      <c r="D49" s="135">
        <f ca="1">SUMIFS(AS!$W:$W,AS!$AG:$AG,Trendit!$X49,AS!$AW:$AW,Trendit!$Y$6,AS!$V:$V,$Y$4,AS!$K:$K,$Y$1,AS!BQ:BQ,$Y$5,AS!CL:CL,$Y$2)</f>
        <v>0</v>
      </c>
      <c r="E49" s="135">
        <f ca="1">SUMIFS(AS!$W:$W,AS!$AG:$AG,Trendit!$X49,AS!$AW:$AW,Trendit!$Y$6,AS!$V:$V,$Y$4,AS!$K:$K,$Y$1,AS!BR:BR,$Y$5,AS!CM:CM,$Y$2)</f>
        <v>0</v>
      </c>
      <c r="F49" s="135">
        <f ca="1">SUMIFS(AS!$W:$W,AS!$AG:$AG,Trendit!$X49,AS!$AW:$AW,Trendit!$Y$6,AS!$V:$V,$Y$4,AS!$K:$K,$Y$1,AS!BS:BS,$Y$5,AS!CN:CN,$Y$2)</f>
        <v>0</v>
      </c>
      <c r="G49" s="135">
        <f ca="1">SUMIFS(AS!$W:$W,AS!$AG:$AG,Trendit!$X49,AS!$AW:$AW,Trendit!$Y$6,AS!$V:$V,$Y$4,AS!$K:$K,$Y$1,AS!BT:BT,$Y$5,AS!CO:CO,$Y$2)</f>
        <v>0</v>
      </c>
      <c r="H49" s="135">
        <f ca="1">SUMIFS(AS!$W:$W,AS!$AG:$AG,Trendit!$X49,AS!$AW:$AW,Trendit!$Y$6,AS!$V:$V,$Y$4,AS!$K:$K,$Y$1,AS!BU:BU,$Y$5,AS!CP:CP,$Y$2)</f>
        <v>0</v>
      </c>
      <c r="I49" s="135">
        <f ca="1">SUMIFS(AS!$W:$W,AS!$AG:$AG,Trendit!$X49,AS!$AW:$AW,Trendit!$Y$6,AS!$V:$V,$Y$4,AS!$K:$K,$Y$1,AS!BV:BV,$Y$5,AS!CQ:CQ,$Y$2)</f>
        <v>0</v>
      </c>
      <c r="J49" s="135">
        <f ca="1">SUMIFS(AS!$W:$W,AS!$AG:$AG,Trendit!$X49,AS!$AW:$AW,Trendit!$Y$6,AS!$V:$V,$Y$4,AS!$K:$K,$Y$1,AS!BW:BW,$Y$5,AS!CR:CR,$Y$2)</f>
        <v>0</v>
      </c>
      <c r="K49" s="135">
        <f ca="1">SUMIFS(AS!$W:$W,AS!$AG:$AG,Trendit!$X49,AS!$AW:$AW,Trendit!$Y$6,AS!$V:$V,$Y$4,AS!$K:$K,$Y$1,AS!BX:BX,$Y$5,AS!CS:CS,$Y$2)</f>
        <v>0</v>
      </c>
      <c r="L49" s="135">
        <f ca="1">SUMIFS(AS!$W:$W,AS!$AG:$AG,Trendit!$X49,AS!$AW:$AW,Trendit!$Y$6,AS!$V:$V,$Y$4,AS!$K:$K,$Y$1,AS!BY:BY,$Y$5,AS!CT:CT,$Y$2)</f>
        <v>0</v>
      </c>
      <c r="M49" s="135">
        <f ca="1">SUMIFS(AS!$W:$W,AS!$AG:$AG,Trendit!$X49,AS!$AW:$AW,Trendit!$Y$6,AS!$V:$V,$Y$4,AS!$K:$K,$Y$1,AS!BZ:BZ,$Y$5,AS!CU:CU,$Y$2)</f>
        <v>0</v>
      </c>
      <c r="N49" s="135">
        <f ca="1">SUMIFS(AS!$W:$W,AS!$AG:$AG,Trendit!$X49,AS!$AW:$AW,Trendit!$Y$6,AS!$V:$V,$Y$4,AS!$K:$K,$Y$1,AS!CA:CA,$Y$5,AS!CV:CV,$Y$2)</f>
        <v>0</v>
      </c>
      <c r="O49" s="445">
        <f t="shared" ca="1" si="7"/>
        <v>0</v>
      </c>
      <c r="P49" s="611">
        <f t="shared" ca="1" si="6"/>
        <v>0</v>
      </c>
      <c r="Q49" s="445">
        <f>IF($W$3="12",SUMIFS(AS!$W:$W,AS!$AB:$AB,"OK",AS!$AG:$AG,$X49,AS!$AW:$AW,$Y$6,AS!$K:$K,$Y$1),0)</f>
        <v>0</v>
      </c>
      <c r="X49" t="s">
        <v>93</v>
      </c>
    </row>
    <row r="50" spans="1:24" x14ac:dyDescent="0.25">
      <c r="A50" s="160" t="s">
        <v>720</v>
      </c>
      <c r="B50" s="523">
        <f t="shared" ca="1" si="4"/>
        <v>0</v>
      </c>
      <c r="C50" s="139">
        <f ca="1">SUMIFS(AS!$W:$W,AS!$AG:$AG,Trendit!$X50,AS!$AW:$AW,Trendit!$Y$6,AS!$V:$V,$Y$4,AS!$K:$K,$Y$1,AS!BP:BP,$Y$5,AS!CK:CK,$Y$2)</f>
        <v>0</v>
      </c>
      <c r="D50" s="139">
        <f ca="1">SUMIFS(AS!$W:$W,AS!$AG:$AG,Trendit!$X50,AS!$AW:$AW,Trendit!$Y$6,AS!$V:$V,$Y$4,AS!$K:$K,$Y$1,AS!BQ:BQ,$Y$5,AS!CL:CL,$Y$2)</f>
        <v>0</v>
      </c>
      <c r="E50" s="139">
        <f ca="1">SUMIFS(AS!$W:$W,AS!$AG:$AG,Trendit!$X50,AS!$AW:$AW,Trendit!$Y$6,AS!$V:$V,$Y$4,AS!$K:$K,$Y$1,AS!BR:BR,$Y$5,AS!CM:CM,$Y$2)</f>
        <v>0</v>
      </c>
      <c r="F50" s="139">
        <f ca="1">SUMIFS(AS!$W:$W,AS!$AG:$AG,Trendit!$X50,AS!$AW:$AW,Trendit!$Y$6,AS!$V:$V,$Y$4,AS!$K:$K,$Y$1,AS!BS:BS,$Y$5,AS!CN:CN,$Y$2)</f>
        <v>0</v>
      </c>
      <c r="G50" s="139">
        <f ca="1">SUMIFS(AS!$W:$W,AS!$AG:$AG,Trendit!$X50,AS!$AW:$AW,Trendit!$Y$6,AS!$V:$V,$Y$4,AS!$K:$K,$Y$1,AS!BT:BT,$Y$5,AS!CO:CO,$Y$2)</f>
        <v>0</v>
      </c>
      <c r="H50" s="139">
        <f ca="1">SUMIFS(AS!$W:$W,AS!$AG:$AG,Trendit!$X50,AS!$AW:$AW,Trendit!$Y$6,AS!$V:$V,$Y$4,AS!$K:$K,$Y$1,AS!BU:BU,$Y$5,AS!CP:CP,$Y$2)</f>
        <v>0</v>
      </c>
      <c r="I50" s="139">
        <f ca="1">SUMIFS(AS!$W:$W,AS!$AG:$AG,Trendit!$X50,AS!$AW:$AW,Trendit!$Y$6,AS!$V:$V,$Y$4,AS!$K:$K,$Y$1,AS!BV:BV,$Y$5,AS!CQ:CQ,$Y$2)</f>
        <v>0</v>
      </c>
      <c r="J50" s="139">
        <f ca="1">SUMIFS(AS!$W:$W,AS!$AG:$AG,Trendit!$X50,AS!$AW:$AW,Trendit!$Y$6,AS!$V:$V,$Y$4,AS!$K:$K,$Y$1,AS!BW:BW,$Y$5,AS!CR:CR,$Y$2)</f>
        <v>0</v>
      </c>
      <c r="K50" s="139">
        <f ca="1">SUMIFS(AS!$W:$W,AS!$AG:$AG,Trendit!$X50,AS!$AW:$AW,Trendit!$Y$6,AS!$V:$V,$Y$4,AS!$K:$K,$Y$1,AS!BX:BX,$Y$5,AS!CS:CS,$Y$2)</f>
        <v>0</v>
      </c>
      <c r="L50" s="139">
        <f ca="1">SUMIFS(AS!$W:$W,AS!$AG:$AG,Trendit!$X50,AS!$AW:$AW,Trendit!$Y$6,AS!$V:$V,$Y$4,AS!$K:$K,$Y$1,AS!BY:BY,$Y$5,AS!CT:CT,$Y$2)</f>
        <v>0</v>
      </c>
      <c r="M50" s="139">
        <f ca="1">SUMIFS(AS!$W:$W,AS!$AG:$AG,Trendit!$X50,AS!$AW:$AW,Trendit!$Y$6,AS!$V:$V,$Y$4,AS!$K:$K,$Y$1,AS!BZ:BZ,$Y$5,AS!CU:CU,$Y$2)</f>
        <v>0</v>
      </c>
      <c r="N50" s="139">
        <f ca="1">SUMIFS(AS!$W:$W,AS!$AG:$AG,Trendit!$X50,AS!$AW:$AW,Trendit!$Y$6,AS!$V:$V,$Y$4,AS!$K:$K,$Y$1,AS!CA:CA,$Y$5,AS!CV:CV,$Y$2)</f>
        <v>0</v>
      </c>
      <c r="O50" s="445">
        <f t="shared" ca="1" si="7"/>
        <v>0</v>
      </c>
      <c r="P50" s="606">
        <f t="shared" ca="1" si="6"/>
        <v>0</v>
      </c>
      <c r="Q50" s="445">
        <f>IF($W$3="12",SUMIFS(AS!$W:$W,AS!$AB:$AB,"OK",AS!$AG:$AG,$X50,AS!$AW:$AW,$Y$6,AS!$K:$K,$Y$1),0)</f>
        <v>0</v>
      </c>
      <c r="X50" t="s">
        <v>100</v>
      </c>
    </row>
    <row r="51" spans="1:24" x14ac:dyDescent="0.25">
      <c r="A51" s="25" t="s">
        <v>721</v>
      </c>
      <c r="B51" s="528">
        <f t="shared" ca="1" si="4"/>
        <v>0</v>
      </c>
      <c r="C51" s="36">
        <f ca="1">SUMIFS(AS!$W:$W,AS!$AG:$AG,Trendit!$X51,AS!$AW:$AW,Trendit!$Y$6,AS!$V:$V,$Y$4,AS!$K:$K,$Y$1,AS!BP:BP,$Y$5,AS!CK:CK,$Y$2)</f>
        <v>0</v>
      </c>
      <c r="D51" s="36">
        <f ca="1">SUMIFS(AS!$W:$W,AS!$AG:$AG,Trendit!$X51,AS!$AW:$AW,Trendit!$Y$6,AS!$V:$V,$Y$4,AS!$K:$K,$Y$1,AS!BQ:BQ,$Y$5,AS!CL:CL,$Y$2)</f>
        <v>0</v>
      </c>
      <c r="E51" s="36">
        <f ca="1">SUMIFS(AS!$W:$W,AS!$AG:$AG,Trendit!$X51,AS!$AW:$AW,Trendit!$Y$6,AS!$V:$V,$Y$4,AS!$K:$K,$Y$1,AS!BR:BR,$Y$5,AS!CM:CM,$Y$2)</f>
        <v>0</v>
      </c>
      <c r="F51" s="36">
        <f ca="1">SUMIFS(AS!$W:$W,AS!$AG:$AG,Trendit!$X51,AS!$AW:$AW,Trendit!$Y$6,AS!$V:$V,$Y$4,AS!$K:$K,$Y$1,AS!BS:BS,$Y$5,AS!CN:CN,$Y$2)</f>
        <v>0</v>
      </c>
      <c r="G51" s="36">
        <f ca="1">SUMIFS(AS!$W:$W,AS!$AG:$AG,Trendit!$X51,AS!$AW:$AW,Trendit!$Y$6,AS!$V:$V,$Y$4,AS!$K:$K,$Y$1,AS!BT:BT,$Y$5,AS!CO:CO,$Y$2)</f>
        <v>0</v>
      </c>
      <c r="H51" s="36">
        <f ca="1">SUMIFS(AS!$W:$W,AS!$AG:$AG,Trendit!$X51,AS!$AW:$AW,Trendit!$Y$6,AS!$V:$V,$Y$4,AS!$K:$K,$Y$1,AS!BU:BU,$Y$5,AS!CP:CP,$Y$2)</f>
        <v>0</v>
      </c>
      <c r="I51" s="36">
        <f ca="1">SUMIFS(AS!$W:$W,AS!$AG:$AG,Trendit!$X51,AS!$AW:$AW,Trendit!$Y$6,AS!$V:$V,$Y$4,AS!$K:$K,$Y$1,AS!BV:BV,$Y$5,AS!CQ:CQ,$Y$2)</f>
        <v>0</v>
      </c>
      <c r="J51" s="36">
        <f ca="1">SUMIFS(AS!$W:$W,AS!$AG:$AG,Trendit!$X51,AS!$AW:$AW,Trendit!$Y$6,AS!$V:$V,$Y$4,AS!$K:$K,$Y$1,AS!BW:BW,$Y$5,AS!CR:CR,$Y$2)</f>
        <v>0</v>
      </c>
      <c r="K51" s="36">
        <f ca="1">SUMIFS(AS!$W:$W,AS!$AG:$AG,Trendit!$X51,AS!$AW:$AW,Trendit!$Y$6,AS!$V:$V,$Y$4,AS!$K:$K,$Y$1,AS!BX:BX,$Y$5,AS!CS:CS,$Y$2)</f>
        <v>0</v>
      </c>
      <c r="L51" s="36">
        <f ca="1">SUMIFS(AS!$W:$W,AS!$AG:$AG,Trendit!$X51,AS!$AW:$AW,Trendit!$Y$6,AS!$V:$V,$Y$4,AS!$K:$K,$Y$1,AS!BY:BY,$Y$5,AS!CT:CT,$Y$2)</f>
        <v>0</v>
      </c>
      <c r="M51" s="36">
        <f ca="1">SUMIFS(AS!$W:$W,AS!$AG:$AG,Trendit!$X51,AS!$AW:$AW,Trendit!$Y$6,AS!$V:$V,$Y$4,AS!$K:$K,$Y$1,AS!BZ:BZ,$Y$5,AS!CU:CU,$Y$2)</f>
        <v>0</v>
      </c>
      <c r="N51" s="36">
        <f ca="1">SUMIFS(AS!$W:$W,AS!$AG:$AG,Trendit!$X51,AS!$AW:$AW,Trendit!$Y$6,AS!$V:$V,$Y$4,AS!$K:$K,$Y$1,AS!CA:CA,$Y$5,AS!CV:CV,$Y$2)</f>
        <v>0</v>
      </c>
      <c r="O51" s="421">
        <f t="shared" ca="1" si="7"/>
        <v>0</v>
      </c>
      <c r="P51" s="512">
        <f t="shared" ca="1" si="6"/>
        <v>0</v>
      </c>
      <c r="Q51" s="486">
        <f>IF($W$3="12",SUMIFS(AS!$W:$W,AS!$AB:$AB,"OK",AS!$AG:$AG,$X51,AS!$AW:$AW,$Y$6,AS!$K:$K,$Y$1),0)</f>
        <v>0</v>
      </c>
      <c r="X51" t="s">
        <v>111</v>
      </c>
    </row>
    <row r="52" spans="1:24" x14ac:dyDescent="0.25">
      <c r="A52" s="461" t="s">
        <v>722</v>
      </c>
      <c r="B52" s="529">
        <f t="shared" ca="1" si="4"/>
        <v>0</v>
      </c>
      <c r="C52" s="37">
        <f ca="1">SUMIFS(AS!$W:$W,AS!$AG:$AG,Trendit!$X52,AS!$AW:$AW,Trendit!$Y$6,AS!$V:$V,$Y$4,AS!$K:$K,$Y$1,AS!BP:BP,$Y$5,AS!CK:CK,$Y$2)</f>
        <v>0</v>
      </c>
      <c r="D52" s="37">
        <f ca="1">SUMIFS(AS!$W:$W,AS!$AG:$AG,Trendit!$X52,AS!$AW:$AW,Trendit!$Y$6,AS!$V:$V,$Y$4,AS!$K:$K,$Y$1,AS!BQ:BQ,$Y$5,AS!CL:CL,$Y$2)</f>
        <v>0</v>
      </c>
      <c r="E52" s="37">
        <f ca="1">SUMIFS(AS!$W:$W,AS!$AG:$AG,Trendit!$X52,AS!$AW:$AW,Trendit!$Y$6,AS!$V:$V,$Y$4,AS!$K:$K,$Y$1,AS!BR:BR,$Y$5,AS!CM:CM,$Y$2)</f>
        <v>0</v>
      </c>
      <c r="F52" s="37">
        <f ca="1">SUMIFS(AS!$W:$W,AS!$AG:$AG,Trendit!$X52,AS!$AW:$AW,Trendit!$Y$6,AS!$V:$V,$Y$4,AS!$K:$K,$Y$1,AS!BS:BS,$Y$5,AS!CN:CN,$Y$2)</f>
        <v>0</v>
      </c>
      <c r="G52" s="37">
        <f ca="1">SUMIFS(AS!$W:$W,AS!$AG:$AG,Trendit!$X52,AS!$AW:$AW,Trendit!$Y$6,AS!$V:$V,$Y$4,AS!$K:$K,$Y$1,AS!BT:BT,$Y$5,AS!CO:CO,$Y$2)</f>
        <v>0</v>
      </c>
      <c r="H52" s="37">
        <f ca="1">SUMIFS(AS!$W:$W,AS!$AG:$AG,Trendit!$X52,AS!$AW:$AW,Trendit!$Y$6,AS!$V:$V,$Y$4,AS!$K:$K,$Y$1,AS!BU:BU,$Y$5,AS!CP:CP,$Y$2)</f>
        <v>0</v>
      </c>
      <c r="I52" s="37">
        <f ca="1">SUMIFS(AS!$W:$W,AS!$AG:$AG,Trendit!$X52,AS!$AW:$AW,Trendit!$Y$6,AS!$V:$V,$Y$4,AS!$K:$K,$Y$1,AS!BV:BV,$Y$5,AS!CQ:CQ,$Y$2)</f>
        <v>0</v>
      </c>
      <c r="J52" s="37">
        <f ca="1">SUMIFS(AS!$W:$W,AS!$AG:$AG,Trendit!$X52,AS!$AW:$AW,Trendit!$Y$6,AS!$V:$V,$Y$4,AS!$K:$K,$Y$1,AS!BW:BW,$Y$5,AS!CR:CR,$Y$2)</f>
        <v>0</v>
      </c>
      <c r="K52" s="37">
        <f ca="1">SUMIFS(AS!$W:$W,AS!$AG:$AG,Trendit!$X52,AS!$AW:$AW,Trendit!$Y$6,AS!$V:$V,$Y$4,AS!$K:$K,$Y$1,AS!BX:BX,$Y$5,AS!CS:CS,$Y$2)</f>
        <v>0</v>
      </c>
      <c r="L52" s="37">
        <f ca="1">SUMIFS(AS!$W:$W,AS!$AG:$AG,Trendit!$X52,AS!$AW:$AW,Trendit!$Y$6,AS!$V:$V,$Y$4,AS!$K:$K,$Y$1,AS!BY:BY,$Y$5,AS!CT:CT,$Y$2)</f>
        <v>0</v>
      </c>
      <c r="M52" s="37">
        <f ca="1">SUMIFS(AS!$W:$W,AS!$AG:$AG,Trendit!$X52,AS!$AW:$AW,Trendit!$Y$6,AS!$V:$V,$Y$4,AS!$K:$K,$Y$1,AS!BZ:BZ,$Y$5,AS!CU:CU,$Y$2)</f>
        <v>0</v>
      </c>
      <c r="N52" s="37">
        <f ca="1">SUMIFS(AS!$W:$W,AS!$AG:$AG,Trendit!$X52,AS!$AW:$AW,Trendit!$Y$6,AS!$V:$V,$Y$4,AS!$K:$K,$Y$1,AS!CA:CA,$Y$5,AS!CV:CV,$Y$2)</f>
        <v>0</v>
      </c>
      <c r="O52" s="422">
        <f t="shared" ca="1" si="7"/>
        <v>0</v>
      </c>
      <c r="P52" s="512">
        <f t="shared" ca="1" si="6"/>
        <v>0</v>
      </c>
      <c r="Q52" s="485">
        <f>IF($W$3="12",SUMIFS(AS!$W:$W,AS!$AB:$AB,"OK",AS!$AG:$AG,$X52,AS!$AW:$AW,$Y$6,AS!$K:$K,$Y$1),0)</f>
        <v>0</v>
      </c>
      <c r="X52" t="s">
        <v>116</v>
      </c>
    </row>
    <row r="53" spans="1:24" x14ac:dyDescent="0.25">
      <c r="A53" s="473" t="s">
        <v>239</v>
      </c>
      <c r="B53" s="530">
        <f t="shared" ca="1" si="4"/>
        <v>0</v>
      </c>
      <c r="C53" s="38">
        <f ca="1">SUMIFS(AS!$W:$W,AS!$AG:$AG,Trendit!$X53,AS!$AW:$AW,Trendit!$Y$6,AS!$V:$V,$Y$4,AS!$K:$K,$Y$1,AS!BP:BP,$Y$5,AS!CK:CK,$Y$2)</f>
        <v>0</v>
      </c>
      <c r="D53" s="38">
        <f ca="1">SUMIFS(AS!$W:$W,AS!$AG:$AG,Trendit!$X53,AS!$AW:$AW,Trendit!$Y$6,AS!$V:$V,$Y$4,AS!$K:$K,$Y$1,AS!BQ:BQ,$Y$5,AS!CL:CL,$Y$2)</f>
        <v>0</v>
      </c>
      <c r="E53" s="38">
        <f ca="1">SUMIFS(AS!$W:$W,AS!$AG:$AG,Trendit!$X53,AS!$AW:$AW,Trendit!$Y$6,AS!$V:$V,$Y$4,AS!$K:$K,$Y$1,AS!BR:BR,$Y$5,AS!CM:CM,$Y$2)</f>
        <v>0</v>
      </c>
      <c r="F53" s="38">
        <f ca="1">SUMIFS(AS!$W:$W,AS!$AG:$AG,Trendit!$X53,AS!$AW:$AW,Trendit!$Y$6,AS!$V:$V,$Y$4,AS!$K:$K,$Y$1,AS!BS:BS,$Y$5,AS!CN:CN,$Y$2)</f>
        <v>0</v>
      </c>
      <c r="G53" s="38">
        <f ca="1">SUMIFS(AS!$W:$W,AS!$AG:$AG,Trendit!$X53,AS!$AW:$AW,Trendit!$Y$6,AS!$V:$V,$Y$4,AS!$K:$K,$Y$1,AS!BT:BT,$Y$5,AS!CO:CO,$Y$2)</f>
        <v>0</v>
      </c>
      <c r="H53" s="38">
        <f ca="1">SUMIFS(AS!$W:$W,AS!$AG:$AG,Trendit!$X53,AS!$AW:$AW,Trendit!$Y$6,AS!$V:$V,$Y$4,AS!$K:$K,$Y$1,AS!BU:BU,$Y$5,AS!CP:CP,$Y$2)</f>
        <v>0</v>
      </c>
      <c r="I53" s="38">
        <f ca="1">SUMIFS(AS!$W:$W,AS!$AG:$AG,Trendit!$X53,AS!$AW:$AW,Trendit!$Y$6,AS!$V:$V,$Y$4,AS!$K:$K,$Y$1,AS!BV:BV,$Y$5,AS!CQ:CQ,$Y$2)</f>
        <v>0</v>
      </c>
      <c r="J53" s="38">
        <f ca="1">SUMIFS(AS!$W:$W,AS!$AG:$AG,Trendit!$X53,AS!$AW:$AW,Trendit!$Y$6,AS!$V:$V,$Y$4,AS!$K:$K,$Y$1,AS!BW:BW,$Y$5,AS!CR:CR,$Y$2)</f>
        <v>0</v>
      </c>
      <c r="K53" s="38">
        <f ca="1">SUMIFS(AS!$W:$W,AS!$AG:$AG,Trendit!$X53,AS!$AW:$AW,Trendit!$Y$6,AS!$V:$V,$Y$4,AS!$K:$K,$Y$1,AS!BX:BX,$Y$5,AS!CS:CS,$Y$2)</f>
        <v>0</v>
      </c>
      <c r="L53" s="38">
        <f ca="1">SUMIFS(AS!$W:$W,AS!$AG:$AG,Trendit!$X53,AS!$AW:$AW,Trendit!$Y$6,AS!$V:$V,$Y$4,AS!$K:$K,$Y$1,AS!BY:BY,$Y$5,AS!CT:CT,$Y$2)</f>
        <v>0</v>
      </c>
      <c r="M53" s="38">
        <f ca="1">SUMIFS(AS!$W:$W,AS!$AG:$AG,Trendit!$X53,AS!$AW:$AW,Trendit!$Y$6,AS!$V:$V,$Y$4,AS!$K:$K,$Y$1,AS!BZ:BZ,$Y$5,AS!CU:CU,$Y$2)</f>
        <v>0</v>
      </c>
      <c r="N53" s="38">
        <f ca="1">SUMIFS(AS!$W:$W,AS!$AG:$AG,Trendit!$X53,AS!$AW:$AW,Trendit!$Y$6,AS!$V:$V,$Y$4,AS!$K:$K,$Y$1,AS!CA:CA,$Y$5,AS!CV:CV,$Y$2)</f>
        <v>0</v>
      </c>
      <c r="O53" s="423">
        <f t="shared" ca="1" si="7"/>
        <v>0</v>
      </c>
      <c r="P53" s="512">
        <f t="shared" ca="1" si="6"/>
        <v>0</v>
      </c>
      <c r="Q53" s="485">
        <f>IF($W$3="12",SUMIFS(AS!$W:$W,AS!$AB:$AB,"OK",AS!$AG:$AG,$X53,AS!$AW:$AW,$Y$6,AS!$K:$K,$Y$1),0)</f>
        <v>0</v>
      </c>
      <c r="X53" s="86" t="s">
        <v>122</v>
      </c>
    </row>
    <row r="54" spans="1:24" x14ac:dyDescent="0.25">
      <c r="A54" s="462" t="s">
        <v>243</v>
      </c>
      <c r="B54" s="524">
        <f t="shared" ca="1" si="4"/>
        <v>0</v>
      </c>
      <c r="C54" s="89">
        <f ca="1">SUM(C47:C53)</f>
        <v>0</v>
      </c>
      <c r="D54" s="89">
        <f t="shared" ref="D54:N54" ca="1" si="8">SUM(D47:D53)</f>
        <v>0</v>
      </c>
      <c r="E54" s="89">
        <f t="shared" ca="1" si="8"/>
        <v>0</v>
      </c>
      <c r="F54" s="89">
        <f t="shared" ca="1" si="8"/>
        <v>0</v>
      </c>
      <c r="G54" s="89">
        <f t="shared" ca="1" si="8"/>
        <v>0</v>
      </c>
      <c r="H54" s="89">
        <f t="shared" ca="1" si="8"/>
        <v>0</v>
      </c>
      <c r="I54" s="89">
        <f t="shared" ca="1" si="8"/>
        <v>0</v>
      </c>
      <c r="J54" s="89">
        <f t="shared" ca="1" si="8"/>
        <v>0</v>
      </c>
      <c r="K54" s="89">
        <f t="shared" ca="1" si="8"/>
        <v>0</v>
      </c>
      <c r="L54" s="89">
        <f t="shared" ca="1" si="8"/>
        <v>0</v>
      </c>
      <c r="M54" s="89">
        <f t="shared" ca="1" si="8"/>
        <v>0</v>
      </c>
      <c r="N54" s="89">
        <f t="shared" ca="1" si="8"/>
        <v>0</v>
      </c>
      <c r="O54" s="424">
        <f t="shared" ca="1" si="7"/>
        <v>0</v>
      </c>
      <c r="P54" s="510">
        <f t="shared" ca="1" si="6"/>
        <v>0</v>
      </c>
      <c r="Q54" s="424">
        <f>SUM(Q47:Q53)</f>
        <v>0</v>
      </c>
    </row>
    <row r="59" spans="1:24" x14ac:dyDescent="0.25">
      <c r="A59" s="66" t="str">
        <f>X59&amp;A43</f>
        <v>Valmentautujien ohjautuminen työpajatoimintaan ohjaavan tahon mukaan - Uudet asiakkaat - jaksoja voi olla aikaisempina vuosina (Kaikki kunnat, Kaikki yksiköt)</v>
      </c>
      <c r="B59" s="519"/>
      <c r="X59" s="389" t="s">
        <v>723</v>
      </c>
    </row>
    <row r="60" spans="1:24" x14ac:dyDescent="0.25">
      <c r="A60" s="988" t="s">
        <v>724</v>
      </c>
      <c r="B60" s="520" t="str">
        <f>TEXT($A$2-365,"VVVV")&amp;"-"</f>
        <v>2025-</v>
      </c>
      <c r="C60" s="976" t="str">
        <f>TEXT($A$2,"vvvv")</f>
        <v>2026</v>
      </c>
      <c r="D60" s="977"/>
      <c r="E60" s="977"/>
      <c r="F60" s="977"/>
      <c r="G60" s="977"/>
      <c r="H60" s="977"/>
      <c r="I60" s="977"/>
      <c r="J60" s="977"/>
      <c r="K60" s="977"/>
      <c r="L60" s="977"/>
      <c r="M60" s="977"/>
      <c r="N60" s="977"/>
      <c r="O60" s="480" t="s">
        <v>11</v>
      </c>
      <c r="P60" s="508" t="s">
        <v>693</v>
      </c>
      <c r="Q60" s="480" t="s">
        <v>4</v>
      </c>
    </row>
    <row r="61" spans="1:24" x14ac:dyDescent="0.25">
      <c r="A61" s="989"/>
      <c r="B61" s="521" t="s">
        <v>709</v>
      </c>
      <c r="C61" s="455" t="s">
        <v>694</v>
      </c>
      <c r="D61" s="455" t="s">
        <v>695</v>
      </c>
      <c r="E61" s="455" t="s">
        <v>696</v>
      </c>
      <c r="F61" s="455" t="s">
        <v>697</v>
      </c>
      <c r="G61" s="455" t="s">
        <v>698</v>
      </c>
      <c r="H61" s="455" t="s">
        <v>699</v>
      </c>
      <c r="I61" s="455" t="s">
        <v>700</v>
      </c>
      <c r="J61" s="455" t="s">
        <v>701</v>
      </c>
      <c r="K61" s="455" t="s">
        <v>702</v>
      </c>
      <c r="L61" s="455" t="s">
        <v>703</v>
      </c>
      <c r="M61" s="455" t="s">
        <v>704</v>
      </c>
      <c r="N61" s="455" t="s">
        <v>705</v>
      </c>
      <c r="O61" s="481" t="s">
        <v>186</v>
      </c>
      <c r="P61" s="509" t="s">
        <v>706</v>
      </c>
      <c r="Q61" s="481" t="s">
        <v>186</v>
      </c>
    </row>
    <row r="62" spans="1:24" x14ac:dyDescent="0.25">
      <c r="A62" s="458" t="s">
        <v>246</v>
      </c>
      <c r="B62" s="525">
        <f>IFERROR(Q62-O62,0)</f>
        <v>0</v>
      </c>
      <c r="C62" s="465">
        <f>SUM(C63:C66)</f>
        <v>0</v>
      </c>
      <c r="D62" s="465">
        <f t="shared" ref="D62:N62" si="9">SUM(D63:D66)</f>
        <v>0</v>
      </c>
      <c r="E62" s="465">
        <f t="shared" si="9"/>
        <v>0</v>
      </c>
      <c r="F62" s="465">
        <f t="shared" si="9"/>
        <v>0</v>
      </c>
      <c r="G62" s="465">
        <f t="shared" si="9"/>
        <v>0</v>
      </c>
      <c r="H62" s="465">
        <f t="shared" si="9"/>
        <v>0</v>
      </c>
      <c r="I62" s="465">
        <f t="shared" si="9"/>
        <v>0</v>
      </c>
      <c r="J62" s="465">
        <f t="shared" si="9"/>
        <v>0</v>
      </c>
      <c r="K62" s="465">
        <f t="shared" si="9"/>
        <v>0</v>
      </c>
      <c r="L62" s="465">
        <f t="shared" si="9"/>
        <v>0</v>
      </c>
      <c r="M62" s="465">
        <f t="shared" si="9"/>
        <v>0</v>
      </c>
      <c r="N62" s="465">
        <f t="shared" si="9"/>
        <v>0</v>
      </c>
      <c r="O62" s="487">
        <f>SUM(C62:N62)</f>
        <v>0</v>
      </c>
      <c r="P62" s="511">
        <f>IFERROR(O62/Q62,0)</f>
        <v>0</v>
      </c>
      <c r="Q62" s="487">
        <f>SUM(Q63:Q66)</f>
        <v>0</v>
      </c>
    </row>
    <row r="63" spans="1:24" x14ac:dyDescent="0.25">
      <c r="A63" s="482" t="s">
        <v>247</v>
      </c>
      <c r="B63" s="527">
        <f t="shared" ref="B63:B65" si="10">IFERROR(Q63-O63,0)</f>
        <v>0</v>
      </c>
      <c r="C63" s="463">
        <f>SUMIFS(AS!$W:$W,AS!$AX:$AX,Trendit!$X63,AS!$AW:$AW,Trendit!$Y$6,AS!$V:$V,$Y$4,AS!$K:$K,$Y$1,AS!BP:BP,$Y$5,AS!CK:CK,$Y$2)</f>
        <v>0</v>
      </c>
      <c r="D63" s="463">
        <f>SUMIFS(AS!$W:$W,AS!$AX:$AX,Trendit!$X63,AS!$AW:$AW,Trendit!$Y$6,AS!$V:$V,$Y$4,AS!$K:$K,$Y$1,AS!BQ:BQ,$Y$5,AS!CL:CL,$Y$2)</f>
        <v>0</v>
      </c>
      <c r="E63" s="463">
        <f>SUMIFS(AS!$W:$W,AS!$AX:$AX,Trendit!$X63,AS!$AW:$AW,Trendit!$Y$6,AS!$V:$V,$Y$4,AS!$K:$K,$Y$1,AS!BR:BR,$Y$5,AS!CM:CM,$Y$2)</f>
        <v>0</v>
      </c>
      <c r="F63" s="463">
        <f>SUMIFS(AS!$W:$W,AS!$AX:$AX,Trendit!$X63,AS!$AW:$AW,Trendit!$Y$6,AS!$V:$V,$Y$4,AS!$K:$K,$Y$1,AS!BS:BS,$Y$5,AS!CN:CN,$Y$2)</f>
        <v>0</v>
      </c>
      <c r="G63" s="463">
        <f>SUMIFS(AS!$W:$W,AS!$AX:$AX,Trendit!$X63,AS!$AW:$AW,Trendit!$Y$6,AS!$V:$V,$Y$4,AS!$K:$K,$Y$1,AS!BT:BT,$Y$5,AS!CO:CO,$Y$2)</f>
        <v>0</v>
      </c>
      <c r="H63" s="463">
        <f>SUMIFS(AS!$W:$W,AS!$AX:$AX,Trendit!$X63,AS!$AW:$AW,Trendit!$Y$6,AS!$V:$V,$Y$4,AS!$K:$K,$Y$1,AS!BU:BU,$Y$5,AS!CP:CP,$Y$2)</f>
        <v>0</v>
      </c>
      <c r="I63" s="463">
        <f>SUMIFS(AS!$W:$W,AS!$AX:$AX,Trendit!$X63,AS!$AW:$AW,Trendit!$Y$6,AS!$V:$V,$Y$4,AS!$K:$K,$Y$1,AS!BV:BV,$Y$5,AS!CQ:CQ,$Y$2)</f>
        <v>0</v>
      </c>
      <c r="J63" s="463">
        <f>SUMIFS(AS!$W:$W,AS!$AX:$AX,Trendit!$X63,AS!$AW:$AW,Trendit!$Y$6,AS!$V:$V,$Y$4,AS!$K:$K,$Y$1,AS!BW:BW,$Y$5,AS!CR:CR,$Y$2)</f>
        <v>0</v>
      </c>
      <c r="K63" s="463">
        <f>SUMIFS(AS!$W:$W,AS!$AX:$AX,Trendit!$X63,AS!$AW:$AW,Trendit!$Y$6,AS!$V:$V,$Y$4,AS!$K:$K,$Y$1,AS!BX:BX,$Y$5,AS!CS:CS,$Y$2)</f>
        <v>0</v>
      </c>
      <c r="L63" s="463">
        <f>SUMIFS(AS!$W:$W,AS!$AX:$AX,Trendit!$X63,AS!$AW:$AW,Trendit!$Y$6,AS!$V:$V,$Y$4,AS!$K:$K,$Y$1,AS!BY:BY,$Y$5,AS!CT:CT,$Y$2)</f>
        <v>0</v>
      </c>
      <c r="M63" s="463">
        <f>SUMIFS(AS!$W:$W,AS!$AX:$AX,Trendit!$X63,AS!$AW:$AW,Trendit!$Y$6,AS!$V:$V,$Y$4,AS!$K:$K,$Y$1,AS!BZ:BZ,$Y$5,AS!CU:CU,$Y$2)</f>
        <v>0</v>
      </c>
      <c r="N63" s="463">
        <f>SUMIFS(AS!$W:$W,AS!$AX:$AX,Trendit!$X63,AS!$AW:$AW,Trendit!$Y$6,AS!$V:$V,$Y$4,AS!$K:$K,$Y$1,AS!CA:CA,$Y$5,AS!CV:CV,$Y$2)</f>
        <v>0</v>
      </c>
      <c r="O63" s="445">
        <f t="shared" ref="O63:O65" si="11">SUM(C63:N63)</f>
        <v>0</v>
      </c>
      <c r="P63" s="611">
        <f t="shared" ref="P63:P65" si="12">IFERROR(O63/Q63,0)</f>
        <v>0</v>
      </c>
      <c r="Q63" s="445">
        <f>IF($W$3="12",SUMIFS(AS!$W:$W,AS!$AB:$AB,"OK",AS!$AX:$AX,$X63,AS!$K:$K,$Y$1,AS!$AW:$AW,$Y$6),0)</f>
        <v>0</v>
      </c>
      <c r="X63" t="s">
        <v>248</v>
      </c>
    </row>
    <row r="64" spans="1:24" x14ac:dyDescent="0.25">
      <c r="A64" s="155" t="s">
        <v>725</v>
      </c>
      <c r="B64" s="527">
        <f t="shared" si="10"/>
        <v>0</v>
      </c>
      <c r="C64" s="156">
        <f>SUMIFS(AS!$W:$W,AS!$AX:$AX,Trendit!$X64,AS!$AW:$AW,Trendit!$Y$6,AS!$V:$V,$Y$4,AS!$K:$K,$Y$1,AS!BP:BP,$Y$5,AS!CK:CK,$Y$2)</f>
        <v>0</v>
      </c>
      <c r="D64" s="156">
        <f>SUMIFS(AS!$W:$W,AS!$AX:$AX,Trendit!$X64,AS!$AW:$AW,Trendit!$Y$6,AS!$V:$V,$Y$4,AS!$K:$K,$Y$1,AS!BQ:BQ,$Y$5,AS!CL:CL,$Y$2)</f>
        <v>0</v>
      </c>
      <c r="E64" s="156">
        <f>SUMIFS(AS!$W:$W,AS!$AX:$AX,Trendit!$X64,AS!$AW:$AW,Trendit!$Y$6,AS!$V:$V,$Y$4,AS!$K:$K,$Y$1,AS!BR:BR,$Y$5,AS!CM:CM,$Y$2)</f>
        <v>0</v>
      </c>
      <c r="F64" s="156">
        <f>SUMIFS(AS!$W:$W,AS!$AX:$AX,Trendit!$X64,AS!$AW:$AW,Trendit!$Y$6,AS!$V:$V,$Y$4,AS!$K:$K,$Y$1,AS!BS:BS,$Y$5,AS!CN:CN,$Y$2)</f>
        <v>0</v>
      </c>
      <c r="G64" s="156">
        <f>SUMIFS(AS!$W:$W,AS!$AX:$AX,Trendit!$X64,AS!$AW:$AW,Trendit!$Y$6,AS!$V:$V,$Y$4,AS!$K:$K,$Y$1,AS!BT:BT,$Y$5,AS!CO:CO,$Y$2)</f>
        <v>0</v>
      </c>
      <c r="H64" s="156">
        <f>SUMIFS(AS!$W:$W,AS!$AX:$AX,Trendit!$X64,AS!$AW:$AW,Trendit!$Y$6,AS!$V:$V,$Y$4,AS!$K:$K,$Y$1,AS!BU:BU,$Y$5,AS!CP:CP,$Y$2)</f>
        <v>0</v>
      </c>
      <c r="I64" s="156">
        <f>SUMIFS(AS!$W:$W,AS!$AX:$AX,Trendit!$X64,AS!$AW:$AW,Trendit!$Y$6,AS!$V:$V,$Y$4,AS!$K:$K,$Y$1,AS!BV:BV,$Y$5,AS!CQ:CQ,$Y$2)</f>
        <v>0</v>
      </c>
      <c r="J64" s="156">
        <f>SUMIFS(AS!$W:$W,AS!$AX:$AX,Trendit!$X64,AS!$AW:$AW,Trendit!$Y$6,AS!$V:$V,$Y$4,AS!$K:$K,$Y$1,AS!BW:BW,$Y$5,AS!CR:CR,$Y$2)</f>
        <v>0</v>
      </c>
      <c r="K64" s="156">
        <f>SUMIFS(AS!$W:$W,AS!$AX:$AX,Trendit!$X64,AS!$AW:$AW,Trendit!$Y$6,AS!$V:$V,$Y$4,AS!$K:$K,$Y$1,AS!BX:BX,$Y$5,AS!CS:CS,$Y$2)</f>
        <v>0</v>
      </c>
      <c r="L64" s="156">
        <f>SUMIFS(AS!$W:$W,AS!$AX:$AX,Trendit!$X64,AS!$AW:$AW,Trendit!$Y$6,AS!$V:$V,$Y$4,AS!$K:$K,$Y$1,AS!BY:BY,$Y$5,AS!CT:CT,$Y$2)</f>
        <v>0</v>
      </c>
      <c r="M64" s="156">
        <f>SUMIFS(AS!$W:$W,AS!$AX:$AX,Trendit!$X64,AS!$AW:$AW,Trendit!$Y$6,AS!$V:$V,$Y$4,AS!$K:$K,$Y$1,AS!BZ:BZ,$Y$5,AS!CU:CU,$Y$2)</f>
        <v>0</v>
      </c>
      <c r="N64" s="156">
        <f>SUMIFS(AS!$W:$W,AS!$AX:$AX,Trendit!$X64,AS!$AW:$AW,Trendit!$Y$6,AS!$V:$V,$Y$4,AS!$K:$K,$Y$1,AS!CA:CA,$Y$5,AS!CV:CV,$Y$2)</f>
        <v>0</v>
      </c>
      <c r="O64" s="445">
        <f t="shared" si="11"/>
        <v>0</v>
      </c>
      <c r="P64" s="611">
        <f t="shared" si="12"/>
        <v>0</v>
      </c>
      <c r="Q64" s="445">
        <f>IF($W$3="12",SUMIFS(AS!$W:$W,AS!$AB:$AB,"OK",AS!$AX:$AX,$X64,AS!$K:$K,$Y$1,AS!$AW:$AW,$Y$6),0)</f>
        <v>0</v>
      </c>
      <c r="X64" t="s">
        <v>250</v>
      </c>
    </row>
    <row r="65" spans="1:25" x14ac:dyDescent="0.25">
      <c r="A65" s="897" t="s">
        <v>251</v>
      </c>
      <c r="B65" s="527">
        <f t="shared" si="10"/>
        <v>0</v>
      </c>
      <c r="C65" s="156">
        <f>SUMIFS(AS!$W:$W,AS!$AX:$AX,Trendit!$X65,AS!$AW:$AW,Trendit!$Y$6,AS!$V:$V,$Y$4,AS!$K:$K,$Y$1,AS!BP:BP,$Y$5,AS!CK:CK,$Y$2)</f>
        <v>0</v>
      </c>
      <c r="D65" s="156">
        <f>SUMIFS(AS!$W:$W,AS!$AX:$AX,Trendit!$X65,AS!$AW:$AW,Trendit!$Y$6,AS!$V:$V,$Y$4,AS!$K:$K,$Y$1,AS!BQ:BQ,$Y$5,AS!CL:CL,$Y$2)</f>
        <v>0</v>
      </c>
      <c r="E65" s="156">
        <f>SUMIFS(AS!$W:$W,AS!$AX:$AX,Trendit!$X65,AS!$AW:$AW,Trendit!$Y$6,AS!$V:$V,$Y$4,AS!$K:$K,$Y$1,AS!BR:BR,$Y$5,AS!CM:CM,$Y$2)</f>
        <v>0</v>
      </c>
      <c r="F65" s="156">
        <f>SUMIFS(AS!$W:$W,AS!$AX:$AX,Trendit!$X65,AS!$AW:$AW,Trendit!$Y$6,AS!$V:$V,$Y$4,AS!$K:$K,$Y$1,AS!BS:BS,$Y$5,AS!CN:CN,$Y$2)</f>
        <v>0</v>
      </c>
      <c r="G65" s="156">
        <f>SUMIFS(AS!$W:$W,AS!$AX:$AX,Trendit!$X65,AS!$AW:$AW,Trendit!$Y$6,AS!$V:$V,$Y$4,AS!$K:$K,$Y$1,AS!BT:BT,$Y$5,AS!CO:CO,$Y$2)</f>
        <v>0</v>
      </c>
      <c r="H65" s="156">
        <f>SUMIFS(AS!$W:$W,AS!$AX:$AX,Trendit!$X65,AS!$AW:$AW,Trendit!$Y$6,AS!$V:$V,$Y$4,AS!$K:$K,$Y$1,AS!BU:BU,$Y$5,AS!CP:CP,$Y$2)</f>
        <v>0</v>
      </c>
      <c r="I65" s="156">
        <f>SUMIFS(AS!$W:$W,AS!$AX:$AX,Trendit!$X65,AS!$AW:$AW,Trendit!$Y$6,AS!$V:$V,$Y$4,AS!$K:$K,$Y$1,AS!BV:BV,$Y$5,AS!CQ:CQ,$Y$2)</f>
        <v>0</v>
      </c>
      <c r="J65" s="156">
        <f>SUMIFS(AS!$W:$W,AS!$AX:$AX,Trendit!$X65,AS!$AW:$AW,Trendit!$Y$6,AS!$V:$V,$Y$4,AS!$K:$K,$Y$1,AS!BW:BW,$Y$5,AS!CR:CR,$Y$2)</f>
        <v>0</v>
      </c>
      <c r="K65" s="156">
        <f>SUMIFS(AS!$W:$W,AS!$AX:$AX,Trendit!$X65,AS!$AW:$AW,Trendit!$Y$6,AS!$V:$V,$Y$4,AS!$K:$K,$Y$1,AS!BX:BX,$Y$5,AS!CS:CS,$Y$2)</f>
        <v>0</v>
      </c>
      <c r="L65" s="156">
        <f>SUMIFS(AS!$W:$W,AS!$AX:$AX,Trendit!$X65,AS!$AW:$AW,Trendit!$Y$6,AS!$V:$V,$Y$4,AS!$K:$K,$Y$1,AS!BY:BY,$Y$5,AS!CT:CT,$Y$2)</f>
        <v>0</v>
      </c>
      <c r="M65" s="156">
        <f>SUMIFS(AS!$W:$W,AS!$AX:$AX,Trendit!$X65,AS!$AW:$AW,Trendit!$Y$6,AS!$V:$V,$Y$4,AS!$K:$K,$Y$1,AS!BZ:BZ,$Y$5,AS!CU:CU,$Y$2)</f>
        <v>0</v>
      </c>
      <c r="N65" s="156">
        <f>SUMIFS(AS!$W:$W,AS!$AX:$AX,Trendit!$X65,AS!$AW:$AW,Trendit!$Y$6,AS!$V:$V,$Y$4,AS!$K:$K,$Y$1,AS!CA:CA,$Y$5,AS!CV:CV,$Y$2)</f>
        <v>0</v>
      </c>
      <c r="O65" s="445">
        <f t="shared" si="11"/>
        <v>0</v>
      </c>
      <c r="P65" s="611">
        <f t="shared" si="12"/>
        <v>0</v>
      </c>
      <c r="Q65" s="445">
        <f>IF($W$3="12",SUMIFS(AS!$W:$W,AS!$AB:$AB,"OK",AS!$AX:$AX,$X65,AS!$K:$K,$Y$1,AS!$AW:$AW,$Y$6),0)</f>
        <v>0</v>
      </c>
      <c r="X65" t="s">
        <v>252</v>
      </c>
    </row>
    <row r="66" spans="1:25" x14ac:dyDescent="0.25">
      <c r="A66" s="897" t="s">
        <v>253</v>
      </c>
      <c r="B66" s="527">
        <f t="shared" ref="B66" si="13">IFERROR(Q66-O66,0)</f>
        <v>0</v>
      </c>
      <c r="C66" s="156">
        <f>SUMIFS(AS!$W:$W,AS!$AX:$AX,Trendit!$X66,AS!$AW:$AW,Trendit!$Y$6,AS!$V:$V,$Y$4,AS!$K:$K,$Y$1,AS!BP:BP,$Y$5,AS!CK:CK,$Y$2)</f>
        <v>0</v>
      </c>
      <c r="D66" s="156">
        <f>SUMIFS(AS!$W:$W,AS!$AX:$AX,Trendit!$X66,AS!$AW:$AW,Trendit!$Y$6,AS!$V:$V,$Y$4,AS!$K:$K,$Y$1,AS!BQ:BQ,$Y$5,AS!CL:CL,$Y$2)</f>
        <v>0</v>
      </c>
      <c r="E66" s="156">
        <f>SUMIFS(AS!$W:$W,AS!$AX:$AX,Trendit!$X66,AS!$AW:$AW,Trendit!$Y$6,AS!$V:$V,$Y$4,AS!$K:$K,$Y$1,AS!BR:BR,$Y$5,AS!CM:CM,$Y$2)</f>
        <v>0</v>
      </c>
      <c r="F66" s="156">
        <f>SUMIFS(AS!$W:$W,AS!$AX:$AX,Trendit!$X66,AS!$AW:$AW,Trendit!$Y$6,AS!$V:$V,$Y$4,AS!$K:$K,$Y$1,AS!BS:BS,$Y$5,AS!CN:CN,$Y$2)</f>
        <v>0</v>
      </c>
      <c r="G66" s="156">
        <f>SUMIFS(AS!$W:$W,AS!$AX:$AX,Trendit!$X66,AS!$AW:$AW,Trendit!$Y$6,AS!$V:$V,$Y$4,AS!$K:$K,$Y$1,AS!BT:BT,$Y$5,AS!CO:CO,$Y$2)</f>
        <v>0</v>
      </c>
      <c r="H66" s="156">
        <f>SUMIFS(AS!$W:$W,AS!$AX:$AX,Trendit!$X66,AS!$AW:$AW,Trendit!$Y$6,AS!$V:$V,$Y$4,AS!$K:$K,$Y$1,AS!BU:BU,$Y$5,AS!CP:CP,$Y$2)</f>
        <v>0</v>
      </c>
      <c r="I66" s="156">
        <f>SUMIFS(AS!$W:$W,AS!$AX:$AX,Trendit!$X66,AS!$AW:$AW,Trendit!$Y$6,AS!$V:$V,$Y$4,AS!$K:$K,$Y$1,AS!BV:BV,$Y$5,AS!CQ:CQ,$Y$2)</f>
        <v>0</v>
      </c>
      <c r="J66" s="156">
        <f>SUMIFS(AS!$W:$W,AS!$AX:$AX,Trendit!$X66,AS!$AW:$AW,Trendit!$Y$6,AS!$V:$V,$Y$4,AS!$K:$K,$Y$1,AS!BW:BW,$Y$5,AS!CR:CR,$Y$2)</f>
        <v>0</v>
      </c>
      <c r="K66" s="156">
        <f>SUMIFS(AS!$W:$W,AS!$AX:$AX,Trendit!$X66,AS!$AW:$AW,Trendit!$Y$6,AS!$V:$V,$Y$4,AS!$K:$K,$Y$1,AS!BX:BX,$Y$5,AS!CS:CS,$Y$2)</f>
        <v>0</v>
      </c>
      <c r="L66" s="156">
        <f>SUMIFS(AS!$W:$W,AS!$AX:$AX,Trendit!$X66,AS!$AW:$AW,Trendit!$Y$6,AS!$V:$V,$Y$4,AS!$K:$K,$Y$1,AS!BY:BY,$Y$5,AS!CT:CT,$Y$2)</f>
        <v>0</v>
      </c>
      <c r="M66" s="156">
        <f>SUMIFS(AS!$W:$W,AS!$AX:$AX,Trendit!$X66,AS!$AW:$AW,Trendit!$Y$6,AS!$V:$V,$Y$4,AS!$K:$K,$Y$1,AS!BZ:BZ,$Y$5,AS!CU:CU,$Y$2)</f>
        <v>0</v>
      </c>
      <c r="N66" s="156">
        <f>SUMIFS(AS!$W:$W,AS!$AX:$AX,Trendit!$X66,AS!$AW:$AW,Trendit!$Y$6,AS!$V:$V,$Y$4,AS!$K:$K,$Y$1,AS!CA:CA,$Y$5,AS!CV:CV,$Y$2)</f>
        <v>0</v>
      </c>
      <c r="O66" s="445">
        <f t="shared" ref="O66" si="14">SUM(C66:N66)</f>
        <v>0</v>
      </c>
      <c r="P66" s="611">
        <f t="shared" ref="P66" si="15">IFERROR(O66/Q66,0)</f>
        <v>0</v>
      </c>
      <c r="Q66" s="445">
        <f>IF($W$3="12",SUMIFS(AS!$W:$W,AS!$AB:$AB,"OK",AS!$AX:$AX,$X66,AS!$K:$K,$Y$1,AS!$AW:$AW,$Y$6),0)</f>
        <v>0</v>
      </c>
      <c r="X66" s="490" t="s">
        <v>254</v>
      </c>
    </row>
    <row r="67" spans="1:25" x14ac:dyDescent="0.25">
      <c r="A67" s="898" t="s">
        <v>726</v>
      </c>
      <c r="B67" s="525">
        <f>IFERROR(Q67-O67,0)</f>
        <v>0</v>
      </c>
      <c r="C67" s="465">
        <f>SUM(C68:C69)</f>
        <v>0</v>
      </c>
      <c r="D67" s="465">
        <f t="shared" ref="D67:N67" si="16">SUM(D68:D69)</f>
        <v>0</v>
      </c>
      <c r="E67" s="465">
        <f t="shared" si="16"/>
        <v>0</v>
      </c>
      <c r="F67" s="465">
        <f t="shared" si="16"/>
        <v>0</v>
      </c>
      <c r="G67" s="465">
        <f t="shared" si="16"/>
        <v>0</v>
      </c>
      <c r="H67" s="465">
        <f t="shared" si="16"/>
        <v>0</v>
      </c>
      <c r="I67" s="465">
        <f t="shared" si="16"/>
        <v>0</v>
      </c>
      <c r="J67" s="465">
        <f t="shared" si="16"/>
        <v>0</v>
      </c>
      <c r="K67" s="465">
        <f t="shared" si="16"/>
        <v>0</v>
      </c>
      <c r="L67" s="465">
        <f t="shared" si="16"/>
        <v>0</v>
      </c>
      <c r="M67" s="465">
        <f t="shared" si="16"/>
        <v>0</v>
      </c>
      <c r="N67" s="465">
        <f t="shared" si="16"/>
        <v>0</v>
      </c>
      <c r="O67" s="487">
        <f t="shared" ref="O67:O73" si="17">SUM(C67:N67)</f>
        <v>0</v>
      </c>
      <c r="P67" s="511">
        <f>IFERROR(O67/Q67,0)</f>
        <v>0</v>
      </c>
      <c r="Q67" s="487">
        <f>SUM(Q68:Q69)</f>
        <v>0</v>
      </c>
    </row>
    <row r="68" spans="1:25" x14ac:dyDescent="0.25">
      <c r="A68" s="899" t="s">
        <v>256</v>
      </c>
      <c r="B68" s="527">
        <f>IFERROR(Q68-O68,0)</f>
        <v>0</v>
      </c>
      <c r="C68" s="156">
        <f>SUMIFS(AS!$W:$W,AS!$AX:$AX,Trendit!$X68,AS!$AW:$AW,Trendit!$Y$6,AS!$V:$V,$Y$4,AS!$K:$K,$Y$1,AS!BP:BP,$Y$5,AS!CK:CK,$Y$2)</f>
        <v>0</v>
      </c>
      <c r="D68" s="156">
        <f>SUMIFS(AS!$W:$W,AS!$AX:$AX,Trendit!$X68,AS!$AW:$AW,Trendit!$Y$6,AS!$V:$V,$Y$4,AS!$K:$K,$Y$1,AS!BQ:BQ,$Y$5,AS!CL:CL,$Y$2)</f>
        <v>0</v>
      </c>
      <c r="E68" s="156">
        <f>SUMIFS(AS!$W:$W,AS!$AX:$AX,Trendit!$X68,AS!$AW:$AW,Trendit!$Y$6,AS!$V:$V,$Y$4,AS!$K:$K,$Y$1,AS!BR:BR,$Y$5,AS!CM:CM,$Y$2)</f>
        <v>0</v>
      </c>
      <c r="F68" s="156">
        <f>SUMIFS(AS!$W:$W,AS!$AX:$AX,Trendit!$X68,AS!$AW:$AW,Trendit!$Y$6,AS!$V:$V,$Y$4,AS!$K:$K,$Y$1,AS!BS:BS,$Y$5,AS!CN:CN,$Y$2)</f>
        <v>0</v>
      </c>
      <c r="G68" s="156">
        <f>SUMIFS(AS!$W:$W,AS!$AX:$AX,Trendit!$X68,AS!$AW:$AW,Trendit!$Y$6,AS!$V:$V,$Y$4,AS!$K:$K,$Y$1,AS!BT:BT,$Y$5,AS!CO:CO,$Y$2)</f>
        <v>0</v>
      </c>
      <c r="H68" s="156">
        <f>SUMIFS(AS!$W:$W,AS!$AX:$AX,Trendit!$X68,AS!$AW:$AW,Trendit!$Y$6,AS!$V:$V,$Y$4,AS!$K:$K,$Y$1,AS!BU:BU,$Y$5,AS!CP:CP,$Y$2)</f>
        <v>0</v>
      </c>
      <c r="I68" s="156">
        <f>SUMIFS(AS!$W:$W,AS!$AX:$AX,Trendit!$X68,AS!$AW:$AW,Trendit!$Y$6,AS!$V:$V,$Y$4,AS!$K:$K,$Y$1,AS!BV:BV,$Y$5,AS!CQ:CQ,$Y$2)</f>
        <v>0</v>
      </c>
      <c r="J68" s="156">
        <f>SUMIFS(AS!$W:$W,AS!$AX:$AX,Trendit!$X68,AS!$AW:$AW,Trendit!$Y$6,AS!$V:$V,$Y$4,AS!$K:$K,$Y$1,AS!BW:BW,$Y$5,AS!CR:CR,$Y$2)</f>
        <v>0</v>
      </c>
      <c r="K68" s="156">
        <f>SUMIFS(AS!$W:$W,AS!$AX:$AX,Trendit!$X68,AS!$AW:$AW,Trendit!$Y$6,AS!$V:$V,$Y$4,AS!$K:$K,$Y$1,AS!BX:BX,$Y$5,AS!CS:CS,$Y$2)</f>
        <v>0</v>
      </c>
      <c r="L68" s="156">
        <f>SUMIFS(AS!$W:$W,AS!$AX:$AX,Trendit!$X68,AS!$AW:$AW,Trendit!$Y$6,AS!$V:$V,$Y$4,AS!$K:$K,$Y$1,AS!BY:BY,$Y$5,AS!CT:CT,$Y$2)</f>
        <v>0</v>
      </c>
      <c r="M68" s="156">
        <f>SUMIFS(AS!$W:$W,AS!$AX:$AX,Trendit!$X68,AS!$AW:$AW,Trendit!$Y$6,AS!$V:$V,$Y$4,AS!$K:$K,$Y$1,AS!BZ:BZ,$Y$5,AS!CU:CU,$Y$2)</f>
        <v>0</v>
      </c>
      <c r="N68" s="156">
        <f>SUMIFS(AS!$W:$W,AS!$AX:$AX,Trendit!$X68,AS!$AW:$AW,Trendit!$Y$6,AS!$V:$V,$Y$4,AS!$K:$K,$Y$1,AS!CA:CA,$Y$5,AS!CV:CV,$Y$2)</f>
        <v>0</v>
      </c>
      <c r="O68" s="445">
        <f t="shared" si="17"/>
        <v>0</v>
      </c>
      <c r="P68" s="611">
        <f>IFERROR(O68/Q68,0)</f>
        <v>0</v>
      </c>
      <c r="Q68" s="445">
        <f>IF($W$3="12",SUMIFS(AS!$W:$W,AS!$AB:$AB,"OK",AS!$AX:$AX,$X68,AS!$K:$K,$Y$1,AS!$AW:$AW,$Y$6),0)</f>
        <v>0</v>
      </c>
      <c r="X68" t="s">
        <v>257</v>
      </c>
    </row>
    <row r="69" spans="1:25" x14ac:dyDescent="0.25">
      <c r="A69" s="899" t="s">
        <v>258</v>
      </c>
      <c r="B69" s="527">
        <f>IFERROR(Q69-O69,0)</f>
        <v>0</v>
      </c>
      <c r="C69" s="156">
        <f>SUMIFS(AS!$W:$W,AS!$AX:$AX,Trendit!$X69,AS!$AW:$AW,Trendit!$Y$6,AS!$V:$V,$Y$4,AS!$K:$K,$Y$1,AS!BP:BP,$Y$5,AS!CK:CK,$Y$2)+SUMIFS(AS!$W:$W,AS!$AX:$AX,Trendit!$W69,AS!$AW:$AW,Trendit!$Y$6,AS!$V:$V,$Y$4,AS!$K:$K,$Y$1,AS!BP:BP,$Y$5,AS!CK:CK,$Y$2)</f>
        <v>0</v>
      </c>
      <c r="D69" s="156">
        <f>SUMIFS(AS!$W:$W,AS!$AX:$AX,Trendit!$X69,AS!$AW:$AW,Trendit!$Y$6,AS!$V:$V,$Y$4,AS!$K:$K,$Y$1,AS!BQ:BQ,$Y$5,AS!CL:CL,$Y$2)+SUMIFS(AS!$W:$W,AS!$AX:$AX,Trendit!$W69,AS!$AW:$AW,Trendit!$Y$6,AS!$V:$V,$Y$4,AS!$K:$K,$Y$1,AS!BQ:BQ,$Y$5,AS!CL:CL,$Y$2)</f>
        <v>0</v>
      </c>
      <c r="E69" s="156">
        <f>SUMIFS(AS!$W:$W,AS!$AX:$AX,Trendit!$X69,AS!$AW:$AW,Trendit!$Y$6,AS!$V:$V,$Y$4,AS!$K:$K,$Y$1,AS!BR:BR,$Y$5,AS!CM:CM,$Y$2)+SUMIFS(AS!$W:$W,AS!$AX:$AX,Trendit!$W69,AS!$AW:$AW,Trendit!$Y$6,AS!$V:$V,$Y$4,AS!$K:$K,$Y$1,AS!BR:BR,$Y$5,AS!CM:CM,$Y$2)</f>
        <v>0</v>
      </c>
      <c r="F69" s="156">
        <f>SUMIFS(AS!$W:$W,AS!$AX:$AX,Trendit!$X69,AS!$AW:$AW,Trendit!$Y$6,AS!$V:$V,$Y$4,AS!$K:$K,$Y$1,AS!BS:BS,$Y$5,AS!CN:CN,$Y$2)+SUMIFS(AS!$W:$W,AS!$AX:$AX,Trendit!$W69,AS!$AW:$AW,Trendit!$Y$6,AS!$V:$V,$Y$4,AS!$K:$K,$Y$1,AS!BS:BS,$Y$5,AS!CN:CN,$Y$2)</f>
        <v>0</v>
      </c>
      <c r="G69" s="156">
        <f>SUMIFS(AS!$W:$W,AS!$AX:$AX,Trendit!$X69,AS!$AW:$AW,Trendit!$Y$6,AS!$V:$V,$Y$4,AS!$K:$K,$Y$1,AS!BT:BT,$Y$5,AS!CO:CO,$Y$2)+SUMIFS(AS!$W:$W,AS!$AX:$AX,Trendit!$W69,AS!$AW:$AW,Trendit!$Y$6,AS!$V:$V,$Y$4,AS!$K:$K,$Y$1,AS!BT:BT,$Y$5,AS!CO:CO,$Y$2)</f>
        <v>0</v>
      </c>
      <c r="H69" s="156">
        <f>SUMIFS(AS!$W:$W,AS!$AX:$AX,Trendit!$X69,AS!$AW:$AW,Trendit!$Y$6,AS!$V:$V,$Y$4,AS!$K:$K,$Y$1,AS!BU:BU,$Y$5,AS!CP:CP,$Y$2)+SUMIFS(AS!$W:$W,AS!$AX:$AX,Trendit!$W69,AS!$AW:$AW,Trendit!$Y$6,AS!$V:$V,$Y$4,AS!$K:$K,$Y$1,AS!BU:BU,$Y$5,AS!CP:CP,$Y$2)</f>
        <v>0</v>
      </c>
      <c r="I69" s="156">
        <f>SUMIFS(AS!$W:$W,AS!$AX:$AX,Trendit!$X69,AS!$AW:$AW,Trendit!$Y$6,AS!$V:$V,$Y$4,AS!$K:$K,$Y$1,AS!BV:BV,$Y$5,AS!CQ:CQ,$Y$2)+SUMIFS(AS!$W:$W,AS!$AX:$AX,Trendit!$W69,AS!$AW:$AW,Trendit!$Y$6,AS!$V:$V,$Y$4,AS!$K:$K,$Y$1,AS!BV:BV,$Y$5,AS!CQ:CQ,$Y$2)</f>
        <v>0</v>
      </c>
      <c r="J69" s="156">
        <f>SUMIFS(AS!$W:$W,AS!$AX:$AX,Trendit!$X69,AS!$AW:$AW,Trendit!$Y$6,AS!$V:$V,$Y$4,AS!$K:$K,$Y$1,AS!BW:BW,$Y$5,AS!CR:CR,$Y$2)+SUMIFS(AS!$W:$W,AS!$AX:$AX,Trendit!$W69,AS!$AW:$AW,Trendit!$Y$6,AS!$V:$V,$Y$4,AS!$K:$K,$Y$1,AS!BW:BW,$Y$5,AS!CR:CR,$Y$2)</f>
        <v>0</v>
      </c>
      <c r="K69" s="156">
        <f>SUMIFS(AS!$W:$W,AS!$AX:$AX,Trendit!$X69,AS!$AW:$AW,Trendit!$Y$6,AS!$V:$V,$Y$4,AS!$K:$K,$Y$1,AS!BX:BX,$Y$5,AS!CS:CS,$Y$2)+SUMIFS(AS!$W:$W,AS!$AX:$AX,Trendit!$W69,AS!$AW:$AW,Trendit!$Y$6,AS!$V:$V,$Y$4,AS!$K:$K,$Y$1,AS!BX:BX,$Y$5,AS!CS:CS,$Y$2)</f>
        <v>0</v>
      </c>
      <c r="L69" s="156">
        <f>SUMIFS(AS!$W:$W,AS!$AX:$AX,Trendit!$X69,AS!$AW:$AW,Trendit!$Y$6,AS!$V:$V,$Y$4,AS!$K:$K,$Y$1,AS!BY:BY,$Y$5,AS!CT:CT,$Y$2)+SUMIFS(AS!$W:$W,AS!$AX:$AX,Trendit!$W69,AS!$AW:$AW,Trendit!$Y$6,AS!$V:$V,$Y$4,AS!$K:$K,$Y$1,AS!BY:BY,$Y$5,AS!CT:CT,$Y$2)</f>
        <v>0</v>
      </c>
      <c r="M69" s="156">
        <f>SUMIFS(AS!$W:$W,AS!$AX:$AX,Trendit!$X69,AS!$AW:$AW,Trendit!$Y$6,AS!$V:$V,$Y$4,AS!$K:$K,$Y$1,AS!BZ:BZ,$Y$5,AS!CU:CU,$Y$2)+SUMIFS(AS!$W:$W,AS!$AX:$AX,Trendit!$W69,AS!$AW:$AW,Trendit!$Y$6,AS!$V:$V,$Y$4,AS!$K:$K,$Y$1,AS!BZ:BZ,$Y$5,AS!CU:CU,$Y$2)</f>
        <v>0</v>
      </c>
      <c r="N69" s="156">
        <f>SUMIFS(AS!$W:$W,AS!$AX:$AX,Trendit!$X69,AS!$AW:$AW,Trendit!$Y$6,AS!$V:$V,$Y$4,AS!$K:$K,$Y$1,AS!CA:CA,$Y$5,AS!CV:CV,$Y$2)+SUMIFS(AS!$W:$W,AS!$AX:$AX,Trendit!$W69,AS!$AW:$AW,Trendit!$Y$6,AS!$V:$V,$Y$4,AS!$K:$K,$Y$1,AS!CA:CA,$Y$5,AS!CV:CV,$Y$2)</f>
        <v>0</v>
      </c>
      <c r="O69" s="445">
        <f t="shared" si="17"/>
        <v>0</v>
      </c>
      <c r="P69" s="611">
        <f>IFERROR(O69/Q69,0)</f>
        <v>0</v>
      </c>
      <c r="Q69" s="445">
        <f>IFERROR(IF($W$3="12",SUMIFS(AS!$W:$W,AS!$AB:$AB,"OK",AS!$AX:$AX,$X69,AS!$K:$K,$Y$1,AS!$AW:$AW,$Y$6),"ks. aika")+IF($W$3="12",SUMIFS(AS!$W:$W,AS!$AB:$AB,"OK",AS!$AX:$AX,$W69,AS!$K:$K,$Y$1,AS!$AW:$AW,$Y$6),"ks. aika"),"")</f>
        <v>0</v>
      </c>
      <c r="W69" s="561" t="s">
        <v>259</v>
      </c>
      <c r="X69" s="407" t="s">
        <v>260</v>
      </c>
      <c r="Y69" s="228" t="s">
        <v>261</v>
      </c>
    </row>
    <row r="70" spans="1:25" x14ac:dyDescent="0.25">
      <c r="A70" s="900" t="s">
        <v>262</v>
      </c>
      <c r="B70" s="525">
        <f>IFERROR(Q70-O70,0)</f>
        <v>0</v>
      </c>
      <c r="C70" s="465">
        <f>SUM(C71:C75)</f>
        <v>0</v>
      </c>
      <c r="D70" s="465">
        <f t="shared" ref="D70:N70" si="18">SUM(D71:D75)</f>
        <v>0</v>
      </c>
      <c r="E70" s="465">
        <f t="shared" si="18"/>
        <v>0</v>
      </c>
      <c r="F70" s="465">
        <f t="shared" si="18"/>
        <v>0</v>
      </c>
      <c r="G70" s="465">
        <f t="shared" si="18"/>
        <v>0</v>
      </c>
      <c r="H70" s="465">
        <f t="shared" si="18"/>
        <v>0</v>
      </c>
      <c r="I70" s="465">
        <f t="shared" si="18"/>
        <v>0</v>
      </c>
      <c r="J70" s="465">
        <f t="shared" si="18"/>
        <v>0</v>
      </c>
      <c r="K70" s="465">
        <f t="shared" si="18"/>
        <v>0</v>
      </c>
      <c r="L70" s="465">
        <f t="shared" si="18"/>
        <v>0</v>
      </c>
      <c r="M70" s="465">
        <f t="shared" si="18"/>
        <v>0</v>
      </c>
      <c r="N70" s="465">
        <f t="shared" si="18"/>
        <v>0</v>
      </c>
      <c r="O70" s="487">
        <f t="shared" si="17"/>
        <v>0</v>
      </c>
      <c r="P70" s="511">
        <f>IFERROR(O70/Q70,0)</f>
        <v>0</v>
      </c>
      <c r="Q70" s="487">
        <f>SUM(Q71:Q75)</f>
        <v>0</v>
      </c>
    </row>
    <row r="71" spans="1:25" x14ac:dyDescent="0.25">
      <c r="A71" s="897" t="s">
        <v>263</v>
      </c>
      <c r="B71" s="527">
        <f>IFERROR(Q71-O71,0)</f>
        <v>0</v>
      </c>
      <c r="C71" s="156">
        <f>SUMIFS(AS!$W:$W,AS!$AX:$AX,Trendit!$X71,AS!$AW:$AW,Trendit!$Y$6,AS!$V:$V,$Y$4,AS!$K:$K,$Y$1,AS!BP:BP,$Y$5,AS!CK:CK,$Y$2)</f>
        <v>0</v>
      </c>
      <c r="D71" s="156">
        <f>SUMIFS(AS!$W:$W,AS!$AX:$AX,Trendit!$X71,AS!$AW:$AW,Trendit!$Y$6,AS!$V:$V,$Y$4,AS!$K:$K,$Y$1,AS!BQ:BQ,$Y$5,AS!CL:CL,$Y$2)</f>
        <v>0</v>
      </c>
      <c r="E71" s="156">
        <f>SUMIFS(AS!$W:$W,AS!$AX:$AX,Trendit!$X71,AS!$AW:$AW,Trendit!$Y$6,AS!$V:$V,$Y$4,AS!$K:$K,$Y$1,AS!BR:BR,$Y$5,AS!CM:CM,$Y$2)</f>
        <v>0</v>
      </c>
      <c r="F71" s="156">
        <f>SUMIFS(AS!$W:$W,AS!$AX:$AX,Trendit!$X71,AS!$AW:$AW,Trendit!$Y$6,AS!$V:$V,$Y$4,AS!$K:$K,$Y$1,AS!BS:BS,$Y$5,AS!CN:CN,$Y$2)</f>
        <v>0</v>
      </c>
      <c r="G71" s="156">
        <f>SUMIFS(AS!$W:$W,AS!$AX:$AX,Trendit!$X71,AS!$AW:$AW,Trendit!$Y$6,AS!$V:$V,$Y$4,AS!$K:$K,$Y$1,AS!BT:BT,$Y$5,AS!CO:CO,$Y$2)</f>
        <v>0</v>
      </c>
      <c r="H71" s="156">
        <f>SUMIFS(AS!$W:$W,AS!$AX:$AX,Trendit!$X71,AS!$AW:$AW,Trendit!$Y$6,AS!$V:$V,$Y$4,AS!$K:$K,$Y$1,AS!BU:BU,$Y$5,AS!CP:CP,$Y$2)</f>
        <v>0</v>
      </c>
      <c r="I71" s="156">
        <f>SUMIFS(AS!$W:$W,AS!$AX:$AX,Trendit!$X71,AS!$AW:$AW,Trendit!$Y$6,AS!$V:$V,$Y$4,AS!$K:$K,$Y$1,AS!BV:BV,$Y$5,AS!CQ:CQ,$Y$2)</f>
        <v>0</v>
      </c>
      <c r="J71" s="156">
        <f>SUMIFS(AS!$W:$W,AS!$AX:$AX,Trendit!$X71,AS!$AW:$AW,Trendit!$Y$6,AS!$V:$V,$Y$4,AS!$K:$K,$Y$1,AS!BW:BW,$Y$5,AS!CR:CR,$Y$2)</f>
        <v>0</v>
      </c>
      <c r="K71" s="156">
        <f>SUMIFS(AS!$W:$W,AS!$AX:$AX,Trendit!$X71,AS!$AW:$AW,Trendit!$Y$6,AS!$V:$V,$Y$4,AS!$K:$K,$Y$1,AS!BX:BX,$Y$5,AS!CS:CS,$Y$2)</f>
        <v>0</v>
      </c>
      <c r="L71" s="156">
        <f>SUMIFS(AS!$W:$W,AS!$AX:$AX,Trendit!$X71,AS!$AW:$AW,Trendit!$Y$6,AS!$V:$V,$Y$4,AS!$K:$K,$Y$1,AS!BY:BY,$Y$5,AS!CT:CT,$Y$2)</f>
        <v>0</v>
      </c>
      <c r="M71" s="156">
        <f>SUMIFS(AS!$W:$W,AS!$AX:$AX,Trendit!$X71,AS!$AW:$AW,Trendit!$Y$6,AS!$V:$V,$Y$4,AS!$K:$K,$Y$1,AS!BZ:BZ,$Y$5,AS!CU:CU,$Y$2)</f>
        <v>0</v>
      </c>
      <c r="N71" s="156">
        <f>SUMIFS(AS!$W:$W,AS!$AX:$AX,Trendit!$X71,AS!$AW:$AW,Trendit!$Y$6,AS!$V:$V,$Y$4,AS!$K:$K,$Y$1,AS!CA:CA,$Y$5,AS!CV:CV,$Y$2)</f>
        <v>0</v>
      </c>
      <c r="O71" s="445">
        <f t="shared" si="17"/>
        <v>0</v>
      </c>
      <c r="P71" s="611">
        <f>IFERROR(O71/Q71,0)</f>
        <v>0</v>
      </c>
      <c r="Q71" s="445">
        <f>IF($W$3="12",SUMIFS(AS!$W:$W,AS!$AB:$AB,"OK",AS!$AX:$AX,$X71,AS!$K:$K,$Y$1,AS!$AW:$AW,$Y$6),0)</f>
        <v>0</v>
      </c>
      <c r="X71" t="s">
        <v>264</v>
      </c>
    </row>
    <row r="72" spans="1:25" x14ac:dyDescent="0.25">
      <c r="A72" s="897" t="s">
        <v>262</v>
      </c>
      <c r="B72" s="527">
        <f t="shared" ref="B72" si="19">IFERROR(Q72-O72,0)</f>
        <v>0</v>
      </c>
      <c r="C72" s="156">
        <f>SUMIFS(AS!$W:$W,AS!$AX:$AX,Trendit!$X72,AS!$AW:$AW,Trendit!$Y$6,AS!$V:$V,$Y$4,AS!$K:$K,$Y$1,AS!BP:BP,$Y$5,AS!CK:CK,$Y$2)+SUMIFS(AS!$W:$W,AS!$AX:$AX,Trendit!$W72,AS!$AW:$AW,Trendit!$Y$6,AS!$V:$V,$Y$4,AS!$K:$K,$Y$1,AS!BP:BP,$Y$5,AS!CK:CK,$Y$2)</f>
        <v>0</v>
      </c>
      <c r="D72" s="156">
        <f>SUMIFS(AS!$W:$W,AS!$AX:$AX,Trendit!$X72,AS!$AW:$AW,Trendit!$Y$6,AS!$V:$V,$Y$4,AS!$K:$K,$Y$1,AS!BQ:BQ,$Y$5,AS!CL:CL,$Y$2)+SUMIFS(AS!$W:$W,AS!$AX:$AX,Trendit!$W72,AS!$AW:$AW,Trendit!$Y$6,AS!$V:$V,$Y$4,AS!$K:$K,$Y$1,AS!BQ:BQ,$Y$5,AS!CL:CL,$Y$2)</f>
        <v>0</v>
      </c>
      <c r="E72" s="156">
        <f>SUMIFS(AS!$W:$W,AS!$AX:$AX,Trendit!$X72,AS!$AW:$AW,Trendit!$Y$6,AS!$V:$V,$Y$4,AS!$K:$K,$Y$1,AS!BR:BR,$Y$5,AS!CM:CM,$Y$2)+SUMIFS(AS!$W:$W,AS!$AX:$AX,Trendit!$W72,AS!$AW:$AW,Trendit!$Y$6,AS!$V:$V,$Y$4,AS!$K:$K,$Y$1,AS!BR:BR,$Y$5,AS!CM:CM,$Y$2)</f>
        <v>0</v>
      </c>
      <c r="F72" s="156">
        <f>SUMIFS(AS!$W:$W,AS!$AX:$AX,Trendit!$X72,AS!$AW:$AW,Trendit!$Y$6,AS!$V:$V,$Y$4,AS!$K:$K,$Y$1,AS!BS:BS,$Y$5,AS!CN:CN,$Y$2)+SUMIFS(AS!$W:$W,AS!$AX:$AX,Trendit!$W72,AS!$AW:$AW,Trendit!$Y$6,AS!$V:$V,$Y$4,AS!$K:$K,$Y$1,AS!BS:BS,$Y$5,AS!CN:CN,$Y$2)</f>
        <v>0</v>
      </c>
      <c r="G72" s="156">
        <f>SUMIFS(AS!$W:$W,AS!$AX:$AX,Trendit!$X72,AS!$AW:$AW,Trendit!$Y$6,AS!$V:$V,$Y$4,AS!$K:$K,$Y$1,AS!BT:BT,$Y$5,AS!CO:CO,$Y$2)+SUMIFS(AS!$W:$W,AS!$AX:$AX,Trendit!$W72,AS!$AW:$AW,Trendit!$Y$6,AS!$V:$V,$Y$4,AS!$K:$K,$Y$1,AS!BT:BT,$Y$5,AS!CO:CO,$Y$2)</f>
        <v>0</v>
      </c>
      <c r="H72" s="156">
        <f>SUMIFS(AS!$W:$W,AS!$AX:$AX,Trendit!$X72,AS!$AW:$AW,Trendit!$Y$6,AS!$V:$V,$Y$4,AS!$K:$K,$Y$1,AS!BU:BU,$Y$5,AS!CP:CP,$Y$2)+SUMIFS(AS!$W:$W,AS!$AX:$AX,Trendit!$W72,AS!$AW:$AW,Trendit!$Y$6,AS!$V:$V,$Y$4,AS!$K:$K,$Y$1,AS!BU:BU,$Y$5,AS!CP:CP,$Y$2)</f>
        <v>0</v>
      </c>
      <c r="I72" s="156">
        <f>SUMIFS(AS!$W:$W,AS!$AX:$AX,Trendit!$X72,AS!$AW:$AW,Trendit!$Y$6,AS!$V:$V,$Y$4,AS!$K:$K,$Y$1,AS!BV:BV,$Y$5,AS!CQ:CQ,$Y$2)+SUMIFS(AS!$W:$W,AS!$AX:$AX,Trendit!$W72,AS!$AW:$AW,Trendit!$Y$6,AS!$V:$V,$Y$4,AS!$K:$K,$Y$1,AS!BV:BV,$Y$5,AS!CQ:CQ,$Y$2)</f>
        <v>0</v>
      </c>
      <c r="J72" s="156">
        <f>SUMIFS(AS!$W:$W,AS!$AX:$AX,Trendit!$X72,AS!$AW:$AW,Trendit!$Y$6,AS!$V:$V,$Y$4,AS!$K:$K,$Y$1,AS!BW:BW,$Y$5,AS!CR:CR,$Y$2)+SUMIFS(AS!$W:$W,AS!$AX:$AX,Trendit!$W72,AS!$AW:$AW,Trendit!$Y$6,AS!$V:$V,$Y$4,AS!$K:$K,$Y$1,AS!BW:BW,$Y$5,AS!CR:CR,$Y$2)</f>
        <v>0</v>
      </c>
      <c r="K72" s="156">
        <f>SUMIFS(AS!$W:$W,AS!$AX:$AX,Trendit!$X72,AS!$AW:$AW,Trendit!$Y$6,AS!$V:$V,$Y$4,AS!$K:$K,$Y$1,AS!BX:BX,$Y$5,AS!CS:CS,$Y$2)+SUMIFS(AS!$W:$W,AS!$AX:$AX,Trendit!$W72,AS!$AW:$AW,Trendit!$Y$6,AS!$V:$V,$Y$4,AS!$K:$K,$Y$1,AS!BX:BX,$Y$5,AS!CS:CS,$Y$2)</f>
        <v>0</v>
      </c>
      <c r="L72" s="156">
        <f>SUMIFS(AS!$W:$W,AS!$AX:$AX,Trendit!$X72,AS!$AW:$AW,Trendit!$Y$6,AS!$V:$V,$Y$4,AS!$K:$K,$Y$1,AS!BY:BY,$Y$5,AS!CT:CT,$Y$2)+SUMIFS(AS!$W:$W,AS!$AX:$AX,Trendit!$W72,AS!$AW:$AW,Trendit!$Y$6,AS!$V:$V,$Y$4,AS!$K:$K,$Y$1,AS!BY:BY,$Y$5,AS!CT:CT,$Y$2)</f>
        <v>0</v>
      </c>
      <c r="M72" s="156">
        <f>SUMIFS(AS!$W:$W,AS!$AX:$AX,Trendit!$X72,AS!$AW:$AW,Trendit!$Y$6,AS!$V:$V,$Y$4,AS!$K:$K,$Y$1,AS!BZ:BZ,$Y$5,AS!CU:CU,$Y$2)+SUMIFS(AS!$W:$W,AS!$AX:$AX,Trendit!$W72,AS!$AW:$AW,Trendit!$Y$6,AS!$V:$V,$Y$4,AS!$K:$K,$Y$1,AS!BZ:BZ,$Y$5,AS!CU:CU,$Y$2)</f>
        <v>0</v>
      </c>
      <c r="N72" s="156">
        <f>SUMIFS(AS!$W:$W,AS!$AX:$AX,Trendit!$X72,AS!$AW:$AW,Trendit!$Y$6,AS!$V:$V,$Y$4,AS!$K:$K,$Y$1,AS!CA:CA,$Y$5,AS!CV:CV,$Y$2)+SUMIFS(AS!$W:$W,AS!$AX:$AX,Trendit!$W72,AS!$AW:$AW,Trendit!$Y$6,AS!$V:$V,$Y$4,AS!$K:$K,$Y$1,AS!CA:CA,$Y$5,AS!CV:CV,$Y$2)</f>
        <v>0</v>
      </c>
      <c r="O72" s="445">
        <f t="shared" si="17"/>
        <v>0</v>
      </c>
      <c r="P72" s="611">
        <f t="shared" ref="P72" si="20">IFERROR(O72/Q72,0)</f>
        <v>0</v>
      </c>
      <c r="Q72" s="445">
        <f>IFERROR(IF($W$3="12",SUMIFS(AS!$W:$W,AS!$AB:$AB,"OK",AS!$AX:$AX,$X72,AS!$K:$K,$Y$1,AS!$AW:$AW,$Y$6),"ks. aika")+IF($W$3="12",SUMIFS(AS!$W:$W,AS!$AB:$AB,"OK",AS!$AX:$AX,$W72,AS!$K:$K,$Y$1,AS!$AW:$AW,$Y$6),"ks. aika"),0)</f>
        <v>0</v>
      </c>
      <c r="W72" t="s">
        <v>266</v>
      </c>
      <c r="X72" s="407" t="s">
        <v>267</v>
      </c>
    </row>
    <row r="73" spans="1:25" x14ac:dyDescent="0.25">
      <c r="A73" s="897" t="s">
        <v>268</v>
      </c>
      <c r="B73" s="527">
        <f>IFERROR(Q73-O73,0)</f>
        <v>0</v>
      </c>
      <c r="C73" s="156">
        <f>SUMIFS(AS!$W:$W,AS!$AX:$AX,Trendit!$X73,AS!$AW:$AW,Trendit!$Y$6,AS!$V:$V,$Y$4,AS!$K:$K,$Y$1,AS!BP:BP,$Y$5,AS!CK:CK,$Y$2)+SUMIFS(AS!$W:$W,AS!$AX:$AX,Trendit!$W73,AS!$AW:$AW,Trendit!$Y$6,AS!$V:$V,$Y$4,AS!$K:$K,$Y$1,AS!BP:BP,$Y$5,AS!CK:CK,$Y$2)</f>
        <v>0</v>
      </c>
      <c r="D73" s="156">
        <f>SUMIFS(AS!$W:$W,AS!$AX:$AX,Trendit!$X73,AS!$AW:$AW,Trendit!$Y$6,AS!$V:$V,$Y$4,AS!$K:$K,$Y$1,AS!BQ:BQ,$Y$5,AS!CL:CL,$Y$2)+SUMIFS(AS!$W:$W,AS!$AX:$AX,Trendit!$W73,AS!$AW:$AW,Trendit!$Y$6,AS!$V:$V,$Y$4,AS!$K:$K,$Y$1,AS!BQ:BQ,$Y$5,AS!CL:CL,$Y$2)</f>
        <v>0</v>
      </c>
      <c r="E73" s="156">
        <f>SUMIFS(AS!$W:$W,AS!$AX:$AX,Trendit!$X73,AS!$AW:$AW,Trendit!$Y$6,AS!$V:$V,$Y$4,AS!$K:$K,$Y$1,AS!BR:BR,$Y$5,AS!CM:CM,$Y$2)+SUMIFS(AS!$W:$W,AS!$AX:$AX,Trendit!$W73,AS!$AW:$AW,Trendit!$Y$6,AS!$V:$V,$Y$4,AS!$K:$K,$Y$1,AS!BR:BR,$Y$5,AS!CM:CM,$Y$2)</f>
        <v>0</v>
      </c>
      <c r="F73" s="156">
        <f>SUMIFS(AS!$W:$W,AS!$AX:$AX,Trendit!$X73,AS!$AW:$AW,Trendit!$Y$6,AS!$V:$V,$Y$4,AS!$K:$K,$Y$1,AS!BS:BS,$Y$5,AS!CN:CN,$Y$2)+SUMIFS(AS!$W:$W,AS!$AX:$AX,Trendit!$W73,AS!$AW:$AW,Trendit!$Y$6,AS!$V:$V,$Y$4,AS!$K:$K,$Y$1,AS!BS:BS,$Y$5,AS!CN:CN,$Y$2)</f>
        <v>0</v>
      </c>
      <c r="G73" s="156">
        <f>SUMIFS(AS!$W:$W,AS!$AX:$AX,Trendit!$X73,AS!$AW:$AW,Trendit!$Y$6,AS!$V:$V,$Y$4,AS!$K:$K,$Y$1,AS!BT:BT,$Y$5,AS!CO:CO,$Y$2)+SUMIFS(AS!$W:$W,AS!$AX:$AX,Trendit!$W73,AS!$AW:$AW,Trendit!$Y$6,AS!$V:$V,$Y$4,AS!$K:$K,$Y$1,AS!BT:BT,$Y$5,AS!CO:CO,$Y$2)</f>
        <v>0</v>
      </c>
      <c r="H73" s="156">
        <f>SUMIFS(AS!$W:$W,AS!$AX:$AX,Trendit!$X73,AS!$AW:$AW,Trendit!$Y$6,AS!$V:$V,$Y$4,AS!$K:$K,$Y$1,AS!BU:BU,$Y$5,AS!CP:CP,$Y$2)+SUMIFS(AS!$W:$W,AS!$AX:$AX,Trendit!$W73,AS!$AW:$AW,Trendit!$Y$6,AS!$V:$V,$Y$4,AS!$K:$K,$Y$1,AS!BU:BU,$Y$5,AS!CP:CP,$Y$2)</f>
        <v>0</v>
      </c>
      <c r="I73" s="156">
        <f>SUMIFS(AS!$W:$W,AS!$AX:$AX,Trendit!$X73,AS!$AW:$AW,Trendit!$Y$6,AS!$V:$V,$Y$4,AS!$K:$K,$Y$1,AS!BV:BV,$Y$5,AS!CQ:CQ,$Y$2)+SUMIFS(AS!$W:$W,AS!$AX:$AX,Trendit!$W73,AS!$AW:$AW,Trendit!$Y$6,AS!$V:$V,$Y$4,AS!$K:$K,$Y$1,AS!BV:BV,$Y$5,AS!CQ:CQ,$Y$2)</f>
        <v>0</v>
      </c>
      <c r="J73" s="156">
        <f>SUMIFS(AS!$W:$W,AS!$AX:$AX,Trendit!$X73,AS!$AW:$AW,Trendit!$Y$6,AS!$V:$V,$Y$4,AS!$K:$K,$Y$1,AS!BW:BW,$Y$5,AS!CR:CR,$Y$2)+SUMIFS(AS!$W:$W,AS!$AX:$AX,Trendit!$W73,AS!$AW:$AW,Trendit!$Y$6,AS!$V:$V,$Y$4,AS!$K:$K,$Y$1,AS!BW:BW,$Y$5,AS!CR:CR,$Y$2)</f>
        <v>0</v>
      </c>
      <c r="K73" s="156">
        <f>SUMIFS(AS!$W:$W,AS!$AX:$AX,Trendit!$X73,AS!$AW:$AW,Trendit!$Y$6,AS!$V:$V,$Y$4,AS!$K:$K,$Y$1,AS!BX:BX,$Y$5,AS!CS:CS,$Y$2)+SUMIFS(AS!$W:$W,AS!$AX:$AX,Trendit!$W73,AS!$AW:$AW,Trendit!$Y$6,AS!$V:$V,$Y$4,AS!$K:$K,$Y$1,AS!BX:BX,$Y$5,AS!CS:CS,$Y$2)</f>
        <v>0</v>
      </c>
      <c r="L73" s="156">
        <f>SUMIFS(AS!$W:$W,AS!$AX:$AX,Trendit!$X73,AS!$AW:$AW,Trendit!$Y$6,AS!$V:$V,$Y$4,AS!$K:$K,$Y$1,AS!BY:BY,$Y$5,AS!CT:CT,$Y$2)+SUMIFS(AS!$W:$W,AS!$AX:$AX,Trendit!$W73,AS!$AW:$AW,Trendit!$Y$6,AS!$V:$V,$Y$4,AS!$K:$K,$Y$1,AS!BY:BY,$Y$5,AS!CT:CT,$Y$2)</f>
        <v>0</v>
      </c>
      <c r="M73" s="156">
        <f>SUMIFS(AS!$W:$W,AS!$AX:$AX,Trendit!$X73,AS!$AW:$AW,Trendit!$Y$6,AS!$V:$V,$Y$4,AS!$K:$K,$Y$1,AS!BZ:BZ,$Y$5,AS!CU:CU,$Y$2)+SUMIFS(AS!$W:$W,AS!$AX:$AX,Trendit!$W73,AS!$AW:$AW,Trendit!$Y$6,AS!$V:$V,$Y$4,AS!$K:$K,$Y$1,AS!BZ:BZ,$Y$5,AS!CU:CU,$Y$2)</f>
        <v>0</v>
      </c>
      <c r="N73" s="156">
        <f>SUMIFS(AS!$W:$W,AS!$AX:$AX,Trendit!$X73,AS!$AW:$AW,Trendit!$Y$6,AS!$V:$V,$Y$4,AS!$K:$K,$Y$1,AS!CA:CA,$Y$5,AS!CV:CV,$Y$2)+SUMIFS(AS!$W:$W,AS!$AX:$AX,Trendit!$W73,AS!$AW:$AW,Trendit!$Y$6,AS!$V:$V,$Y$4,AS!$K:$K,$Y$1,AS!CA:CA,$Y$5,AS!CV:CV,$Y$2)</f>
        <v>0</v>
      </c>
      <c r="O73" s="445">
        <f t="shared" si="17"/>
        <v>0</v>
      </c>
      <c r="P73" s="611">
        <f>IFERROR(O73/Q73,0)</f>
        <v>0</v>
      </c>
      <c r="Q73" s="445">
        <f>IFERROR(IF($W$3="12",SUMIFS(AS!$W:$W,AS!$AB:$AB,"OK",AS!$AX:$AX,$X73,AS!$K:$K,$Y$1,AS!$AW:$AW,$Y$6),"ks. aika")+IF($W$3="12",SUMIFS(AS!$W:$W,AS!$AB:$AB,"OK",AS!$AX:$AX,$W73,AS!$K:$K,$Y$1,AS!$AW:$AW,$Y$6),"ks. aika"),0)</f>
        <v>0</v>
      </c>
      <c r="W73" t="s">
        <v>269</v>
      </c>
      <c r="X73" s="407" t="s">
        <v>270</v>
      </c>
    </row>
    <row r="74" spans="1:25" x14ac:dyDescent="0.25">
      <c r="A74" s="897" t="s">
        <v>271</v>
      </c>
      <c r="B74" s="527">
        <f t="shared" ref="B74:B93" si="21">IFERROR(Q74-O74,0)</f>
        <v>0</v>
      </c>
      <c r="C74" s="156">
        <f>SUMIFS(AS!$W:$W,AS!$AX:$AX,Trendit!$X74,AS!$AW:$AW,Trendit!$Y$6,AS!$V:$V,$Y$4,AS!$K:$K,$Y$1,AS!BP:BP,$Y$5,AS!CK:CK,$Y$2)+SUMIFS(AS!$W:$W,AS!$AX:$AX,Trendit!$W74,AS!$AW:$AW,Trendit!$Y$6,AS!$V:$V,$Y$4,AS!$K:$K,$Y$1,AS!BP:BP,$Y$5,AS!CK:CK,$Y$2)</f>
        <v>0</v>
      </c>
      <c r="D74" s="156">
        <f>SUMIFS(AS!$W:$W,AS!$AX:$AX,Trendit!$X74,AS!$AW:$AW,Trendit!$Y$6,AS!$V:$V,$Y$4,AS!$K:$K,$Y$1,AS!BQ:BQ,$Y$5,AS!CL:CL,$Y$2)+SUMIFS(AS!$W:$W,AS!$AX:$AX,Trendit!$W74,AS!$AW:$AW,Trendit!$Y$6,AS!$V:$V,$Y$4,AS!$K:$K,$Y$1,AS!BQ:BQ,$Y$5,AS!CL:CL,$Y$2)</f>
        <v>0</v>
      </c>
      <c r="E74" s="156">
        <f>SUMIFS(AS!$W:$W,AS!$AX:$AX,Trendit!$X74,AS!$AW:$AW,Trendit!$Y$6,AS!$V:$V,$Y$4,AS!$K:$K,$Y$1,AS!BR:BR,$Y$5,AS!CM:CM,$Y$2)+SUMIFS(AS!$W:$W,AS!$AX:$AX,Trendit!$W74,AS!$AW:$AW,Trendit!$Y$6,AS!$V:$V,$Y$4,AS!$K:$K,$Y$1,AS!BR:BR,$Y$5,AS!CM:CM,$Y$2)</f>
        <v>0</v>
      </c>
      <c r="F74" s="156">
        <f>SUMIFS(AS!$W:$W,AS!$AX:$AX,Trendit!$X74,AS!$AW:$AW,Trendit!$Y$6,AS!$V:$V,$Y$4,AS!$K:$K,$Y$1,AS!BS:BS,$Y$5,AS!CN:CN,$Y$2)+SUMIFS(AS!$W:$W,AS!$AX:$AX,Trendit!$W74,AS!$AW:$AW,Trendit!$Y$6,AS!$V:$V,$Y$4,AS!$K:$K,$Y$1,AS!BS:BS,$Y$5,AS!CN:CN,$Y$2)</f>
        <v>0</v>
      </c>
      <c r="G74" s="156">
        <f>SUMIFS(AS!$W:$W,AS!$AX:$AX,Trendit!$X74,AS!$AW:$AW,Trendit!$Y$6,AS!$V:$V,$Y$4,AS!$K:$K,$Y$1,AS!BT:BT,$Y$5,AS!CO:CO,$Y$2)+SUMIFS(AS!$W:$W,AS!$AX:$AX,Trendit!$W74,AS!$AW:$AW,Trendit!$Y$6,AS!$V:$V,$Y$4,AS!$K:$K,$Y$1,AS!BT:BT,$Y$5,AS!CO:CO,$Y$2)</f>
        <v>0</v>
      </c>
      <c r="H74" s="156">
        <f>SUMIFS(AS!$W:$W,AS!$AX:$AX,Trendit!$X74,AS!$AW:$AW,Trendit!$Y$6,AS!$V:$V,$Y$4,AS!$K:$K,$Y$1,AS!BU:BU,$Y$5,AS!CP:CP,$Y$2)+SUMIFS(AS!$W:$W,AS!$AX:$AX,Trendit!$W74,AS!$AW:$AW,Trendit!$Y$6,AS!$V:$V,$Y$4,AS!$K:$K,$Y$1,AS!BU:BU,$Y$5,AS!CP:CP,$Y$2)</f>
        <v>0</v>
      </c>
      <c r="I74" s="156">
        <f>SUMIFS(AS!$W:$W,AS!$AX:$AX,Trendit!$X74,AS!$AW:$AW,Trendit!$Y$6,AS!$V:$V,$Y$4,AS!$K:$K,$Y$1,AS!BV:BV,$Y$5,AS!CQ:CQ,$Y$2)+SUMIFS(AS!$W:$W,AS!$AX:$AX,Trendit!$W74,AS!$AW:$AW,Trendit!$Y$6,AS!$V:$V,$Y$4,AS!$K:$K,$Y$1,AS!BV:BV,$Y$5,AS!CQ:CQ,$Y$2)</f>
        <v>0</v>
      </c>
      <c r="J74" s="156">
        <f>SUMIFS(AS!$W:$W,AS!$AX:$AX,Trendit!$X74,AS!$AW:$AW,Trendit!$Y$6,AS!$V:$V,$Y$4,AS!$K:$K,$Y$1,AS!BW:BW,$Y$5,AS!CR:CR,$Y$2)+SUMIFS(AS!$W:$W,AS!$AX:$AX,Trendit!$W74,AS!$AW:$AW,Trendit!$Y$6,AS!$V:$V,$Y$4,AS!$K:$K,$Y$1,AS!BW:BW,$Y$5,AS!CR:CR,$Y$2)</f>
        <v>0</v>
      </c>
      <c r="K74" s="156">
        <f>SUMIFS(AS!$W:$W,AS!$AX:$AX,Trendit!$X74,AS!$AW:$AW,Trendit!$Y$6,AS!$V:$V,$Y$4,AS!$K:$K,$Y$1,AS!BX:BX,$Y$5,AS!CS:CS,$Y$2)+SUMIFS(AS!$W:$W,AS!$AX:$AX,Trendit!$W74,AS!$AW:$AW,Trendit!$Y$6,AS!$V:$V,$Y$4,AS!$K:$K,$Y$1,AS!BX:BX,$Y$5,AS!CS:CS,$Y$2)</f>
        <v>0</v>
      </c>
      <c r="L74" s="156">
        <f>SUMIFS(AS!$W:$W,AS!$AX:$AX,Trendit!$X74,AS!$AW:$AW,Trendit!$Y$6,AS!$V:$V,$Y$4,AS!$K:$K,$Y$1,AS!BY:BY,$Y$5,AS!CT:CT,$Y$2)+SUMIFS(AS!$W:$W,AS!$AX:$AX,Trendit!$W74,AS!$AW:$AW,Trendit!$Y$6,AS!$V:$V,$Y$4,AS!$K:$K,$Y$1,AS!BY:BY,$Y$5,AS!CT:CT,$Y$2)</f>
        <v>0</v>
      </c>
      <c r="M74" s="156">
        <f>SUMIFS(AS!$W:$W,AS!$AX:$AX,Trendit!$X74,AS!$AW:$AW,Trendit!$Y$6,AS!$V:$V,$Y$4,AS!$K:$K,$Y$1,AS!BZ:BZ,$Y$5,AS!CU:CU,$Y$2)+SUMIFS(AS!$W:$W,AS!$AX:$AX,Trendit!$W74,AS!$AW:$AW,Trendit!$Y$6,AS!$V:$V,$Y$4,AS!$K:$K,$Y$1,AS!BZ:BZ,$Y$5,AS!CU:CU,$Y$2)</f>
        <v>0</v>
      </c>
      <c r="N74" s="156">
        <f>SUMIFS(AS!$W:$W,AS!$AX:$AX,Trendit!$X74,AS!$AW:$AW,Trendit!$Y$6,AS!$V:$V,$Y$4,AS!$K:$K,$Y$1,AS!CA:CA,$Y$5,AS!CV:CV,$Y$2)+SUMIFS(AS!$W:$W,AS!$AX:$AX,Trendit!$W74,AS!$AW:$AW,Trendit!$Y$6,AS!$V:$V,$Y$4,AS!$K:$K,$Y$1,AS!CA:CA,$Y$5,AS!CV:CV,$Y$2)</f>
        <v>0</v>
      </c>
      <c r="O74" s="445">
        <f t="shared" ref="O74:O93" si="22">SUM(C74:N74)</f>
        <v>0</v>
      </c>
      <c r="P74" s="611">
        <f t="shared" ref="P74:P94" si="23">IFERROR(O74/Q74,0)</f>
        <v>0</v>
      </c>
      <c r="Q74" s="445">
        <f>IFERROR(IF($W$3="12",SUMIFS(AS!$W:$W,AS!$AB:$AB,"OK",AS!$AX:$AX,$X74,AS!$K:$K,$Y$1,AS!$AW:$AW,$Y$6),"ks. aika")+IF($W$3="12",SUMIFS(AS!$W:$W,AS!$AB:$AB,"OK",AS!$AX:$AX,$W74,AS!$K:$K,$Y$1,AS!$AW:$AW,$Y$6),"ks. aika"),0)</f>
        <v>0</v>
      </c>
      <c r="W74" t="s">
        <v>272</v>
      </c>
      <c r="X74" s="407" t="s">
        <v>273</v>
      </c>
    </row>
    <row r="75" spans="1:25" ht="30" x14ac:dyDescent="0.25">
      <c r="A75" s="901" t="s">
        <v>274</v>
      </c>
      <c r="B75" s="527">
        <f>IFERROR(Q75-O75,0)</f>
        <v>0</v>
      </c>
      <c r="C75" s="156">
        <f>SUMIFS(AS!$W:$W,AS!$AX:$AX,Trendit!$X75,AS!$AW:$AW,Trendit!$Y$6,AS!$V:$V,$Y$4,AS!$K:$K,$Y$1,AS!BP:BP,$Y$5,AS!CK:CK,$Y$2)</f>
        <v>0</v>
      </c>
      <c r="D75" s="156">
        <f>SUMIFS(AS!$W:$W,AS!$AX:$AX,Trendit!$X75,AS!$AW:$AW,Trendit!$Y$6,AS!$V:$V,$Y$4,AS!$K:$K,$Y$1,AS!BQ:BQ,$Y$5,AS!CL:CL,$Y$2)</f>
        <v>0</v>
      </c>
      <c r="E75" s="156">
        <f>SUMIFS(AS!$W:$W,AS!$AX:$AX,Trendit!$X75,AS!$AW:$AW,Trendit!$Y$6,AS!$V:$V,$Y$4,AS!$K:$K,$Y$1,AS!BR:BR,$Y$5,AS!CM:CM,$Y$2)</f>
        <v>0</v>
      </c>
      <c r="F75" s="156">
        <f>SUMIFS(AS!$W:$W,AS!$AX:$AX,Trendit!$X75,AS!$AW:$AW,Trendit!$Y$6,AS!$V:$V,$Y$4,AS!$K:$K,$Y$1,AS!BS:BS,$Y$5,AS!CN:CN,$Y$2)</f>
        <v>0</v>
      </c>
      <c r="G75" s="156">
        <f>SUMIFS(AS!$W:$W,AS!$AX:$AX,Trendit!$X75,AS!$AW:$AW,Trendit!$Y$6,AS!$V:$V,$Y$4,AS!$K:$K,$Y$1,AS!BT:BT,$Y$5,AS!CO:CO,$Y$2)</f>
        <v>0</v>
      </c>
      <c r="H75" s="156">
        <f>SUMIFS(AS!$W:$W,AS!$AX:$AX,Trendit!$X75,AS!$AW:$AW,Trendit!$Y$6,AS!$V:$V,$Y$4,AS!$K:$K,$Y$1,AS!BU:BU,$Y$5,AS!CP:CP,$Y$2)</f>
        <v>0</v>
      </c>
      <c r="I75" s="156">
        <f>SUMIFS(AS!$W:$W,AS!$AX:$AX,Trendit!$X75,AS!$AW:$AW,Trendit!$Y$6,AS!$V:$V,$Y$4,AS!$K:$K,$Y$1,AS!BV:BV,$Y$5,AS!CQ:CQ,$Y$2)</f>
        <v>0</v>
      </c>
      <c r="J75" s="156">
        <f>SUMIFS(AS!$W:$W,AS!$AX:$AX,Trendit!$X75,AS!$AW:$AW,Trendit!$Y$6,AS!$V:$V,$Y$4,AS!$K:$K,$Y$1,AS!BW:BW,$Y$5,AS!CR:CR,$Y$2)</f>
        <v>0</v>
      </c>
      <c r="K75" s="156">
        <f>SUMIFS(AS!$W:$W,AS!$AX:$AX,Trendit!$X75,AS!$AW:$AW,Trendit!$Y$6,AS!$V:$V,$Y$4,AS!$K:$K,$Y$1,AS!BX:BX,$Y$5,AS!CS:CS,$Y$2)</f>
        <v>0</v>
      </c>
      <c r="L75" s="156">
        <f>SUMIFS(AS!$W:$W,AS!$AX:$AX,Trendit!$X75,AS!$AW:$AW,Trendit!$Y$6,AS!$V:$V,$Y$4,AS!$K:$K,$Y$1,AS!BY:BY,$Y$5,AS!CT:CT,$Y$2)</f>
        <v>0</v>
      </c>
      <c r="M75" s="156">
        <f>SUMIFS(AS!$W:$W,AS!$AX:$AX,Trendit!$X75,AS!$AW:$AW,Trendit!$Y$6,AS!$V:$V,$Y$4,AS!$K:$K,$Y$1,AS!BZ:BZ,$Y$5,AS!CU:CU,$Y$2)</f>
        <v>0</v>
      </c>
      <c r="N75" s="156">
        <f>SUMIFS(AS!$W:$W,AS!$AX:$AX,Trendit!$X75,AS!$AW:$AW,Trendit!$Y$6,AS!$V:$V,$Y$4,AS!$K:$K,$Y$1,AS!CA:CA,$Y$5,AS!CV:CV,$Y$2)</f>
        <v>0</v>
      </c>
      <c r="O75" s="445">
        <f>SUM(C75:N75)</f>
        <v>0</v>
      </c>
      <c r="P75" s="611">
        <f>IFERROR(O75/Q75,0)</f>
        <v>0</v>
      </c>
      <c r="Q75" s="445">
        <f>IF($W$3="12",SUMIFS(AS!$W:$W,AS!$AB:$AB,"OK",AS!$AX:$AX,$X75,AS!$K:$K,$Y$1,AS!$AW:$AW,$Y$6),0)</f>
        <v>0</v>
      </c>
      <c r="X75" s="407" t="s">
        <v>275</v>
      </c>
    </row>
    <row r="76" spans="1:25" ht="15" customHeight="1" x14ac:dyDescent="0.25">
      <c r="A76" s="900" t="s">
        <v>727</v>
      </c>
      <c r="B76" s="525">
        <f>IFERROR(Q76-O76,0)</f>
        <v>0</v>
      </c>
      <c r="C76" s="465">
        <f>SUM(C77:C80)</f>
        <v>0</v>
      </c>
      <c r="D76" s="465">
        <f t="shared" ref="D76:N76" si="24">SUM(D77:D80)</f>
        <v>0</v>
      </c>
      <c r="E76" s="465">
        <f t="shared" si="24"/>
        <v>0</v>
      </c>
      <c r="F76" s="465">
        <f t="shared" si="24"/>
        <v>0</v>
      </c>
      <c r="G76" s="465">
        <f t="shared" si="24"/>
        <v>0</v>
      </c>
      <c r="H76" s="465">
        <f t="shared" si="24"/>
        <v>0</v>
      </c>
      <c r="I76" s="465">
        <f t="shared" si="24"/>
        <v>0</v>
      </c>
      <c r="J76" s="465">
        <f t="shared" si="24"/>
        <v>0</v>
      </c>
      <c r="K76" s="465">
        <f t="shared" si="24"/>
        <v>0</v>
      </c>
      <c r="L76" s="465">
        <f t="shared" si="24"/>
        <v>0</v>
      </c>
      <c r="M76" s="465">
        <f t="shared" si="24"/>
        <v>0</v>
      </c>
      <c r="N76" s="465">
        <f t="shared" si="24"/>
        <v>0</v>
      </c>
      <c r="O76" s="487">
        <f t="shared" si="22"/>
        <v>0</v>
      </c>
      <c r="P76" s="511">
        <f t="shared" si="23"/>
        <v>0</v>
      </c>
      <c r="Q76" s="487">
        <f>SUM(Q77:Q80)</f>
        <v>0</v>
      </c>
    </row>
    <row r="77" spans="1:25" ht="15" customHeight="1" x14ac:dyDescent="0.25">
      <c r="A77" s="897" t="s">
        <v>277</v>
      </c>
      <c r="B77" s="527">
        <f t="shared" ref="B77:B78" si="25">IFERROR(Q77-O77,0)</f>
        <v>0</v>
      </c>
      <c r="C77" s="156">
        <f>SUMIFS(AS!$W:$W,AS!$AX:$AX,Trendit!$X77,AS!$AW:$AW,Trendit!$Y$6,AS!$V:$V,$Y$4,AS!$K:$K,$Y$1,AS!BP:BP,$Y$5,AS!CK:CK,$Y$2)+SUMIFS(AS!$W:$W,AS!$AX:$AX,Trendit!$W77,AS!$AW:$AW,Trendit!$Y$6,AS!$V:$V,$Y$4,AS!$K:$K,$Y$1,AS!BP:BP,$Y$5,AS!CK:CK,$Y$2)</f>
        <v>0</v>
      </c>
      <c r="D77" s="156">
        <f>SUMIFS(AS!$W:$W,AS!$AX:$AX,Trendit!$X77,AS!$AW:$AW,Trendit!$Y$6,AS!$V:$V,$Y$4,AS!$K:$K,$Y$1,AS!BQ:BQ,$Y$5,AS!CL:CL,$Y$2)+SUMIFS(AS!$W:$W,AS!$AX:$AX,Trendit!$W77,AS!$AW:$AW,Trendit!$Y$6,AS!$V:$V,$Y$4,AS!$K:$K,$Y$1,AS!BQ:BQ,$Y$5,AS!CL:CL,$Y$2)</f>
        <v>0</v>
      </c>
      <c r="E77" s="156">
        <f>SUMIFS(AS!$W:$W,AS!$AX:$AX,Trendit!$X77,AS!$AW:$AW,Trendit!$Y$6,AS!$V:$V,$Y$4,AS!$K:$K,$Y$1,AS!BR:BR,$Y$5,AS!CM:CM,$Y$2)+SUMIFS(AS!$W:$W,AS!$AX:$AX,Trendit!$W77,AS!$AW:$AW,Trendit!$Y$6,AS!$V:$V,$Y$4,AS!$K:$K,$Y$1,AS!BR:BR,$Y$5,AS!CM:CM,$Y$2)</f>
        <v>0</v>
      </c>
      <c r="F77" s="156">
        <f>SUMIFS(AS!$W:$W,AS!$AX:$AX,Trendit!$X77,AS!$AW:$AW,Trendit!$Y$6,AS!$V:$V,$Y$4,AS!$K:$K,$Y$1,AS!BS:BS,$Y$5,AS!CN:CN,$Y$2)+SUMIFS(AS!$W:$W,AS!$AX:$AX,Trendit!$W77,AS!$AW:$AW,Trendit!$Y$6,AS!$V:$V,$Y$4,AS!$K:$K,$Y$1,AS!BS:BS,$Y$5,AS!CN:CN,$Y$2)</f>
        <v>0</v>
      </c>
      <c r="G77" s="156">
        <f>SUMIFS(AS!$W:$W,AS!$AX:$AX,Trendit!$X77,AS!$AW:$AW,Trendit!$Y$6,AS!$V:$V,$Y$4,AS!$K:$K,$Y$1,AS!BT:BT,$Y$5,AS!CO:CO,$Y$2)+SUMIFS(AS!$W:$W,AS!$AX:$AX,Trendit!$W77,AS!$AW:$AW,Trendit!$Y$6,AS!$V:$V,$Y$4,AS!$K:$K,$Y$1,AS!BT:BT,$Y$5,AS!CO:CO,$Y$2)</f>
        <v>0</v>
      </c>
      <c r="H77" s="156">
        <f>SUMIFS(AS!$W:$W,AS!$AX:$AX,Trendit!$X77,AS!$AW:$AW,Trendit!$Y$6,AS!$V:$V,$Y$4,AS!$K:$K,$Y$1,AS!BU:BU,$Y$5,AS!CP:CP,$Y$2)+SUMIFS(AS!$W:$W,AS!$AX:$AX,Trendit!$W77,AS!$AW:$AW,Trendit!$Y$6,AS!$V:$V,$Y$4,AS!$K:$K,$Y$1,AS!BU:BU,$Y$5,AS!CP:CP,$Y$2)</f>
        <v>0</v>
      </c>
      <c r="I77" s="156">
        <f>SUMIFS(AS!$W:$W,AS!$AX:$AX,Trendit!$X77,AS!$AW:$AW,Trendit!$Y$6,AS!$V:$V,$Y$4,AS!$K:$K,$Y$1,AS!BV:BV,$Y$5,AS!CQ:CQ,$Y$2)+SUMIFS(AS!$W:$W,AS!$AX:$AX,Trendit!$W77,AS!$AW:$AW,Trendit!$Y$6,AS!$V:$V,$Y$4,AS!$K:$K,$Y$1,AS!BV:BV,$Y$5,AS!CQ:CQ,$Y$2)</f>
        <v>0</v>
      </c>
      <c r="J77" s="156">
        <f>SUMIFS(AS!$W:$W,AS!$AX:$AX,Trendit!$X77,AS!$AW:$AW,Trendit!$Y$6,AS!$V:$V,$Y$4,AS!$K:$K,$Y$1,AS!BW:BW,$Y$5,AS!CR:CR,$Y$2)+SUMIFS(AS!$W:$W,AS!$AX:$AX,Trendit!$W77,AS!$AW:$AW,Trendit!$Y$6,AS!$V:$V,$Y$4,AS!$K:$K,$Y$1,AS!BW:BW,$Y$5,AS!CR:CR,$Y$2)</f>
        <v>0</v>
      </c>
      <c r="K77" s="156">
        <f>SUMIFS(AS!$W:$W,AS!$AX:$AX,Trendit!$X77,AS!$AW:$AW,Trendit!$Y$6,AS!$V:$V,$Y$4,AS!$K:$K,$Y$1,AS!BX:BX,$Y$5,AS!CS:CS,$Y$2)+SUMIFS(AS!$W:$W,AS!$AX:$AX,Trendit!$W77,AS!$AW:$AW,Trendit!$Y$6,AS!$V:$V,$Y$4,AS!$K:$K,$Y$1,AS!BX:BX,$Y$5,AS!CS:CS,$Y$2)</f>
        <v>0</v>
      </c>
      <c r="L77" s="156">
        <f>SUMIFS(AS!$W:$W,AS!$AX:$AX,Trendit!$X77,AS!$AW:$AW,Trendit!$Y$6,AS!$V:$V,$Y$4,AS!$K:$K,$Y$1,AS!BY:BY,$Y$5,AS!CT:CT,$Y$2)+SUMIFS(AS!$W:$W,AS!$AX:$AX,Trendit!$W77,AS!$AW:$AW,Trendit!$Y$6,AS!$V:$V,$Y$4,AS!$K:$K,$Y$1,AS!BY:BY,$Y$5,AS!CT:CT,$Y$2)</f>
        <v>0</v>
      </c>
      <c r="M77" s="156">
        <f>SUMIFS(AS!$W:$W,AS!$AX:$AX,Trendit!$X77,AS!$AW:$AW,Trendit!$Y$6,AS!$V:$V,$Y$4,AS!$K:$K,$Y$1,AS!BZ:BZ,$Y$5,AS!CU:CU,$Y$2)+SUMIFS(AS!$W:$W,AS!$AX:$AX,Trendit!$W77,AS!$AW:$AW,Trendit!$Y$6,AS!$V:$V,$Y$4,AS!$K:$K,$Y$1,AS!BZ:BZ,$Y$5,AS!CU:CU,$Y$2)</f>
        <v>0</v>
      </c>
      <c r="N77" s="156">
        <f>SUMIFS(AS!$W:$W,AS!$AX:$AX,Trendit!$X77,AS!$AW:$AW,Trendit!$Y$6,AS!$V:$V,$Y$4,AS!$K:$K,$Y$1,AS!CA:CA,$Y$5,AS!CV:CV,$Y$2)+SUMIFS(AS!$W:$W,AS!$AX:$AX,Trendit!$W77,AS!$AW:$AW,Trendit!$Y$6,AS!$V:$V,$Y$4,AS!$K:$K,$Y$1,AS!CA:CA,$Y$5,AS!CV:CV,$Y$2)</f>
        <v>0</v>
      </c>
      <c r="O77" s="445">
        <f t="shared" ref="O77:O78" si="26">SUM(C77:N77)</f>
        <v>0</v>
      </c>
      <c r="P77" s="611">
        <f t="shared" ref="P77:P78" si="27">IFERROR(O77/Q77,0)</f>
        <v>0</v>
      </c>
      <c r="Q77" s="445">
        <f>IFERROR(IF($W$3="12",SUMIFS(AS!$W:$W,AS!$AB:$AB,"OK",AS!$AX:$AX,$X77,AS!$K:$K,$Y$1,AS!$AW:$AW,$Y$6),"ks. aika")+IF($W$3="12",SUMIFS(AS!$W:$W,AS!$AB:$AB,"OK",AS!$AX:$AX,$W77,AS!$K:$K,$Y$1,AS!$AW:$AW,$Y$6),"ks. aika"),"")</f>
        <v>0</v>
      </c>
      <c r="X77" t="s">
        <v>278</v>
      </c>
    </row>
    <row r="78" spans="1:25" ht="15" customHeight="1" x14ac:dyDescent="0.25">
      <c r="A78" s="897" t="s">
        <v>279</v>
      </c>
      <c r="B78" s="527">
        <f t="shared" si="25"/>
        <v>0</v>
      </c>
      <c r="C78" s="156">
        <f>SUMIFS(AS!$W:$W,AS!$AX:$AX,Trendit!$X78,AS!$AW:$AW,Trendit!$Y$6,AS!$V:$V,$Y$4,AS!$K:$K,$Y$1,AS!BP:BP,$Y$5,AS!CK:CK,$Y$2)+SUMIFS(AS!$W:$W,AS!$AX:$AX,Trendit!$W78,AS!$AW:$AW,Trendit!$Y$6,AS!$V:$V,$Y$4,AS!$K:$K,$Y$1,AS!BP:BP,$Y$5,AS!CK:CK,$Y$2)</f>
        <v>0</v>
      </c>
      <c r="D78" s="156">
        <f>SUMIFS(AS!$W:$W,AS!$AX:$AX,Trendit!$X78,AS!$AW:$AW,Trendit!$Y$6,AS!$V:$V,$Y$4,AS!$K:$K,$Y$1,AS!BQ:BQ,$Y$5,AS!CL:CL,$Y$2)+SUMIFS(AS!$W:$W,AS!$AX:$AX,Trendit!$W78,AS!$AW:$AW,Trendit!$Y$6,AS!$V:$V,$Y$4,AS!$K:$K,$Y$1,AS!BQ:BQ,$Y$5,AS!CL:CL,$Y$2)</f>
        <v>0</v>
      </c>
      <c r="E78" s="156">
        <f>SUMIFS(AS!$W:$W,AS!$AX:$AX,Trendit!$X78,AS!$AW:$AW,Trendit!$Y$6,AS!$V:$V,$Y$4,AS!$K:$K,$Y$1,AS!BR:BR,$Y$5,AS!CM:CM,$Y$2)+SUMIFS(AS!$W:$W,AS!$AX:$AX,Trendit!$W78,AS!$AW:$AW,Trendit!$Y$6,AS!$V:$V,$Y$4,AS!$K:$K,$Y$1,AS!BR:BR,$Y$5,AS!CM:CM,$Y$2)</f>
        <v>0</v>
      </c>
      <c r="F78" s="156">
        <f>SUMIFS(AS!$W:$W,AS!$AX:$AX,Trendit!$X78,AS!$AW:$AW,Trendit!$Y$6,AS!$V:$V,$Y$4,AS!$K:$K,$Y$1,AS!BS:BS,$Y$5,AS!CN:CN,$Y$2)+SUMIFS(AS!$W:$W,AS!$AX:$AX,Trendit!$W78,AS!$AW:$AW,Trendit!$Y$6,AS!$V:$V,$Y$4,AS!$K:$K,$Y$1,AS!BS:BS,$Y$5,AS!CN:CN,$Y$2)</f>
        <v>0</v>
      </c>
      <c r="G78" s="156">
        <f>SUMIFS(AS!$W:$W,AS!$AX:$AX,Trendit!$X78,AS!$AW:$AW,Trendit!$Y$6,AS!$V:$V,$Y$4,AS!$K:$K,$Y$1,AS!BT:BT,$Y$5,AS!CO:CO,$Y$2)+SUMIFS(AS!$W:$W,AS!$AX:$AX,Trendit!$W78,AS!$AW:$AW,Trendit!$Y$6,AS!$V:$V,$Y$4,AS!$K:$K,$Y$1,AS!BT:BT,$Y$5,AS!CO:CO,$Y$2)</f>
        <v>0</v>
      </c>
      <c r="H78" s="156">
        <f>SUMIFS(AS!$W:$W,AS!$AX:$AX,Trendit!$X78,AS!$AW:$AW,Trendit!$Y$6,AS!$V:$V,$Y$4,AS!$K:$K,$Y$1,AS!BU:BU,$Y$5,AS!CP:CP,$Y$2)+SUMIFS(AS!$W:$W,AS!$AX:$AX,Trendit!$W78,AS!$AW:$AW,Trendit!$Y$6,AS!$V:$V,$Y$4,AS!$K:$K,$Y$1,AS!BU:BU,$Y$5,AS!CP:CP,$Y$2)</f>
        <v>0</v>
      </c>
      <c r="I78" s="156">
        <f>SUMIFS(AS!$W:$W,AS!$AX:$AX,Trendit!$X78,AS!$AW:$AW,Trendit!$Y$6,AS!$V:$V,$Y$4,AS!$K:$K,$Y$1,AS!BV:BV,$Y$5,AS!CQ:CQ,$Y$2)+SUMIFS(AS!$W:$W,AS!$AX:$AX,Trendit!$W78,AS!$AW:$AW,Trendit!$Y$6,AS!$V:$V,$Y$4,AS!$K:$K,$Y$1,AS!BV:BV,$Y$5,AS!CQ:CQ,$Y$2)</f>
        <v>0</v>
      </c>
      <c r="J78" s="156">
        <f>SUMIFS(AS!$W:$W,AS!$AX:$AX,Trendit!$X78,AS!$AW:$AW,Trendit!$Y$6,AS!$V:$V,$Y$4,AS!$K:$K,$Y$1,AS!BW:BW,$Y$5,AS!CR:CR,$Y$2)+SUMIFS(AS!$W:$W,AS!$AX:$AX,Trendit!$W78,AS!$AW:$AW,Trendit!$Y$6,AS!$V:$V,$Y$4,AS!$K:$K,$Y$1,AS!BW:BW,$Y$5,AS!CR:CR,$Y$2)</f>
        <v>0</v>
      </c>
      <c r="K78" s="156">
        <f>SUMIFS(AS!$W:$W,AS!$AX:$AX,Trendit!$X78,AS!$AW:$AW,Trendit!$Y$6,AS!$V:$V,$Y$4,AS!$K:$K,$Y$1,AS!BX:BX,$Y$5,AS!CS:CS,$Y$2)+SUMIFS(AS!$W:$W,AS!$AX:$AX,Trendit!$W78,AS!$AW:$AW,Trendit!$Y$6,AS!$V:$V,$Y$4,AS!$K:$K,$Y$1,AS!BX:BX,$Y$5,AS!CS:CS,$Y$2)</f>
        <v>0</v>
      </c>
      <c r="L78" s="156">
        <f>SUMIFS(AS!$W:$W,AS!$AX:$AX,Trendit!$X78,AS!$AW:$AW,Trendit!$Y$6,AS!$V:$V,$Y$4,AS!$K:$K,$Y$1,AS!BY:BY,$Y$5,AS!CT:CT,$Y$2)+SUMIFS(AS!$W:$W,AS!$AX:$AX,Trendit!$W78,AS!$AW:$AW,Trendit!$Y$6,AS!$V:$V,$Y$4,AS!$K:$K,$Y$1,AS!BY:BY,$Y$5,AS!CT:CT,$Y$2)</f>
        <v>0</v>
      </c>
      <c r="M78" s="156">
        <f>SUMIFS(AS!$W:$W,AS!$AX:$AX,Trendit!$X78,AS!$AW:$AW,Trendit!$Y$6,AS!$V:$V,$Y$4,AS!$K:$K,$Y$1,AS!BZ:BZ,$Y$5,AS!CU:CU,$Y$2)+SUMIFS(AS!$W:$W,AS!$AX:$AX,Trendit!$W78,AS!$AW:$AW,Trendit!$Y$6,AS!$V:$V,$Y$4,AS!$K:$K,$Y$1,AS!BZ:BZ,$Y$5,AS!CU:CU,$Y$2)</f>
        <v>0</v>
      </c>
      <c r="N78" s="156">
        <f>SUMIFS(AS!$W:$W,AS!$AX:$AX,Trendit!$X78,AS!$AW:$AW,Trendit!$Y$6,AS!$V:$V,$Y$4,AS!$K:$K,$Y$1,AS!CA:CA,$Y$5,AS!CV:CV,$Y$2)+SUMIFS(AS!$W:$W,AS!$AX:$AX,Trendit!$W78,AS!$AW:$AW,Trendit!$Y$6,AS!$V:$V,$Y$4,AS!$K:$K,$Y$1,AS!CA:CA,$Y$5,AS!CV:CV,$Y$2)</f>
        <v>0</v>
      </c>
      <c r="O78" s="445">
        <f t="shared" si="26"/>
        <v>0</v>
      </c>
      <c r="P78" s="611">
        <f t="shared" si="27"/>
        <v>0</v>
      </c>
      <c r="Q78" s="445">
        <f>IFERROR(IF($W$3="12",SUMIFS(AS!$W:$W,AS!$AB:$AB,"OK",AS!$AX:$AX,$X78,AS!$K:$K,$Y$1,AS!$AW:$AW,$Y$6),"ks. aika")+IF($W$3="12",SUMIFS(AS!$W:$W,AS!$AB:$AB,"OK",AS!$AX:$AX,$W78,AS!$K:$K,$Y$1,AS!$AW:$AW,$Y$6),"ks. aika"),"")</f>
        <v>0</v>
      </c>
      <c r="X78" t="s">
        <v>280</v>
      </c>
    </row>
    <row r="79" spans="1:25" x14ac:dyDescent="0.25">
      <c r="A79" s="899" t="s">
        <v>728</v>
      </c>
      <c r="B79" s="527">
        <f t="shared" si="21"/>
        <v>0</v>
      </c>
      <c r="C79" s="156">
        <f>SUMIFS(AS!$W:$W,AS!$AX:$AX,Trendit!$X79,AS!$AW:$AW,Trendit!$Y$6,AS!$V:$V,$Y$4,AS!$K:$K,$Y$1,AS!BP:BP,$Y$5,AS!CK:CK,$Y$2)</f>
        <v>0</v>
      </c>
      <c r="D79" s="156">
        <f>SUMIFS(AS!$W:$W,AS!$AX:$AX,Trendit!$X79,AS!$AW:$AW,Trendit!$Y$6,AS!$V:$V,$Y$4,AS!$K:$K,$Y$1,AS!BQ:BQ,$Y$5,AS!CL:CL,$Y$2)</f>
        <v>0</v>
      </c>
      <c r="E79" s="156">
        <f>SUMIFS(AS!$W:$W,AS!$AX:$AX,Trendit!$X79,AS!$AW:$AW,Trendit!$Y$6,AS!$V:$V,$Y$4,AS!$K:$K,$Y$1,AS!BR:BR,$Y$5,AS!CM:CM,$Y$2)</f>
        <v>0</v>
      </c>
      <c r="F79" s="156">
        <f>SUMIFS(AS!$W:$W,AS!$AX:$AX,Trendit!$X79,AS!$AW:$AW,Trendit!$Y$6,AS!$V:$V,$Y$4,AS!$K:$K,$Y$1,AS!BS:BS,$Y$5,AS!CN:CN,$Y$2)</f>
        <v>0</v>
      </c>
      <c r="G79" s="156">
        <f>SUMIFS(AS!$W:$W,AS!$AX:$AX,Trendit!$X79,AS!$AW:$AW,Trendit!$Y$6,AS!$V:$V,$Y$4,AS!$K:$K,$Y$1,AS!BT:BT,$Y$5,AS!CO:CO,$Y$2)</f>
        <v>0</v>
      </c>
      <c r="H79" s="156">
        <f>SUMIFS(AS!$W:$W,AS!$AX:$AX,Trendit!$X79,AS!$AW:$AW,Trendit!$Y$6,AS!$V:$V,$Y$4,AS!$K:$K,$Y$1,AS!BU:BU,$Y$5,AS!CP:CP,$Y$2)</f>
        <v>0</v>
      </c>
      <c r="I79" s="156">
        <f>SUMIFS(AS!$W:$W,AS!$AX:$AX,Trendit!$X79,AS!$AW:$AW,Trendit!$Y$6,AS!$V:$V,$Y$4,AS!$K:$K,$Y$1,AS!BV:BV,$Y$5,AS!CQ:CQ,$Y$2)</f>
        <v>0</v>
      </c>
      <c r="J79" s="156">
        <f>SUMIFS(AS!$W:$W,AS!$AX:$AX,Trendit!$X79,AS!$AW:$AW,Trendit!$Y$6,AS!$V:$V,$Y$4,AS!$K:$K,$Y$1,AS!BW:BW,$Y$5,AS!CR:CR,$Y$2)</f>
        <v>0</v>
      </c>
      <c r="K79" s="156">
        <f>SUMIFS(AS!$W:$W,AS!$AX:$AX,Trendit!$X79,AS!$AW:$AW,Trendit!$Y$6,AS!$V:$V,$Y$4,AS!$K:$K,$Y$1,AS!BX:BX,$Y$5,AS!CS:CS,$Y$2)</f>
        <v>0</v>
      </c>
      <c r="L79" s="156">
        <f>SUMIFS(AS!$W:$W,AS!$AX:$AX,Trendit!$X79,AS!$AW:$AW,Trendit!$Y$6,AS!$V:$V,$Y$4,AS!$K:$K,$Y$1,AS!BY:BY,$Y$5,AS!CT:CT,$Y$2)</f>
        <v>0</v>
      </c>
      <c r="M79" s="156">
        <f>SUMIFS(AS!$W:$W,AS!$AX:$AX,Trendit!$X79,AS!$AW:$AW,Trendit!$Y$6,AS!$V:$V,$Y$4,AS!$K:$K,$Y$1,AS!BZ:BZ,$Y$5,AS!CU:CU,$Y$2)</f>
        <v>0</v>
      </c>
      <c r="N79" s="156">
        <f>SUMIFS(AS!$W:$W,AS!$AX:$AX,Trendit!$X79,AS!$AW:$AW,Trendit!$Y$6,AS!$V:$V,$Y$4,AS!$K:$K,$Y$1,AS!CA:CA,$Y$5,AS!CV:CV,$Y$2)</f>
        <v>0</v>
      </c>
      <c r="O79" s="445">
        <f t="shared" si="22"/>
        <v>0</v>
      </c>
      <c r="P79" s="611">
        <f t="shared" si="23"/>
        <v>0</v>
      </c>
      <c r="Q79" s="445">
        <f>IF($W$3="12",SUMIFS(AS!$W:$W,AS!$AB:$AB,"OK",AS!$AX:$AX,$X79,AS!$K:$K,$Y$1,AS!$AW:$AW,$Y$6),0)</f>
        <v>0</v>
      </c>
      <c r="X79" t="s">
        <v>282</v>
      </c>
    </row>
    <row r="80" spans="1:25" ht="30" x14ac:dyDescent="0.25">
      <c r="A80" s="897" t="s">
        <v>283</v>
      </c>
      <c r="B80" s="527">
        <f>IFERROR(Q80-O80,0)</f>
        <v>0</v>
      </c>
      <c r="C80" s="156">
        <f>SUMIFS(AS!$W:$W,AS!$AX:$AX,Trendit!$X80,AS!$AW:$AW,Trendit!$Y$6,AS!$V:$V,$Y$4,AS!$K:$K,$Y$1,AS!BP:BP,$Y$5,AS!CK:CK,$Y$2)+SUMIFS(AS!$W:$W,AS!$AX:$AX,Trendit!$W80,AS!$AW:$AW,Trendit!$Y$6,AS!$V:$V,$Y$4,AS!$K:$K,$Y$1,AS!BP:BP,$Y$5,AS!CK:CK,$Y$2)</f>
        <v>0</v>
      </c>
      <c r="D80" s="156">
        <f>SUMIFS(AS!$W:$W,AS!$AX:$AX,Trendit!$X80,AS!$AW:$AW,Trendit!$Y$6,AS!$V:$V,$Y$4,AS!$K:$K,$Y$1,AS!BQ:BQ,$Y$5,AS!CL:CL,$Y$2)+SUMIFS(AS!$W:$W,AS!$AX:$AX,Trendit!$W80,AS!$AW:$AW,Trendit!$Y$6,AS!$V:$V,$Y$4,AS!$K:$K,$Y$1,AS!BQ:BQ,$Y$5,AS!CL:CL,$Y$2)</f>
        <v>0</v>
      </c>
      <c r="E80" s="156">
        <f>SUMIFS(AS!$W:$W,AS!$AX:$AX,Trendit!$X80,AS!$AW:$AW,Trendit!$Y$6,AS!$V:$V,$Y$4,AS!$K:$K,$Y$1,AS!BR:BR,$Y$5,AS!CM:CM,$Y$2)+SUMIFS(AS!$W:$W,AS!$AX:$AX,Trendit!$W80,AS!$AW:$AW,Trendit!$Y$6,AS!$V:$V,$Y$4,AS!$K:$K,$Y$1,AS!BR:BR,$Y$5,AS!CM:CM,$Y$2)</f>
        <v>0</v>
      </c>
      <c r="F80" s="156">
        <f>SUMIFS(AS!$W:$W,AS!$AX:$AX,Trendit!$X80,AS!$AW:$AW,Trendit!$Y$6,AS!$V:$V,$Y$4,AS!$K:$K,$Y$1,AS!BS:BS,$Y$5,AS!CN:CN,$Y$2)+SUMIFS(AS!$W:$W,AS!$AX:$AX,Trendit!$W80,AS!$AW:$AW,Trendit!$Y$6,AS!$V:$V,$Y$4,AS!$K:$K,$Y$1,AS!BS:BS,$Y$5,AS!CN:CN,$Y$2)</f>
        <v>0</v>
      </c>
      <c r="G80" s="156">
        <f>SUMIFS(AS!$W:$W,AS!$AX:$AX,Trendit!$X80,AS!$AW:$AW,Trendit!$Y$6,AS!$V:$V,$Y$4,AS!$K:$K,$Y$1,AS!BT:BT,$Y$5,AS!CO:CO,$Y$2)+SUMIFS(AS!$W:$W,AS!$AX:$AX,Trendit!$W80,AS!$AW:$AW,Trendit!$Y$6,AS!$V:$V,$Y$4,AS!$K:$K,$Y$1,AS!BT:BT,$Y$5,AS!CO:CO,$Y$2)</f>
        <v>0</v>
      </c>
      <c r="H80" s="156">
        <f>SUMIFS(AS!$W:$W,AS!$AX:$AX,Trendit!$X80,AS!$AW:$AW,Trendit!$Y$6,AS!$V:$V,$Y$4,AS!$K:$K,$Y$1,AS!BU:BU,$Y$5,AS!CP:CP,$Y$2)+SUMIFS(AS!$W:$W,AS!$AX:$AX,Trendit!$W80,AS!$AW:$AW,Trendit!$Y$6,AS!$V:$V,$Y$4,AS!$K:$K,$Y$1,AS!BU:BU,$Y$5,AS!CP:CP,$Y$2)</f>
        <v>0</v>
      </c>
      <c r="I80" s="156">
        <f>SUMIFS(AS!$W:$W,AS!$AX:$AX,Trendit!$X80,AS!$AW:$AW,Trendit!$Y$6,AS!$V:$V,$Y$4,AS!$K:$K,$Y$1,AS!BV:BV,$Y$5,AS!CQ:CQ,$Y$2)+SUMIFS(AS!$W:$W,AS!$AX:$AX,Trendit!$W80,AS!$AW:$AW,Trendit!$Y$6,AS!$V:$V,$Y$4,AS!$K:$K,$Y$1,AS!BV:BV,$Y$5,AS!CQ:CQ,$Y$2)</f>
        <v>0</v>
      </c>
      <c r="J80" s="156">
        <f>SUMIFS(AS!$W:$W,AS!$AX:$AX,Trendit!$X80,AS!$AW:$AW,Trendit!$Y$6,AS!$V:$V,$Y$4,AS!$K:$K,$Y$1,AS!BW:BW,$Y$5,AS!CR:CR,$Y$2)+SUMIFS(AS!$W:$W,AS!$AX:$AX,Trendit!$W80,AS!$AW:$AW,Trendit!$Y$6,AS!$V:$V,$Y$4,AS!$K:$K,$Y$1,AS!BW:BW,$Y$5,AS!CR:CR,$Y$2)</f>
        <v>0</v>
      </c>
      <c r="K80" s="156">
        <f>SUMIFS(AS!$W:$W,AS!$AX:$AX,Trendit!$X80,AS!$AW:$AW,Trendit!$Y$6,AS!$V:$V,$Y$4,AS!$K:$K,$Y$1,AS!BX:BX,$Y$5,AS!CS:CS,$Y$2)+SUMIFS(AS!$W:$W,AS!$AX:$AX,Trendit!$W80,AS!$AW:$AW,Trendit!$Y$6,AS!$V:$V,$Y$4,AS!$K:$K,$Y$1,AS!BX:BX,$Y$5,AS!CS:CS,$Y$2)</f>
        <v>0</v>
      </c>
      <c r="L80" s="156">
        <f>SUMIFS(AS!$W:$W,AS!$AX:$AX,Trendit!$X80,AS!$AW:$AW,Trendit!$Y$6,AS!$V:$V,$Y$4,AS!$K:$K,$Y$1,AS!BY:BY,$Y$5,AS!CT:CT,$Y$2)+SUMIFS(AS!$W:$W,AS!$AX:$AX,Trendit!$W80,AS!$AW:$AW,Trendit!$Y$6,AS!$V:$V,$Y$4,AS!$K:$K,$Y$1,AS!BY:BY,$Y$5,AS!CT:CT,$Y$2)</f>
        <v>0</v>
      </c>
      <c r="M80" s="156">
        <f>SUMIFS(AS!$W:$W,AS!$AX:$AX,Trendit!$X80,AS!$AW:$AW,Trendit!$Y$6,AS!$V:$V,$Y$4,AS!$K:$K,$Y$1,AS!BZ:BZ,$Y$5,AS!CU:CU,$Y$2)+SUMIFS(AS!$W:$W,AS!$AX:$AX,Trendit!$W80,AS!$AW:$AW,Trendit!$Y$6,AS!$V:$V,$Y$4,AS!$K:$K,$Y$1,AS!BZ:BZ,$Y$5,AS!CU:CU,$Y$2)</f>
        <v>0</v>
      </c>
      <c r="N80" s="156">
        <f>SUMIFS(AS!$W:$W,AS!$AX:$AX,Trendit!$X80,AS!$AW:$AW,Trendit!$Y$6,AS!$V:$V,$Y$4,AS!$K:$K,$Y$1,AS!CA:CA,$Y$5,AS!CV:CV,$Y$2)+SUMIFS(AS!$W:$W,AS!$AX:$AX,Trendit!$W80,AS!$AW:$AW,Trendit!$Y$6,AS!$V:$V,$Y$4,AS!$K:$K,$Y$1,AS!CA:CA,$Y$5,AS!CV:CV,$Y$2)</f>
        <v>0</v>
      </c>
      <c r="O80" s="445">
        <f>SUM(C80:N80)</f>
        <v>0</v>
      </c>
      <c r="P80" s="611">
        <f>IFERROR(O80/Q80,0)</f>
        <v>0</v>
      </c>
      <c r="Q80" s="445">
        <f>IFERROR(IF($W$3="12",SUMIFS(AS!$W:$W,AS!$AB:$AB,"OK",AS!$AX:$AX,$X80,AS!$K:$K,$Y$1,AS!$AW:$AW,$Y$6),"ks. aika")+IF($W$3="12",SUMIFS(AS!$W:$W,AS!$AB:$AB,"OK",AS!$AX:$AX,$W80,AS!$K:$K,$Y$1,AS!$AW:$AW,$Y$6),"ks. aika"),"")</f>
        <v>0</v>
      </c>
      <c r="W80" t="s">
        <v>284</v>
      </c>
      <c r="X80" s="407" t="s">
        <v>285</v>
      </c>
    </row>
    <row r="81" spans="1:26" x14ac:dyDescent="0.25">
      <c r="A81" s="900" t="s">
        <v>286</v>
      </c>
      <c r="B81" s="525">
        <f t="shared" si="21"/>
        <v>0</v>
      </c>
      <c r="C81" s="465">
        <f>SUM(C82:C86)</f>
        <v>0</v>
      </c>
      <c r="D81" s="465">
        <f t="shared" ref="D81:N81" si="28">SUM(D82:D86)</f>
        <v>0</v>
      </c>
      <c r="E81" s="465">
        <f t="shared" si="28"/>
        <v>0</v>
      </c>
      <c r="F81" s="465">
        <f t="shared" si="28"/>
        <v>0</v>
      </c>
      <c r="G81" s="465">
        <f t="shared" si="28"/>
        <v>0</v>
      </c>
      <c r="H81" s="465">
        <f t="shared" si="28"/>
        <v>0</v>
      </c>
      <c r="I81" s="465">
        <f t="shared" si="28"/>
        <v>0</v>
      </c>
      <c r="J81" s="465">
        <f t="shared" si="28"/>
        <v>0</v>
      </c>
      <c r="K81" s="465">
        <f t="shared" si="28"/>
        <v>0</v>
      </c>
      <c r="L81" s="465">
        <f t="shared" si="28"/>
        <v>0</v>
      </c>
      <c r="M81" s="465">
        <f t="shared" si="28"/>
        <v>0</v>
      </c>
      <c r="N81" s="465">
        <f t="shared" si="28"/>
        <v>0</v>
      </c>
      <c r="O81" s="487">
        <f t="shared" si="22"/>
        <v>0</v>
      </c>
      <c r="P81" s="511">
        <f t="shared" si="23"/>
        <v>0</v>
      </c>
      <c r="Q81" s="487">
        <f>SUM(Q82:Q86)</f>
        <v>0</v>
      </c>
    </row>
    <row r="82" spans="1:26" x14ac:dyDescent="0.25">
      <c r="A82" s="902" t="s">
        <v>287</v>
      </c>
      <c r="B82" s="527">
        <f t="shared" si="21"/>
        <v>0</v>
      </c>
      <c r="C82" s="463">
        <f>SUMIFS(AS!$W:$W,AS!$AX:$AX,Trendit!$X82,AS!$AW:$AW,Trendit!$Y$6,AS!$V:$V,$Y$4,AS!$K:$K,$Y$1,AS!BP:BP,$Y$5,AS!CK:CK,$Y$2)</f>
        <v>0</v>
      </c>
      <c r="D82" s="463">
        <f>SUMIFS(AS!$W:$W,AS!$AX:$AX,Trendit!$X82,AS!$AW:$AW,Trendit!$Y$6,AS!$V:$V,$Y$4,AS!$K:$K,$Y$1,AS!BQ:BQ,$Y$5,AS!CL:CL,$Y$2)</f>
        <v>0</v>
      </c>
      <c r="E82" s="463">
        <f>SUMIFS(AS!$W:$W,AS!$AX:$AX,Trendit!$X82,AS!$AW:$AW,Trendit!$Y$6,AS!$V:$V,$Y$4,AS!$K:$K,$Y$1,AS!BR:BR,$Y$5,AS!CM:CM,$Y$2)</f>
        <v>0</v>
      </c>
      <c r="F82" s="463">
        <f>SUMIFS(AS!$W:$W,AS!$AX:$AX,Trendit!$X82,AS!$AW:$AW,Trendit!$Y$6,AS!$V:$V,$Y$4,AS!$K:$K,$Y$1,AS!BS:BS,$Y$5,AS!CN:CN,$Y$2)</f>
        <v>0</v>
      </c>
      <c r="G82" s="463">
        <f>SUMIFS(AS!$W:$W,AS!$AX:$AX,Trendit!$X82,AS!$AW:$AW,Trendit!$Y$6,AS!$V:$V,$Y$4,AS!$K:$K,$Y$1,AS!BT:BT,$Y$5,AS!CO:CO,$Y$2)</f>
        <v>0</v>
      </c>
      <c r="H82" s="463">
        <f>SUMIFS(AS!$W:$W,AS!$AX:$AX,Trendit!$X82,AS!$AW:$AW,Trendit!$Y$6,AS!$V:$V,$Y$4,AS!$K:$K,$Y$1,AS!BU:BU,$Y$5,AS!CP:CP,$Y$2)</f>
        <v>0</v>
      </c>
      <c r="I82" s="463">
        <f>SUMIFS(AS!$W:$W,AS!$AX:$AX,Trendit!$X82,AS!$AW:$AW,Trendit!$Y$6,AS!$V:$V,$Y$4,AS!$K:$K,$Y$1,AS!BV:BV,$Y$5,AS!CQ:CQ,$Y$2)</f>
        <v>0</v>
      </c>
      <c r="J82" s="463">
        <f>SUMIFS(AS!$W:$W,AS!$AX:$AX,Trendit!$X82,AS!$AW:$AW,Trendit!$Y$6,AS!$V:$V,$Y$4,AS!$K:$K,$Y$1,AS!BW:BW,$Y$5,AS!CR:CR,$Y$2)</f>
        <v>0</v>
      </c>
      <c r="K82" s="463">
        <f>SUMIFS(AS!$W:$W,AS!$AX:$AX,Trendit!$X82,AS!$AW:$AW,Trendit!$Y$6,AS!$V:$V,$Y$4,AS!$K:$K,$Y$1,AS!BX:BX,$Y$5,AS!CS:CS,$Y$2)</f>
        <v>0</v>
      </c>
      <c r="L82" s="463">
        <f>SUMIFS(AS!$W:$W,AS!$AX:$AX,Trendit!$X82,AS!$AW:$AW,Trendit!$Y$6,AS!$V:$V,$Y$4,AS!$K:$K,$Y$1,AS!BY:BY,$Y$5,AS!CT:CT,$Y$2)</f>
        <v>0</v>
      </c>
      <c r="M82" s="463">
        <f>SUMIFS(AS!$W:$W,AS!$AX:$AX,Trendit!$X82,AS!$AW:$AW,Trendit!$Y$6,AS!$V:$V,$Y$4,AS!$K:$K,$Y$1,AS!BZ:BZ,$Y$5,AS!CU:CU,$Y$2)</f>
        <v>0</v>
      </c>
      <c r="N82" s="463">
        <f>SUMIFS(AS!$W:$W,AS!$AX:$AX,Trendit!$X82,AS!$AW:$AW,Trendit!$Y$6,AS!$V:$V,$Y$4,AS!$K:$K,$Y$1,AS!CA:CA,$Y$5,AS!CV:CV,$Y$2)</f>
        <v>0</v>
      </c>
      <c r="O82" s="445">
        <f t="shared" si="22"/>
        <v>0</v>
      </c>
      <c r="P82" s="611">
        <f t="shared" si="23"/>
        <v>0</v>
      </c>
      <c r="Q82" s="445">
        <f>IF($W$3="12",SUMIFS(AS!$W:$W,AS!$AB:$AB,"OK",AS!$AX:$AX,$X82,AS!$K:$K,$Y$1,AS!$AW:$AW,$Y$6),0)</f>
        <v>0</v>
      </c>
      <c r="X82" t="s">
        <v>288</v>
      </c>
    </row>
    <row r="83" spans="1:26" x14ac:dyDescent="0.25">
      <c r="A83" s="897" t="s">
        <v>289</v>
      </c>
      <c r="B83" s="527">
        <f t="shared" si="21"/>
        <v>0</v>
      </c>
      <c r="C83" s="156">
        <f>SUMIFS(AS!$W:$W,AS!$AX:$AX,Trendit!$X83,AS!$AW:$AW,Trendit!$Y$6,AS!$V:$V,$Y$4,AS!$K:$K,$Y$1,AS!BP:BP,$Y$5,AS!CK:CK,$Y$2)</f>
        <v>0</v>
      </c>
      <c r="D83" s="156">
        <f>SUMIFS(AS!$W:$W,AS!$AX:$AX,Trendit!$X83,AS!$AW:$AW,Trendit!$Y$6,AS!$V:$V,$Y$4,AS!$K:$K,$Y$1,AS!BQ:BQ,$Y$5,AS!CL:CL,$Y$2)</f>
        <v>0</v>
      </c>
      <c r="E83" s="156">
        <f>SUMIFS(AS!$W:$W,AS!$AX:$AX,Trendit!$X83,AS!$AW:$AW,Trendit!$Y$6,AS!$V:$V,$Y$4,AS!$K:$K,$Y$1,AS!BR:BR,$Y$5,AS!CM:CM,$Y$2)</f>
        <v>0</v>
      </c>
      <c r="F83" s="156">
        <f>SUMIFS(AS!$W:$W,AS!$AX:$AX,Trendit!$X83,AS!$AW:$AW,Trendit!$Y$6,AS!$V:$V,$Y$4,AS!$K:$K,$Y$1,AS!BS:BS,$Y$5,AS!CN:CN,$Y$2)</f>
        <v>0</v>
      </c>
      <c r="G83" s="156">
        <f>SUMIFS(AS!$W:$W,AS!$AX:$AX,Trendit!$X83,AS!$AW:$AW,Trendit!$Y$6,AS!$V:$V,$Y$4,AS!$K:$K,$Y$1,AS!BT:BT,$Y$5,AS!CO:CO,$Y$2)</f>
        <v>0</v>
      </c>
      <c r="H83" s="156">
        <f>SUMIFS(AS!$W:$W,AS!$AX:$AX,Trendit!$X83,AS!$AW:$AW,Trendit!$Y$6,AS!$V:$V,$Y$4,AS!$K:$K,$Y$1,AS!BU:BU,$Y$5,AS!CP:CP,$Y$2)</f>
        <v>0</v>
      </c>
      <c r="I83" s="156">
        <f>SUMIFS(AS!$W:$W,AS!$AX:$AX,Trendit!$X83,AS!$AW:$AW,Trendit!$Y$6,AS!$V:$V,$Y$4,AS!$K:$K,$Y$1,AS!BV:BV,$Y$5,AS!CQ:CQ,$Y$2)</f>
        <v>0</v>
      </c>
      <c r="J83" s="156">
        <f>SUMIFS(AS!$W:$W,AS!$AX:$AX,Trendit!$X83,AS!$AW:$AW,Trendit!$Y$6,AS!$V:$V,$Y$4,AS!$K:$K,$Y$1,AS!BW:BW,$Y$5,AS!CR:CR,$Y$2)</f>
        <v>0</v>
      </c>
      <c r="K83" s="156">
        <f>SUMIFS(AS!$W:$W,AS!$AX:$AX,Trendit!$X83,AS!$AW:$AW,Trendit!$Y$6,AS!$V:$V,$Y$4,AS!$K:$K,$Y$1,AS!BX:BX,$Y$5,AS!CS:CS,$Y$2)</f>
        <v>0</v>
      </c>
      <c r="L83" s="156">
        <f>SUMIFS(AS!$W:$W,AS!$AX:$AX,Trendit!$X83,AS!$AW:$AW,Trendit!$Y$6,AS!$V:$V,$Y$4,AS!$K:$K,$Y$1,AS!BY:BY,$Y$5,AS!CT:CT,$Y$2)</f>
        <v>0</v>
      </c>
      <c r="M83" s="156">
        <f>SUMIFS(AS!$W:$W,AS!$AX:$AX,Trendit!$X83,AS!$AW:$AW,Trendit!$Y$6,AS!$V:$V,$Y$4,AS!$K:$K,$Y$1,AS!BZ:BZ,$Y$5,AS!CU:CU,$Y$2)</f>
        <v>0</v>
      </c>
      <c r="N83" s="156">
        <f>SUMIFS(AS!$W:$W,AS!$AX:$AX,Trendit!$X83,AS!$AW:$AW,Trendit!$Y$6,AS!$V:$V,$Y$4,AS!$K:$K,$Y$1,AS!CA:CA,$Y$5,AS!CV:CV,$Y$2)</f>
        <v>0</v>
      </c>
      <c r="O83" s="445">
        <f t="shared" si="22"/>
        <v>0</v>
      </c>
      <c r="P83" s="611">
        <f t="shared" si="23"/>
        <v>0</v>
      </c>
      <c r="Q83" s="445">
        <f>IF($W$3="12",SUMIFS(AS!$W:$W,AS!$AB:$AB,"OK",AS!$AX:$AX,$X83,AS!$K:$K,$Y$1,AS!$AW:$AW,$Y$6),0)</f>
        <v>0</v>
      </c>
      <c r="X83" t="s">
        <v>290</v>
      </c>
    </row>
    <row r="84" spans="1:26" x14ac:dyDescent="0.25">
      <c r="A84" s="897" t="s">
        <v>291</v>
      </c>
      <c r="B84" s="527">
        <f t="shared" si="21"/>
        <v>0</v>
      </c>
      <c r="C84" s="156">
        <f>SUMIFS(AS!$W:$W,AS!$AX:$AX,Trendit!$X84,AS!$AW:$AW,Trendit!$Y$6,AS!$V:$V,$Y$4,AS!$K:$K,$Y$1,AS!BP:BP,$Y$5,AS!CK:CK,$Y$2)</f>
        <v>0</v>
      </c>
      <c r="D84" s="156">
        <f>SUMIFS(AS!$W:$W,AS!$AX:$AX,Trendit!$X84,AS!$AW:$AW,Trendit!$Y$6,AS!$V:$V,$Y$4,AS!$K:$K,$Y$1,AS!BQ:BQ,$Y$5,AS!CL:CL,$Y$2)</f>
        <v>0</v>
      </c>
      <c r="E84" s="156">
        <f>SUMIFS(AS!$W:$W,AS!$AX:$AX,Trendit!$X84,AS!$AW:$AW,Trendit!$Y$6,AS!$V:$V,$Y$4,AS!$K:$K,$Y$1,AS!BR:BR,$Y$5,AS!CM:CM,$Y$2)</f>
        <v>0</v>
      </c>
      <c r="F84" s="156">
        <f>SUMIFS(AS!$W:$W,AS!$AX:$AX,Trendit!$X84,AS!$AW:$AW,Trendit!$Y$6,AS!$V:$V,$Y$4,AS!$K:$K,$Y$1,AS!BS:BS,$Y$5,AS!CN:CN,$Y$2)</f>
        <v>0</v>
      </c>
      <c r="G84" s="156">
        <f>SUMIFS(AS!$W:$W,AS!$AX:$AX,Trendit!$X84,AS!$AW:$AW,Trendit!$Y$6,AS!$V:$V,$Y$4,AS!$K:$K,$Y$1,AS!BT:BT,$Y$5,AS!CO:CO,$Y$2)</f>
        <v>0</v>
      </c>
      <c r="H84" s="156">
        <f>SUMIFS(AS!$W:$W,AS!$AX:$AX,Trendit!$X84,AS!$AW:$AW,Trendit!$Y$6,AS!$V:$V,$Y$4,AS!$K:$K,$Y$1,AS!BU:BU,$Y$5,AS!CP:CP,$Y$2)</f>
        <v>0</v>
      </c>
      <c r="I84" s="156">
        <f>SUMIFS(AS!$W:$W,AS!$AX:$AX,Trendit!$X84,AS!$AW:$AW,Trendit!$Y$6,AS!$V:$V,$Y$4,AS!$K:$K,$Y$1,AS!BV:BV,$Y$5,AS!CQ:CQ,$Y$2)</f>
        <v>0</v>
      </c>
      <c r="J84" s="156">
        <f>SUMIFS(AS!$W:$W,AS!$AX:$AX,Trendit!$X84,AS!$AW:$AW,Trendit!$Y$6,AS!$V:$V,$Y$4,AS!$K:$K,$Y$1,AS!BW:BW,$Y$5,AS!CR:CR,$Y$2)</f>
        <v>0</v>
      </c>
      <c r="K84" s="156">
        <f>SUMIFS(AS!$W:$W,AS!$AX:$AX,Trendit!$X84,AS!$AW:$AW,Trendit!$Y$6,AS!$V:$V,$Y$4,AS!$K:$K,$Y$1,AS!BX:BX,$Y$5,AS!CS:CS,$Y$2)</f>
        <v>0</v>
      </c>
      <c r="L84" s="156">
        <f>SUMIFS(AS!$W:$W,AS!$AX:$AX,Trendit!$X84,AS!$AW:$AW,Trendit!$Y$6,AS!$V:$V,$Y$4,AS!$K:$K,$Y$1,AS!BY:BY,$Y$5,AS!CT:CT,$Y$2)</f>
        <v>0</v>
      </c>
      <c r="M84" s="156">
        <f>SUMIFS(AS!$W:$W,AS!$AX:$AX,Trendit!$X84,AS!$AW:$AW,Trendit!$Y$6,AS!$V:$V,$Y$4,AS!$K:$K,$Y$1,AS!BZ:BZ,$Y$5,AS!CU:CU,$Y$2)</f>
        <v>0</v>
      </c>
      <c r="N84" s="156">
        <f>SUMIFS(AS!$W:$W,AS!$AX:$AX,Trendit!$X84,AS!$AW:$AW,Trendit!$Y$6,AS!$V:$V,$Y$4,AS!$K:$K,$Y$1,AS!CA:CA,$Y$5,AS!CV:CV,$Y$2)</f>
        <v>0</v>
      </c>
      <c r="O84" s="445">
        <f t="shared" si="22"/>
        <v>0</v>
      </c>
      <c r="P84" s="611">
        <f t="shared" si="23"/>
        <v>0</v>
      </c>
      <c r="Q84" s="445">
        <f>IF($W$3="12",SUMIFS(AS!$W:$W,AS!$AB:$AB,"OK",AS!$AX:$AX,$X84,AS!$K:$K,$Y$1,AS!$AW:$AW,$Y$6),0)</f>
        <v>0</v>
      </c>
      <c r="X84" t="s">
        <v>292</v>
      </c>
    </row>
    <row r="85" spans="1:26" x14ac:dyDescent="0.25">
      <c r="A85" s="155" t="s">
        <v>293</v>
      </c>
      <c r="B85" s="527">
        <f t="shared" si="21"/>
        <v>0</v>
      </c>
      <c r="C85" s="156">
        <f>SUMIFS(AS!$W:$W,AS!$AX:$AX,Trendit!$X85,AS!$AW:$AW,Trendit!$Y$6,AS!$V:$V,$Y$4,AS!$K:$K,$Y$1,AS!BP:BP,$Y$5,AS!CK:CK,$Y$2)</f>
        <v>0</v>
      </c>
      <c r="D85" s="156">
        <f>SUMIFS(AS!$W:$W,AS!$AX:$AX,Trendit!$X85,AS!$AW:$AW,Trendit!$Y$6,AS!$V:$V,$Y$4,AS!$K:$K,$Y$1,AS!BQ:BQ,$Y$5,AS!CL:CL,$Y$2)</f>
        <v>0</v>
      </c>
      <c r="E85" s="156">
        <f>SUMIFS(AS!$W:$W,AS!$AX:$AX,Trendit!$X85,AS!$AW:$AW,Trendit!$Y$6,AS!$V:$V,$Y$4,AS!$K:$K,$Y$1,AS!BR:BR,$Y$5,AS!CM:CM,$Y$2)</f>
        <v>0</v>
      </c>
      <c r="F85" s="156">
        <f>SUMIFS(AS!$W:$W,AS!$AX:$AX,Trendit!$X85,AS!$AW:$AW,Trendit!$Y$6,AS!$V:$V,$Y$4,AS!$K:$K,$Y$1,AS!BS:BS,$Y$5,AS!CN:CN,$Y$2)</f>
        <v>0</v>
      </c>
      <c r="G85" s="156">
        <f>SUMIFS(AS!$W:$W,AS!$AX:$AX,Trendit!$X85,AS!$AW:$AW,Trendit!$Y$6,AS!$V:$V,$Y$4,AS!$K:$K,$Y$1,AS!BT:BT,$Y$5,AS!CO:CO,$Y$2)</f>
        <v>0</v>
      </c>
      <c r="H85" s="156">
        <f>SUMIFS(AS!$W:$W,AS!$AX:$AX,Trendit!$X85,AS!$AW:$AW,Trendit!$Y$6,AS!$V:$V,$Y$4,AS!$K:$K,$Y$1,AS!BU:BU,$Y$5,AS!CP:CP,$Y$2)</f>
        <v>0</v>
      </c>
      <c r="I85" s="156">
        <f>SUMIFS(AS!$W:$W,AS!$AX:$AX,Trendit!$X85,AS!$AW:$AW,Trendit!$Y$6,AS!$V:$V,$Y$4,AS!$K:$K,$Y$1,AS!BV:BV,$Y$5,AS!CQ:CQ,$Y$2)</f>
        <v>0</v>
      </c>
      <c r="J85" s="156">
        <f>SUMIFS(AS!$W:$W,AS!$AX:$AX,Trendit!$X85,AS!$AW:$AW,Trendit!$Y$6,AS!$V:$V,$Y$4,AS!$K:$K,$Y$1,AS!BW:BW,$Y$5,AS!CR:CR,$Y$2)</f>
        <v>0</v>
      </c>
      <c r="K85" s="156">
        <f>SUMIFS(AS!$W:$W,AS!$AX:$AX,Trendit!$X85,AS!$AW:$AW,Trendit!$Y$6,AS!$V:$V,$Y$4,AS!$K:$K,$Y$1,AS!BX:BX,$Y$5,AS!CS:CS,$Y$2)</f>
        <v>0</v>
      </c>
      <c r="L85" s="156">
        <f>SUMIFS(AS!$W:$W,AS!$AX:$AX,Trendit!$X85,AS!$AW:$AW,Trendit!$Y$6,AS!$V:$V,$Y$4,AS!$K:$K,$Y$1,AS!BY:BY,$Y$5,AS!CT:CT,$Y$2)</f>
        <v>0</v>
      </c>
      <c r="M85" s="156">
        <f>SUMIFS(AS!$W:$W,AS!$AX:$AX,Trendit!$X85,AS!$AW:$AW,Trendit!$Y$6,AS!$V:$V,$Y$4,AS!$K:$K,$Y$1,AS!BZ:BZ,$Y$5,AS!CU:CU,$Y$2)</f>
        <v>0</v>
      </c>
      <c r="N85" s="156">
        <f>SUMIFS(AS!$W:$W,AS!$AX:$AX,Trendit!$X85,AS!$AW:$AW,Trendit!$Y$6,AS!$V:$V,$Y$4,AS!$K:$K,$Y$1,AS!CA:CA,$Y$5,AS!CV:CV,$Y$2)</f>
        <v>0</v>
      </c>
      <c r="O85" s="445">
        <f t="shared" si="22"/>
        <v>0</v>
      </c>
      <c r="P85" s="611">
        <f t="shared" si="23"/>
        <v>0</v>
      </c>
      <c r="Q85" s="445">
        <f>IF($W$3="12",SUMIFS(AS!$W:$W,AS!$AB:$AB,"OK",AS!$AX:$AX,$X85,AS!$K:$K,$Y$1,AS!$AW:$AW,$Y$6),0)</f>
        <v>0</v>
      </c>
      <c r="X85" s="86" t="s">
        <v>295</v>
      </c>
      <c r="Y85" s="228" t="s">
        <v>294</v>
      </c>
      <c r="Z85" t="s">
        <v>729</v>
      </c>
    </row>
    <row r="86" spans="1:26" x14ac:dyDescent="0.25">
      <c r="A86" s="155" t="s">
        <v>296</v>
      </c>
      <c r="B86" s="527">
        <f t="shared" si="21"/>
        <v>0</v>
      </c>
      <c r="C86" s="156">
        <f>SUMIFS(AS!$W:$W,AS!$AX:$AX,Trendit!$X86,AS!$AW:$AW,Trendit!$Y$6,AS!$V:$V,$Y$4,AS!$K:$K,$Y$1,AS!BP:BP,$Y$5,AS!CK:CK,$Y$2)</f>
        <v>0</v>
      </c>
      <c r="D86" s="156">
        <f>SUMIFS(AS!$W:$W,AS!$AX:$AX,Trendit!$X86,AS!$AW:$AW,Trendit!$Y$6,AS!$V:$V,$Y$4,AS!$K:$K,$Y$1,AS!BQ:BQ,$Y$5,AS!CL:CL,$Y$2)</f>
        <v>0</v>
      </c>
      <c r="E86" s="156">
        <f>SUMIFS(AS!$W:$W,AS!$AX:$AX,Trendit!$X86,AS!$AW:$AW,Trendit!$Y$6,AS!$V:$V,$Y$4,AS!$K:$K,$Y$1,AS!BR:BR,$Y$5,AS!CM:CM,$Y$2)</f>
        <v>0</v>
      </c>
      <c r="F86" s="156">
        <f>SUMIFS(AS!$W:$W,AS!$AX:$AX,Trendit!$X86,AS!$AW:$AW,Trendit!$Y$6,AS!$V:$V,$Y$4,AS!$K:$K,$Y$1,AS!BS:BS,$Y$5,AS!CN:CN,$Y$2)</f>
        <v>0</v>
      </c>
      <c r="G86" s="156">
        <f>SUMIFS(AS!$W:$W,AS!$AX:$AX,Trendit!$X86,AS!$AW:$AW,Trendit!$Y$6,AS!$V:$V,$Y$4,AS!$K:$K,$Y$1,AS!BT:BT,$Y$5,AS!CO:CO,$Y$2)</f>
        <v>0</v>
      </c>
      <c r="H86" s="156">
        <f>SUMIFS(AS!$W:$W,AS!$AX:$AX,Trendit!$X86,AS!$AW:$AW,Trendit!$Y$6,AS!$V:$V,$Y$4,AS!$K:$K,$Y$1,AS!BU:BU,$Y$5,AS!CP:CP,$Y$2)</f>
        <v>0</v>
      </c>
      <c r="I86" s="156">
        <f>SUMIFS(AS!$W:$W,AS!$AX:$AX,Trendit!$X86,AS!$AW:$AW,Trendit!$Y$6,AS!$V:$V,$Y$4,AS!$K:$K,$Y$1,AS!BV:BV,$Y$5,AS!CQ:CQ,$Y$2)</f>
        <v>0</v>
      </c>
      <c r="J86" s="156">
        <f>SUMIFS(AS!$W:$W,AS!$AX:$AX,Trendit!$X86,AS!$AW:$AW,Trendit!$Y$6,AS!$V:$V,$Y$4,AS!$K:$K,$Y$1,AS!BW:BW,$Y$5,AS!CR:CR,$Y$2)</f>
        <v>0</v>
      </c>
      <c r="K86" s="156">
        <f>SUMIFS(AS!$W:$W,AS!$AX:$AX,Trendit!$X86,AS!$AW:$AW,Trendit!$Y$6,AS!$V:$V,$Y$4,AS!$K:$K,$Y$1,AS!BX:BX,$Y$5,AS!CS:CS,$Y$2)</f>
        <v>0</v>
      </c>
      <c r="L86" s="156">
        <f>SUMIFS(AS!$W:$W,AS!$AX:$AX,Trendit!$X86,AS!$AW:$AW,Trendit!$Y$6,AS!$V:$V,$Y$4,AS!$K:$K,$Y$1,AS!BY:BY,$Y$5,AS!CT:CT,$Y$2)</f>
        <v>0</v>
      </c>
      <c r="M86" s="156">
        <f>SUMIFS(AS!$W:$W,AS!$AX:$AX,Trendit!$X86,AS!$AW:$AW,Trendit!$Y$6,AS!$V:$V,$Y$4,AS!$K:$K,$Y$1,AS!BZ:BZ,$Y$5,AS!CU:CU,$Y$2)</f>
        <v>0</v>
      </c>
      <c r="N86" s="156">
        <f>SUMIFS(AS!$W:$W,AS!$AX:$AX,Trendit!$X86,AS!$AW:$AW,Trendit!$Y$6,AS!$V:$V,$Y$4,AS!$K:$K,$Y$1,AS!CA:CA,$Y$5,AS!CV:CV,$Y$2)</f>
        <v>0</v>
      </c>
      <c r="O86" s="445">
        <f t="shared" si="22"/>
        <v>0</v>
      </c>
      <c r="P86" s="611">
        <f t="shared" si="23"/>
        <v>0</v>
      </c>
      <c r="Q86" s="445">
        <f>IF($W$3="12",SUMIFS(AS!$W:$W,AS!$AB:$AB,"OK",AS!$AX:$AX,$X86,AS!$K:$K,$Y$1,AS!$AW:$AW,$Y$6),0)</f>
        <v>0</v>
      </c>
      <c r="X86" t="s">
        <v>297</v>
      </c>
    </row>
    <row r="87" spans="1:26" x14ac:dyDescent="0.25">
      <c r="A87" s="458" t="s">
        <v>298</v>
      </c>
      <c r="B87" s="525">
        <f t="shared" si="21"/>
        <v>0</v>
      </c>
      <c r="C87" s="465">
        <f>SUM(C88:C90)</f>
        <v>0</v>
      </c>
      <c r="D87" s="465">
        <f t="shared" ref="D87:N87" si="29">SUM(D88:D90)</f>
        <v>0</v>
      </c>
      <c r="E87" s="465">
        <f>SUM(E88:E90)</f>
        <v>0</v>
      </c>
      <c r="F87" s="465">
        <f t="shared" si="29"/>
        <v>0</v>
      </c>
      <c r="G87" s="465">
        <f t="shared" si="29"/>
        <v>0</v>
      </c>
      <c r="H87" s="465">
        <f t="shared" si="29"/>
        <v>0</v>
      </c>
      <c r="I87" s="465">
        <f t="shared" si="29"/>
        <v>0</v>
      </c>
      <c r="J87" s="465">
        <f t="shared" si="29"/>
        <v>0</v>
      </c>
      <c r="K87" s="465">
        <f t="shared" si="29"/>
        <v>0</v>
      </c>
      <c r="L87" s="465">
        <f t="shared" si="29"/>
        <v>0</v>
      </c>
      <c r="M87" s="465">
        <f t="shared" si="29"/>
        <v>0</v>
      </c>
      <c r="N87" s="465">
        <f t="shared" si="29"/>
        <v>0</v>
      </c>
      <c r="O87" s="487">
        <f t="shared" si="22"/>
        <v>0</v>
      </c>
      <c r="P87" s="511">
        <f t="shared" si="23"/>
        <v>0</v>
      </c>
      <c r="Q87" s="487">
        <f>SUM(Q88:Q90)</f>
        <v>0</v>
      </c>
    </row>
    <row r="88" spans="1:26" x14ac:dyDescent="0.25">
      <c r="A88" s="482" t="s">
        <v>299</v>
      </c>
      <c r="B88" s="527">
        <f t="shared" si="21"/>
        <v>0</v>
      </c>
      <c r="C88" s="463">
        <f>SUMIFS(AS!$W:$W,AS!$AX:$AX,Trendit!$X88,AS!$AW:$AW,Trendit!$Y$6,AS!$V:$V,$Y$4,AS!$K:$K,$Y$1,AS!BP:BP,$Y$5,AS!CK:CK,$Y$2)</f>
        <v>0</v>
      </c>
      <c r="D88" s="463">
        <f>SUMIFS(AS!$W:$W,AS!$AX:$AX,Trendit!$X88,AS!$AW:$AW,Trendit!$Y$6,AS!$V:$V,$Y$4,AS!$K:$K,$Y$1,AS!BQ:BQ,$Y$5,AS!CL:CL,$Y$2)</f>
        <v>0</v>
      </c>
      <c r="E88" s="463">
        <f>SUMIFS(AS!$W:$W,AS!$AX:$AX,Trendit!$X88,AS!$AW:$AW,Trendit!$Y$6,AS!$V:$V,$Y$4,AS!$K:$K,$Y$1,AS!BR:BR,$Y$5,AS!CM:CM,$Y$2)</f>
        <v>0</v>
      </c>
      <c r="F88" s="463">
        <f>SUMIFS(AS!$W:$W,AS!$AX:$AX,Trendit!$X88,AS!$AW:$AW,Trendit!$Y$6,AS!$V:$V,$Y$4,AS!$K:$K,$Y$1,AS!BS:BS,$Y$5,AS!CN:CN,$Y$2)</f>
        <v>0</v>
      </c>
      <c r="G88" s="463">
        <f>SUMIFS(AS!$W:$W,AS!$AX:$AX,Trendit!$X88,AS!$AW:$AW,Trendit!$Y$6,AS!$V:$V,$Y$4,AS!$K:$K,$Y$1,AS!BT:BT,$Y$5,AS!CO:CO,$Y$2)</f>
        <v>0</v>
      </c>
      <c r="H88" s="463">
        <f>SUMIFS(AS!$W:$W,AS!$AX:$AX,Trendit!$X88,AS!$AW:$AW,Trendit!$Y$6,AS!$V:$V,$Y$4,AS!$K:$K,$Y$1,AS!BU:BU,$Y$5,AS!CP:CP,$Y$2)</f>
        <v>0</v>
      </c>
      <c r="I88" s="463">
        <f>SUMIFS(AS!$W:$W,AS!$AX:$AX,Trendit!$X88,AS!$AW:$AW,Trendit!$Y$6,AS!$V:$V,$Y$4,AS!$K:$K,$Y$1,AS!BV:BV,$Y$5,AS!CQ:CQ,$Y$2)</f>
        <v>0</v>
      </c>
      <c r="J88" s="463">
        <f>SUMIFS(AS!$W:$W,AS!$AX:$AX,Trendit!$X88,AS!$AW:$AW,Trendit!$Y$6,AS!$V:$V,$Y$4,AS!$K:$K,$Y$1,AS!BW:BW,$Y$5,AS!CR:CR,$Y$2)</f>
        <v>0</v>
      </c>
      <c r="K88" s="463">
        <f>SUMIFS(AS!$W:$W,AS!$AX:$AX,Trendit!$X88,AS!$AW:$AW,Trendit!$Y$6,AS!$V:$V,$Y$4,AS!$K:$K,$Y$1,AS!BX:BX,$Y$5,AS!CS:CS,$Y$2)</f>
        <v>0</v>
      </c>
      <c r="L88" s="463">
        <f>SUMIFS(AS!$W:$W,AS!$AX:$AX,Trendit!$X88,AS!$AW:$AW,Trendit!$Y$6,AS!$V:$V,$Y$4,AS!$K:$K,$Y$1,AS!BY:BY,$Y$5,AS!CT:CT,$Y$2)</f>
        <v>0</v>
      </c>
      <c r="M88" s="463">
        <f>SUMIFS(AS!$W:$W,AS!$AX:$AX,Trendit!$X88,AS!$AW:$AW,Trendit!$Y$6,AS!$V:$V,$Y$4,AS!$K:$K,$Y$1,AS!BZ:BZ,$Y$5,AS!CU:CU,$Y$2)</f>
        <v>0</v>
      </c>
      <c r="N88" s="463">
        <f>SUMIFS(AS!$W:$W,AS!$AX:$AX,Trendit!$X88,AS!$AW:$AW,Trendit!$Y$6,AS!$V:$V,$Y$4,AS!$K:$K,$Y$1,AS!CA:CA,$Y$5,AS!CV:CV,$Y$2)</f>
        <v>0</v>
      </c>
      <c r="O88" s="445">
        <f t="shared" si="22"/>
        <v>0</v>
      </c>
      <c r="P88" s="611">
        <f t="shared" si="23"/>
        <v>0</v>
      </c>
      <c r="Q88" s="445">
        <f>IF($W$3="12",SUMIFS(AS!$W:$W,AS!$AB:$AB,"OK",AS!$AX:$AX,$X88,AS!$K:$K,$Y$1,AS!$AW:$AW,$Y$6),0)</f>
        <v>0</v>
      </c>
      <c r="X88" t="s">
        <v>300</v>
      </c>
    </row>
    <row r="89" spans="1:26" x14ac:dyDescent="0.25">
      <c r="A89" s="155" t="s">
        <v>301</v>
      </c>
      <c r="B89" s="527">
        <f t="shared" si="21"/>
        <v>0</v>
      </c>
      <c r="C89" s="156">
        <f>SUMIFS(AS!$W:$W,AS!$AX:$AX,Trendit!$X89,AS!$AW:$AW,Trendit!$Y$6,AS!$V:$V,$Y$4,AS!$K:$K,$Y$1,AS!BP:BP,$Y$5,AS!CK:CK,$Y$2)</f>
        <v>0</v>
      </c>
      <c r="D89" s="156">
        <f>SUMIFS(AS!$W:$W,AS!$AX:$AX,Trendit!$X89,AS!$AW:$AW,Trendit!$Y$6,AS!$V:$V,$Y$4,AS!$K:$K,$Y$1,AS!BQ:BQ,$Y$5,AS!CL:CL,$Y$2)</f>
        <v>0</v>
      </c>
      <c r="E89" s="156">
        <f>SUMIFS(AS!$W:$W,AS!$AX:$AX,Trendit!$X89,AS!$AW:$AW,Trendit!$Y$6,AS!$V:$V,$Y$4,AS!$K:$K,$Y$1,AS!BR:BR,$Y$5,AS!CM:CM,$Y$2)</f>
        <v>0</v>
      </c>
      <c r="F89" s="156">
        <f>SUMIFS(AS!$W:$W,AS!$AX:$AX,Trendit!$X89,AS!$AW:$AW,Trendit!$Y$6,AS!$V:$V,$Y$4,AS!$K:$K,$Y$1,AS!BS:BS,$Y$5,AS!CN:CN,$Y$2)</f>
        <v>0</v>
      </c>
      <c r="G89" s="156">
        <f>SUMIFS(AS!$W:$W,AS!$AX:$AX,Trendit!$X89,AS!$AW:$AW,Trendit!$Y$6,AS!$V:$V,$Y$4,AS!$K:$K,$Y$1,AS!BT:BT,$Y$5,AS!CO:CO,$Y$2)</f>
        <v>0</v>
      </c>
      <c r="H89" s="156">
        <f>SUMIFS(AS!$W:$W,AS!$AX:$AX,Trendit!$X89,AS!$AW:$AW,Trendit!$Y$6,AS!$V:$V,$Y$4,AS!$K:$K,$Y$1,AS!BU:BU,$Y$5,AS!CP:CP,$Y$2)</f>
        <v>0</v>
      </c>
      <c r="I89" s="156">
        <f>SUMIFS(AS!$W:$W,AS!$AX:$AX,Trendit!$X89,AS!$AW:$AW,Trendit!$Y$6,AS!$V:$V,$Y$4,AS!$K:$K,$Y$1,AS!BV:BV,$Y$5,AS!CQ:CQ,$Y$2)</f>
        <v>0</v>
      </c>
      <c r="J89" s="156">
        <f>SUMIFS(AS!$W:$W,AS!$AX:$AX,Trendit!$X89,AS!$AW:$AW,Trendit!$Y$6,AS!$V:$V,$Y$4,AS!$K:$K,$Y$1,AS!BW:BW,$Y$5,AS!CR:CR,$Y$2)</f>
        <v>0</v>
      </c>
      <c r="K89" s="156">
        <f>SUMIFS(AS!$W:$W,AS!$AX:$AX,Trendit!$X89,AS!$AW:$AW,Trendit!$Y$6,AS!$V:$V,$Y$4,AS!$K:$K,$Y$1,AS!BX:BX,$Y$5,AS!CS:CS,$Y$2)</f>
        <v>0</v>
      </c>
      <c r="L89" s="156">
        <f>SUMIFS(AS!$W:$W,AS!$AX:$AX,Trendit!$X89,AS!$AW:$AW,Trendit!$Y$6,AS!$V:$V,$Y$4,AS!$K:$K,$Y$1,AS!BY:BY,$Y$5,AS!CT:CT,$Y$2)</f>
        <v>0</v>
      </c>
      <c r="M89" s="156">
        <f>SUMIFS(AS!$W:$W,AS!$AX:$AX,Trendit!$X89,AS!$AW:$AW,Trendit!$Y$6,AS!$V:$V,$Y$4,AS!$K:$K,$Y$1,AS!BZ:BZ,$Y$5,AS!CU:CU,$Y$2)</f>
        <v>0</v>
      </c>
      <c r="N89" s="156">
        <f>SUMIFS(AS!$W:$W,AS!$AX:$AX,Trendit!$X89,AS!$AW:$AW,Trendit!$Y$6,AS!$V:$V,$Y$4,AS!$K:$K,$Y$1,AS!CA:CA,$Y$5,AS!CV:CV,$Y$2)</f>
        <v>0</v>
      </c>
      <c r="O89" s="445">
        <f t="shared" si="22"/>
        <v>0</v>
      </c>
      <c r="P89" s="611">
        <f t="shared" si="23"/>
        <v>0</v>
      </c>
      <c r="Q89" s="445">
        <f>IF($W$3="12",SUMIFS(AS!$W:$W,AS!$AB:$AB,"OK",AS!$AX:$AX,$X89,AS!$K:$K,$Y$1,AS!$AW:$AW,$Y$6),0)</f>
        <v>0</v>
      </c>
      <c r="X89" t="s">
        <v>302</v>
      </c>
    </row>
    <row r="90" spans="1:26" x14ac:dyDescent="0.25">
      <c r="A90" s="155" t="s">
        <v>303</v>
      </c>
      <c r="B90" s="527">
        <f t="shared" si="21"/>
        <v>0</v>
      </c>
      <c r="C90" s="161">
        <f>SUMIFS(AS!$W:$W,AS!$AX:$AX,Trendit!$X90,AS!$AW:$AW,Trendit!$Y$6,AS!$V:$V,$Y$4,AS!$K:$K,$Y$1,AS!BP:BP,$Y$5,AS!CK:CK,$Y$2)</f>
        <v>0</v>
      </c>
      <c r="D90" s="161">
        <f>SUMIFS(AS!$W:$W,AS!$AX:$AX,Trendit!$X90,AS!$AW:$AW,Trendit!$Y$6,AS!$V:$V,$Y$4,AS!$K:$K,$Y$1,AS!BQ:BQ,$Y$5,AS!CL:CL,$Y$2)</f>
        <v>0</v>
      </c>
      <c r="E90" s="161">
        <f>SUMIFS(AS!$W:$W,AS!$AX:$AX,Trendit!$X90,AS!$AW:$AW,Trendit!$Y$6,AS!$V:$V,$Y$4,AS!$K:$K,$Y$1,AS!BR:BR,$Y$5,AS!CM:CM,$Y$2)</f>
        <v>0</v>
      </c>
      <c r="F90" s="161">
        <f>SUMIFS(AS!$W:$W,AS!$AX:$AX,Trendit!$X90,AS!$AW:$AW,Trendit!$Y$6,AS!$V:$V,$Y$4,AS!$K:$K,$Y$1,AS!BS:BS,$Y$5,AS!CN:CN,$Y$2)</f>
        <v>0</v>
      </c>
      <c r="G90" s="161">
        <f>SUMIFS(AS!$W:$W,AS!$AX:$AX,Trendit!$X90,AS!$AW:$AW,Trendit!$Y$6,AS!$V:$V,$Y$4,AS!$K:$K,$Y$1,AS!BT:BT,$Y$5,AS!CO:CO,$Y$2)</f>
        <v>0</v>
      </c>
      <c r="H90" s="161">
        <f>SUMIFS(AS!$W:$W,AS!$AX:$AX,Trendit!$X90,AS!$AW:$AW,Trendit!$Y$6,AS!$V:$V,$Y$4,AS!$K:$K,$Y$1,AS!BU:BU,$Y$5,AS!CP:CP,$Y$2)</f>
        <v>0</v>
      </c>
      <c r="I90" s="161">
        <f>SUMIFS(AS!$W:$W,AS!$AX:$AX,Trendit!$X90,AS!$AW:$AW,Trendit!$Y$6,AS!$V:$V,$Y$4,AS!$K:$K,$Y$1,AS!BV:BV,$Y$5,AS!CQ:CQ,$Y$2)</f>
        <v>0</v>
      </c>
      <c r="J90" s="161">
        <f>SUMIFS(AS!$W:$W,AS!$AX:$AX,Trendit!$X90,AS!$AW:$AW,Trendit!$Y$6,AS!$V:$V,$Y$4,AS!$K:$K,$Y$1,AS!BW:BW,$Y$5,AS!CR:CR,$Y$2)</f>
        <v>0</v>
      </c>
      <c r="K90" s="161">
        <f>SUMIFS(AS!$W:$W,AS!$AX:$AX,Trendit!$X90,AS!$AW:$AW,Trendit!$Y$6,AS!$V:$V,$Y$4,AS!$K:$K,$Y$1,AS!BX:BX,$Y$5,AS!CS:CS,$Y$2)</f>
        <v>0</v>
      </c>
      <c r="L90" s="161">
        <f>SUMIFS(AS!$W:$W,AS!$AX:$AX,Trendit!$X90,AS!$AW:$AW,Trendit!$Y$6,AS!$V:$V,$Y$4,AS!$K:$K,$Y$1,AS!BY:BY,$Y$5,AS!CT:CT,$Y$2)</f>
        <v>0</v>
      </c>
      <c r="M90" s="161">
        <f>SUMIFS(AS!$W:$W,AS!$AX:$AX,Trendit!$X90,AS!$AW:$AW,Trendit!$Y$6,AS!$V:$V,$Y$4,AS!$K:$K,$Y$1,AS!BZ:BZ,$Y$5,AS!CU:CU,$Y$2)</f>
        <v>0</v>
      </c>
      <c r="N90" s="161">
        <f>SUMIFS(AS!$W:$W,AS!$AX:$AX,Trendit!$X90,AS!$AW:$AW,Trendit!$Y$6,AS!$V:$V,$Y$4,AS!$K:$K,$Y$1,AS!CA:CA,$Y$5,AS!CV:CV,$Y$2)</f>
        <v>0</v>
      </c>
      <c r="O90" s="445">
        <f t="shared" si="22"/>
        <v>0</v>
      </c>
      <c r="P90" s="611">
        <f t="shared" si="23"/>
        <v>0</v>
      </c>
      <c r="Q90" s="445">
        <f>IF($W$3="12",SUMIFS(AS!$W:$W,AS!$AB:$AB,"OK",AS!$AX:$AX,$X90,AS!$K:$K,$Y$1,AS!$AW:$AW,$Y$6),0)</f>
        <v>0</v>
      </c>
      <c r="X90" s="86" t="s">
        <v>304</v>
      </c>
    </row>
    <row r="91" spans="1:26" x14ac:dyDescent="0.25">
      <c r="A91" s="458" t="s">
        <v>239</v>
      </c>
      <c r="B91" s="525">
        <f t="shared" ca="1" si="21"/>
        <v>0</v>
      </c>
      <c r="C91" s="28">
        <f ca="1">SUM(C92:C93)</f>
        <v>0</v>
      </c>
      <c r="D91" s="28">
        <f t="shared" ref="D91:N91" ca="1" si="30">SUM(D92:D93)</f>
        <v>0</v>
      </c>
      <c r="E91" s="28">
        <f ca="1">SUM(E92:E93)</f>
        <v>0</v>
      </c>
      <c r="F91" s="28">
        <f t="shared" ca="1" si="30"/>
        <v>0</v>
      </c>
      <c r="G91" s="28">
        <f t="shared" ca="1" si="30"/>
        <v>0</v>
      </c>
      <c r="H91" s="28">
        <f t="shared" ca="1" si="30"/>
        <v>0</v>
      </c>
      <c r="I91" s="28">
        <f t="shared" ca="1" si="30"/>
        <v>0</v>
      </c>
      <c r="J91" s="28">
        <f t="shared" ca="1" si="30"/>
        <v>0</v>
      </c>
      <c r="K91" s="28">
        <f t="shared" ca="1" si="30"/>
        <v>0</v>
      </c>
      <c r="L91" s="28">
        <f t="shared" ca="1" si="30"/>
        <v>0</v>
      </c>
      <c r="M91" s="28">
        <f t="shared" ca="1" si="30"/>
        <v>0</v>
      </c>
      <c r="N91" s="28">
        <f t="shared" ca="1" si="30"/>
        <v>0</v>
      </c>
      <c r="O91" s="487">
        <f t="shared" ca="1" si="22"/>
        <v>0</v>
      </c>
      <c r="P91" s="511">
        <f t="shared" ca="1" si="23"/>
        <v>0</v>
      </c>
      <c r="Q91" s="487">
        <f>SUM(Q92:Q93)</f>
        <v>0</v>
      </c>
      <c r="X91" s="86"/>
    </row>
    <row r="92" spans="1:26" x14ac:dyDescent="0.25">
      <c r="A92" s="155" t="s">
        <v>239</v>
      </c>
      <c r="B92" s="527">
        <f t="shared" si="21"/>
        <v>0</v>
      </c>
      <c r="C92" s="156">
        <f>SUMIFS(AS!$W:$W,AS!$AX:$AX,Trendit!$X92,AS!$AW:$AW,Trendit!$Y$6,AS!$V:$V,$Y$4,AS!$K:$K,$Y$1,AS!BP:BP,$Y$5,AS!CK:CK,$Y$2)</f>
        <v>0</v>
      </c>
      <c r="D92" s="156">
        <f>SUMIFS(AS!$W:$W,AS!$AX:$AX,Trendit!$X92,AS!$AW:$AW,Trendit!$Y$6,AS!$V:$V,$Y$4,AS!$K:$K,$Y$1,AS!BQ:BQ,$Y$5,AS!CL:CL,$Y$2)</f>
        <v>0</v>
      </c>
      <c r="E92" s="156">
        <f>SUMIFS(AS!$W:$W,AS!$AX:$AX,Trendit!$X92,AS!$AW:$AW,Trendit!$Y$6,AS!$V:$V,$Y$4,AS!$K:$K,$Y$1,AS!BR:BR,$Y$5,AS!CM:CM,$Y$2)</f>
        <v>0</v>
      </c>
      <c r="F92" s="156">
        <f>SUMIFS(AS!$W:$W,AS!$AX:$AX,Trendit!$X92,AS!$AW:$AW,Trendit!$Y$6,AS!$V:$V,$Y$4,AS!$K:$K,$Y$1,AS!BS:BS,$Y$5,AS!CN:CN,$Y$2)</f>
        <v>0</v>
      </c>
      <c r="G92" s="156">
        <f>SUMIFS(AS!$W:$W,AS!$AX:$AX,Trendit!$X92,AS!$AW:$AW,Trendit!$Y$6,AS!$V:$V,$Y$4,AS!$K:$K,$Y$1,AS!BT:BT,$Y$5,AS!CO:CO,$Y$2)</f>
        <v>0</v>
      </c>
      <c r="H92" s="156">
        <f>SUMIFS(AS!$W:$W,AS!$AX:$AX,Trendit!$X92,AS!$AW:$AW,Trendit!$Y$6,AS!$V:$V,$Y$4,AS!$K:$K,$Y$1,AS!BU:BU,$Y$5,AS!CP:CP,$Y$2)</f>
        <v>0</v>
      </c>
      <c r="I92" s="156">
        <f>SUMIFS(AS!$W:$W,AS!$AX:$AX,Trendit!$X92,AS!$AW:$AW,Trendit!$Y$6,AS!$V:$V,$Y$4,AS!$K:$K,$Y$1,AS!BV:BV,$Y$5,AS!CQ:CQ,$Y$2)</f>
        <v>0</v>
      </c>
      <c r="J92" s="156">
        <f>SUMIFS(AS!$W:$W,AS!$AX:$AX,Trendit!$X92,AS!$AW:$AW,Trendit!$Y$6,AS!$V:$V,$Y$4,AS!$K:$K,$Y$1,AS!BW:BW,$Y$5,AS!CR:CR,$Y$2)</f>
        <v>0</v>
      </c>
      <c r="K92" s="156">
        <f>SUMIFS(AS!$W:$W,AS!$AX:$AX,Trendit!$X92,AS!$AW:$AW,Trendit!$Y$6,AS!$V:$V,$Y$4,AS!$K:$K,$Y$1,AS!BX:BX,$Y$5,AS!CS:CS,$Y$2)</f>
        <v>0</v>
      </c>
      <c r="L92" s="156">
        <f>SUMIFS(AS!$W:$W,AS!$AX:$AX,Trendit!$X92,AS!$AW:$AW,Trendit!$Y$6,AS!$V:$V,$Y$4,AS!$K:$K,$Y$1,AS!BY:BY,$Y$5,AS!CT:CT,$Y$2)</f>
        <v>0</v>
      </c>
      <c r="M92" s="156">
        <f>SUMIFS(AS!$W:$W,AS!$AX:$AX,Trendit!$X92,AS!$AW:$AW,Trendit!$Y$6,AS!$V:$V,$Y$4,AS!$K:$K,$Y$1,AS!BZ:BZ,$Y$5,AS!CU:CU,$Y$2)</f>
        <v>0</v>
      </c>
      <c r="N92" s="156">
        <f>SUMIFS(AS!$W:$W,AS!$AX:$AX,Trendit!$X92,AS!$AW:$AW,Trendit!$Y$6,AS!$V:$V,$Y$4,AS!$K:$K,$Y$1,AS!CA:CA,$Y$5,AS!CV:CV,$Y$2)</f>
        <v>0</v>
      </c>
      <c r="O92" s="445">
        <f t="shared" si="22"/>
        <v>0</v>
      </c>
      <c r="P92" s="611">
        <f t="shared" si="23"/>
        <v>0</v>
      </c>
      <c r="Q92" s="445">
        <f>IF($W$3="12",SUMIFS(AS!$W:$W,AS!$AB:$AB,"OK",AS!$AX:$AX,$X92,AS!$K:$K,$Y$1,AS!$AW:$AW,$Y$6),0)</f>
        <v>0</v>
      </c>
      <c r="X92" s="86" t="s">
        <v>305</v>
      </c>
    </row>
    <row r="93" spans="1:26" x14ac:dyDescent="0.25">
      <c r="A93" s="155" t="s">
        <v>241</v>
      </c>
      <c r="B93" s="527">
        <f t="shared" ca="1" si="21"/>
        <v>0</v>
      </c>
      <c r="C93" s="161">
        <f ca="1">SUMIFS(AS!$W:$W,AS!$AX:$AX,"",AS!$AW:$AW,Trendit!$Y$6,AS!$V:$V,$Y$4,AS!$K:$K,$Y$1,AS!BP:BP,$Y$5,AS!CK:CK,$Y$2)</f>
        <v>0</v>
      </c>
      <c r="D93" s="161">
        <f ca="1">SUMIFS(AS!$W:$W,AS!$AX:$AX,"",AS!$AW:$AW,Trendit!$Y$6,AS!$V:$V,$Y$4,AS!$K:$K,$Y$1,AS!BQ:BQ,$Y$5,AS!CL:CL,$Y$2)</f>
        <v>0</v>
      </c>
      <c r="E93" s="161">
        <f ca="1">SUMIFS(AS!$W:$W,AS!$AX:$AX,"",AS!$AW:$AW,Trendit!$Y$6,AS!$V:$V,$Y$4,AS!$K:$K,$Y$1,AS!BR:BR,$Y$5,AS!CM:CM,$Y$2)</f>
        <v>0</v>
      </c>
      <c r="F93" s="161">
        <f ca="1">SUMIFS(AS!$W:$W,AS!$AX:$AX,"",AS!$AW:$AW,Trendit!$Y$6,AS!$V:$V,$Y$4,AS!$K:$K,$Y$1,AS!BS:BS,$Y$5,AS!CN:CN,$Y$2)</f>
        <v>0</v>
      </c>
      <c r="G93" s="161">
        <f ca="1">SUMIFS(AS!$W:$W,AS!$AX:$AX,"",AS!$AW:$AW,Trendit!$Y$6,AS!$V:$V,$Y$4,AS!$K:$K,$Y$1,AS!BT:BT,$Y$5,AS!CO:CO,$Y$2)</f>
        <v>0</v>
      </c>
      <c r="H93" s="161">
        <f ca="1">SUMIFS(AS!$W:$W,AS!$AX:$AX,"",AS!$AW:$AW,Trendit!$Y$6,AS!$V:$V,$Y$4,AS!$K:$K,$Y$1,AS!BU:BU,$Y$5,AS!CP:CP,$Y$2)</f>
        <v>0</v>
      </c>
      <c r="I93" s="161">
        <f ca="1">SUMIFS(AS!$W:$W,AS!$AX:$AX,"",AS!$AW:$AW,Trendit!$Y$6,AS!$V:$V,$Y$4,AS!$K:$K,$Y$1,AS!BV:BV,$Y$5,AS!CQ:CQ,$Y$2)</f>
        <v>0</v>
      </c>
      <c r="J93" s="161">
        <f ca="1">SUMIFS(AS!$W:$W,AS!$AX:$AX,"",AS!$AW:$AW,Trendit!$Y$6,AS!$V:$V,$Y$4,AS!$K:$K,$Y$1,AS!BW:BW,$Y$5,AS!CR:CR,$Y$2)</f>
        <v>0</v>
      </c>
      <c r="K93" s="161">
        <f ca="1">SUMIFS(AS!$W:$W,AS!$AX:$AX,"",AS!$AW:$AW,Trendit!$Y$6,AS!$V:$V,$Y$4,AS!$K:$K,$Y$1,AS!BX:BX,$Y$5,AS!CS:CS,$Y$2)</f>
        <v>0</v>
      </c>
      <c r="L93" s="161">
        <f ca="1">SUMIFS(AS!$W:$W,AS!$AX:$AX,"",AS!$AW:$AW,Trendit!$Y$6,AS!$V:$V,$Y$4,AS!$K:$K,$Y$1,AS!BY:BY,$Y$5,AS!CT:CT,$Y$2)</f>
        <v>0</v>
      </c>
      <c r="M93" s="161">
        <f ca="1">SUMIFS(AS!$W:$W,AS!$AX:$AX,"",AS!$AW:$AW,Trendit!$Y$6,AS!$V:$V,$Y$4,AS!$K:$K,$Y$1,AS!BZ:BZ,$Y$5,AS!CU:CU,$Y$2)</f>
        <v>0</v>
      </c>
      <c r="N93" s="161">
        <f ca="1">SUMIFS(AS!$W:$W,AS!$AX:$AX,"",AS!$AW:$AW,Trendit!$Y$6,AS!$V:$V,$Y$4,AS!$K:$K,$Y$1,AS!CA:CA,$Y$5,AS!CV:CV,$Y$2)</f>
        <v>0</v>
      </c>
      <c r="O93" s="445">
        <f t="shared" ca="1" si="22"/>
        <v>0</v>
      </c>
      <c r="P93" s="611">
        <f t="shared" ca="1" si="23"/>
        <v>0</v>
      </c>
      <c r="Q93" s="445">
        <f>IF($W$3="12",SUMIFS(AS!$W:$W,AS!$AB:$AB,"OK",AS!$AX:$AX,"",AS!$K:$K,$Y$1,AS!$AW:$AW,$Y$6),0)</f>
        <v>0</v>
      </c>
      <c r="X93" s="195" t="s">
        <v>242</v>
      </c>
    </row>
    <row r="94" spans="1:26" x14ac:dyDescent="0.25">
      <c r="A94" s="10" t="s">
        <v>730</v>
      </c>
      <c r="B94" s="524">
        <f ca="1">IFERROR(Q94-O94,0)</f>
        <v>0</v>
      </c>
      <c r="C94" s="9">
        <f ca="1">SUM(C70,C62,C76,C81,C87,C91,C67)</f>
        <v>0</v>
      </c>
      <c r="D94" s="9">
        <f t="shared" ref="D94:Q94" ca="1" si="31">SUM(D70,D62,D76,D81,D87,D91,D67)</f>
        <v>0</v>
      </c>
      <c r="E94" s="9">
        <f t="shared" ca="1" si="31"/>
        <v>0</v>
      </c>
      <c r="F94" s="9">
        <f t="shared" ca="1" si="31"/>
        <v>0</v>
      </c>
      <c r="G94" s="9">
        <f t="shared" ca="1" si="31"/>
        <v>0</v>
      </c>
      <c r="H94" s="9">
        <f t="shared" ca="1" si="31"/>
        <v>0</v>
      </c>
      <c r="I94" s="9">
        <f t="shared" ca="1" si="31"/>
        <v>0</v>
      </c>
      <c r="J94" s="9">
        <f t="shared" ca="1" si="31"/>
        <v>0</v>
      </c>
      <c r="K94" s="9">
        <f t="shared" ca="1" si="31"/>
        <v>0</v>
      </c>
      <c r="L94" s="9">
        <f t="shared" ca="1" si="31"/>
        <v>0</v>
      </c>
      <c r="M94" s="9">
        <f t="shared" ca="1" si="31"/>
        <v>0</v>
      </c>
      <c r="N94" s="9">
        <f ca="1">SUM(N70,N62,N76,N81,N87,N91,N67)</f>
        <v>0</v>
      </c>
      <c r="O94" s="9">
        <f t="shared" ca="1" si="31"/>
        <v>0</v>
      </c>
      <c r="P94" s="510">
        <f t="shared" ca="1" si="23"/>
        <v>0</v>
      </c>
      <c r="Q94" s="9">
        <f t="shared" si="31"/>
        <v>0</v>
      </c>
    </row>
    <row r="97" spans="1:33" x14ac:dyDescent="0.25">
      <c r="A97" s="65" t="str">
        <f>X98&amp;X12</f>
        <v>Työpajalla olleiden valmentautujien sijoittuminen työpajajakson aikana tai sen jälkeen (Kaikki kunnat, Kaikki yksiköt)</v>
      </c>
      <c r="B97" s="531"/>
      <c r="C97" s="65"/>
      <c r="D97" s="65"/>
      <c r="M97" s="177"/>
      <c r="N97" s="177"/>
      <c r="O97" s="177"/>
      <c r="P97" s="513"/>
      <c r="X97" s="85" t="s">
        <v>731</v>
      </c>
    </row>
    <row r="98" spans="1:33" x14ac:dyDescent="0.25">
      <c r="A98" s="988" t="s">
        <v>732</v>
      </c>
      <c r="B98" s="520" t="str">
        <f>TEXT($A$2-365,"VVVV")&amp;"-"</f>
        <v>2025-</v>
      </c>
      <c r="C98" s="976" t="str">
        <f>TEXT($A$2,"vvvv")</f>
        <v>2026</v>
      </c>
      <c r="D98" s="977"/>
      <c r="E98" s="977"/>
      <c r="F98" s="977"/>
      <c r="G98" s="977"/>
      <c r="H98" s="977"/>
      <c r="I98" s="977"/>
      <c r="J98" s="977"/>
      <c r="K98" s="977"/>
      <c r="L98" s="977"/>
      <c r="M98" s="977"/>
      <c r="N98" s="977"/>
      <c r="O98" s="480" t="s">
        <v>11</v>
      </c>
      <c r="P98" s="508" t="s">
        <v>693</v>
      </c>
      <c r="Q98" s="480" t="s">
        <v>4</v>
      </c>
      <c r="X98" s="390" t="s">
        <v>733</v>
      </c>
    </row>
    <row r="99" spans="1:33" x14ac:dyDescent="0.25">
      <c r="A99" s="989"/>
      <c r="B99" s="521" t="s">
        <v>709</v>
      </c>
      <c r="C99" s="455" t="s">
        <v>694</v>
      </c>
      <c r="D99" s="455" t="s">
        <v>695</v>
      </c>
      <c r="E99" s="455" t="s">
        <v>696</v>
      </c>
      <c r="F99" s="455" t="s">
        <v>697</v>
      </c>
      <c r="G99" s="455" t="s">
        <v>698</v>
      </c>
      <c r="H99" s="455" t="s">
        <v>699</v>
      </c>
      <c r="I99" s="455" t="s">
        <v>700</v>
      </c>
      <c r="J99" s="455" t="s">
        <v>701</v>
      </c>
      <c r="K99" s="455" t="s">
        <v>702</v>
      </c>
      <c r="L99" s="455" t="s">
        <v>703</v>
      </c>
      <c r="M99" s="455" t="s">
        <v>704</v>
      </c>
      <c r="N99" s="455" t="s">
        <v>705</v>
      </c>
      <c r="O99" s="481" t="s">
        <v>186</v>
      </c>
      <c r="P99" s="509" t="s">
        <v>706</v>
      </c>
      <c r="Q99" s="481" t="s">
        <v>186</v>
      </c>
    </row>
    <row r="100" spans="1:33" x14ac:dyDescent="0.25">
      <c r="A100" s="458" t="s">
        <v>497</v>
      </c>
      <c r="B100" s="525">
        <f t="shared" ref="B100:B135" ca="1" si="32">IFERROR(Q100-O100,0)</f>
        <v>0</v>
      </c>
      <c r="C100" s="466">
        <f ca="1">SUM(C101)</f>
        <v>0</v>
      </c>
      <c r="D100" s="466">
        <f t="shared" ref="D100:N100" ca="1" si="33">SUM(D101)</f>
        <v>0</v>
      </c>
      <c r="E100" s="466">
        <f t="shared" ca="1" si="33"/>
        <v>0</v>
      </c>
      <c r="F100" s="466">
        <f t="shared" ca="1" si="33"/>
        <v>0</v>
      </c>
      <c r="G100" s="466">
        <f t="shared" ca="1" si="33"/>
        <v>0</v>
      </c>
      <c r="H100" s="466">
        <f t="shared" ca="1" si="33"/>
        <v>0</v>
      </c>
      <c r="I100" s="466">
        <f t="shared" ca="1" si="33"/>
        <v>0</v>
      </c>
      <c r="J100" s="466">
        <f t="shared" ca="1" si="33"/>
        <v>0</v>
      </c>
      <c r="K100" s="466">
        <f t="shared" ca="1" si="33"/>
        <v>0</v>
      </c>
      <c r="L100" s="466">
        <f t="shared" ca="1" si="33"/>
        <v>0</v>
      </c>
      <c r="M100" s="466">
        <f t="shared" ca="1" si="33"/>
        <v>0</v>
      </c>
      <c r="N100" s="466">
        <f t="shared" ca="1" si="33"/>
        <v>0</v>
      </c>
      <c r="O100" s="467">
        <f ca="1">SUM(C100:N100)</f>
        <v>0</v>
      </c>
      <c r="P100" s="511">
        <f t="shared" ref="P100:P135" ca="1" si="34">IFERROR(O100/Q100,0)</f>
        <v>0</v>
      </c>
      <c r="Q100" s="467">
        <f>Q101</f>
        <v>0</v>
      </c>
    </row>
    <row r="101" spans="1:33" x14ac:dyDescent="0.25">
      <c r="A101" s="155" t="s">
        <v>497</v>
      </c>
      <c r="B101" s="527">
        <f ca="1">IFERROR(Q101-O101,0)</f>
        <v>0</v>
      </c>
      <c r="C101" s="463">
        <f ca="1">SUMIFS(AS!$W:$W,AS!$AY:$AY,Trendit!$X101,AS!$AW:$AW,Trendit!$Y$6,AS!$V:$V,$Y$4,AS!$K:$K,$Y$1,AS!BP:BP,$Y$5,AS!CK:CK,$Y$2)</f>
        <v>0</v>
      </c>
      <c r="D101" s="463">
        <f ca="1">SUMIFS(AS!$W:$W,AS!$AY:$AY,Trendit!$X101,AS!$AW:$AW,Trendit!$Y$6,AS!$V:$V,$Y$4,AS!$K:$K,$Y$1,AS!BQ:BQ,$Y$5,AS!CL:CL,$Y$2)</f>
        <v>0</v>
      </c>
      <c r="E101" s="463">
        <f ca="1">SUMIFS(AS!$W:$W,AS!$AY:$AY,Trendit!$X101,AS!$AW:$AW,Trendit!$Y$6,AS!$V:$V,$Y$4,AS!$K:$K,$Y$1,AS!BR:BR,$Y$5,AS!CM:CM,$Y$2)</f>
        <v>0</v>
      </c>
      <c r="F101" s="463">
        <f ca="1">SUMIFS(AS!$W:$W,AS!$AY:$AY,Trendit!$X101,AS!$AW:$AW,Trendit!$Y$6,AS!$V:$V,$Y$4,AS!$K:$K,$Y$1,AS!BS:BS,$Y$5,AS!CN:CN,$Y$2)</f>
        <v>0</v>
      </c>
      <c r="G101" s="463">
        <f ca="1">SUMIFS(AS!$W:$W,AS!$AY:$AY,Trendit!$X101,AS!$AW:$AW,Trendit!$Y$6,AS!$V:$V,$Y$4,AS!$K:$K,$Y$1,AS!BT:BT,$Y$5,AS!CO:CO,$Y$2)</f>
        <v>0</v>
      </c>
      <c r="H101" s="463">
        <f ca="1">SUMIFS(AS!$W:$W,AS!$AY:$AY,Trendit!$X101,AS!$AW:$AW,Trendit!$Y$6,AS!$V:$V,$Y$4,AS!$K:$K,$Y$1,AS!BU:BU,$Y$5,AS!CP:CP,$Y$2)</f>
        <v>0</v>
      </c>
      <c r="I101" s="463">
        <f ca="1">SUMIFS(AS!$W:$W,AS!$AY:$AY,Trendit!$X101,AS!$AW:$AW,Trendit!$Y$6,AS!$V:$V,$Y$4,AS!$K:$K,$Y$1,AS!BV:BV,$Y$5,AS!CQ:CQ,$Y$2)</f>
        <v>0</v>
      </c>
      <c r="J101" s="463">
        <f ca="1">SUMIFS(AS!$W:$W,AS!$AY:$AY,Trendit!$X101,AS!$AW:$AW,Trendit!$Y$6,AS!$V:$V,$Y$4,AS!$K:$K,$Y$1,AS!BW:BW,$Y$5,AS!CR:CR,$Y$2)</f>
        <v>0</v>
      </c>
      <c r="K101" s="463">
        <f ca="1">SUMIFS(AS!$W:$W,AS!$AY:$AY,Trendit!$X101,AS!$AW:$AW,Trendit!$Y$6,AS!$V:$V,$Y$4,AS!$K:$K,$Y$1,AS!BX:BX,$Y$5,AS!CS:CS,$Y$2)</f>
        <v>0</v>
      </c>
      <c r="L101" s="463">
        <f ca="1">SUMIFS(AS!$W:$W,AS!$AY:$AY,Trendit!$X101,AS!$AW:$AW,Trendit!$Y$6,AS!$V:$V,$Y$4,AS!$K:$K,$Y$1,AS!BY:BY,$Y$5,AS!CT:CT,$Y$2)</f>
        <v>0</v>
      </c>
      <c r="M101" s="463">
        <f ca="1">SUMIFS(AS!$W:$W,AS!$AY:$AY,Trendit!$X101,AS!$AW:$AW,Trendit!$Y$6,AS!$V:$V,$Y$4,AS!$K:$K,$Y$1,AS!BZ:BZ,$Y$5,AS!CU:CU,$Y$2)</f>
        <v>0</v>
      </c>
      <c r="N101" s="463">
        <f ca="1">SUMIFS(AS!$W:$W,AS!$AY:$AY,Trendit!$X101,AS!$AW:$AW,Trendit!$Y$6,AS!$V:$V,$Y$4,AS!$K:$K,$Y$1,AS!CA:CA,$Y$5,AS!CV:CV,$Y$2)</f>
        <v>0</v>
      </c>
      <c r="O101" s="445">
        <f t="shared" ref="O101:O134" ca="1" si="35">SUM(C101:N101)</f>
        <v>0</v>
      </c>
      <c r="P101" s="611">
        <f t="shared" ca="1" si="34"/>
        <v>0</v>
      </c>
      <c r="Q101" s="445">
        <f>IF($W$3="12",SUMIFS(AS!$W:$W,AS!$AB:$AB,"OK",AS!$AY:$AY,$X101,AS!$K:$K,$Y$1,AS!$AW:$AW,$Y$6),0)</f>
        <v>0</v>
      </c>
      <c r="X101" t="s">
        <v>498</v>
      </c>
      <c r="Y101" t="s">
        <v>563</v>
      </c>
      <c r="AC101" t="s">
        <v>498</v>
      </c>
    </row>
    <row r="102" spans="1:33" x14ac:dyDescent="0.25">
      <c r="A102" s="458" t="s">
        <v>499</v>
      </c>
      <c r="B102" s="525">
        <f t="shared" ca="1" si="32"/>
        <v>0</v>
      </c>
      <c r="C102" s="466">
        <f t="shared" ref="C102:N102" ca="1" si="36">SUM(C103:C106)</f>
        <v>0</v>
      </c>
      <c r="D102" s="466">
        <f t="shared" ca="1" si="36"/>
        <v>0</v>
      </c>
      <c r="E102" s="466">
        <f t="shared" ca="1" si="36"/>
        <v>0</v>
      </c>
      <c r="F102" s="466">
        <f t="shared" ca="1" si="36"/>
        <v>0</v>
      </c>
      <c r="G102" s="466">
        <f t="shared" ca="1" si="36"/>
        <v>0</v>
      </c>
      <c r="H102" s="466">
        <f t="shared" ca="1" si="36"/>
        <v>0</v>
      </c>
      <c r="I102" s="466">
        <f t="shared" ca="1" si="36"/>
        <v>0</v>
      </c>
      <c r="J102" s="466">
        <f t="shared" ca="1" si="36"/>
        <v>0</v>
      </c>
      <c r="K102" s="466">
        <f t="shared" ca="1" si="36"/>
        <v>0</v>
      </c>
      <c r="L102" s="466">
        <f t="shared" ca="1" si="36"/>
        <v>0</v>
      </c>
      <c r="M102" s="466">
        <f t="shared" ca="1" si="36"/>
        <v>0</v>
      </c>
      <c r="N102" s="466">
        <f t="shared" ca="1" si="36"/>
        <v>0</v>
      </c>
      <c r="O102" s="467">
        <f t="shared" ca="1" si="35"/>
        <v>0</v>
      </c>
      <c r="P102" s="511">
        <f t="shared" ca="1" si="34"/>
        <v>0</v>
      </c>
      <c r="Q102" s="467">
        <f>SUM(Q103:Q106)</f>
        <v>0</v>
      </c>
    </row>
    <row r="103" spans="1:33" x14ac:dyDescent="0.25">
      <c r="A103" s="155" t="s">
        <v>500</v>
      </c>
      <c r="B103" s="527">
        <f t="shared" ca="1" si="32"/>
        <v>0</v>
      </c>
      <c r="C103" s="425">
        <f ca="1">SUMIFS(AS!$W:$W,AS!$AY:$AY,Trendit!$X103,AS!$AW:$AW,Trendit!$Y$6,AS!$V:$V,$Y$4,AS!$K:$K,$Y$1,AS!BP:BP,$Y$5,AS!CK:CK,$Y$2)</f>
        <v>0</v>
      </c>
      <c r="D103" s="425">
        <f ca="1">SUMIFS(AS!$W:$W,AS!$AY:$AY,Trendit!$X103,AS!$AW:$AW,Trendit!$Y$6,AS!$V:$V,$Y$4,AS!$K:$K,$Y$1,AS!BQ:BQ,$Y$5,AS!CL:CL,$Y$2)</f>
        <v>0</v>
      </c>
      <c r="E103" s="425">
        <f ca="1">SUMIFS(AS!$W:$W,AS!$AY:$AY,Trendit!$X103,AS!$AW:$AW,Trendit!$Y$6,AS!$V:$V,$Y$4,AS!$K:$K,$Y$1,AS!BR:BR,$Y$5,AS!CM:CM,$Y$2)</f>
        <v>0</v>
      </c>
      <c r="F103" s="425">
        <f ca="1">SUMIFS(AS!$W:$W,AS!$AY:$AY,Trendit!$X103,AS!$AW:$AW,Trendit!$Y$6,AS!$V:$V,$Y$4,AS!$K:$K,$Y$1,AS!BS:BS,$Y$5,AS!CN:CN,$Y$2)</f>
        <v>0</v>
      </c>
      <c r="G103" s="425">
        <f ca="1">SUMIFS(AS!$W:$W,AS!$AY:$AY,Trendit!$X103,AS!$AW:$AW,Trendit!$Y$6,AS!$V:$V,$Y$4,AS!$K:$K,$Y$1,AS!BT:BT,$Y$5,AS!CO:CO,$Y$2)</f>
        <v>0</v>
      </c>
      <c r="H103" s="425">
        <f ca="1">SUMIFS(AS!$W:$W,AS!$AY:$AY,Trendit!$X103,AS!$AW:$AW,Trendit!$Y$6,AS!$V:$V,$Y$4,AS!$K:$K,$Y$1,AS!BU:BU,$Y$5,AS!CP:CP,$Y$2)</f>
        <v>0</v>
      </c>
      <c r="I103" s="425">
        <f ca="1">SUMIFS(AS!$W:$W,AS!$AY:$AY,Trendit!$X103,AS!$AW:$AW,Trendit!$Y$6,AS!$V:$V,$Y$4,AS!$K:$K,$Y$1,AS!BV:BV,$Y$5,AS!CQ:CQ,$Y$2)</f>
        <v>0</v>
      </c>
      <c r="J103" s="425">
        <f ca="1">SUMIFS(AS!$W:$W,AS!$AY:$AY,Trendit!$X103,AS!$AW:$AW,Trendit!$Y$6,AS!$V:$V,$Y$4,AS!$K:$K,$Y$1,AS!BW:BW,$Y$5,AS!CR:CR,$Y$2)</f>
        <v>0</v>
      </c>
      <c r="K103" s="425">
        <f ca="1">SUMIFS(AS!$W:$W,AS!$AY:$AY,Trendit!$X103,AS!$AW:$AW,Trendit!$Y$6,AS!$V:$V,$Y$4,AS!$K:$K,$Y$1,AS!BX:BX,$Y$5,AS!CS:CS,$Y$2)</f>
        <v>0</v>
      </c>
      <c r="L103" s="425">
        <f ca="1">SUMIFS(AS!$W:$W,AS!$AY:$AY,Trendit!$X103,AS!$AW:$AW,Trendit!$Y$6,AS!$V:$V,$Y$4,AS!$K:$K,$Y$1,AS!BY:BY,$Y$5,AS!CT:CT,$Y$2)</f>
        <v>0</v>
      </c>
      <c r="M103" s="425">
        <f ca="1">SUMIFS(AS!$W:$W,AS!$AY:$AY,Trendit!$X103,AS!$AW:$AW,Trendit!$Y$6,AS!$V:$V,$Y$4,AS!$K:$K,$Y$1,AS!BZ:BZ,$Y$5,AS!CU:CU,$Y$2)</f>
        <v>0</v>
      </c>
      <c r="N103" s="425">
        <f ca="1">SUMIFS(AS!$W:$W,AS!$AY:$AY,Trendit!$X103,AS!$AW:$AW,Trendit!$Y$6,AS!$V:$V,$Y$4,AS!$K:$K,$Y$1,AS!CA:CA,$Y$5,AS!CV:CV,$Y$2)</f>
        <v>0</v>
      </c>
      <c r="O103" s="445">
        <f ca="1">SUM(C103:N103)</f>
        <v>0</v>
      </c>
      <c r="P103" s="611">
        <f ca="1">IFERROR(O103/Q103,0)</f>
        <v>0</v>
      </c>
      <c r="Q103" s="445">
        <f>IF($W$3="12",SUMIFS(AS!$W:$W,AS!$AB:$AB,"OK",AS!$AY:$AY,$X103,AS!$K:$K,$Y$1,AS!$AW:$AW,$Y$6),0)</f>
        <v>0</v>
      </c>
      <c r="X103" t="s">
        <v>501</v>
      </c>
      <c r="Y103" t="s">
        <v>560</v>
      </c>
    </row>
    <row r="104" spans="1:33" x14ac:dyDescent="0.25">
      <c r="A104" s="155" t="s">
        <v>413</v>
      </c>
      <c r="B104" s="527">
        <f t="shared" ca="1" si="32"/>
        <v>0</v>
      </c>
      <c r="C104" s="425">
        <f ca="1">SUMIFS(AS!$W:$W,AS!$AY:$AY,Trendit!$X104,AS!$AW:$AW,Trendit!$Y$6,AS!$V:$V,$Y$4,AS!$K:$K,$Y$1,AS!BP:BP,$Y$5,AS!CK:CK,$Y$2)</f>
        <v>0</v>
      </c>
      <c r="D104" s="425">
        <f ca="1">SUMIFS(AS!$W:$W,AS!$AY:$AY,Trendit!$X104,AS!$AW:$AW,Trendit!$Y$6,AS!$V:$V,$Y$4,AS!$K:$K,$Y$1,AS!BQ:BQ,$Y$5,AS!CL:CL,$Y$2)</f>
        <v>0</v>
      </c>
      <c r="E104" s="425">
        <f ca="1">SUMIFS(AS!$W:$W,AS!$AY:$AY,Trendit!$X104,AS!$AW:$AW,Trendit!$Y$6,AS!$V:$V,$Y$4,AS!$K:$K,$Y$1,AS!BR:BR,$Y$5,AS!CM:CM,$Y$2)</f>
        <v>0</v>
      </c>
      <c r="F104" s="425">
        <f ca="1">SUMIFS(AS!$W:$W,AS!$AY:$AY,Trendit!$X104,AS!$AW:$AW,Trendit!$Y$6,AS!$V:$V,$Y$4,AS!$K:$K,$Y$1,AS!BS:BS,$Y$5,AS!CN:CN,$Y$2)</f>
        <v>0</v>
      </c>
      <c r="G104" s="425">
        <f ca="1">SUMIFS(AS!$W:$W,AS!$AY:$AY,Trendit!$X104,AS!$AW:$AW,Trendit!$Y$6,AS!$V:$V,$Y$4,AS!$K:$K,$Y$1,AS!BT:BT,$Y$5,AS!CO:CO,$Y$2)</f>
        <v>0</v>
      </c>
      <c r="H104" s="425">
        <f ca="1">SUMIFS(AS!$W:$W,AS!$AY:$AY,Trendit!$X104,AS!$AW:$AW,Trendit!$Y$6,AS!$V:$V,$Y$4,AS!$K:$K,$Y$1,AS!BU:BU,$Y$5,AS!CP:CP,$Y$2)</f>
        <v>0</v>
      </c>
      <c r="I104" s="425">
        <f ca="1">SUMIFS(AS!$W:$W,AS!$AY:$AY,Trendit!$X104,AS!$AW:$AW,Trendit!$Y$6,AS!$V:$V,$Y$4,AS!$K:$K,$Y$1,AS!BV:BV,$Y$5,AS!CQ:CQ,$Y$2)</f>
        <v>0</v>
      </c>
      <c r="J104" s="425">
        <f ca="1">SUMIFS(AS!$W:$W,AS!$AY:$AY,Trendit!$X104,AS!$AW:$AW,Trendit!$Y$6,AS!$V:$V,$Y$4,AS!$K:$K,$Y$1,AS!BW:BW,$Y$5,AS!CR:CR,$Y$2)</f>
        <v>0</v>
      </c>
      <c r="K104" s="425">
        <f ca="1">SUMIFS(AS!$W:$W,AS!$AY:$AY,Trendit!$X104,AS!$AW:$AW,Trendit!$Y$6,AS!$V:$V,$Y$4,AS!$K:$K,$Y$1,AS!BX:BX,$Y$5,AS!CS:CS,$Y$2)</f>
        <v>0</v>
      </c>
      <c r="L104" s="425">
        <f ca="1">SUMIFS(AS!$W:$W,AS!$AY:$AY,Trendit!$X104,AS!$AW:$AW,Trendit!$Y$6,AS!$V:$V,$Y$4,AS!$K:$K,$Y$1,AS!BY:BY,$Y$5,AS!CT:CT,$Y$2)</f>
        <v>0</v>
      </c>
      <c r="M104" s="425">
        <f ca="1">SUMIFS(AS!$W:$W,AS!$AY:$AY,Trendit!$X104,AS!$AW:$AW,Trendit!$Y$6,AS!$V:$V,$Y$4,AS!$K:$K,$Y$1,AS!BZ:BZ,$Y$5,AS!CU:CU,$Y$2)</f>
        <v>0</v>
      </c>
      <c r="N104" s="425">
        <f ca="1">SUMIFS(AS!$W:$W,AS!$AY:$AY,Trendit!$X104,AS!$AW:$AW,Trendit!$Y$6,AS!$V:$V,$Y$4,AS!$K:$K,$Y$1,AS!CA:CA,$Y$5,AS!CV:CV,$Y$2)</f>
        <v>0</v>
      </c>
      <c r="O104" s="445">
        <f ca="1">SUM(C104:N104)</f>
        <v>0</v>
      </c>
      <c r="P104" s="611">
        <f ca="1">IFERROR(O104/Q104,0)</f>
        <v>0</v>
      </c>
      <c r="Q104" s="445">
        <f>IF($W$3="12",SUMIFS(AS!$W:$W,AS!$AB:$AB,"OK",AS!$AY:$AY,$X104,AS!$K:$K,$Y$1,AS!$AW:$AW,$Y$6),0)</f>
        <v>0</v>
      </c>
      <c r="X104" t="s">
        <v>504</v>
      </c>
      <c r="AG104" s="228"/>
    </row>
    <row r="105" spans="1:33" x14ac:dyDescent="0.25">
      <c r="A105" s="155" t="s">
        <v>506</v>
      </c>
      <c r="B105" s="527">
        <f ca="1">IFERROR(Q105-O105,0)</f>
        <v>0</v>
      </c>
      <c r="C105" s="425">
        <f ca="1">SUMIFS(AS!$W:$W,AS!$AY:$AY,Trendit!$Y105,AS!$AW:$AW,Trendit!$Y$6,AS!$V:$V,$Y$4,AS!$K:$K,$Y$1,AS!BP:BP,$Y$5,AS!CK:CK,$Y$2)+SUMIFS(AS!$W:$W,AS!$AY:$AY,Trendit!$X105,AS!$AW:$AW,Trendit!$Y$6,AS!$V:$V,$Y$4,AS!$K:$K,$Y$1,AS!BP:BP,$Y$5,AS!CK:CK,$Y$2)</f>
        <v>0</v>
      </c>
      <c r="D105" s="425">
        <f ca="1">SUMIFS(AS!$W:$W,AS!$AY:$AY,Trendit!$Y105,AS!$AW:$AW,Trendit!$Y$6,AS!$V:$V,$Y$4,AS!$K:$K,$Y$1,AS!BQ:BQ,$Y$5,AS!CL:CL,$Y$2)+SUMIFS(AS!$W:$W,AS!$AY:$AY,Trendit!$X105,AS!$AW:$AW,Trendit!$Y$6,AS!$V:$V,$Y$4,AS!$K:$K,$Y$1,AS!BQ:BQ,$Y$5,AS!CL:CL,$Y$2)</f>
        <v>0</v>
      </c>
      <c r="E105" s="425">
        <f ca="1">SUMIFS(AS!$W:$W,AS!$AY:$AY,Trendit!$Y105,AS!$AW:$AW,Trendit!$Y$6,AS!$V:$V,$Y$4,AS!$K:$K,$Y$1,AS!BR:BR,$Y$5,AS!CM:CM,$Y$2)+SUMIFS(AS!$W:$W,AS!$AY:$AY,Trendit!$X105,AS!$AW:$AW,Trendit!$Y$6,AS!$V:$V,$Y$4,AS!$K:$K,$Y$1,AS!BR:BR,$Y$5,AS!CM:CM,$Y$2)</f>
        <v>0</v>
      </c>
      <c r="F105" s="425">
        <f ca="1">SUMIFS(AS!$W:$W,AS!$AY:$AY,Trendit!$Y105,AS!$AW:$AW,Trendit!$Y$6,AS!$V:$V,$Y$4,AS!$K:$K,$Y$1,AS!BS:BS,$Y$5,AS!CN:CN,$Y$2)+SUMIFS(AS!$W:$W,AS!$AY:$AY,Trendit!$X105,AS!$AW:$AW,Trendit!$Y$6,AS!$V:$V,$Y$4,AS!$K:$K,$Y$1,AS!BS:BS,$Y$5,AS!CN:CN,$Y$2)</f>
        <v>0</v>
      </c>
      <c r="G105" s="425">
        <f ca="1">SUMIFS(AS!$W:$W,AS!$AY:$AY,Trendit!$Y105,AS!$AW:$AW,Trendit!$Y$6,AS!$V:$V,$Y$4,AS!$K:$K,$Y$1,AS!BT:BT,$Y$5,AS!CO:CO,$Y$2)+SUMIFS(AS!$W:$W,AS!$AY:$AY,Trendit!$X105,AS!$AW:$AW,Trendit!$Y$6,AS!$V:$V,$Y$4,AS!$K:$K,$Y$1,AS!BT:BT,$Y$5,AS!CO:CO,$Y$2)</f>
        <v>0</v>
      </c>
      <c r="H105" s="425">
        <f ca="1">SUMIFS(AS!$W:$W,AS!$AY:$AY,Trendit!$Y105,AS!$AW:$AW,Trendit!$Y$6,AS!$V:$V,$Y$4,AS!$K:$K,$Y$1,AS!BU:BU,$Y$5,AS!CP:CP,$Y$2)+SUMIFS(AS!$W:$W,AS!$AY:$AY,Trendit!$X105,AS!$AW:$AW,Trendit!$Y$6,AS!$V:$V,$Y$4,AS!$K:$K,$Y$1,AS!BU:BU,$Y$5,AS!CP:CP,$Y$2)</f>
        <v>0</v>
      </c>
      <c r="I105" s="425">
        <f ca="1">SUMIFS(AS!$W:$W,AS!$AY:$AY,Trendit!$Y105,AS!$AW:$AW,Trendit!$Y$6,AS!$V:$V,$Y$4,AS!$K:$K,$Y$1,AS!BV:BV,$Y$5,AS!CQ:CQ,$Y$2)+SUMIFS(AS!$W:$W,AS!$AY:$AY,Trendit!$X105,AS!$AW:$AW,Trendit!$Y$6,AS!$V:$V,$Y$4,AS!$K:$K,$Y$1,AS!BV:BV,$Y$5,AS!CQ:CQ,$Y$2)</f>
        <v>0</v>
      </c>
      <c r="J105" s="425">
        <f ca="1">SUMIFS(AS!$W:$W,AS!$AY:$AY,Trendit!$Y105,AS!$AW:$AW,Trendit!$Y$6,AS!$V:$V,$Y$4,AS!$K:$K,$Y$1,AS!BW:BW,$Y$5,AS!CR:CR,$Y$2)+SUMIFS(AS!$W:$W,AS!$AY:$AY,Trendit!$X105,AS!$AW:$AW,Trendit!$Y$6,AS!$V:$V,$Y$4,AS!$K:$K,$Y$1,AS!BW:BW,$Y$5,AS!CR:CR,$Y$2)</f>
        <v>0</v>
      </c>
      <c r="K105" s="425">
        <f ca="1">SUMIFS(AS!$W:$W,AS!$AY:$AY,Trendit!$Y105,AS!$AW:$AW,Trendit!$Y$6,AS!$V:$V,$Y$4,AS!$K:$K,$Y$1,AS!BX:BX,$Y$5,AS!CS:CS,$Y$2)+SUMIFS(AS!$W:$W,AS!$AY:$AY,Trendit!$X105,AS!$AW:$AW,Trendit!$Y$6,AS!$V:$V,$Y$4,AS!$K:$K,$Y$1,AS!BX:BX,$Y$5,AS!CS:CS,$Y$2)</f>
        <v>0</v>
      </c>
      <c r="L105" s="425">
        <f ca="1">SUMIFS(AS!$W:$W,AS!$AY:$AY,Trendit!$Y105,AS!$AW:$AW,Trendit!$Y$6,AS!$V:$V,$Y$4,AS!$K:$K,$Y$1,AS!BY:BY,$Y$5,AS!CT:CT,$Y$2)+SUMIFS(AS!$W:$W,AS!$AY:$AY,Trendit!$X105,AS!$AW:$AW,Trendit!$Y$6,AS!$V:$V,$Y$4,AS!$K:$K,$Y$1,AS!BY:BY,$Y$5,AS!CT:CT,$Y$2)</f>
        <v>0</v>
      </c>
      <c r="M105" s="425">
        <f ca="1">SUMIFS(AS!$W:$W,AS!$AY:$AY,Trendit!$Y105,AS!$AW:$AW,Trendit!$Y$6,AS!$V:$V,$Y$4,AS!$K:$K,$Y$1,AS!BZ:BZ,$Y$5,AS!CU:CU,$Y$2)+SUMIFS(AS!$W:$W,AS!$AY:$AY,Trendit!$X105,AS!$AW:$AW,Trendit!$Y$6,AS!$V:$V,$Y$4,AS!$K:$K,$Y$1,AS!BZ:BZ,$Y$5,AS!CU:CU,$Y$2)</f>
        <v>0</v>
      </c>
      <c r="N105" s="425">
        <f ca="1">SUMIFS(AS!$W:$W,AS!$AY:$AY,Trendit!$Y105,AS!$AW:$AW,Trendit!$Y$6,AS!$V:$V,$Y$4,AS!$K:$K,$Y$1,AS!CA:CA,$Y$5,AS!CV:CV,$Y$2)+SUMIFS(AS!$W:$W,AS!$AY:$AY,Trendit!$X105,AS!$AW:$AW,Trendit!$Y$6,AS!$V:$V,$Y$4,AS!$K:$K,$Y$1,AS!CA:CA,$Y$5,AS!CV:CV,$Y$2)</f>
        <v>0</v>
      </c>
      <c r="O105" s="445">
        <f ca="1">SUM(C105:N105)</f>
        <v>0</v>
      </c>
      <c r="P105" s="611">
        <f t="shared" ca="1" si="34"/>
        <v>0</v>
      </c>
      <c r="Q105" s="445">
        <f>IF($W$3="12",SUMIFS(AS!$W:$W,AS!$AB:$AB,"OK",AS!$AY:$AY,$Y105,AS!$K:$K,$Y$1,AS!$AW:$AW,$Y$6),0)+IF($W$3="12",SUMIFS(AS!$W:$W,AS!$AB:$AB,"OK",AS!$AY:$AY,$X105,AS!$K:$K,$Y$1,AS!$AW:$AW,$Y$6),0)</f>
        <v>0</v>
      </c>
      <c r="X105" s="86" t="s">
        <v>508</v>
      </c>
      <c r="Y105" s="228" t="s">
        <v>509</v>
      </c>
      <c r="AG105" s="228"/>
    </row>
    <row r="106" spans="1:33" x14ac:dyDescent="0.25">
      <c r="A106" s="155" t="s">
        <v>734</v>
      </c>
      <c r="B106" s="527">
        <f t="shared" ca="1" si="32"/>
        <v>0</v>
      </c>
      <c r="C106" s="425">
        <f ca="1">SUMIFS(AS!$W:$W,AS!$AY:$AY,Trendit!$X106,AS!$AW:$AW,Trendit!$Y$6,AS!$V:$V,$Y$4,AS!$K:$K,$Y$1,AS!BP:BP,$Y$5,AS!CK:CK,$Y$2)</f>
        <v>0</v>
      </c>
      <c r="D106" s="425">
        <f ca="1">SUMIFS(AS!$W:$W,AS!$AY:$AY,Trendit!$X106,AS!$AW:$AW,Trendit!$Y$6,AS!$V:$V,$Y$4,AS!$K:$K,$Y$1,AS!BQ:BQ,$Y$5,AS!CL:CL,$Y$2)</f>
        <v>0</v>
      </c>
      <c r="E106" s="425">
        <f ca="1">SUMIFS(AS!$W:$W,AS!$AY:$AY,Trendit!$X106,AS!$AW:$AW,Trendit!$Y$6,AS!$V:$V,$Y$4,AS!$K:$K,$Y$1,AS!BR:BR,$Y$5,AS!CM:CM,$Y$2)</f>
        <v>0</v>
      </c>
      <c r="F106" s="425">
        <f ca="1">SUMIFS(AS!$W:$W,AS!$AY:$AY,Trendit!$X106,AS!$AW:$AW,Trendit!$Y$6,AS!$V:$V,$Y$4,AS!$K:$K,$Y$1,AS!BS:BS,$Y$5,AS!CN:CN,$Y$2)</f>
        <v>0</v>
      </c>
      <c r="G106" s="425">
        <f ca="1">SUMIFS(AS!$W:$W,AS!$AY:$AY,Trendit!$X106,AS!$AW:$AW,Trendit!$Y$6,AS!$V:$V,$Y$4,AS!$K:$K,$Y$1,AS!BT:BT,$Y$5,AS!CO:CO,$Y$2)</f>
        <v>0</v>
      </c>
      <c r="H106" s="425">
        <f ca="1">SUMIFS(AS!$W:$W,AS!$AY:$AY,Trendit!$X106,AS!$AW:$AW,Trendit!$Y$6,AS!$V:$V,$Y$4,AS!$K:$K,$Y$1,AS!BU:BU,$Y$5,AS!CP:CP,$Y$2)</f>
        <v>0</v>
      </c>
      <c r="I106" s="425">
        <f ca="1">SUMIFS(AS!$W:$W,AS!$AY:$AY,Trendit!$X106,AS!$AW:$AW,Trendit!$Y$6,AS!$V:$V,$Y$4,AS!$K:$K,$Y$1,AS!BV:BV,$Y$5,AS!CQ:CQ,$Y$2)</f>
        <v>0</v>
      </c>
      <c r="J106" s="425">
        <f ca="1">SUMIFS(AS!$W:$W,AS!$AY:$AY,Trendit!$X106,AS!$AW:$AW,Trendit!$Y$6,AS!$V:$V,$Y$4,AS!$K:$K,$Y$1,AS!BW:BW,$Y$5,AS!CR:CR,$Y$2)</f>
        <v>0</v>
      </c>
      <c r="K106" s="425">
        <f ca="1">SUMIFS(AS!$W:$W,AS!$AY:$AY,Trendit!$X106,AS!$AW:$AW,Trendit!$Y$6,AS!$V:$V,$Y$4,AS!$K:$K,$Y$1,AS!BX:BX,$Y$5,AS!CS:CS,$Y$2)</f>
        <v>0</v>
      </c>
      <c r="L106" s="425">
        <f ca="1">SUMIFS(AS!$W:$W,AS!$AY:$AY,Trendit!$X106,AS!$AW:$AW,Trendit!$Y$6,AS!$V:$V,$Y$4,AS!$K:$K,$Y$1,AS!BY:BY,$Y$5,AS!CT:CT,$Y$2)</f>
        <v>0</v>
      </c>
      <c r="M106" s="425">
        <f ca="1">SUMIFS(AS!$W:$W,AS!$AY:$AY,Trendit!$X106,AS!$AW:$AW,Trendit!$Y$6,AS!$V:$V,$Y$4,AS!$K:$K,$Y$1,AS!BZ:BZ,$Y$5,AS!CU:CU,$Y$2)</f>
        <v>0</v>
      </c>
      <c r="N106" s="425">
        <f ca="1">SUMIFS(AS!$W:$W,AS!$AY:$AY,Trendit!$X106,AS!$AW:$AW,Trendit!$Y$6,AS!$V:$V,$Y$4,AS!$K:$K,$Y$1,AS!CA:CA,$Y$5,AS!CV:CV,$Y$2)</f>
        <v>0</v>
      </c>
      <c r="O106" s="445">
        <f ca="1">SUM(C106:N106)</f>
        <v>0</v>
      </c>
      <c r="P106" s="611">
        <f t="shared" ca="1" si="34"/>
        <v>0</v>
      </c>
      <c r="Q106" s="445">
        <f>IF($W$3="12",SUMIFS(AS!$W:$W,AS!$AB:$AB,"OK",AS!$AY:$AY,$X106,AS!$K:$K,$Y$1,AS!$AW:$AW,$Y$6),0)</f>
        <v>0</v>
      </c>
      <c r="X106" s="228" t="s">
        <v>514</v>
      </c>
      <c r="AG106" s="228"/>
    </row>
    <row r="107" spans="1:33" x14ac:dyDescent="0.25">
      <c r="A107" s="458" t="s">
        <v>503</v>
      </c>
      <c r="B107" s="525">
        <f t="shared" ca="1" si="32"/>
        <v>0</v>
      </c>
      <c r="C107" s="466">
        <f t="shared" ref="C107:N107" ca="1" si="37">SUM(C108:C110)</f>
        <v>0</v>
      </c>
      <c r="D107" s="466">
        <f t="shared" ca="1" si="37"/>
        <v>0</v>
      </c>
      <c r="E107" s="466">
        <f t="shared" ca="1" si="37"/>
        <v>0</v>
      </c>
      <c r="F107" s="466">
        <f t="shared" ca="1" si="37"/>
        <v>0</v>
      </c>
      <c r="G107" s="466">
        <f t="shared" ca="1" si="37"/>
        <v>0</v>
      </c>
      <c r="H107" s="466">
        <f t="shared" ca="1" si="37"/>
        <v>0</v>
      </c>
      <c r="I107" s="466">
        <f t="shared" ca="1" si="37"/>
        <v>0</v>
      </c>
      <c r="J107" s="466">
        <f t="shared" ca="1" si="37"/>
        <v>0</v>
      </c>
      <c r="K107" s="466">
        <f t="shared" ca="1" si="37"/>
        <v>0</v>
      </c>
      <c r="L107" s="466">
        <f t="shared" ca="1" si="37"/>
        <v>0</v>
      </c>
      <c r="M107" s="466">
        <f t="shared" ca="1" si="37"/>
        <v>0</v>
      </c>
      <c r="N107" s="466">
        <f t="shared" ca="1" si="37"/>
        <v>0</v>
      </c>
      <c r="O107" s="467">
        <f t="shared" ca="1" si="35"/>
        <v>0</v>
      </c>
      <c r="P107" s="511">
        <f t="shared" ca="1" si="34"/>
        <v>0</v>
      </c>
      <c r="Q107" s="467">
        <f>SUM(Q108:Q110)</f>
        <v>0</v>
      </c>
      <c r="AG107" s="228"/>
    </row>
    <row r="108" spans="1:33" x14ac:dyDescent="0.25">
      <c r="A108" s="155" t="s">
        <v>516</v>
      </c>
      <c r="B108" s="527">
        <f t="shared" ca="1" si="32"/>
        <v>0</v>
      </c>
      <c r="C108" s="464">
        <f ca="1">SUMIFS(AS!$W:$W,AS!$AY:$AY,Trendit!$X108,AS!$AW:$AW,Trendit!$Y$6,AS!$V:$V,$Y$4,AS!$K:$K,$Y$1,AS!BP:BP,$Y$5,AS!CK:CK,$Y$2)</f>
        <v>0</v>
      </c>
      <c r="D108" s="464">
        <f ca="1">SUMIFS(AS!$W:$W,AS!$AY:$AY,Trendit!$X108,AS!$AW:$AW,Trendit!$Y$6,AS!$V:$V,$Y$4,AS!$K:$K,$Y$1,AS!BQ:BQ,$Y$5,AS!CL:CL,$Y$2)</f>
        <v>0</v>
      </c>
      <c r="E108" s="464">
        <f ca="1">SUMIFS(AS!$W:$W,AS!$AY:$AY,Trendit!$X108,AS!$AW:$AW,Trendit!$Y$6,AS!$V:$V,$Y$4,AS!$K:$K,$Y$1,AS!BR:BR,$Y$5,AS!CM:CM,$Y$2)</f>
        <v>0</v>
      </c>
      <c r="F108" s="464">
        <f ca="1">SUMIFS(AS!$W:$W,AS!$AY:$AY,Trendit!$X108,AS!$AW:$AW,Trendit!$Y$6,AS!$V:$V,$Y$4,AS!$K:$K,$Y$1,AS!BS:BS,$Y$5,AS!CN:CN,$Y$2)</f>
        <v>0</v>
      </c>
      <c r="G108" s="464">
        <f ca="1">SUMIFS(AS!$W:$W,AS!$AY:$AY,Trendit!$X108,AS!$AW:$AW,Trendit!$Y$6,AS!$V:$V,$Y$4,AS!$K:$K,$Y$1,AS!BT:BT,$Y$5,AS!CO:CO,$Y$2)</f>
        <v>0</v>
      </c>
      <c r="H108" s="464">
        <f ca="1">SUMIFS(AS!$W:$W,AS!$AY:$AY,Trendit!$X108,AS!$AW:$AW,Trendit!$Y$6,AS!$V:$V,$Y$4,AS!$K:$K,$Y$1,AS!BU:BU,$Y$5,AS!CP:CP,$Y$2)</f>
        <v>0</v>
      </c>
      <c r="I108" s="464">
        <f ca="1">SUMIFS(AS!$W:$W,AS!$AY:$AY,Trendit!$X108,AS!$AW:$AW,Trendit!$Y$6,AS!$V:$V,$Y$4,AS!$K:$K,$Y$1,AS!BV:BV,$Y$5,AS!CQ:CQ,$Y$2)</f>
        <v>0</v>
      </c>
      <c r="J108" s="464">
        <f ca="1">SUMIFS(AS!$W:$W,AS!$AY:$AY,Trendit!$X108,AS!$AW:$AW,Trendit!$Y$6,AS!$V:$V,$Y$4,AS!$K:$K,$Y$1,AS!BW:BW,$Y$5,AS!CR:CR,$Y$2)</f>
        <v>0</v>
      </c>
      <c r="K108" s="464">
        <f ca="1">SUMIFS(AS!$W:$W,AS!$AY:$AY,Trendit!$X108,AS!$AW:$AW,Trendit!$Y$6,AS!$V:$V,$Y$4,AS!$K:$K,$Y$1,AS!BX:BX,$Y$5,AS!CS:CS,$Y$2)</f>
        <v>0</v>
      </c>
      <c r="L108" s="464">
        <f ca="1">SUMIFS(AS!$W:$W,AS!$AY:$AY,Trendit!$X108,AS!$AW:$AW,Trendit!$Y$6,AS!$V:$V,$Y$4,AS!$K:$K,$Y$1,AS!BY:BY,$Y$5,AS!CT:CT,$Y$2)</f>
        <v>0</v>
      </c>
      <c r="M108" s="464">
        <f ca="1">SUMIFS(AS!$W:$W,AS!$AY:$AY,Trendit!$X108,AS!$AW:$AW,Trendit!$Y$6,AS!$V:$V,$Y$4,AS!$K:$K,$Y$1,AS!BZ:BZ,$Y$5,AS!CU:CU,$Y$2)</f>
        <v>0</v>
      </c>
      <c r="N108" s="464">
        <f ca="1">SUMIFS(AS!$W:$W,AS!$AY:$AY,Trendit!$X108,AS!$AW:$AW,Trendit!$Y$6,AS!$V:$V,$Y$4,AS!$K:$K,$Y$1,AS!CA:CA,$Y$5,AS!CV:CV,$Y$2)</f>
        <v>0</v>
      </c>
      <c r="O108" s="445">
        <f t="shared" ca="1" si="35"/>
        <v>0</v>
      </c>
      <c r="P108" s="611">
        <f t="shared" ca="1" si="34"/>
        <v>0</v>
      </c>
      <c r="Q108" s="445">
        <f>IF($W$3="12",SUMIFS(AS!$W:$W,AS!$AB:$AB,"OK",AS!$AY:$AY,$X108,AS!$K:$K,$Y$1,AS!$AW:$AW,$Y$6),0)</f>
        <v>0</v>
      </c>
      <c r="X108" t="s">
        <v>518</v>
      </c>
    </row>
    <row r="109" spans="1:33" x14ac:dyDescent="0.25">
      <c r="A109" s="155" t="s">
        <v>519</v>
      </c>
      <c r="B109" s="527">
        <f ca="1">IFERROR(Q109-O109,0)</f>
        <v>0</v>
      </c>
      <c r="C109" s="425">
        <f ca="1">SUMIFS(AS!$W:$W,AS!$AY:$AY,Trendit!$Y109,AS!$AW:$AW,Trendit!$Y$6,AS!$V:$V,$Y$4,AS!$K:$K,$Y$1,AS!BP:BP,$Y$5,AS!CK:CK,$Y$2)+SUMIFS(AS!$W:$W,AS!$AY:$AY,Trendit!$X109,AS!$AW:$AW,Trendit!$Y$6,AS!$V:$V,$Y$4,AS!$K:$K,$Y$1,AS!BP:BP,$Y$5,AS!CK:CK,$Y$2)</f>
        <v>0</v>
      </c>
      <c r="D109" s="425">
        <f ca="1">SUMIFS(AS!$W:$W,AS!$AY:$AY,Trendit!$Y109,AS!$AW:$AW,Trendit!$Y$6,AS!$V:$V,$Y$4,AS!$K:$K,$Y$1,AS!BQ:BQ,$Y$5,AS!CL:CL,$Y$2)+SUMIFS(AS!$W:$W,AS!$AY:$AY,Trendit!$X109,AS!$AW:$AW,Trendit!$Y$6,AS!$V:$V,$Y$4,AS!$K:$K,$Y$1,AS!BQ:BQ,$Y$5,AS!CL:CL,$Y$2)</f>
        <v>0</v>
      </c>
      <c r="E109" s="425">
        <f ca="1">SUMIFS(AS!$W:$W,AS!$AY:$AY,Trendit!$Y109,AS!$AW:$AW,Trendit!$Y$6,AS!$V:$V,$Y$4,AS!$K:$K,$Y$1,AS!BR:BR,$Y$5,AS!CM:CM,$Y$2)+SUMIFS(AS!$W:$W,AS!$AY:$AY,Trendit!$X109,AS!$AW:$AW,Trendit!$Y$6,AS!$V:$V,$Y$4,AS!$K:$K,$Y$1,AS!BR:BR,$Y$5,AS!CM:CM,$Y$2)</f>
        <v>0</v>
      </c>
      <c r="F109" s="425">
        <f ca="1">SUMIFS(AS!$W:$W,AS!$AY:$AY,Trendit!$Y109,AS!$AW:$AW,Trendit!$Y$6,AS!$V:$V,$Y$4,AS!$K:$K,$Y$1,AS!BS:BS,$Y$5,AS!CN:CN,$Y$2)+SUMIFS(AS!$W:$W,AS!$AY:$AY,Trendit!$X109,AS!$AW:$AW,Trendit!$Y$6,AS!$V:$V,$Y$4,AS!$K:$K,$Y$1,AS!BS:BS,$Y$5,AS!CN:CN,$Y$2)</f>
        <v>0</v>
      </c>
      <c r="G109" s="425">
        <f ca="1">SUMIFS(AS!$W:$W,AS!$AY:$AY,Trendit!$Y109,AS!$AW:$AW,Trendit!$Y$6,AS!$V:$V,$Y$4,AS!$K:$K,$Y$1,AS!BT:BT,$Y$5,AS!CO:CO,$Y$2)+SUMIFS(AS!$W:$W,AS!$AY:$AY,Trendit!$X109,AS!$AW:$AW,Trendit!$Y$6,AS!$V:$V,$Y$4,AS!$K:$K,$Y$1,AS!BT:BT,$Y$5,AS!CO:CO,$Y$2)</f>
        <v>0</v>
      </c>
      <c r="H109" s="425">
        <f ca="1">SUMIFS(AS!$W:$W,AS!$AY:$AY,Trendit!$Y109,AS!$AW:$AW,Trendit!$Y$6,AS!$V:$V,$Y$4,AS!$K:$K,$Y$1,AS!BU:BU,$Y$5,AS!CP:CP,$Y$2)+SUMIFS(AS!$W:$W,AS!$AY:$AY,Trendit!$X109,AS!$AW:$AW,Trendit!$Y$6,AS!$V:$V,$Y$4,AS!$K:$K,$Y$1,AS!BU:BU,$Y$5,AS!CP:CP,$Y$2)</f>
        <v>0</v>
      </c>
      <c r="I109" s="425">
        <f ca="1">SUMIFS(AS!$W:$W,AS!$AY:$AY,Trendit!$Y109,AS!$AW:$AW,Trendit!$Y$6,AS!$V:$V,$Y$4,AS!$K:$K,$Y$1,AS!BV:BV,$Y$5,AS!CQ:CQ,$Y$2)+SUMIFS(AS!$W:$W,AS!$AY:$AY,Trendit!$X109,AS!$AW:$AW,Trendit!$Y$6,AS!$V:$V,$Y$4,AS!$K:$K,$Y$1,AS!BV:BV,$Y$5,AS!CQ:CQ,$Y$2)</f>
        <v>0</v>
      </c>
      <c r="J109" s="425">
        <f ca="1">SUMIFS(AS!$W:$W,AS!$AY:$AY,Trendit!$Y109,AS!$AW:$AW,Trendit!$Y$6,AS!$V:$V,$Y$4,AS!$K:$K,$Y$1,AS!BW:BW,$Y$5,AS!CR:CR,$Y$2)+SUMIFS(AS!$W:$W,AS!$AY:$AY,Trendit!$X109,AS!$AW:$AW,Trendit!$Y$6,AS!$V:$V,$Y$4,AS!$K:$K,$Y$1,AS!BW:BW,$Y$5,AS!CR:CR,$Y$2)</f>
        <v>0</v>
      </c>
      <c r="K109" s="425">
        <f ca="1">SUMIFS(AS!$W:$W,AS!$AY:$AY,Trendit!$Y109,AS!$AW:$AW,Trendit!$Y$6,AS!$V:$V,$Y$4,AS!$K:$K,$Y$1,AS!BX:BX,$Y$5,AS!CS:CS,$Y$2)+SUMIFS(AS!$W:$W,AS!$AY:$AY,Trendit!$X109,AS!$AW:$AW,Trendit!$Y$6,AS!$V:$V,$Y$4,AS!$K:$K,$Y$1,AS!BX:BX,$Y$5,AS!CS:CS,$Y$2)</f>
        <v>0</v>
      </c>
      <c r="L109" s="425">
        <f ca="1">SUMIFS(AS!$W:$W,AS!$AY:$AY,Trendit!$Y109,AS!$AW:$AW,Trendit!$Y$6,AS!$V:$V,$Y$4,AS!$K:$K,$Y$1,AS!BY:BY,$Y$5,AS!CT:CT,$Y$2)+SUMIFS(AS!$W:$W,AS!$AY:$AY,Trendit!$X109,AS!$AW:$AW,Trendit!$Y$6,AS!$V:$V,$Y$4,AS!$K:$K,$Y$1,AS!BY:BY,$Y$5,AS!CT:CT,$Y$2)</f>
        <v>0</v>
      </c>
      <c r="M109" s="425">
        <f ca="1">SUMIFS(AS!$W:$W,AS!$AY:$AY,Trendit!$Y109,AS!$AW:$AW,Trendit!$Y$6,AS!$V:$V,$Y$4,AS!$K:$K,$Y$1,AS!BZ:BZ,$Y$5,AS!CU:CU,$Y$2)+SUMIFS(AS!$W:$W,AS!$AY:$AY,Trendit!$X109,AS!$AW:$AW,Trendit!$Y$6,AS!$V:$V,$Y$4,AS!$K:$K,$Y$1,AS!BZ:BZ,$Y$5,AS!CU:CU,$Y$2)</f>
        <v>0</v>
      </c>
      <c r="N109" s="425">
        <f ca="1">SUMIFS(AS!$W:$W,AS!$AY:$AY,Trendit!$Y109,AS!$AW:$AW,Trendit!$Y$6,AS!$V:$V,$Y$4,AS!$K:$K,$Y$1,AS!CA:CA,$Y$5,AS!CV:CV,$Y$2)+SUMIFS(AS!$W:$W,AS!$AY:$AY,Trendit!$X109,AS!$AW:$AW,Trendit!$Y$6,AS!$V:$V,$Y$4,AS!$K:$K,$Y$1,AS!CA:CA,$Y$5,AS!CV:CV,$Y$2)</f>
        <v>0</v>
      </c>
      <c r="O109" s="445">
        <f ca="1">SUM(C109:N109)</f>
        <v>0</v>
      </c>
      <c r="P109" s="611">
        <f ca="1">IFERROR(O109/Q109,0)</f>
        <v>0</v>
      </c>
      <c r="Q109" s="445">
        <f>IF($W$3="12",SUMIFS(AS!$W:$W,AS!$AB:$AB,"OK",AS!$AY:$AY,$Y109,AS!$K:$K,$Y$1,AS!$AW:$AW,$Y$6),0)+IF($W$3="12",SUMIFS(AS!$W:$W,AS!$AB:$AB,"OK",AS!$AY:$AY,$X109,AS!$K:$K,$Y$1,AS!$AW:$AW,$Y$6),0)</f>
        <v>0</v>
      </c>
      <c r="X109" s="86" t="s">
        <v>520</v>
      </c>
      <c r="Y109" s="228" t="s">
        <v>521</v>
      </c>
    </row>
    <row r="110" spans="1:33" x14ac:dyDescent="0.25">
      <c r="A110" s="155" t="s">
        <v>735</v>
      </c>
      <c r="B110" s="527">
        <f t="shared" ca="1" si="32"/>
        <v>0</v>
      </c>
      <c r="C110" s="425">
        <f ca="1">SUMIFS(AS!$W:$W,AS!$AY:$AY,Trendit!$X110,AS!$AW:$AW,Trendit!$Y$6,AS!$V:$V,$Y$4,AS!$K:$K,$Y$1,AS!BP:BP,$Y$5,AS!CK:CK,$Y$2)</f>
        <v>0</v>
      </c>
      <c r="D110" s="425">
        <f ca="1">SUMIFS(AS!$W:$W,AS!$AY:$AY,Trendit!$X110,AS!$AW:$AW,Trendit!$Y$6,AS!$V:$V,$Y$4,AS!$K:$K,$Y$1,AS!BQ:BQ,$Y$5,AS!CL:CL,$Y$2)</f>
        <v>0</v>
      </c>
      <c r="E110" s="425">
        <f ca="1">SUMIFS(AS!$W:$W,AS!$AY:$AY,Trendit!$X110,AS!$AW:$AW,Trendit!$Y$6,AS!$V:$V,$Y$4,AS!$K:$K,$Y$1,AS!BR:BR,$Y$5,AS!CM:CM,$Y$2)</f>
        <v>0</v>
      </c>
      <c r="F110" s="425">
        <f ca="1">SUMIFS(AS!$W:$W,AS!$AY:$AY,Trendit!$X110,AS!$AW:$AW,Trendit!$Y$6,AS!$V:$V,$Y$4,AS!$K:$K,$Y$1,AS!BS:BS,$Y$5,AS!CN:CN,$Y$2)</f>
        <v>0</v>
      </c>
      <c r="G110" s="425">
        <f ca="1">SUMIFS(AS!$W:$W,AS!$AY:$AY,Trendit!$X110,AS!$AW:$AW,Trendit!$Y$6,AS!$V:$V,$Y$4,AS!$K:$K,$Y$1,AS!BT:BT,$Y$5,AS!CO:CO,$Y$2)</f>
        <v>0</v>
      </c>
      <c r="H110" s="425">
        <f ca="1">SUMIFS(AS!$W:$W,AS!$AY:$AY,Trendit!$X110,AS!$AW:$AW,Trendit!$Y$6,AS!$V:$V,$Y$4,AS!$K:$K,$Y$1,AS!BU:BU,$Y$5,AS!CP:CP,$Y$2)</f>
        <v>0</v>
      </c>
      <c r="I110" s="425">
        <f ca="1">SUMIFS(AS!$W:$W,AS!$AY:$AY,Trendit!$X110,AS!$AW:$AW,Trendit!$Y$6,AS!$V:$V,$Y$4,AS!$K:$K,$Y$1,AS!BV:BV,$Y$5,AS!CQ:CQ,$Y$2)</f>
        <v>0</v>
      </c>
      <c r="J110" s="425">
        <f ca="1">SUMIFS(AS!$W:$W,AS!$AY:$AY,Trendit!$X110,AS!$AW:$AW,Trendit!$Y$6,AS!$V:$V,$Y$4,AS!$K:$K,$Y$1,AS!BW:BW,$Y$5,AS!CR:CR,$Y$2)</f>
        <v>0</v>
      </c>
      <c r="K110" s="425">
        <f ca="1">SUMIFS(AS!$W:$W,AS!$AY:$AY,Trendit!$X110,AS!$AW:$AW,Trendit!$Y$6,AS!$V:$V,$Y$4,AS!$K:$K,$Y$1,AS!BX:BX,$Y$5,AS!CS:CS,$Y$2)</f>
        <v>0</v>
      </c>
      <c r="L110" s="425">
        <f ca="1">SUMIFS(AS!$W:$W,AS!$AY:$AY,Trendit!$X110,AS!$AW:$AW,Trendit!$Y$6,AS!$V:$V,$Y$4,AS!$K:$K,$Y$1,AS!BY:BY,$Y$5,AS!CT:CT,$Y$2)</f>
        <v>0</v>
      </c>
      <c r="M110" s="425">
        <f ca="1">SUMIFS(AS!$W:$W,AS!$AY:$AY,Trendit!$X110,AS!$AW:$AW,Trendit!$Y$6,AS!$V:$V,$Y$4,AS!$K:$K,$Y$1,AS!BZ:BZ,$Y$5,AS!CU:CU,$Y$2)</f>
        <v>0</v>
      </c>
      <c r="N110" s="425">
        <f ca="1">SUMIFS(AS!$W:$W,AS!$AY:$AY,Trendit!$X110,AS!$AW:$AW,Trendit!$Y$6,AS!$V:$V,$Y$4,AS!$K:$K,$Y$1,AS!CA:CA,$Y$5,AS!CV:CV,$Y$2)</f>
        <v>0</v>
      </c>
      <c r="O110" s="445">
        <f t="shared" ca="1" si="35"/>
        <v>0</v>
      </c>
      <c r="P110" s="611">
        <f t="shared" ca="1" si="34"/>
        <v>0</v>
      </c>
      <c r="Q110" s="445">
        <f>IF($W$3="12",SUMIFS(AS!$W:$W,AS!$AB:$AB,"OK",AS!$AY:$AY,$X110,AS!$K:$K,$Y$1,AS!$AW:$AW,$Y$6),0)</f>
        <v>0</v>
      </c>
      <c r="X110" s="228" t="s">
        <v>522</v>
      </c>
    </row>
    <row r="111" spans="1:33" x14ac:dyDescent="0.25">
      <c r="A111" s="458" t="s">
        <v>507</v>
      </c>
      <c r="B111" s="525">
        <f t="shared" ca="1" si="32"/>
        <v>0</v>
      </c>
      <c r="C111" s="466">
        <f t="shared" ref="C111:N111" ca="1" si="38">SUM(C112:C117)</f>
        <v>0</v>
      </c>
      <c r="D111" s="466">
        <f t="shared" ca="1" si="38"/>
        <v>0</v>
      </c>
      <c r="E111" s="466">
        <f t="shared" ca="1" si="38"/>
        <v>0</v>
      </c>
      <c r="F111" s="466">
        <f t="shared" ca="1" si="38"/>
        <v>0</v>
      </c>
      <c r="G111" s="466">
        <f t="shared" ca="1" si="38"/>
        <v>0</v>
      </c>
      <c r="H111" s="466">
        <f t="shared" ca="1" si="38"/>
        <v>0</v>
      </c>
      <c r="I111" s="466">
        <f t="shared" ca="1" si="38"/>
        <v>0</v>
      </c>
      <c r="J111" s="466">
        <f t="shared" ca="1" si="38"/>
        <v>0</v>
      </c>
      <c r="K111" s="466">
        <f t="shared" ca="1" si="38"/>
        <v>0</v>
      </c>
      <c r="L111" s="466">
        <f t="shared" ca="1" si="38"/>
        <v>0</v>
      </c>
      <c r="M111" s="466">
        <f t="shared" ca="1" si="38"/>
        <v>0</v>
      </c>
      <c r="N111" s="466">
        <f t="shared" ca="1" si="38"/>
        <v>0</v>
      </c>
      <c r="O111" s="467">
        <f t="shared" ca="1" si="35"/>
        <v>0</v>
      </c>
      <c r="P111" s="511">
        <f t="shared" ca="1" si="34"/>
        <v>0</v>
      </c>
      <c r="Q111" s="467">
        <f>SUM(Q112:Q117)</f>
        <v>0</v>
      </c>
    </row>
    <row r="112" spans="1:33" x14ac:dyDescent="0.25">
      <c r="A112" s="155" t="s">
        <v>524</v>
      </c>
      <c r="B112" s="527">
        <f t="shared" ca="1" si="32"/>
        <v>0</v>
      </c>
      <c r="C112" s="464">
        <f ca="1">SUMIFS(AS!$W:$W,AS!$AY:$AY,Trendit!$X112,AS!$AW:$AW,Trendit!$Y$6,AS!$V:$V,$Y$4,AS!$K:$K,$Y$1,AS!BP:BP,$Y$5,AS!CK:CK,$Y$2)</f>
        <v>0</v>
      </c>
      <c r="D112" s="464">
        <f ca="1">SUMIFS(AS!$W:$W,AS!$AY:$AY,Trendit!$X112,AS!$AW:$AW,Trendit!$Y$6,AS!$V:$V,$Y$4,AS!$K:$K,$Y$1,AS!BQ:BQ,$Y$5,AS!CL:CL,$Y$2)</f>
        <v>0</v>
      </c>
      <c r="E112" s="464">
        <f ca="1">SUMIFS(AS!$W:$W,AS!$AY:$AY,Trendit!$X112,AS!$AW:$AW,Trendit!$Y$6,AS!$V:$V,$Y$4,AS!$K:$K,$Y$1,AS!BR:BR,$Y$5,AS!CM:CM,$Y$2)</f>
        <v>0</v>
      </c>
      <c r="F112" s="464">
        <f ca="1">SUMIFS(AS!$W:$W,AS!$AY:$AY,Trendit!$X112,AS!$AW:$AW,Trendit!$Y$6,AS!$V:$V,$Y$4,AS!$K:$K,$Y$1,AS!BS:BS,$Y$5,AS!CN:CN,$Y$2)</f>
        <v>0</v>
      </c>
      <c r="G112" s="464">
        <f ca="1">SUMIFS(AS!$W:$W,AS!$AY:$AY,Trendit!$X112,AS!$AW:$AW,Trendit!$Y$6,AS!$V:$V,$Y$4,AS!$K:$K,$Y$1,AS!BT:BT,$Y$5,AS!CO:CO,$Y$2)</f>
        <v>0</v>
      </c>
      <c r="H112" s="464">
        <f ca="1">SUMIFS(AS!$W:$W,AS!$AY:$AY,Trendit!$X112,AS!$AW:$AW,Trendit!$Y$6,AS!$V:$V,$Y$4,AS!$K:$K,$Y$1,AS!BU:BU,$Y$5,AS!CP:CP,$Y$2)</f>
        <v>0</v>
      </c>
      <c r="I112" s="464">
        <f ca="1">SUMIFS(AS!$W:$W,AS!$AY:$AY,Trendit!$X112,AS!$AW:$AW,Trendit!$Y$6,AS!$V:$V,$Y$4,AS!$K:$K,$Y$1,AS!BV:BV,$Y$5,AS!CQ:CQ,$Y$2)</f>
        <v>0</v>
      </c>
      <c r="J112" s="464">
        <f ca="1">SUMIFS(AS!$W:$W,AS!$AY:$AY,Trendit!$X112,AS!$AW:$AW,Trendit!$Y$6,AS!$V:$V,$Y$4,AS!$K:$K,$Y$1,AS!BW:BW,$Y$5,AS!CR:CR,$Y$2)</f>
        <v>0</v>
      </c>
      <c r="K112" s="464">
        <f ca="1">SUMIFS(AS!$W:$W,AS!$AY:$AY,Trendit!$X112,AS!$AW:$AW,Trendit!$Y$6,AS!$V:$V,$Y$4,AS!$K:$K,$Y$1,AS!BX:BX,$Y$5,AS!CS:CS,$Y$2)</f>
        <v>0</v>
      </c>
      <c r="L112" s="464">
        <f ca="1">SUMIFS(AS!$W:$W,AS!$AY:$AY,Trendit!$X112,AS!$AW:$AW,Trendit!$Y$6,AS!$V:$V,$Y$4,AS!$K:$K,$Y$1,AS!BY:BY,$Y$5,AS!CT:CT,$Y$2)</f>
        <v>0</v>
      </c>
      <c r="M112" s="464">
        <f ca="1">SUMIFS(AS!$W:$W,AS!$AY:$AY,Trendit!$X112,AS!$AW:$AW,Trendit!$Y$6,AS!$V:$V,$Y$4,AS!$K:$K,$Y$1,AS!BZ:BZ,$Y$5,AS!CU:CU,$Y$2)</f>
        <v>0</v>
      </c>
      <c r="N112" s="464">
        <f ca="1">SUMIFS(AS!$W:$W,AS!$AY:$AY,Trendit!$X112,AS!$AW:$AW,Trendit!$Y$6,AS!$V:$V,$Y$4,AS!$K:$K,$Y$1,AS!CA:CA,$Y$5,AS!CV:CV,$Y$2)</f>
        <v>0</v>
      </c>
      <c r="O112" s="445">
        <f t="shared" ca="1" si="35"/>
        <v>0</v>
      </c>
      <c r="P112" s="611">
        <f t="shared" ca="1" si="34"/>
        <v>0</v>
      </c>
      <c r="Q112" s="445">
        <f>IF($W$3="12",SUMIFS(AS!$W:$W,AS!$AB:$AB,"OK",AS!$AY:$AY,$X112,AS!$K:$K,$Y$1,AS!$AW:$AW,$Y$6),0)</f>
        <v>0</v>
      </c>
      <c r="X112" t="s">
        <v>525</v>
      </c>
    </row>
    <row r="113" spans="1:24" x14ac:dyDescent="0.25">
      <c r="A113" s="155" t="s">
        <v>453</v>
      </c>
      <c r="B113" s="527">
        <f t="shared" ca="1" si="32"/>
        <v>0</v>
      </c>
      <c r="C113" s="425">
        <f ca="1">SUMIFS(AS!$W:$W,AS!$AY:$AY,Trendit!$X113,AS!$AW:$AW,Trendit!$Y$6,AS!$V:$V,$Y$4,AS!$K:$K,$Y$1,AS!BP:BP,$Y$5,AS!CK:CK,$Y$2)</f>
        <v>0</v>
      </c>
      <c r="D113" s="425">
        <f ca="1">SUMIFS(AS!$W:$W,AS!$AY:$AY,Trendit!$X113,AS!$AW:$AW,Trendit!$Y$6,AS!$V:$V,$Y$4,AS!$K:$K,$Y$1,AS!BQ:BQ,$Y$5,AS!CL:CL,$Y$2)</f>
        <v>0</v>
      </c>
      <c r="E113" s="425">
        <f ca="1">SUMIFS(AS!$W:$W,AS!$AY:$AY,Trendit!$X113,AS!$AW:$AW,Trendit!$Y$6,AS!$V:$V,$Y$4,AS!$K:$K,$Y$1,AS!BR:BR,$Y$5,AS!CM:CM,$Y$2)</f>
        <v>0</v>
      </c>
      <c r="F113" s="425">
        <f ca="1">SUMIFS(AS!$W:$W,AS!$AY:$AY,Trendit!$X113,AS!$AW:$AW,Trendit!$Y$6,AS!$V:$V,$Y$4,AS!$K:$K,$Y$1,AS!BS:BS,$Y$5,AS!CN:CN,$Y$2)</f>
        <v>0</v>
      </c>
      <c r="G113" s="425">
        <f ca="1">SUMIFS(AS!$W:$W,AS!$AY:$AY,Trendit!$X113,AS!$AW:$AW,Trendit!$Y$6,AS!$V:$V,$Y$4,AS!$K:$K,$Y$1,AS!BT:BT,$Y$5,AS!CO:CO,$Y$2)</f>
        <v>0</v>
      </c>
      <c r="H113" s="425">
        <f ca="1">SUMIFS(AS!$W:$W,AS!$AY:$AY,Trendit!$X113,AS!$AW:$AW,Trendit!$Y$6,AS!$V:$V,$Y$4,AS!$K:$K,$Y$1,AS!BU:BU,$Y$5,AS!CP:CP,$Y$2)</f>
        <v>0</v>
      </c>
      <c r="I113" s="425">
        <f ca="1">SUMIFS(AS!$W:$W,AS!$AY:$AY,Trendit!$X113,AS!$AW:$AW,Trendit!$Y$6,AS!$V:$V,$Y$4,AS!$K:$K,$Y$1,AS!BV:BV,$Y$5,AS!CQ:CQ,$Y$2)</f>
        <v>0</v>
      </c>
      <c r="J113" s="425">
        <f ca="1">SUMIFS(AS!$W:$W,AS!$AY:$AY,Trendit!$X113,AS!$AW:$AW,Trendit!$Y$6,AS!$V:$V,$Y$4,AS!$K:$K,$Y$1,AS!BW:BW,$Y$5,AS!CR:CR,$Y$2)</f>
        <v>0</v>
      </c>
      <c r="K113" s="425">
        <f ca="1">SUMIFS(AS!$W:$W,AS!$AY:$AY,Trendit!$X113,AS!$AW:$AW,Trendit!$Y$6,AS!$V:$V,$Y$4,AS!$K:$K,$Y$1,AS!BX:BX,$Y$5,AS!CS:CS,$Y$2)</f>
        <v>0</v>
      </c>
      <c r="L113" s="425">
        <f ca="1">SUMIFS(AS!$W:$W,AS!$AY:$AY,Trendit!$X113,AS!$AW:$AW,Trendit!$Y$6,AS!$V:$V,$Y$4,AS!$K:$K,$Y$1,AS!BY:BY,$Y$5,AS!CT:CT,$Y$2)</f>
        <v>0</v>
      </c>
      <c r="M113" s="425">
        <f ca="1">SUMIFS(AS!$W:$W,AS!$AY:$AY,Trendit!$X113,AS!$AW:$AW,Trendit!$Y$6,AS!$V:$V,$Y$4,AS!$K:$K,$Y$1,AS!BZ:BZ,$Y$5,AS!CU:CU,$Y$2)</f>
        <v>0</v>
      </c>
      <c r="N113" s="425">
        <f ca="1">SUMIFS(AS!$W:$W,AS!$AY:$AY,Trendit!$X113,AS!$AW:$AW,Trendit!$Y$6,AS!$V:$V,$Y$4,AS!$K:$K,$Y$1,AS!CA:CA,$Y$5,AS!CV:CV,$Y$2)</f>
        <v>0</v>
      </c>
      <c r="O113" s="445">
        <f t="shared" ca="1" si="35"/>
        <v>0</v>
      </c>
      <c r="P113" s="611">
        <f t="shared" ca="1" si="34"/>
        <v>0</v>
      </c>
      <c r="Q113" s="445">
        <f>IF($W$3="12",SUMIFS(AS!$W:$W,AS!$AB:$AB,"OK",AS!$AY:$AY,$X113,AS!$K:$K,$Y$1,AS!$AW:$AW,$Y$6),0)</f>
        <v>0</v>
      </c>
      <c r="X113" t="s">
        <v>526</v>
      </c>
    </row>
    <row r="114" spans="1:24" x14ac:dyDescent="0.25">
      <c r="A114" s="155" t="s">
        <v>527</v>
      </c>
      <c r="B114" s="527">
        <f t="shared" ca="1" si="32"/>
        <v>0</v>
      </c>
      <c r="C114" s="425">
        <f ca="1">SUMIFS(AS!$W:$W,AS!$AY:$AY,Trendit!$X114,AS!$AW:$AW,Trendit!$Y$6,AS!$V:$V,$Y$4,AS!$K:$K,$Y$1,AS!BP:BP,$Y$5,AS!CK:CK,$Y$2)</f>
        <v>0</v>
      </c>
      <c r="D114" s="425">
        <f ca="1">SUMIFS(AS!$W:$W,AS!$AY:$AY,Trendit!$X114,AS!$AW:$AW,Trendit!$Y$6,AS!$V:$V,$Y$4,AS!$K:$K,$Y$1,AS!BQ:BQ,$Y$5,AS!CL:CL,$Y$2)</f>
        <v>0</v>
      </c>
      <c r="E114" s="425">
        <f ca="1">SUMIFS(AS!$W:$W,AS!$AY:$AY,Trendit!$X114,AS!$AW:$AW,Trendit!$Y$6,AS!$V:$V,$Y$4,AS!$K:$K,$Y$1,AS!BR:BR,$Y$5,AS!CM:CM,$Y$2)</f>
        <v>0</v>
      </c>
      <c r="F114" s="425">
        <f ca="1">SUMIFS(AS!$W:$W,AS!$AY:$AY,Trendit!$X114,AS!$AW:$AW,Trendit!$Y$6,AS!$V:$V,$Y$4,AS!$K:$K,$Y$1,AS!BS:BS,$Y$5,AS!CN:CN,$Y$2)</f>
        <v>0</v>
      </c>
      <c r="G114" s="425">
        <f ca="1">SUMIFS(AS!$W:$W,AS!$AY:$AY,Trendit!$X114,AS!$AW:$AW,Trendit!$Y$6,AS!$V:$V,$Y$4,AS!$K:$K,$Y$1,AS!BT:BT,$Y$5,AS!CO:CO,$Y$2)</f>
        <v>0</v>
      </c>
      <c r="H114" s="425">
        <f ca="1">SUMIFS(AS!$W:$W,AS!$AY:$AY,Trendit!$X114,AS!$AW:$AW,Trendit!$Y$6,AS!$V:$V,$Y$4,AS!$K:$K,$Y$1,AS!BU:BU,$Y$5,AS!CP:CP,$Y$2)</f>
        <v>0</v>
      </c>
      <c r="I114" s="425">
        <f ca="1">SUMIFS(AS!$W:$W,AS!$AY:$AY,Trendit!$X114,AS!$AW:$AW,Trendit!$Y$6,AS!$V:$V,$Y$4,AS!$K:$K,$Y$1,AS!BV:BV,$Y$5,AS!CQ:CQ,$Y$2)</f>
        <v>0</v>
      </c>
      <c r="J114" s="425">
        <f ca="1">SUMIFS(AS!$W:$W,AS!$AY:$AY,Trendit!$X114,AS!$AW:$AW,Trendit!$Y$6,AS!$V:$V,$Y$4,AS!$K:$K,$Y$1,AS!BW:BW,$Y$5,AS!CR:CR,$Y$2)</f>
        <v>0</v>
      </c>
      <c r="K114" s="425">
        <f ca="1">SUMIFS(AS!$W:$W,AS!$AY:$AY,Trendit!$X114,AS!$AW:$AW,Trendit!$Y$6,AS!$V:$V,$Y$4,AS!$K:$K,$Y$1,AS!BX:BX,$Y$5,AS!CS:CS,$Y$2)</f>
        <v>0</v>
      </c>
      <c r="L114" s="425">
        <f ca="1">SUMIFS(AS!$W:$W,AS!$AY:$AY,Trendit!$X114,AS!$AW:$AW,Trendit!$Y$6,AS!$V:$V,$Y$4,AS!$K:$K,$Y$1,AS!BY:BY,$Y$5,AS!CT:CT,$Y$2)</f>
        <v>0</v>
      </c>
      <c r="M114" s="425">
        <f ca="1">SUMIFS(AS!$W:$W,AS!$AY:$AY,Trendit!$X114,AS!$AW:$AW,Trendit!$Y$6,AS!$V:$V,$Y$4,AS!$K:$K,$Y$1,AS!BZ:BZ,$Y$5,AS!CU:CU,$Y$2)</f>
        <v>0</v>
      </c>
      <c r="N114" s="425">
        <f ca="1">SUMIFS(AS!$W:$W,AS!$AY:$AY,Trendit!$X114,AS!$AW:$AW,Trendit!$Y$6,AS!$V:$V,$Y$4,AS!$K:$K,$Y$1,AS!CA:CA,$Y$5,AS!CV:CV,$Y$2)</f>
        <v>0</v>
      </c>
      <c r="O114" s="445">
        <f t="shared" ca="1" si="35"/>
        <v>0</v>
      </c>
      <c r="P114" s="611">
        <f t="shared" ca="1" si="34"/>
        <v>0</v>
      </c>
      <c r="Q114" s="445">
        <f>IF($W$3="12",SUMIFS(AS!$W:$W,AS!$AB:$AB,"OK",AS!$AY:$AY,$X114,AS!$K:$K,$Y$1,AS!$AW:$AW,$Y$6),0)</f>
        <v>0</v>
      </c>
      <c r="X114" t="s">
        <v>528</v>
      </c>
    </row>
    <row r="115" spans="1:24" x14ac:dyDescent="0.25">
      <c r="A115" s="155" t="s">
        <v>281</v>
      </c>
      <c r="B115" s="527">
        <f t="shared" ca="1" si="32"/>
        <v>0</v>
      </c>
      <c r="C115" s="425">
        <f ca="1">SUMIFS(AS!$W:$W,AS!$AY:$AY,Trendit!$X115,AS!$AW:$AW,Trendit!$Y$6,AS!$V:$V,$Y$4,AS!$K:$K,$Y$1,AS!BP:BP,$Y$5,AS!CK:CK,$Y$2)</f>
        <v>0</v>
      </c>
      <c r="D115" s="425">
        <f ca="1">SUMIFS(AS!$W:$W,AS!$AY:$AY,Trendit!$X115,AS!$AW:$AW,Trendit!$Y$6,AS!$V:$V,$Y$4,AS!$K:$K,$Y$1,AS!BQ:BQ,$Y$5,AS!CL:CL,$Y$2)</f>
        <v>0</v>
      </c>
      <c r="E115" s="425">
        <f ca="1">SUMIFS(AS!$W:$W,AS!$AY:$AY,Trendit!$X115,AS!$AW:$AW,Trendit!$Y$6,AS!$V:$V,$Y$4,AS!$K:$K,$Y$1,AS!BR:BR,$Y$5,AS!CM:CM,$Y$2)</f>
        <v>0</v>
      </c>
      <c r="F115" s="425">
        <f ca="1">SUMIFS(AS!$W:$W,AS!$AY:$AY,Trendit!$X115,AS!$AW:$AW,Trendit!$Y$6,AS!$V:$V,$Y$4,AS!$K:$K,$Y$1,AS!BS:BS,$Y$5,AS!CN:CN,$Y$2)</f>
        <v>0</v>
      </c>
      <c r="G115" s="425">
        <f ca="1">SUMIFS(AS!$W:$W,AS!$AY:$AY,Trendit!$X115,AS!$AW:$AW,Trendit!$Y$6,AS!$V:$V,$Y$4,AS!$K:$K,$Y$1,AS!BT:BT,$Y$5,AS!CO:CO,$Y$2)</f>
        <v>0</v>
      </c>
      <c r="H115" s="425">
        <f ca="1">SUMIFS(AS!$W:$W,AS!$AY:$AY,Trendit!$X115,AS!$AW:$AW,Trendit!$Y$6,AS!$V:$V,$Y$4,AS!$K:$K,$Y$1,AS!BU:BU,$Y$5,AS!CP:CP,$Y$2)</f>
        <v>0</v>
      </c>
      <c r="I115" s="425">
        <f ca="1">SUMIFS(AS!$W:$W,AS!$AY:$AY,Trendit!$X115,AS!$AW:$AW,Trendit!$Y$6,AS!$V:$V,$Y$4,AS!$K:$K,$Y$1,AS!BV:BV,$Y$5,AS!CQ:CQ,$Y$2)</f>
        <v>0</v>
      </c>
      <c r="J115" s="425">
        <f ca="1">SUMIFS(AS!$W:$W,AS!$AY:$AY,Trendit!$X115,AS!$AW:$AW,Trendit!$Y$6,AS!$V:$V,$Y$4,AS!$K:$K,$Y$1,AS!BW:BW,$Y$5,AS!CR:CR,$Y$2)</f>
        <v>0</v>
      </c>
      <c r="K115" s="425">
        <f ca="1">SUMIFS(AS!$W:$W,AS!$AY:$AY,Trendit!$X115,AS!$AW:$AW,Trendit!$Y$6,AS!$V:$V,$Y$4,AS!$K:$K,$Y$1,AS!BX:BX,$Y$5,AS!CS:CS,$Y$2)</f>
        <v>0</v>
      </c>
      <c r="L115" s="425">
        <f ca="1">SUMIFS(AS!$W:$W,AS!$AY:$AY,Trendit!$X115,AS!$AW:$AW,Trendit!$Y$6,AS!$V:$V,$Y$4,AS!$K:$K,$Y$1,AS!BY:BY,$Y$5,AS!CT:CT,$Y$2)</f>
        <v>0</v>
      </c>
      <c r="M115" s="425">
        <f ca="1">SUMIFS(AS!$W:$W,AS!$AY:$AY,Trendit!$X115,AS!$AW:$AW,Trendit!$Y$6,AS!$V:$V,$Y$4,AS!$K:$K,$Y$1,AS!BZ:BZ,$Y$5,AS!CU:CU,$Y$2)</f>
        <v>0</v>
      </c>
      <c r="N115" s="425">
        <f ca="1">SUMIFS(AS!$W:$W,AS!$AY:$AY,Trendit!$X115,AS!$AW:$AW,Trendit!$Y$6,AS!$V:$V,$Y$4,AS!$K:$K,$Y$1,AS!CA:CA,$Y$5,AS!CV:CV,$Y$2)</f>
        <v>0</v>
      </c>
      <c r="O115" s="445">
        <f t="shared" ca="1" si="35"/>
        <v>0</v>
      </c>
      <c r="P115" s="611">
        <f t="shared" ca="1" si="34"/>
        <v>0</v>
      </c>
      <c r="Q115" s="445">
        <f>IF($W$3="12",SUMIFS(AS!$W:$W,AS!$AB:$AB,"OK",AS!$AY:$AY,$X115,AS!$K:$K,$Y$1,AS!$AW:$AW,$Y$6),0)</f>
        <v>0</v>
      </c>
      <c r="X115" t="s">
        <v>531</v>
      </c>
    </row>
    <row r="116" spans="1:24" x14ac:dyDescent="0.25">
      <c r="A116" s="155" t="s">
        <v>532</v>
      </c>
      <c r="B116" s="527">
        <f t="shared" ca="1" si="32"/>
        <v>0</v>
      </c>
      <c r="C116" s="425">
        <f ca="1">SUMIFS(AS!$W:$W,AS!$AY:$AY,Trendit!$X116,AS!$AW:$AW,Trendit!$Y$6,AS!$V:$V,$Y$4,AS!$K:$K,$Y$1,AS!BP:BP,$Y$5,AS!CK:CK,$Y$2)</f>
        <v>0</v>
      </c>
      <c r="D116" s="425">
        <f ca="1">SUMIFS(AS!$W:$W,AS!$AY:$AY,Trendit!$X116,AS!$AW:$AW,Trendit!$Y$6,AS!$V:$V,$Y$4,AS!$K:$K,$Y$1,AS!BQ:BQ,$Y$5,AS!CL:CL,$Y$2)</f>
        <v>0</v>
      </c>
      <c r="E116" s="425">
        <f ca="1">SUMIFS(AS!$W:$W,AS!$AY:$AY,Trendit!$X116,AS!$AW:$AW,Trendit!$Y$6,AS!$V:$V,$Y$4,AS!$K:$K,$Y$1,AS!BR:BR,$Y$5,AS!CM:CM,$Y$2)</f>
        <v>0</v>
      </c>
      <c r="F116" s="425">
        <f ca="1">SUMIFS(AS!$W:$W,AS!$AY:$AY,Trendit!$X116,AS!$AW:$AW,Trendit!$Y$6,AS!$V:$V,$Y$4,AS!$K:$K,$Y$1,AS!BS:BS,$Y$5,AS!CN:CN,$Y$2)</f>
        <v>0</v>
      </c>
      <c r="G116" s="425">
        <f ca="1">SUMIFS(AS!$W:$W,AS!$AY:$AY,Trendit!$X116,AS!$AW:$AW,Trendit!$Y$6,AS!$V:$V,$Y$4,AS!$K:$K,$Y$1,AS!BT:BT,$Y$5,AS!CO:CO,$Y$2)</f>
        <v>0</v>
      </c>
      <c r="H116" s="425">
        <f ca="1">SUMIFS(AS!$W:$W,AS!$AY:$AY,Trendit!$X116,AS!$AW:$AW,Trendit!$Y$6,AS!$V:$V,$Y$4,AS!$K:$K,$Y$1,AS!BU:BU,$Y$5,AS!CP:CP,$Y$2)</f>
        <v>0</v>
      </c>
      <c r="I116" s="425">
        <f ca="1">SUMIFS(AS!$W:$W,AS!$AY:$AY,Trendit!$X116,AS!$AW:$AW,Trendit!$Y$6,AS!$V:$V,$Y$4,AS!$K:$K,$Y$1,AS!BV:BV,$Y$5,AS!CQ:CQ,$Y$2)</f>
        <v>0</v>
      </c>
      <c r="J116" s="425">
        <f ca="1">SUMIFS(AS!$W:$W,AS!$AY:$AY,Trendit!$X116,AS!$AW:$AW,Trendit!$Y$6,AS!$V:$V,$Y$4,AS!$K:$K,$Y$1,AS!BW:BW,$Y$5,AS!CR:CR,$Y$2)</f>
        <v>0</v>
      </c>
      <c r="K116" s="425">
        <f ca="1">SUMIFS(AS!$W:$W,AS!$AY:$AY,Trendit!$X116,AS!$AW:$AW,Trendit!$Y$6,AS!$V:$V,$Y$4,AS!$K:$K,$Y$1,AS!BX:BX,$Y$5,AS!CS:CS,$Y$2)</f>
        <v>0</v>
      </c>
      <c r="L116" s="425">
        <f ca="1">SUMIFS(AS!$W:$W,AS!$AY:$AY,Trendit!$X116,AS!$AW:$AW,Trendit!$Y$6,AS!$V:$V,$Y$4,AS!$K:$K,$Y$1,AS!BY:BY,$Y$5,AS!CT:CT,$Y$2)</f>
        <v>0</v>
      </c>
      <c r="M116" s="425">
        <f ca="1">SUMIFS(AS!$W:$W,AS!$AY:$AY,Trendit!$X116,AS!$AW:$AW,Trendit!$Y$6,AS!$V:$V,$Y$4,AS!$K:$K,$Y$1,AS!BZ:BZ,$Y$5,AS!CU:CU,$Y$2)</f>
        <v>0</v>
      </c>
      <c r="N116" s="425">
        <f ca="1">SUMIFS(AS!$W:$W,AS!$AY:$AY,Trendit!$X116,AS!$AW:$AW,Trendit!$Y$6,AS!$V:$V,$Y$4,AS!$K:$K,$Y$1,AS!CA:CA,$Y$5,AS!CV:CV,$Y$2)</f>
        <v>0</v>
      </c>
      <c r="O116" s="445">
        <f t="shared" ca="1" si="35"/>
        <v>0</v>
      </c>
      <c r="P116" s="611">
        <f t="shared" ca="1" si="34"/>
        <v>0</v>
      </c>
      <c r="Q116" s="445">
        <f>IF($W$3="12",SUMIFS(AS!$W:$W,AS!$AB:$AB,"OK",AS!$AY:$AY,$X116,AS!$K:$K,$Y$1,AS!$AW:$AW,$Y$6),0)</f>
        <v>0</v>
      </c>
      <c r="X116" t="s">
        <v>533</v>
      </c>
    </row>
    <row r="117" spans="1:24" x14ac:dyDescent="0.25">
      <c r="A117" s="155" t="s">
        <v>507</v>
      </c>
      <c r="B117" s="527">
        <f t="shared" ca="1" si="32"/>
        <v>0</v>
      </c>
      <c r="C117" s="425">
        <f ca="1">SUMIFS(AS!$W:$W,AS!$AY:$AY,Trendit!$X117,AS!$AW:$AW,Trendit!$Y$6,AS!$V:$V,$Y$4,AS!$K:$K,$Y$1,AS!BP:BP,$Y$5,AS!CK:CK,$Y$2)</f>
        <v>0</v>
      </c>
      <c r="D117" s="425">
        <f ca="1">SUMIFS(AS!$W:$W,AS!$AY:$AY,Trendit!$X117,AS!$AW:$AW,Trendit!$Y$6,AS!$V:$V,$Y$4,AS!$K:$K,$Y$1,AS!BQ:BQ,$Y$5,AS!CL:CL,$Y$2)</f>
        <v>0</v>
      </c>
      <c r="E117" s="425">
        <f ca="1">SUMIFS(AS!$W:$W,AS!$AY:$AY,Trendit!$X117,AS!$AW:$AW,Trendit!$Y$6,AS!$V:$V,$Y$4,AS!$K:$K,$Y$1,AS!BR:BR,$Y$5,AS!CM:CM,$Y$2)</f>
        <v>0</v>
      </c>
      <c r="F117" s="425">
        <f ca="1">SUMIFS(AS!$W:$W,AS!$AY:$AY,Trendit!$X117,AS!$AW:$AW,Trendit!$Y$6,AS!$V:$V,$Y$4,AS!$K:$K,$Y$1,AS!BS:BS,$Y$5,AS!CN:CN,$Y$2)</f>
        <v>0</v>
      </c>
      <c r="G117" s="425">
        <f ca="1">SUMIFS(AS!$W:$W,AS!$AY:$AY,Trendit!$X117,AS!$AW:$AW,Trendit!$Y$6,AS!$V:$V,$Y$4,AS!$K:$K,$Y$1,AS!BT:BT,$Y$5,AS!CO:CO,$Y$2)</f>
        <v>0</v>
      </c>
      <c r="H117" s="425">
        <f ca="1">SUMIFS(AS!$W:$W,AS!$AY:$AY,Trendit!$X117,AS!$AW:$AW,Trendit!$Y$6,AS!$V:$V,$Y$4,AS!$K:$K,$Y$1,AS!BU:BU,$Y$5,AS!CP:CP,$Y$2)</f>
        <v>0</v>
      </c>
      <c r="I117" s="425">
        <f ca="1">SUMIFS(AS!$W:$W,AS!$AY:$AY,Trendit!$X117,AS!$AW:$AW,Trendit!$Y$6,AS!$V:$V,$Y$4,AS!$K:$K,$Y$1,AS!BV:BV,$Y$5,AS!CQ:CQ,$Y$2)</f>
        <v>0</v>
      </c>
      <c r="J117" s="425">
        <f ca="1">SUMIFS(AS!$W:$W,AS!$AY:$AY,Trendit!$X117,AS!$AW:$AW,Trendit!$Y$6,AS!$V:$V,$Y$4,AS!$K:$K,$Y$1,AS!BW:BW,$Y$5,AS!CR:CR,$Y$2)</f>
        <v>0</v>
      </c>
      <c r="K117" s="425">
        <f ca="1">SUMIFS(AS!$W:$W,AS!$AY:$AY,Trendit!$X117,AS!$AW:$AW,Trendit!$Y$6,AS!$V:$V,$Y$4,AS!$K:$K,$Y$1,AS!BX:BX,$Y$5,AS!CS:CS,$Y$2)</f>
        <v>0</v>
      </c>
      <c r="L117" s="425">
        <f ca="1">SUMIFS(AS!$W:$W,AS!$AY:$AY,Trendit!$X117,AS!$AW:$AW,Trendit!$Y$6,AS!$V:$V,$Y$4,AS!$K:$K,$Y$1,AS!BY:BY,$Y$5,AS!CT:CT,$Y$2)</f>
        <v>0</v>
      </c>
      <c r="M117" s="425">
        <f ca="1">SUMIFS(AS!$W:$W,AS!$AY:$AY,Trendit!$X117,AS!$AW:$AW,Trendit!$Y$6,AS!$V:$V,$Y$4,AS!$K:$K,$Y$1,AS!BZ:BZ,$Y$5,AS!CU:CU,$Y$2)</f>
        <v>0</v>
      </c>
      <c r="N117" s="425">
        <f ca="1">SUMIFS(AS!$W:$W,AS!$AY:$AY,Trendit!$X117,AS!$AW:$AW,Trendit!$Y$6,AS!$V:$V,$Y$4,AS!$K:$K,$Y$1,AS!CA:CA,$Y$5,AS!CV:CV,$Y$2)</f>
        <v>0</v>
      </c>
      <c r="O117" s="445">
        <f t="shared" ca="1" si="35"/>
        <v>0</v>
      </c>
      <c r="P117" s="611">
        <f t="shared" ca="1" si="34"/>
        <v>0</v>
      </c>
      <c r="Q117" s="445">
        <f>IF($W$3="12",SUMIFS(AS!$W:$W,AS!$AB:$AB,"OK",AS!$AY:$AY,$X117,AS!$K:$K,$Y$1,AS!$AW:$AW,$Y$6),0)</f>
        <v>0</v>
      </c>
      <c r="X117" t="s">
        <v>534</v>
      </c>
    </row>
    <row r="118" spans="1:24" x14ac:dyDescent="0.25">
      <c r="A118" s="458" t="s">
        <v>511</v>
      </c>
      <c r="B118" s="525">
        <f t="shared" ca="1" si="32"/>
        <v>0</v>
      </c>
      <c r="C118" s="466">
        <f t="shared" ref="C118:N118" ca="1" si="39">SUM(C119:C124)</f>
        <v>0</v>
      </c>
      <c r="D118" s="466">
        <f t="shared" ca="1" si="39"/>
        <v>0</v>
      </c>
      <c r="E118" s="466">
        <f t="shared" ca="1" si="39"/>
        <v>0</v>
      </c>
      <c r="F118" s="466">
        <f t="shared" ca="1" si="39"/>
        <v>0</v>
      </c>
      <c r="G118" s="466">
        <f t="shared" ca="1" si="39"/>
        <v>0</v>
      </c>
      <c r="H118" s="466">
        <f t="shared" ca="1" si="39"/>
        <v>0</v>
      </c>
      <c r="I118" s="466">
        <f t="shared" ca="1" si="39"/>
        <v>0</v>
      </c>
      <c r="J118" s="466">
        <f t="shared" ca="1" si="39"/>
        <v>0</v>
      </c>
      <c r="K118" s="466">
        <f t="shared" ca="1" si="39"/>
        <v>0</v>
      </c>
      <c r="L118" s="466">
        <f t="shared" ca="1" si="39"/>
        <v>0</v>
      </c>
      <c r="M118" s="466">
        <f t="shared" ca="1" si="39"/>
        <v>0</v>
      </c>
      <c r="N118" s="466">
        <f t="shared" ca="1" si="39"/>
        <v>0</v>
      </c>
      <c r="O118" s="467">
        <f t="shared" ca="1" si="35"/>
        <v>0</v>
      </c>
      <c r="P118" s="511">
        <f t="shared" ca="1" si="34"/>
        <v>0</v>
      </c>
      <c r="Q118" s="467">
        <f>SUM(Q119:Q124)</f>
        <v>0</v>
      </c>
    </row>
    <row r="119" spans="1:24" x14ac:dyDescent="0.25">
      <c r="A119" s="155" t="s">
        <v>535</v>
      </c>
      <c r="B119" s="527">
        <f t="shared" ca="1" si="32"/>
        <v>0</v>
      </c>
      <c r="C119" s="464">
        <f ca="1">SUMIFS(AS!$W:$W,AS!$AY:$AY,Trendit!$X119,AS!$AW:$AW,Trendit!$Y$6,AS!$V:$V,$Y$4,AS!$K:$K,$Y$1,AS!BP:BP,$Y$5,AS!CK:CK,$Y$2)</f>
        <v>0</v>
      </c>
      <c r="D119" s="464">
        <f ca="1">SUMIFS(AS!$W:$W,AS!$AY:$AY,Trendit!$X119,AS!$AW:$AW,Trendit!$Y$6,AS!$V:$V,$Y$4,AS!$K:$K,$Y$1,AS!BQ:BQ,$Y$5,AS!CL:CL,$Y$2)</f>
        <v>0</v>
      </c>
      <c r="E119" s="464">
        <f ca="1">SUMIFS(AS!$W:$W,AS!$AY:$AY,Trendit!$X119,AS!$AW:$AW,Trendit!$Y$6,AS!$V:$V,$Y$4,AS!$K:$K,$Y$1,AS!BR:BR,$Y$5,AS!CM:CM,$Y$2)</f>
        <v>0</v>
      </c>
      <c r="F119" s="464">
        <f ca="1">SUMIFS(AS!$W:$W,AS!$AY:$AY,Trendit!$X119,AS!$AW:$AW,Trendit!$Y$6,AS!$V:$V,$Y$4,AS!$K:$K,$Y$1,AS!BS:BS,$Y$5,AS!CN:CN,$Y$2)</f>
        <v>0</v>
      </c>
      <c r="G119" s="464">
        <f ca="1">SUMIFS(AS!$W:$W,AS!$AY:$AY,Trendit!$X119,AS!$AW:$AW,Trendit!$Y$6,AS!$V:$V,$Y$4,AS!$K:$K,$Y$1,AS!BT:BT,$Y$5,AS!CO:CO,$Y$2)</f>
        <v>0</v>
      </c>
      <c r="H119" s="464">
        <f ca="1">SUMIFS(AS!$W:$W,AS!$AY:$AY,Trendit!$X119,AS!$AW:$AW,Trendit!$Y$6,AS!$V:$V,$Y$4,AS!$K:$K,$Y$1,AS!BU:BU,$Y$5,AS!CP:CP,$Y$2)</f>
        <v>0</v>
      </c>
      <c r="I119" s="464">
        <f ca="1">SUMIFS(AS!$W:$W,AS!$AY:$AY,Trendit!$X119,AS!$AW:$AW,Trendit!$Y$6,AS!$V:$V,$Y$4,AS!$K:$K,$Y$1,AS!BV:BV,$Y$5,AS!CQ:CQ,$Y$2)</f>
        <v>0</v>
      </c>
      <c r="J119" s="464">
        <f ca="1">SUMIFS(AS!$W:$W,AS!$AY:$AY,Trendit!$X119,AS!$AW:$AW,Trendit!$Y$6,AS!$V:$V,$Y$4,AS!$K:$K,$Y$1,AS!BW:BW,$Y$5,AS!CR:CR,$Y$2)</f>
        <v>0</v>
      </c>
      <c r="K119" s="464">
        <f ca="1">SUMIFS(AS!$W:$W,AS!$AY:$AY,Trendit!$X119,AS!$AW:$AW,Trendit!$Y$6,AS!$V:$V,$Y$4,AS!$K:$K,$Y$1,AS!BX:BX,$Y$5,AS!CS:CS,$Y$2)</f>
        <v>0</v>
      </c>
      <c r="L119" s="464">
        <f ca="1">SUMIFS(AS!$W:$W,AS!$AY:$AY,Trendit!$X119,AS!$AW:$AW,Trendit!$Y$6,AS!$V:$V,$Y$4,AS!$K:$K,$Y$1,AS!BY:BY,$Y$5,AS!CT:CT,$Y$2)</f>
        <v>0</v>
      </c>
      <c r="M119" s="464">
        <f ca="1">SUMIFS(AS!$W:$W,AS!$AY:$AY,Trendit!$X119,AS!$AW:$AW,Trendit!$Y$6,AS!$V:$V,$Y$4,AS!$K:$K,$Y$1,AS!BZ:BZ,$Y$5,AS!CU:CU,$Y$2)</f>
        <v>0</v>
      </c>
      <c r="N119" s="464">
        <f ca="1">SUMIFS(AS!$W:$W,AS!$AY:$AY,Trendit!$X119,AS!$AW:$AW,Trendit!$Y$6,AS!$V:$V,$Y$4,AS!$K:$K,$Y$1,AS!CA:CA,$Y$5,AS!CV:CV,$Y$2)</f>
        <v>0</v>
      </c>
      <c r="O119" s="445">
        <f t="shared" ca="1" si="35"/>
        <v>0</v>
      </c>
      <c r="P119" s="611">
        <f t="shared" ca="1" si="34"/>
        <v>0</v>
      </c>
      <c r="Q119" s="445">
        <f>IF($W$3="12",SUMIFS(AS!$W:$W,AS!$AB:$AB,"OK",AS!$AY:$AY,$X119,AS!$K:$K,$Y$1,AS!$AW:$AW,$Y$6),0)</f>
        <v>0</v>
      </c>
      <c r="X119" t="s">
        <v>536</v>
      </c>
    </row>
    <row r="120" spans="1:24" x14ac:dyDescent="0.25">
      <c r="A120" s="155" t="s">
        <v>537</v>
      </c>
      <c r="B120" s="527">
        <f t="shared" ca="1" si="32"/>
        <v>0</v>
      </c>
      <c r="C120" s="425">
        <f ca="1">SUMIFS(AS!$W:$W,AS!$AY:$AY,Trendit!$X120,AS!$AW:$AW,Trendit!$Y$6,AS!$V:$V,$Y$4,AS!$K:$K,$Y$1,AS!BP:BP,$Y$5,AS!CK:CK,$Y$2)</f>
        <v>0</v>
      </c>
      <c r="D120" s="425">
        <f ca="1">SUMIFS(AS!$W:$W,AS!$AY:$AY,Trendit!$X120,AS!$AW:$AW,Trendit!$Y$6,AS!$V:$V,$Y$4,AS!$K:$K,$Y$1,AS!BQ:BQ,$Y$5,AS!CL:CL,$Y$2)</f>
        <v>0</v>
      </c>
      <c r="E120" s="425">
        <f ca="1">SUMIFS(AS!$W:$W,AS!$AY:$AY,Trendit!$X120,AS!$AW:$AW,Trendit!$Y$6,AS!$V:$V,$Y$4,AS!$K:$K,$Y$1,AS!BR:BR,$Y$5,AS!CM:CM,$Y$2)</f>
        <v>0</v>
      </c>
      <c r="F120" s="425">
        <f ca="1">SUMIFS(AS!$W:$W,AS!$AY:$AY,Trendit!$X120,AS!$AW:$AW,Trendit!$Y$6,AS!$V:$V,$Y$4,AS!$K:$K,$Y$1,AS!BS:BS,$Y$5,AS!CN:CN,$Y$2)</f>
        <v>0</v>
      </c>
      <c r="G120" s="425">
        <f ca="1">SUMIFS(AS!$W:$W,AS!$AY:$AY,Trendit!$X120,AS!$AW:$AW,Trendit!$Y$6,AS!$V:$V,$Y$4,AS!$K:$K,$Y$1,AS!BT:BT,$Y$5,AS!CO:CO,$Y$2)</f>
        <v>0</v>
      </c>
      <c r="H120" s="425">
        <f ca="1">SUMIFS(AS!$W:$W,AS!$AY:$AY,Trendit!$X120,AS!$AW:$AW,Trendit!$Y$6,AS!$V:$V,$Y$4,AS!$K:$K,$Y$1,AS!BU:BU,$Y$5,AS!CP:CP,$Y$2)</f>
        <v>0</v>
      </c>
      <c r="I120" s="425">
        <f ca="1">SUMIFS(AS!$W:$W,AS!$AY:$AY,Trendit!$X120,AS!$AW:$AW,Trendit!$Y$6,AS!$V:$V,$Y$4,AS!$K:$K,$Y$1,AS!BV:BV,$Y$5,AS!CQ:CQ,$Y$2)</f>
        <v>0</v>
      </c>
      <c r="J120" s="425">
        <f ca="1">SUMIFS(AS!$W:$W,AS!$AY:$AY,Trendit!$X120,AS!$AW:$AW,Trendit!$Y$6,AS!$V:$V,$Y$4,AS!$K:$K,$Y$1,AS!BW:BW,$Y$5,AS!CR:CR,$Y$2)</f>
        <v>0</v>
      </c>
      <c r="K120" s="425">
        <f ca="1">SUMIFS(AS!$W:$W,AS!$AY:$AY,Trendit!$X120,AS!$AW:$AW,Trendit!$Y$6,AS!$V:$V,$Y$4,AS!$K:$K,$Y$1,AS!BX:BX,$Y$5,AS!CS:CS,$Y$2)</f>
        <v>0</v>
      </c>
      <c r="L120" s="425">
        <f ca="1">SUMIFS(AS!$W:$W,AS!$AY:$AY,Trendit!$X120,AS!$AW:$AW,Trendit!$Y$6,AS!$V:$V,$Y$4,AS!$K:$K,$Y$1,AS!BY:BY,$Y$5,AS!CT:CT,$Y$2)</f>
        <v>0</v>
      </c>
      <c r="M120" s="425">
        <f ca="1">SUMIFS(AS!$W:$W,AS!$AY:$AY,Trendit!$X120,AS!$AW:$AW,Trendit!$Y$6,AS!$V:$V,$Y$4,AS!$K:$K,$Y$1,AS!BZ:BZ,$Y$5,AS!CU:CU,$Y$2)</f>
        <v>0</v>
      </c>
      <c r="N120" s="425">
        <f ca="1">SUMIFS(AS!$W:$W,AS!$AY:$AY,Trendit!$X120,AS!$AW:$AW,Trendit!$Y$6,AS!$V:$V,$Y$4,AS!$K:$K,$Y$1,AS!CA:CA,$Y$5,AS!CV:CV,$Y$2)</f>
        <v>0</v>
      </c>
      <c r="O120" s="445">
        <f t="shared" ca="1" si="35"/>
        <v>0</v>
      </c>
      <c r="P120" s="611">
        <f t="shared" ca="1" si="34"/>
        <v>0</v>
      </c>
      <c r="Q120" s="445">
        <f>IF($W$3="12",SUMIFS(AS!$W:$W,AS!$AB:$AB,"OK",AS!$AY:$AY,$X120,AS!$K:$K,$Y$1,AS!$AW:$AW,$Y$6),0)</f>
        <v>0</v>
      </c>
      <c r="X120" t="s">
        <v>538</v>
      </c>
    </row>
    <row r="121" spans="1:24" x14ac:dyDescent="0.25">
      <c r="A121" s="155" t="s">
        <v>539</v>
      </c>
      <c r="B121" s="527">
        <f t="shared" ca="1" si="32"/>
        <v>0</v>
      </c>
      <c r="C121" s="425">
        <f ca="1">SUMIFS(AS!$W:$W,AS!$AY:$AY,Trendit!$X121,AS!$AW:$AW,Trendit!$Y$6,AS!$V:$V,$Y$4,AS!$K:$K,$Y$1,AS!BP:BP,$Y$5,AS!CK:CK,$Y$2)</f>
        <v>0</v>
      </c>
      <c r="D121" s="425">
        <f ca="1">SUMIFS(AS!$W:$W,AS!$AY:$AY,Trendit!$X121,AS!$AW:$AW,Trendit!$Y$6,AS!$V:$V,$Y$4,AS!$K:$K,$Y$1,AS!BQ:BQ,$Y$5,AS!CL:CL,$Y$2)</f>
        <v>0</v>
      </c>
      <c r="E121" s="425">
        <f ca="1">SUMIFS(AS!$W:$W,AS!$AY:$AY,Trendit!$X121,AS!$AW:$AW,Trendit!$Y$6,AS!$V:$V,$Y$4,AS!$K:$K,$Y$1,AS!BR:BR,$Y$5,AS!CM:CM,$Y$2)</f>
        <v>0</v>
      </c>
      <c r="F121" s="425">
        <f ca="1">SUMIFS(AS!$W:$W,AS!$AY:$AY,Trendit!$X121,AS!$AW:$AW,Trendit!$Y$6,AS!$V:$V,$Y$4,AS!$K:$K,$Y$1,AS!BS:BS,$Y$5,AS!CN:CN,$Y$2)</f>
        <v>0</v>
      </c>
      <c r="G121" s="425">
        <f ca="1">SUMIFS(AS!$W:$W,AS!$AY:$AY,Trendit!$X121,AS!$AW:$AW,Trendit!$Y$6,AS!$V:$V,$Y$4,AS!$K:$K,$Y$1,AS!BT:BT,$Y$5,AS!CO:CO,$Y$2)</f>
        <v>0</v>
      </c>
      <c r="H121" s="425">
        <f ca="1">SUMIFS(AS!$W:$W,AS!$AY:$AY,Trendit!$X121,AS!$AW:$AW,Trendit!$Y$6,AS!$V:$V,$Y$4,AS!$K:$K,$Y$1,AS!BU:BU,$Y$5,AS!CP:CP,$Y$2)</f>
        <v>0</v>
      </c>
      <c r="I121" s="425">
        <f ca="1">SUMIFS(AS!$W:$W,AS!$AY:$AY,Trendit!$X121,AS!$AW:$AW,Trendit!$Y$6,AS!$V:$V,$Y$4,AS!$K:$K,$Y$1,AS!BV:BV,$Y$5,AS!CQ:CQ,$Y$2)</f>
        <v>0</v>
      </c>
      <c r="J121" s="425">
        <f ca="1">SUMIFS(AS!$W:$W,AS!$AY:$AY,Trendit!$X121,AS!$AW:$AW,Trendit!$Y$6,AS!$V:$V,$Y$4,AS!$K:$K,$Y$1,AS!BW:BW,$Y$5,AS!CR:CR,$Y$2)</f>
        <v>0</v>
      </c>
      <c r="K121" s="425">
        <f ca="1">SUMIFS(AS!$W:$W,AS!$AY:$AY,Trendit!$X121,AS!$AW:$AW,Trendit!$Y$6,AS!$V:$V,$Y$4,AS!$K:$K,$Y$1,AS!BX:BX,$Y$5,AS!CS:CS,$Y$2)</f>
        <v>0</v>
      </c>
      <c r="L121" s="425">
        <f ca="1">SUMIFS(AS!$W:$W,AS!$AY:$AY,Trendit!$X121,AS!$AW:$AW,Trendit!$Y$6,AS!$V:$V,$Y$4,AS!$K:$K,$Y$1,AS!BY:BY,$Y$5,AS!CT:CT,$Y$2)</f>
        <v>0</v>
      </c>
      <c r="M121" s="425">
        <f ca="1">SUMIFS(AS!$W:$W,AS!$AY:$AY,Trendit!$X121,AS!$AW:$AW,Trendit!$Y$6,AS!$V:$V,$Y$4,AS!$K:$K,$Y$1,AS!BZ:BZ,$Y$5,AS!CU:CU,$Y$2)</f>
        <v>0</v>
      </c>
      <c r="N121" s="425">
        <f ca="1">SUMIFS(AS!$W:$W,AS!$AY:$AY,Trendit!$X121,AS!$AW:$AW,Trendit!$Y$6,AS!$V:$V,$Y$4,AS!$K:$K,$Y$1,AS!CA:CA,$Y$5,AS!CV:CV,$Y$2)</f>
        <v>0</v>
      </c>
      <c r="O121" s="445">
        <f t="shared" ca="1" si="35"/>
        <v>0</v>
      </c>
      <c r="P121" s="611">
        <f t="shared" ca="1" si="34"/>
        <v>0</v>
      </c>
      <c r="Q121" s="445">
        <f>IF($W$3="12",SUMIFS(AS!$W:$W,AS!$AB:$AB,"OK",AS!$AY:$AY,$X121,AS!$K:$K,$Y$1,AS!$AW:$AW,$Y$6),0)</f>
        <v>0</v>
      </c>
      <c r="X121" t="s">
        <v>540</v>
      </c>
    </row>
    <row r="122" spans="1:24" x14ac:dyDescent="0.25">
      <c r="A122" s="155" t="s">
        <v>541</v>
      </c>
      <c r="B122" s="527">
        <f t="shared" ca="1" si="32"/>
        <v>0</v>
      </c>
      <c r="C122" s="425">
        <f ca="1">SUMIFS(AS!$W:$W,AS!$AY:$AY,Trendit!$X122,AS!$AW:$AW,Trendit!$Y$6,AS!$V:$V,$Y$4,AS!$K:$K,$Y$1,AS!BP:BP,$Y$5,AS!CK:CK,$Y$2)</f>
        <v>0</v>
      </c>
      <c r="D122" s="425">
        <f ca="1">SUMIFS(AS!$W:$W,AS!$AY:$AY,Trendit!$X122,AS!$AW:$AW,Trendit!$Y$6,AS!$V:$V,$Y$4,AS!$K:$K,$Y$1,AS!BQ:BQ,$Y$5,AS!CL:CL,$Y$2)</f>
        <v>0</v>
      </c>
      <c r="E122" s="425">
        <f ca="1">SUMIFS(AS!$W:$W,AS!$AY:$AY,Trendit!$X122,AS!$AW:$AW,Trendit!$Y$6,AS!$V:$V,$Y$4,AS!$K:$K,$Y$1,AS!BR:BR,$Y$5,AS!CM:CM,$Y$2)</f>
        <v>0</v>
      </c>
      <c r="F122" s="425">
        <f ca="1">SUMIFS(AS!$W:$W,AS!$AY:$AY,Trendit!$X122,AS!$AW:$AW,Trendit!$Y$6,AS!$V:$V,$Y$4,AS!$K:$K,$Y$1,AS!BS:BS,$Y$5,AS!CN:CN,$Y$2)</f>
        <v>0</v>
      </c>
      <c r="G122" s="425">
        <f ca="1">SUMIFS(AS!$W:$W,AS!$AY:$AY,Trendit!$X122,AS!$AW:$AW,Trendit!$Y$6,AS!$V:$V,$Y$4,AS!$K:$K,$Y$1,AS!BT:BT,$Y$5,AS!CO:CO,$Y$2)</f>
        <v>0</v>
      </c>
      <c r="H122" s="425">
        <f ca="1">SUMIFS(AS!$W:$W,AS!$AY:$AY,Trendit!$X122,AS!$AW:$AW,Trendit!$Y$6,AS!$V:$V,$Y$4,AS!$K:$K,$Y$1,AS!BU:BU,$Y$5,AS!CP:CP,$Y$2)</f>
        <v>0</v>
      </c>
      <c r="I122" s="425">
        <f ca="1">SUMIFS(AS!$W:$W,AS!$AY:$AY,Trendit!$X122,AS!$AW:$AW,Trendit!$Y$6,AS!$V:$V,$Y$4,AS!$K:$K,$Y$1,AS!BV:BV,$Y$5,AS!CQ:CQ,$Y$2)</f>
        <v>0</v>
      </c>
      <c r="J122" s="425">
        <f ca="1">SUMIFS(AS!$W:$W,AS!$AY:$AY,Trendit!$X122,AS!$AW:$AW,Trendit!$Y$6,AS!$V:$V,$Y$4,AS!$K:$K,$Y$1,AS!BW:BW,$Y$5,AS!CR:CR,$Y$2)</f>
        <v>0</v>
      </c>
      <c r="K122" s="425">
        <f ca="1">SUMIFS(AS!$W:$W,AS!$AY:$AY,Trendit!$X122,AS!$AW:$AW,Trendit!$Y$6,AS!$V:$V,$Y$4,AS!$K:$K,$Y$1,AS!BX:BX,$Y$5,AS!CS:CS,$Y$2)</f>
        <v>0</v>
      </c>
      <c r="L122" s="425">
        <f ca="1">SUMIFS(AS!$W:$W,AS!$AY:$AY,Trendit!$X122,AS!$AW:$AW,Trendit!$Y$6,AS!$V:$V,$Y$4,AS!$K:$K,$Y$1,AS!BY:BY,$Y$5,AS!CT:CT,$Y$2)</f>
        <v>0</v>
      </c>
      <c r="M122" s="425">
        <f ca="1">SUMIFS(AS!$W:$W,AS!$AY:$AY,Trendit!$X122,AS!$AW:$AW,Trendit!$Y$6,AS!$V:$V,$Y$4,AS!$K:$K,$Y$1,AS!BZ:BZ,$Y$5,AS!CU:CU,$Y$2)</f>
        <v>0</v>
      </c>
      <c r="N122" s="425">
        <f ca="1">SUMIFS(AS!$W:$W,AS!$AY:$AY,Trendit!$X122,AS!$AW:$AW,Trendit!$Y$6,AS!$V:$V,$Y$4,AS!$K:$K,$Y$1,AS!CA:CA,$Y$5,AS!CV:CV,$Y$2)</f>
        <v>0</v>
      </c>
      <c r="O122" s="445">
        <f t="shared" ca="1" si="35"/>
        <v>0</v>
      </c>
      <c r="P122" s="611">
        <f t="shared" ca="1" si="34"/>
        <v>0</v>
      </c>
      <c r="Q122" s="445">
        <f>IF($W$3="12",SUMIFS(AS!$W:$W,AS!$AB:$AB,"OK",AS!$AY:$AY,$X122,AS!$K:$K,$Y$1,AS!$AW:$AW,$Y$6),0)</f>
        <v>0</v>
      </c>
      <c r="X122" t="s">
        <v>542</v>
      </c>
    </row>
    <row r="123" spans="1:24" x14ac:dyDescent="0.25">
      <c r="A123" s="155" t="s">
        <v>544</v>
      </c>
      <c r="B123" s="527">
        <f t="shared" ca="1" si="32"/>
        <v>0</v>
      </c>
      <c r="C123" s="425">
        <f ca="1">SUMIFS(AS!$W:$W,AS!$AY:$AY,Trendit!$X123,AS!$AW:$AW,Trendit!$Y$6,AS!$V:$V,$Y$4,AS!$K:$K,$Y$1,AS!BP:BP,$Y$5,AS!CK:CK,$Y$2)</f>
        <v>0</v>
      </c>
      <c r="D123" s="425">
        <f ca="1">SUMIFS(AS!$W:$W,AS!$AY:$AY,Trendit!$X123,AS!$AW:$AW,Trendit!$Y$6,AS!$V:$V,$Y$4,AS!$K:$K,$Y$1,AS!BQ:BQ,$Y$5,AS!CL:CL,$Y$2)</f>
        <v>0</v>
      </c>
      <c r="E123" s="425">
        <f ca="1">SUMIFS(AS!$W:$W,AS!$AY:$AY,Trendit!$X123,AS!$AW:$AW,Trendit!$Y$6,AS!$V:$V,$Y$4,AS!$K:$K,$Y$1,AS!BR:BR,$Y$5,AS!CM:CM,$Y$2)</f>
        <v>0</v>
      </c>
      <c r="F123" s="425">
        <f ca="1">SUMIFS(AS!$W:$W,AS!$AY:$AY,Trendit!$X123,AS!$AW:$AW,Trendit!$Y$6,AS!$V:$V,$Y$4,AS!$K:$K,$Y$1,AS!BS:BS,$Y$5,AS!CN:CN,$Y$2)</f>
        <v>0</v>
      </c>
      <c r="G123" s="425">
        <f ca="1">SUMIFS(AS!$W:$W,AS!$AY:$AY,Trendit!$X123,AS!$AW:$AW,Trendit!$Y$6,AS!$V:$V,$Y$4,AS!$K:$K,$Y$1,AS!BT:BT,$Y$5,AS!CO:CO,$Y$2)</f>
        <v>0</v>
      </c>
      <c r="H123" s="425">
        <f ca="1">SUMIFS(AS!$W:$W,AS!$AY:$AY,Trendit!$X123,AS!$AW:$AW,Trendit!$Y$6,AS!$V:$V,$Y$4,AS!$K:$K,$Y$1,AS!BU:BU,$Y$5,AS!CP:CP,$Y$2)</f>
        <v>0</v>
      </c>
      <c r="I123" s="425">
        <f ca="1">SUMIFS(AS!$W:$W,AS!$AY:$AY,Trendit!$X123,AS!$AW:$AW,Trendit!$Y$6,AS!$V:$V,$Y$4,AS!$K:$K,$Y$1,AS!BV:BV,$Y$5,AS!CQ:CQ,$Y$2)</f>
        <v>0</v>
      </c>
      <c r="J123" s="425">
        <f ca="1">SUMIFS(AS!$W:$W,AS!$AY:$AY,Trendit!$X123,AS!$AW:$AW,Trendit!$Y$6,AS!$V:$V,$Y$4,AS!$K:$K,$Y$1,AS!BW:BW,$Y$5,AS!CR:CR,$Y$2)</f>
        <v>0</v>
      </c>
      <c r="K123" s="425">
        <f ca="1">SUMIFS(AS!$W:$W,AS!$AY:$AY,Trendit!$X123,AS!$AW:$AW,Trendit!$Y$6,AS!$V:$V,$Y$4,AS!$K:$K,$Y$1,AS!BX:BX,$Y$5,AS!CS:CS,$Y$2)</f>
        <v>0</v>
      </c>
      <c r="L123" s="425">
        <f ca="1">SUMIFS(AS!$W:$W,AS!$AY:$AY,Trendit!$X123,AS!$AW:$AW,Trendit!$Y$6,AS!$V:$V,$Y$4,AS!$K:$K,$Y$1,AS!BY:BY,$Y$5,AS!CT:CT,$Y$2)</f>
        <v>0</v>
      </c>
      <c r="M123" s="425">
        <f ca="1">SUMIFS(AS!$W:$W,AS!$AY:$AY,Trendit!$X123,AS!$AW:$AW,Trendit!$Y$6,AS!$V:$V,$Y$4,AS!$K:$K,$Y$1,AS!BZ:BZ,$Y$5,AS!CU:CU,$Y$2)</f>
        <v>0</v>
      </c>
      <c r="N123" s="425">
        <f ca="1">SUMIFS(AS!$W:$W,AS!$AY:$AY,Trendit!$X123,AS!$AW:$AW,Trendit!$Y$6,AS!$V:$V,$Y$4,AS!$K:$K,$Y$1,AS!CA:CA,$Y$5,AS!CV:CV,$Y$2)</f>
        <v>0</v>
      </c>
      <c r="O123" s="445">
        <f t="shared" ca="1" si="35"/>
        <v>0</v>
      </c>
      <c r="P123" s="611">
        <f t="shared" ca="1" si="34"/>
        <v>0</v>
      </c>
      <c r="Q123" s="445">
        <f>IF($W$3="12",SUMIFS(AS!$W:$W,AS!$AB:$AB,"OK",AS!$AY:$AY,$X123,AS!$K:$K,$Y$1,AS!$AW:$AW,$Y$6),0)</f>
        <v>0</v>
      </c>
      <c r="X123" t="s">
        <v>545</v>
      </c>
    </row>
    <row r="124" spans="1:24" x14ac:dyDescent="0.25">
      <c r="A124" s="155" t="s">
        <v>511</v>
      </c>
      <c r="B124" s="527">
        <f t="shared" ca="1" si="32"/>
        <v>0</v>
      </c>
      <c r="C124" s="425">
        <f ca="1">SUMIFS(AS!$W:$W,AS!$AY:$AY,Trendit!$X124,AS!$AW:$AW,Trendit!$Y$6,AS!$V:$V,$Y$4,AS!$K:$K,$Y$1,AS!BP:BP,$Y$5,AS!CK:CK,$Y$2)</f>
        <v>0</v>
      </c>
      <c r="D124" s="425">
        <f ca="1">SUMIFS(AS!$W:$W,AS!$AY:$AY,Trendit!$X124,AS!$AW:$AW,Trendit!$Y$6,AS!$V:$V,$Y$4,AS!$K:$K,$Y$1,AS!BQ:BQ,$Y$5,AS!CL:CL,$Y$2)</f>
        <v>0</v>
      </c>
      <c r="E124" s="425">
        <f ca="1">SUMIFS(AS!$W:$W,AS!$AY:$AY,Trendit!$X124,AS!$AW:$AW,Trendit!$Y$6,AS!$V:$V,$Y$4,AS!$K:$K,$Y$1,AS!BR:BR,$Y$5,AS!CM:CM,$Y$2)</f>
        <v>0</v>
      </c>
      <c r="F124" s="425">
        <f ca="1">SUMIFS(AS!$W:$W,AS!$AY:$AY,Trendit!$X124,AS!$AW:$AW,Trendit!$Y$6,AS!$V:$V,$Y$4,AS!$K:$K,$Y$1,AS!BS:BS,$Y$5,AS!CN:CN,$Y$2)</f>
        <v>0</v>
      </c>
      <c r="G124" s="425">
        <f ca="1">SUMIFS(AS!$W:$W,AS!$AY:$AY,Trendit!$X124,AS!$AW:$AW,Trendit!$Y$6,AS!$V:$V,$Y$4,AS!$K:$K,$Y$1,AS!BT:BT,$Y$5,AS!CO:CO,$Y$2)</f>
        <v>0</v>
      </c>
      <c r="H124" s="425">
        <f ca="1">SUMIFS(AS!$W:$W,AS!$AY:$AY,Trendit!$X124,AS!$AW:$AW,Trendit!$Y$6,AS!$V:$V,$Y$4,AS!$K:$K,$Y$1,AS!BU:BU,$Y$5,AS!CP:CP,$Y$2)</f>
        <v>0</v>
      </c>
      <c r="I124" s="425">
        <f ca="1">SUMIFS(AS!$W:$W,AS!$AY:$AY,Trendit!$X124,AS!$AW:$AW,Trendit!$Y$6,AS!$V:$V,$Y$4,AS!$K:$K,$Y$1,AS!BV:BV,$Y$5,AS!CQ:CQ,$Y$2)</f>
        <v>0</v>
      </c>
      <c r="J124" s="425">
        <f ca="1">SUMIFS(AS!$W:$W,AS!$AY:$AY,Trendit!$X124,AS!$AW:$AW,Trendit!$Y$6,AS!$V:$V,$Y$4,AS!$K:$K,$Y$1,AS!BW:BW,$Y$5,AS!CR:CR,$Y$2)</f>
        <v>0</v>
      </c>
      <c r="K124" s="425">
        <f ca="1">SUMIFS(AS!$W:$W,AS!$AY:$AY,Trendit!$X124,AS!$AW:$AW,Trendit!$Y$6,AS!$V:$V,$Y$4,AS!$K:$K,$Y$1,AS!BX:BX,$Y$5,AS!CS:CS,$Y$2)</f>
        <v>0</v>
      </c>
      <c r="L124" s="425">
        <f ca="1">SUMIFS(AS!$W:$W,AS!$AY:$AY,Trendit!$X124,AS!$AW:$AW,Trendit!$Y$6,AS!$V:$V,$Y$4,AS!$K:$K,$Y$1,AS!BY:BY,$Y$5,AS!CT:CT,$Y$2)</f>
        <v>0</v>
      </c>
      <c r="M124" s="425">
        <f ca="1">SUMIFS(AS!$W:$W,AS!$AY:$AY,Trendit!$X124,AS!$AW:$AW,Trendit!$Y$6,AS!$V:$V,$Y$4,AS!$K:$K,$Y$1,AS!BZ:BZ,$Y$5,AS!CU:CU,$Y$2)</f>
        <v>0</v>
      </c>
      <c r="N124" s="425">
        <f ca="1">SUMIFS(AS!$W:$W,AS!$AY:$AY,Trendit!$X124,AS!$AW:$AW,Trendit!$Y$6,AS!$V:$V,$Y$4,AS!$K:$K,$Y$1,AS!CA:CA,$Y$5,AS!CV:CV,$Y$2)</f>
        <v>0</v>
      </c>
      <c r="O124" s="445">
        <f t="shared" ca="1" si="35"/>
        <v>0</v>
      </c>
      <c r="P124" s="611">
        <f t="shared" ca="1" si="34"/>
        <v>0</v>
      </c>
      <c r="Q124" s="445">
        <f>IF($W$3="12",SUMIFS(AS!$W:$W,AS!$AB:$AB,"OK",AS!$AY:$AY,$X124,AS!$K:$K,$Y$1,AS!$AW:$AW,$Y$6),0)</f>
        <v>0</v>
      </c>
      <c r="X124" t="s">
        <v>546</v>
      </c>
    </row>
    <row r="125" spans="1:24" x14ac:dyDescent="0.25">
      <c r="A125" s="458" t="s">
        <v>513</v>
      </c>
      <c r="B125" s="525">
        <f ca="1">IFERROR(Q125-O125,0)</f>
        <v>0</v>
      </c>
      <c r="C125" s="466">
        <f ca="1">SUM(C126:C127)</f>
        <v>0</v>
      </c>
      <c r="D125" s="466">
        <f t="shared" ref="D125:N125" ca="1" si="40">SUM(D126:D127)</f>
        <v>0</v>
      </c>
      <c r="E125" s="466">
        <f t="shared" ca="1" si="40"/>
        <v>0</v>
      </c>
      <c r="F125" s="466">
        <f t="shared" ca="1" si="40"/>
        <v>0</v>
      </c>
      <c r="G125" s="466">
        <f t="shared" ca="1" si="40"/>
        <v>0</v>
      </c>
      <c r="H125" s="466">
        <f t="shared" ca="1" si="40"/>
        <v>0</v>
      </c>
      <c r="I125" s="466">
        <f t="shared" ca="1" si="40"/>
        <v>0</v>
      </c>
      <c r="J125" s="466">
        <f t="shared" ca="1" si="40"/>
        <v>0</v>
      </c>
      <c r="K125" s="466">
        <f t="shared" ca="1" si="40"/>
        <v>0</v>
      </c>
      <c r="L125" s="466">
        <f t="shared" ca="1" si="40"/>
        <v>0</v>
      </c>
      <c r="M125" s="466">
        <f t="shared" ca="1" si="40"/>
        <v>0</v>
      </c>
      <c r="N125" s="466">
        <f t="shared" ca="1" si="40"/>
        <v>0</v>
      </c>
      <c r="O125" s="467">
        <f ca="1">SUM(C125:N125)</f>
        <v>0</v>
      </c>
      <c r="P125" s="511">
        <f ca="1">IFERROR(O125/Q125,0)</f>
        <v>0</v>
      </c>
      <c r="Q125" s="467">
        <f>SUM(Q126:Q127)</f>
        <v>0</v>
      </c>
    </row>
    <row r="126" spans="1:24" x14ac:dyDescent="0.25">
      <c r="A126" s="155" t="s">
        <v>513</v>
      </c>
      <c r="B126" s="527">
        <f t="shared" ca="1" si="32"/>
        <v>0</v>
      </c>
      <c r="C126" s="464">
        <f ca="1">SUMIFS(AS!$W:$W,AS!$AY:$AY,Trendit!$X126,AS!$AW:$AW,Trendit!$Y$6,AS!$V:$V,$Y$4,AS!$K:$K,$Y$1,AS!BP:BP,$Y$5,AS!CK:CK,$Y$2)</f>
        <v>0</v>
      </c>
      <c r="D126" s="464">
        <f ca="1">SUMIFS(AS!$W:$W,AS!$AY:$AY,Trendit!$X126,AS!$AW:$AW,Trendit!$Y$6,AS!$V:$V,$Y$4,AS!$K:$K,$Y$1,AS!BQ:BQ,$Y$5,AS!CL:CL,$Y$2)</f>
        <v>0</v>
      </c>
      <c r="E126" s="464">
        <f ca="1">SUMIFS(AS!$W:$W,AS!$AY:$AY,Trendit!$X126,AS!$AW:$AW,Trendit!$Y$6,AS!$V:$V,$Y$4,AS!$K:$K,$Y$1,AS!BR:BR,$Y$5,AS!CM:CM,$Y$2)</f>
        <v>0</v>
      </c>
      <c r="F126" s="464">
        <f ca="1">SUMIFS(AS!$W:$W,AS!$AY:$AY,Trendit!$X126,AS!$AW:$AW,Trendit!$Y$6,AS!$V:$V,$Y$4,AS!$K:$K,$Y$1,AS!BS:BS,$Y$5,AS!CN:CN,$Y$2)</f>
        <v>0</v>
      </c>
      <c r="G126" s="464">
        <f ca="1">SUMIFS(AS!$W:$W,AS!$AY:$AY,Trendit!$X126,AS!$AW:$AW,Trendit!$Y$6,AS!$V:$V,$Y$4,AS!$K:$K,$Y$1,AS!BT:BT,$Y$5,AS!CO:CO,$Y$2)</f>
        <v>0</v>
      </c>
      <c r="H126" s="464">
        <f ca="1">SUMIFS(AS!$W:$W,AS!$AY:$AY,Trendit!$X126,AS!$AW:$AW,Trendit!$Y$6,AS!$V:$V,$Y$4,AS!$K:$K,$Y$1,AS!BU:BU,$Y$5,AS!CP:CP,$Y$2)</f>
        <v>0</v>
      </c>
      <c r="I126" s="464">
        <f ca="1">SUMIFS(AS!$W:$W,AS!$AY:$AY,Trendit!$X126,AS!$AW:$AW,Trendit!$Y$6,AS!$V:$V,$Y$4,AS!$K:$K,$Y$1,AS!BV:BV,$Y$5,AS!CQ:CQ,$Y$2)</f>
        <v>0</v>
      </c>
      <c r="J126" s="464">
        <f ca="1">SUMIFS(AS!$W:$W,AS!$AY:$AY,Trendit!$X126,AS!$AW:$AW,Trendit!$Y$6,AS!$V:$V,$Y$4,AS!$K:$K,$Y$1,AS!BW:BW,$Y$5,AS!CR:CR,$Y$2)</f>
        <v>0</v>
      </c>
      <c r="K126" s="464">
        <f ca="1">SUMIFS(AS!$W:$W,AS!$AY:$AY,Trendit!$X126,AS!$AW:$AW,Trendit!$Y$6,AS!$V:$V,$Y$4,AS!$K:$K,$Y$1,AS!BX:BX,$Y$5,AS!CS:CS,$Y$2)</f>
        <v>0</v>
      </c>
      <c r="L126" s="464">
        <f ca="1">SUMIFS(AS!$W:$W,AS!$AY:$AY,Trendit!$X126,AS!$AW:$AW,Trendit!$Y$6,AS!$V:$V,$Y$4,AS!$K:$K,$Y$1,AS!BY:BY,$Y$5,AS!CT:CT,$Y$2)</f>
        <v>0</v>
      </c>
      <c r="M126" s="464">
        <f ca="1">SUMIFS(AS!$W:$W,AS!$AY:$AY,Trendit!$X126,AS!$AW:$AW,Trendit!$Y$6,AS!$V:$V,$Y$4,AS!$K:$K,$Y$1,AS!BZ:BZ,$Y$5,AS!CU:CU,$Y$2)</f>
        <v>0</v>
      </c>
      <c r="N126" s="464">
        <f ca="1">SUMIFS(AS!$W:$W,AS!$AY:$AY,Trendit!$X126,AS!$AW:$AW,Trendit!$Y$6,AS!$V:$V,$Y$4,AS!$K:$K,$Y$1,AS!CA:CA,$Y$5,AS!CV:CV,$Y$2)</f>
        <v>0</v>
      </c>
      <c r="O126" s="445">
        <f t="shared" ca="1" si="35"/>
        <v>0</v>
      </c>
      <c r="P126" s="611">
        <f t="shared" ca="1" si="34"/>
        <v>0</v>
      </c>
      <c r="Q126" s="445">
        <f>IF($W$3="12",SUMIFS(AS!$W:$W,AS!$AB:$AB,"OK",AS!$AY:$AY,$X126,AS!$K:$K,$Y$1,AS!$AW:$AW,$Y$6),0)</f>
        <v>0</v>
      </c>
      <c r="X126" t="s">
        <v>547</v>
      </c>
    </row>
    <row r="127" spans="1:24" x14ac:dyDescent="0.25">
      <c r="A127" s="155" t="s">
        <v>736</v>
      </c>
      <c r="B127" s="527">
        <f ca="1">IFERROR(Q127-O127,0)</f>
        <v>0</v>
      </c>
      <c r="C127" s="464">
        <f ca="1">SUMIFS(AS!$W:$W,AS!$AY:$AY,Trendit!$X127,AS!$AW:$AW,Trendit!$Y$6,AS!$V:$V,$Y$4,AS!$K:$K,$Y$1,AS!BP:BP,$Y$5,AS!CK:CK,$Y$2)</f>
        <v>0</v>
      </c>
      <c r="D127" s="464">
        <f ca="1">SUMIFS(AS!$W:$W,AS!$AY:$AY,Trendit!$X127,AS!$AW:$AW,Trendit!$Y$6,AS!$V:$V,$Y$4,AS!$K:$K,$Y$1,AS!BQ:BQ,$Y$5,AS!CL:CL,$Y$2)</f>
        <v>0</v>
      </c>
      <c r="E127" s="464">
        <f ca="1">SUMIFS(AS!$W:$W,AS!$AY:$AY,Trendit!$X127,AS!$AW:$AW,Trendit!$Y$6,AS!$V:$V,$Y$4,AS!$K:$K,$Y$1,AS!BR:BR,$Y$5,AS!CM:CM,$Y$2)</f>
        <v>0</v>
      </c>
      <c r="F127" s="464">
        <f ca="1">SUMIFS(AS!$W:$W,AS!$AY:$AY,Trendit!$X127,AS!$AW:$AW,Trendit!$Y$6,AS!$V:$V,$Y$4,AS!$K:$K,$Y$1,AS!BS:BS,$Y$5,AS!CN:CN,$Y$2)</f>
        <v>0</v>
      </c>
      <c r="G127" s="464">
        <f ca="1">SUMIFS(AS!$W:$W,AS!$AY:$AY,Trendit!$X127,AS!$AW:$AW,Trendit!$Y$6,AS!$V:$V,$Y$4,AS!$K:$K,$Y$1,AS!BT:BT,$Y$5,AS!CO:CO,$Y$2)</f>
        <v>0</v>
      </c>
      <c r="H127" s="464">
        <f ca="1">SUMIFS(AS!$W:$W,AS!$AY:$AY,Trendit!$X127,AS!$AW:$AW,Trendit!$Y$6,AS!$V:$V,$Y$4,AS!$K:$K,$Y$1,AS!BU:BU,$Y$5,AS!CP:CP,$Y$2)</f>
        <v>0</v>
      </c>
      <c r="I127" s="464">
        <f ca="1">SUMIFS(AS!$W:$W,AS!$AY:$AY,Trendit!$X127,AS!$AW:$AW,Trendit!$Y$6,AS!$V:$V,$Y$4,AS!$K:$K,$Y$1,AS!BV:BV,$Y$5,AS!CQ:CQ,$Y$2)</f>
        <v>0</v>
      </c>
      <c r="J127" s="464">
        <f ca="1">SUMIFS(AS!$W:$W,AS!$AY:$AY,Trendit!$X127,AS!$AW:$AW,Trendit!$Y$6,AS!$V:$V,$Y$4,AS!$K:$K,$Y$1,AS!BW:BW,$Y$5,AS!CR:CR,$Y$2)</f>
        <v>0</v>
      </c>
      <c r="K127" s="464">
        <f ca="1">SUMIFS(AS!$W:$W,AS!$AY:$AY,Trendit!$X127,AS!$AW:$AW,Trendit!$Y$6,AS!$V:$V,$Y$4,AS!$K:$K,$Y$1,AS!BX:BX,$Y$5,AS!CS:CS,$Y$2)</f>
        <v>0</v>
      </c>
      <c r="L127" s="464">
        <f ca="1">SUMIFS(AS!$W:$W,AS!$AY:$AY,Trendit!$X127,AS!$AW:$AW,Trendit!$Y$6,AS!$V:$V,$Y$4,AS!$K:$K,$Y$1,AS!BY:BY,$Y$5,AS!CT:CT,$Y$2)</f>
        <v>0</v>
      </c>
      <c r="M127" s="464">
        <f ca="1">SUMIFS(AS!$W:$W,AS!$AY:$AY,Trendit!$X127,AS!$AW:$AW,Trendit!$Y$6,AS!$V:$V,$Y$4,AS!$K:$K,$Y$1,AS!BZ:BZ,$Y$5,AS!CU:CU,$Y$2)</f>
        <v>0</v>
      </c>
      <c r="N127" s="464">
        <f ca="1">SUMIFS(AS!$W:$W,AS!$AY:$AY,Trendit!$X127,AS!$AW:$AW,Trendit!$Y$6,AS!$V:$V,$Y$4,AS!$K:$K,$Y$1,AS!CA:CA,$Y$5,AS!CV:CV,$Y$2)</f>
        <v>0</v>
      </c>
      <c r="O127" s="445">
        <f ca="1">SUM(C127:N127)</f>
        <v>0</v>
      </c>
      <c r="P127" s="611">
        <f ca="1">IFERROR(O127/Q127,0)</f>
        <v>0</v>
      </c>
      <c r="Q127" s="445">
        <f>IF($W$3="12",SUMIFS(AS!$W:$W,AS!$AB:$AB,"OK",AS!$AY:$AY,$X127,AS!$K:$K,$Y$1,AS!$AW:$AW,$Y$6),0)</f>
        <v>0</v>
      </c>
      <c r="X127" t="s">
        <v>548</v>
      </c>
    </row>
    <row r="128" spans="1:24" x14ac:dyDescent="0.25">
      <c r="A128" s="458" t="s">
        <v>347</v>
      </c>
      <c r="B128" s="525">
        <f t="shared" ca="1" si="32"/>
        <v>0</v>
      </c>
      <c r="C128" s="466">
        <f ca="1">SUM(C129:C131)</f>
        <v>0</v>
      </c>
      <c r="D128" s="466">
        <f t="shared" ref="D128:N128" ca="1" si="41">SUM(D129:D131)</f>
        <v>0</v>
      </c>
      <c r="E128" s="466">
        <f t="shared" ca="1" si="41"/>
        <v>0</v>
      </c>
      <c r="F128" s="466">
        <f t="shared" ca="1" si="41"/>
        <v>0</v>
      </c>
      <c r="G128" s="466">
        <f t="shared" ca="1" si="41"/>
        <v>0</v>
      </c>
      <c r="H128" s="466">
        <f t="shared" ca="1" si="41"/>
        <v>0</v>
      </c>
      <c r="I128" s="466">
        <f t="shared" ca="1" si="41"/>
        <v>0</v>
      </c>
      <c r="J128" s="466">
        <f t="shared" ca="1" si="41"/>
        <v>0</v>
      </c>
      <c r="K128" s="466">
        <f t="shared" ca="1" si="41"/>
        <v>0</v>
      </c>
      <c r="L128" s="466">
        <f t="shared" ca="1" si="41"/>
        <v>0</v>
      </c>
      <c r="M128" s="466">
        <f t="shared" ca="1" si="41"/>
        <v>0</v>
      </c>
      <c r="N128" s="466">
        <f t="shared" ca="1" si="41"/>
        <v>0</v>
      </c>
      <c r="O128" s="467">
        <f ca="1">SUM(C128:N128)</f>
        <v>0</v>
      </c>
      <c r="P128" s="511">
        <f t="shared" ca="1" si="34"/>
        <v>0</v>
      </c>
      <c r="Q128" s="467">
        <f>SUM(Q129:Q131)</f>
        <v>0</v>
      </c>
    </row>
    <row r="129" spans="1:25" x14ac:dyDescent="0.25">
      <c r="A129" s="155" t="s">
        <v>550</v>
      </c>
      <c r="B129" s="527">
        <f t="shared" ca="1" si="32"/>
        <v>0</v>
      </c>
      <c r="C129" s="464">
        <f ca="1">SUMIFS(AS!$W:$W,AS!$AY:$AY,Trendit!$X129,AS!$AW:$AW,Trendit!$Y$6,AS!$V:$V,$Y$4,AS!$K:$K,$Y$1,AS!BP:BP,$Y$5,AS!CK:CK,$Y$2)</f>
        <v>0</v>
      </c>
      <c r="D129" s="464">
        <f ca="1">SUMIFS(AS!$W:$W,AS!$AY:$AY,Trendit!$X129,AS!$AW:$AW,Trendit!$Y$6,AS!$V:$V,$Y$4,AS!$K:$K,$Y$1,AS!BQ:BQ,$Y$5,AS!CL:CL,$Y$2)</f>
        <v>0</v>
      </c>
      <c r="E129" s="464">
        <f ca="1">SUMIFS(AS!$W:$W,AS!$AY:$AY,Trendit!$X129,AS!$AW:$AW,Trendit!$Y$6,AS!$V:$V,$Y$4,AS!$K:$K,$Y$1,AS!BR:BR,$Y$5,AS!CM:CM,$Y$2)</f>
        <v>0</v>
      </c>
      <c r="F129" s="464">
        <f ca="1">SUMIFS(AS!$W:$W,AS!$AY:$AY,Trendit!$X129,AS!$AW:$AW,Trendit!$Y$6,AS!$V:$V,$Y$4,AS!$K:$K,$Y$1,AS!BS:BS,$Y$5,AS!CN:CN,$Y$2)</f>
        <v>0</v>
      </c>
      <c r="G129" s="464">
        <f ca="1">SUMIFS(AS!$W:$W,AS!$AY:$AY,Trendit!$X129,AS!$AW:$AW,Trendit!$Y$6,AS!$V:$V,$Y$4,AS!$K:$K,$Y$1,AS!BT:BT,$Y$5,AS!CO:CO,$Y$2)</f>
        <v>0</v>
      </c>
      <c r="H129" s="464">
        <f ca="1">SUMIFS(AS!$W:$W,AS!$AY:$AY,Trendit!$X129,AS!$AW:$AW,Trendit!$Y$6,AS!$V:$V,$Y$4,AS!$K:$K,$Y$1,AS!BU:BU,$Y$5,AS!CP:CP,$Y$2)</f>
        <v>0</v>
      </c>
      <c r="I129" s="464">
        <f ca="1">SUMIFS(AS!$W:$W,AS!$AY:$AY,Trendit!$X129,AS!$AW:$AW,Trendit!$Y$6,AS!$V:$V,$Y$4,AS!$K:$K,$Y$1,AS!BV:BV,$Y$5,AS!CQ:CQ,$Y$2)</f>
        <v>0</v>
      </c>
      <c r="J129" s="464">
        <f ca="1">SUMIFS(AS!$W:$W,AS!$AY:$AY,Trendit!$X129,AS!$AW:$AW,Trendit!$Y$6,AS!$V:$V,$Y$4,AS!$K:$K,$Y$1,AS!BW:BW,$Y$5,AS!CR:CR,$Y$2)</f>
        <v>0</v>
      </c>
      <c r="K129" s="464">
        <f ca="1">SUMIFS(AS!$W:$W,AS!$AY:$AY,Trendit!$X129,AS!$AW:$AW,Trendit!$Y$6,AS!$V:$V,$Y$4,AS!$K:$K,$Y$1,AS!BX:BX,$Y$5,AS!CS:CS,$Y$2)</f>
        <v>0</v>
      </c>
      <c r="L129" s="464">
        <f ca="1">SUMIFS(AS!$W:$W,AS!$AY:$AY,Trendit!$X129,AS!$AW:$AW,Trendit!$Y$6,AS!$V:$V,$Y$4,AS!$K:$K,$Y$1,AS!BY:BY,$Y$5,AS!CT:CT,$Y$2)</f>
        <v>0</v>
      </c>
      <c r="M129" s="464">
        <f ca="1">SUMIFS(AS!$W:$W,AS!$AY:$AY,Trendit!$X129,AS!$AW:$AW,Trendit!$Y$6,AS!$V:$V,$Y$4,AS!$K:$K,$Y$1,AS!BZ:BZ,$Y$5,AS!CU:CU,$Y$2)</f>
        <v>0</v>
      </c>
      <c r="N129" s="464">
        <f ca="1">SUMIFS(AS!$W:$W,AS!$AY:$AY,Trendit!$X129,AS!$AW:$AW,Trendit!$Y$6,AS!$V:$V,$Y$4,AS!$K:$K,$Y$1,AS!CA:CA,$Y$5,AS!CV:CV,$Y$2)</f>
        <v>0</v>
      </c>
      <c r="O129" s="445">
        <f t="shared" ca="1" si="35"/>
        <v>0</v>
      </c>
      <c r="P129" s="611">
        <f t="shared" ca="1" si="34"/>
        <v>0</v>
      </c>
      <c r="Q129" s="445">
        <f>IF($W$3="12",SUMIFS(AS!$W:$W,AS!$AB:$AB,"OK",AS!$AY:$AY,$X129,AS!$K:$K,$Y$1,AS!$AW:$AW,$Y$6),0)</f>
        <v>0</v>
      </c>
      <c r="X129" t="s">
        <v>505</v>
      </c>
    </row>
    <row r="130" spans="1:25" x14ac:dyDescent="0.25">
      <c r="A130" s="155" t="s">
        <v>551</v>
      </c>
      <c r="B130" s="527">
        <f t="shared" ca="1" si="32"/>
        <v>0</v>
      </c>
      <c r="C130" s="425">
        <f ca="1">SUMIFS(AS!$W:$W,AS!$AY:$AY,Trendit!$X130,AS!$AW:$AW,Trendit!$Y$6,AS!$V:$V,$Y$4,AS!$K:$K,$Y$1,AS!BP:BP,$Y$5,AS!CK:CK,$Y$2)</f>
        <v>0</v>
      </c>
      <c r="D130" s="425">
        <f ca="1">SUMIFS(AS!$W:$W,AS!$AY:$AY,Trendit!$X130,AS!$AW:$AW,Trendit!$Y$6,AS!$V:$V,$Y$4,AS!$K:$K,$Y$1,AS!BQ:BQ,$Y$5,AS!CL:CL,$Y$2)</f>
        <v>0</v>
      </c>
      <c r="E130" s="425">
        <f ca="1">SUMIFS(AS!$W:$W,AS!$AY:$AY,Trendit!$X130,AS!$AW:$AW,Trendit!$Y$6,AS!$V:$V,$Y$4,AS!$K:$K,$Y$1,AS!BR:BR,$Y$5,AS!CM:CM,$Y$2)</f>
        <v>0</v>
      </c>
      <c r="F130" s="425">
        <f ca="1">SUMIFS(AS!$W:$W,AS!$AY:$AY,Trendit!$X130,AS!$AW:$AW,Trendit!$Y$6,AS!$V:$V,$Y$4,AS!$K:$K,$Y$1,AS!BS:BS,$Y$5,AS!CN:CN,$Y$2)</f>
        <v>0</v>
      </c>
      <c r="G130" s="425">
        <f ca="1">SUMIFS(AS!$W:$W,AS!$AY:$AY,Trendit!$X130,AS!$AW:$AW,Trendit!$Y$6,AS!$V:$V,$Y$4,AS!$K:$K,$Y$1,AS!BT:BT,$Y$5,AS!CO:CO,$Y$2)</f>
        <v>0</v>
      </c>
      <c r="H130" s="425">
        <f ca="1">SUMIFS(AS!$W:$W,AS!$AY:$AY,Trendit!$X130,AS!$AW:$AW,Trendit!$Y$6,AS!$V:$V,$Y$4,AS!$K:$K,$Y$1,AS!BU:BU,$Y$5,AS!CP:CP,$Y$2)</f>
        <v>0</v>
      </c>
      <c r="I130" s="425">
        <f ca="1">SUMIFS(AS!$W:$W,AS!$AY:$AY,Trendit!$X130,AS!$AW:$AW,Trendit!$Y$6,AS!$V:$V,$Y$4,AS!$K:$K,$Y$1,AS!BV:BV,$Y$5,AS!CQ:CQ,$Y$2)</f>
        <v>0</v>
      </c>
      <c r="J130" s="425">
        <f ca="1">SUMIFS(AS!$W:$W,AS!$AY:$AY,Trendit!$X130,AS!$AW:$AW,Trendit!$Y$6,AS!$V:$V,$Y$4,AS!$K:$K,$Y$1,AS!BW:BW,$Y$5,AS!CR:CR,$Y$2)</f>
        <v>0</v>
      </c>
      <c r="K130" s="425">
        <f ca="1">SUMIFS(AS!$W:$W,AS!$AY:$AY,Trendit!$X130,AS!$AW:$AW,Trendit!$Y$6,AS!$V:$V,$Y$4,AS!$K:$K,$Y$1,AS!BX:BX,$Y$5,AS!CS:CS,$Y$2)</f>
        <v>0</v>
      </c>
      <c r="L130" s="425">
        <f ca="1">SUMIFS(AS!$W:$W,AS!$AY:$AY,Trendit!$X130,AS!$AW:$AW,Trendit!$Y$6,AS!$V:$V,$Y$4,AS!$K:$K,$Y$1,AS!BY:BY,$Y$5,AS!CT:CT,$Y$2)</f>
        <v>0</v>
      </c>
      <c r="M130" s="425">
        <f ca="1">SUMIFS(AS!$W:$W,AS!$AY:$AY,Trendit!$X130,AS!$AW:$AW,Trendit!$Y$6,AS!$V:$V,$Y$4,AS!$K:$K,$Y$1,AS!BZ:BZ,$Y$5,AS!CU:CU,$Y$2)</f>
        <v>0</v>
      </c>
      <c r="N130" s="425">
        <f ca="1">SUMIFS(AS!$W:$W,AS!$AY:$AY,Trendit!$X130,AS!$AW:$AW,Trendit!$Y$6,AS!$V:$V,$Y$4,AS!$K:$K,$Y$1,AS!CA:CA,$Y$5,AS!CV:CV,$Y$2)</f>
        <v>0</v>
      </c>
      <c r="O130" s="445">
        <f t="shared" ca="1" si="35"/>
        <v>0</v>
      </c>
      <c r="P130" s="611">
        <f t="shared" ca="1" si="34"/>
        <v>0</v>
      </c>
      <c r="Q130" s="445">
        <f>IF($W$3="12",SUMIFS(AS!$W:$W,AS!$AB:$AB,"OK",AS!$AY:$AY,$X130,AS!$K:$K,$Y$1,AS!$AW:$AW,$Y$6),0)</f>
        <v>0</v>
      </c>
      <c r="X130" t="s">
        <v>552</v>
      </c>
    </row>
    <row r="131" spans="1:25" x14ac:dyDescent="0.25">
      <c r="A131" s="155" t="s">
        <v>517</v>
      </c>
      <c r="B131" s="527">
        <f t="shared" ca="1" si="32"/>
        <v>0</v>
      </c>
      <c r="C131" s="425">
        <f ca="1">SUMIFS(AS!$W:$W,AS!$AY:$AY,Trendit!$X131,AS!$AW:$AW,Trendit!$Y$6,AS!$V:$V,$Y$4,AS!$K:$K,$Y$1,AS!BP:BP,$Y$5,AS!CK:CK,$Y$2)</f>
        <v>0</v>
      </c>
      <c r="D131" s="425">
        <f ca="1">SUMIFS(AS!$W:$W,AS!$AY:$AY,Trendit!$X131,AS!$AW:$AW,Trendit!$Y$6,AS!$V:$V,$Y$4,AS!$K:$K,$Y$1,AS!BQ:BQ,$Y$5,AS!CL:CL,$Y$2)</f>
        <v>0</v>
      </c>
      <c r="E131" s="425">
        <f ca="1">SUMIFS(AS!$W:$W,AS!$AY:$AY,Trendit!$X131,AS!$AW:$AW,Trendit!$Y$6,AS!$V:$V,$Y$4,AS!$K:$K,$Y$1,AS!BR:BR,$Y$5,AS!CM:CM,$Y$2)</f>
        <v>0</v>
      </c>
      <c r="F131" s="425">
        <f ca="1">SUMIFS(AS!$W:$W,AS!$AY:$AY,Trendit!$X131,AS!$AW:$AW,Trendit!$Y$6,AS!$V:$V,$Y$4,AS!$K:$K,$Y$1,AS!BS:BS,$Y$5,AS!CN:CN,$Y$2)</f>
        <v>0</v>
      </c>
      <c r="G131" s="425">
        <f ca="1">SUMIFS(AS!$W:$W,AS!$AY:$AY,Trendit!$X131,AS!$AW:$AW,Trendit!$Y$6,AS!$V:$V,$Y$4,AS!$K:$K,$Y$1,AS!BT:BT,$Y$5,AS!CO:CO,$Y$2)</f>
        <v>0</v>
      </c>
      <c r="H131" s="425">
        <f ca="1">SUMIFS(AS!$W:$W,AS!$AY:$AY,Trendit!$X131,AS!$AW:$AW,Trendit!$Y$6,AS!$V:$V,$Y$4,AS!$K:$K,$Y$1,AS!BU:BU,$Y$5,AS!CP:CP,$Y$2)</f>
        <v>0</v>
      </c>
      <c r="I131" s="425">
        <f ca="1">SUMIFS(AS!$W:$W,AS!$AY:$AY,Trendit!$X131,AS!$AW:$AW,Trendit!$Y$6,AS!$V:$V,$Y$4,AS!$K:$K,$Y$1,AS!BV:BV,$Y$5,AS!CQ:CQ,$Y$2)</f>
        <v>0</v>
      </c>
      <c r="J131" s="425">
        <f ca="1">SUMIFS(AS!$W:$W,AS!$AY:$AY,Trendit!$X131,AS!$AW:$AW,Trendit!$Y$6,AS!$V:$V,$Y$4,AS!$K:$K,$Y$1,AS!BW:BW,$Y$5,AS!CR:CR,$Y$2)</f>
        <v>0</v>
      </c>
      <c r="K131" s="425">
        <f ca="1">SUMIFS(AS!$W:$W,AS!$AY:$AY,Trendit!$X131,AS!$AW:$AW,Trendit!$Y$6,AS!$V:$V,$Y$4,AS!$K:$K,$Y$1,AS!BX:BX,$Y$5,AS!CS:CS,$Y$2)</f>
        <v>0</v>
      </c>
      <c r="L131" s="425">
        <f ca="1">SUMIFS(AS!$W:$W,AS!$AY:$AY,Trendit!$X131,AS!$AW:$AW,Trendit!$Y$6,AS!$V:$V,$Y$4,AS!$K:$K,$Y$1,AS!BY:BY,$Y$5,AS!CT:CT,$Y$2)</f>
        <v>0</v>
      </c>
      <c r="M131" s="425">
        <f ca="1">SUMIFS(AS!$W:$W,AS!$AY:$AY,Trendit!$X131,AS!$AW:$AW,Trendit!$Y$6,AS!$V:$V,$Y$4,AS!$K:$K,$Y$1,AS!BZ:BZ,$Y$5,AS!CU:CU,$Y$2)</f>
        <v>0</v>
      </c>
      <c r="N131" s="425">
        <f ca="1">SUMIFS(AS!$W:$W,AS!$AY:$AY,Trendit!$X131,AS!$AW:$AW,Trendit!$Y$6,AS!$V:$V,$Y$4,AS!$K:$K,$Y$1,AS!CA:CA,$Y$5,AS!CV:CV,$Y$2)</f>
        <v>0</v>
      </c>
      <c r="O131" s="445">
        <f t="shared" ca="1" si="35"/>
        <v>0</v>
      </c>
      <c r="P131" s="611">
        <f t="shared" ca="1" si="34"/>
        <v>0</v>
      </c>
      <c r="Q131" s="445">
        <f>IF($W$3="12",SUMIFS(AS!$W:$W,AS!$AB:$AB,"OK",AS!$AY:$AY,$X131,AS!$K:$K,$Y$1,AS!$AW:$AW,$Y$6),0)</f>
        <v>0</v>
      </c>
      <c r="X131" t="s">
        <v>553</v>
      </c>
    </row>
    <row r="132" spans="1:25" x14ac:dyDescent="0.25">
      <c r="A132" s="458" t="s">
        <v>239</v>
      </c>
      <c r="B132" s="525">
        <f t="shared" ca="1" si="32"/>
        <v>0</v>
      </c>
      <c r="C132" s="466">
        <f t="shared" ref="C132:N132" ca="1" si="42">SUM(C133:C134)</f>
        <v>0</v>
      </c>
      <c r="D132" s="466">
        <f t="shared" ca="1" si="42"/>
        <v>0</v>
      </c>
      <c r="E132" s="466">
        <f t="shared" ca="1" si="42"/>
        <v>0</v>
      </c>
      <c r="F132" s="466">
        <f t="shared" ca="1" si="42"/>
        <v>0</v>
      </c>
      <c r="G132" s="466">
        <f t="shared" ca="1" si="42"/>
        <v>0</v>
      </c>
      <c r="H132" s="466">
        <f t="shared" ca="1" si="42"/>
        <v>0</v>
      </c>
      <c r="I132" s="466">
        <f t="shared" ca="1" si="42"/>
        <v>0</v>
      </c>
      <c r="J132" s="466">
        <f t="shared" ca="1" si="42"/>
        <v>0</v>
      </c>
      <c r="K132" s="466">
        <f t="shared" ca="1" si="42"/>
        <v>0</v>
      </c>
      <c r="L132" s="466">
        <f t="shared" ca="1" si="42"/>
        <v>0</v>
      </c>
      <c r="M132" s="466">
        <f t="shared" ca="1" si="42"/>
        <v>0</v>
      </c>
      <c r="N132" s="466">
        <f t="shared" ca="1" si="42"/>
        <v>0</v>
      </c>
      <c r="O132" s="467">
        <f t="shared" ca="1" si="35"/>
        <v>0</v>
      </c>
      <c r="P132" s="511">
        <f t="shared" ca="1" si="34"/>
        <v>0</v>
      </c>
      <c r="Q132" s="467">
        <f>SUM(Q133:Q134)</f>
        <v>0</v>
      </c>
    </row>
    <row r="133" spans="1:25" x14ac:dyDescent="0.25">
      <c r="A133" s="155" t="s">
        <v>239</v>
      </c>
      <c r="B133" s="527">
        <f t="shared" ca="1" si="32"/>
        <v>0</v>
      </c>
      <c r="C133" s="463">
        <f ca="1">SUMIFS(AS!$W:$W,AS!$AY:$AY,Trendit!$X133,AS!$AW:$AW,Trendit!$Y$6,AS!$V:$V,$Y$4,AS!$K:$K,$Y$1,AS!BP:BP,$Y$5,AS!CK:CK,$Y$2)</f>
        <v>0</v>
      </c>
      <c r="D133" s="463">
        <f ca="1">SUMIFS(AS!$W:$W,AS!$AY:$AY,Trendit!$X133,AS!$AW:$AW,Trendit!$Y$6,AS!$V:$V,$Y$4,AS!$K:$K,$Y$1,AS!BQ:BQ,$Y$5,AS!CL:CL,$Y$2)</f>
        <v>0</v>
      </c>
      <c r="E133" s="463">
        <f ca="1">SUMIFS(AS!$W:$W,AS!$AY:$AY,Trendit!$X133,AS!$AW:$AW,Trendit!$Y$6,AS!$V:$V,$Y$4,AS!$K:$K,$Y$1,AS!BR:BR,$Y$5,AS!CM:CM,$Y$2)</f>
        <v>0</v>
      </c>
      <c r="F133" s="463">
        <f ca="1">SUMIFS(AS!$W:$W,AS!$AY:$AY,Trendit!$X133,AS!$AW:$AW,Trendit!$Y$6,AS!$V:$V,$Y$4,AS!$K:$K,$Y$1,AS!BS:BS,$Y$5,AS!CN:CN,$Y$2)</f>
        <v>0</v>
      </c>
      <c r="G133" s="463">
        <f ca="1">SUMIFS(AS!$W:$W,AS!$AY:$AY,Trendit!$X133,AS!$AW:$AW,Trendit!$Y$6,AS!$V:$V,$Y$4,AS!$K:$K,$Y$1,AS!BT:BT,$Y$5,AS!CO:CO,$Y$2)</f>
        <v>0</v>
      </c>
      <c r="H133" s="463">
        <f ca="1">SUMIFS(AS!$W:$W,AS!$AY:$AY,Trendit!$X133,AS!$AW:$AW,Trendit!$Y$6,AS!$V:$V,$Y$4,AS!$K:$K,$Y$1,AS!BU:BU,$Y$5,AS!CP:CP,$Y$2)</f>
        <v>0</v>
      </c>
      <c r="I133" s="463">
        <f ca="1">SUMIFS(AS!$W:$W,AS!$AY:$AY,Trendit!$X133,AS!$AW:$AW,Trendit!$Y$6,AS!$V:$V,$Y$4,AS!$K:$K,$Y$1,AS!BV:BV,$Y$5,AS!CQ:CQ,$Y$2)</f>
        <v>0</v>
      </c>
      <c r="J133" s="463">
        <f ca="1">SUMIFS(AS!$W:$W,AS!$AY:$AY,Trendit!$X133,AS!$AW:$AW,Trendit!$Y$6,AS!$V:$V,$Y$4,AS!$K:$K,$Y$1,AS!BW:BW,$Y$5,AS!CR:CR,$Y$2)</f>
        <v>0</v>
      </c>
      <c r="K133" s="463">
        <f ca="1">SUMIFS(AS!$W:$W,AS!$AY:$AY,Trendit!$X133,AS!$AW:$AW,Trendit!$Y$6,AS!$V:$V,$Y$4,AS!$K:$K,$Y$1,AS!BX:BX,$Y$5,AS!CS:CS,$Y$2)</f>
        <v>0</v>
      </c>
      <c r="L133" s="463">
        <f ca="1">SUMIFS(AS!$W:$W,AS!$AY:$AY,Trendit!$X133,AS!$AW:$AW,Trendit!$Y$6,AS!$V:$V,$Y$4,AS!$K:$K,$Y$1,AS!BY:BY,$Y$5,AS!CT:CT,$Y$2)</f>
        <v>0</v>
      </c>
      <c r="M133" s="463">
        <f ca="1">SUMIFS(AS!$W:$W,AS!$AY:$AY,Trendit!$X133,AS!$AW:$AW,Trendit!$Y$6,AS!$V:$V,$Y$4,AS!$K:$K,$Y$1,AS!BZ:BZ,$Y$5,AS!CU:CU,$Y$2)</f>
        <v>0</v>
      </c>
      <c r="N133" s="463">
        <f ca="1">SUMIFS(AS!$W:$W,AS!$AY:$AY,Trendit!$X133,AS!$AW:$AW,Trendit!$Y$6,AS!$V:$V,$Y$4,AS!$K:$K,$Y$1,AS!CA:CA,$Y$5,AS!CV:CV,$Y$2)</f>
        <v>0</v>
      </c>
      <c r="O133" s="445">
        <f t="shared" ca="1" si="35"/>
        <v>0</v>
      </c>
      <c r="P133" s="611">
        <f t="shared" ca="1" si="34"/>
        <v>0</v>
      </c>
      <c r="Q133" s="445">
        <f>IF($W$3="12",SUMIFS(AS!$W:$W,AS!$AB:$AB,"OK",AS!$AY:$AY,$X133,AS!$K:$K,$Y$1,AS!$AW:$AW,$Y$6),0)</f>
        <v>0</v>
      </c>
      <c r="X133" t="s">
        <v>554</v>
      </c>
    </row>
    <row r="134" spans="1:25" x14ac:dyDescent="0.25">
      <c r="A134" s="155" t="s">
        <v>556</v>
      </c>
      <c r="B134" s="527">
        <f t="shared" ca="1" si="32"/>
        <v>0</v>
      </c>
      <c r="C134" s="156">
        <f ca="1">SUMIFS(AS!$W:$W,AS!$AY:$AY,Trendit!$X134,AS!$AW:$AW,Trendit!$Y$6,AS!$V:$V,$Y$4,AS!$K:$K,$Y$1,AS!BP:BP,$Y$5,AS!CK:CK,$Y$2)</f>
        <v>0</v>
      </c>
      <c r="D134" s="156">
        <f ca="1">SUMIFS(AS!$W:$W,AS!$AY:$AY,Trendit!$X134,AS!$AW:$AW,Trendit!$Y$6,AS!$V:$V,$Y$4,AS!$K:$K,$Y$1,AS!BQ:BQ,$Y$5,AS!CL:CL,$Y$2)</f>
        <v>0</v>
      </c>
      <c r="E134" s="156">
        <f ca="1">SUMIFS(AS!$W:$W,AS!$AY:$AY,Trendit!$X134,AS!$AW:$AW,Trendit!$Y$6,AS!$V:$V,$Y$4,AS!$K:$K,$Y$1,AS!BR:BR,$Y$5,AS!CM:CM,$Y$2)</f>
        <v>0</v>
      </c>
      <c r="F134" s="156">
        <f ca="1">SUMIFS(AS!$W:$W,AS!$AY:$AY,Trendit!$X134,AS!$AW:$AW,Trendit!$Y$6,AS!$V:$V,$Y$4,AS!$K:$K,$Y$1,AS!BS:BS,$Y$5,AS!CN:CN,$Y$2)</f>
        <v>0</v>
      </c>
      <c r="G134" s="156">
        <f ca="1">SUMIFS(AS!$W:$W,AS!$AY:$AY,Trendit!$X134,AS!$AW:$AW,Trendit!$Y$6,AS!$V:$V,$Y$4,AS!$K:$K,$Y$1,AS!BT:BT,$Y$5,AS!CO:CO,$Y$2)</f>
        <v>0</v>
      </c>
      <c r="H134" s="156">
        <f ca="1">SUMIFS(AS!$W:$W,AS!$AY:$AY,Trendit!$X134,AS!$AW:$AW,Trendit!$Y$6,AS!$V:$V,$Y$4,AS!$K:$K,$Y$1,AS!BU:BU,$Y$5,AS!CP:CP,$Y$2)</f>
        <v>0</v>
      </c>
      <c r="I134" s="156">
        <f ca="1">SUMIFS(AS!$W:$W,AS!$AY:$AY,Trendit!$X134,AS!$AW:$AW,Trendit!$Y$6,AS!$V:$V,$Y$4,AS!$K:$K,$Y$1,AS!BV:BV,$Y$5,AS!CQ:CQ,$Y$2)</f>
        <v>0</v>
      </c>
      <c r="J134" s="156">
        <f ca="1">SUMIFS(AS!$W:$W,AS!$AY:$AY,Trendit!$X134,AS!$AW:$AW,Trendit!$Y$6,AS!$V:$V,$Y$4,AS!$K:$K,$Y$1,AS!BW:BW,$Y$5,AS!CR:CR,$Y$2)</f>
        <v>0</v>
      </c>
      <c r="K134" s="156">
        <f ca="1">SUMIFS(AS!$W:$W,AS!$AY:$AY,Trendit!$X134,AS!$AW:$AW,Trendit!$Y$6,AS!$V:$V,$Y$4,AS!$K:$K,$Y$1,AS!BX:BX,$Y$5,AS!CS:CS,$Y$2)</f>
        <v>0</v>
      </c>
      <c r="L134" s="156">
        <f ca="1">SUMIFS(AS!$W:$W,AS!$AY:$AY,Trendit!$X134,AS!$AW:$AW,Trendit!$Y$6,AS!$V:$V,$Y$4,AS!$K:$K,$Y$1,AS!BY:BY,$Y$5,AS!CT:CT,$Y$2)</f>
        <v>0</v>
      </c>
      <c r="M134" s="156">
        <f ca="1">SUMIFS(AS!$W:$W,AS!$AY:$AY,Trendit!$X134,AS!$AW:$AW,Trendit!$Y$6,AS!$V:$V,$Y$4,AS!$K:$K,$Y$1,AS!BZ:BZ,$Y$5,AS!CU:CU,$Y$2)</f>
        <v>0</v>
      </c>
      <c r="N134" s="156">
        <f ca="1">SUMIFS(AS!$W:$W,AS!$AY:$AY,Trendit!$X134,AS!$AW:$AW,Trendit!$Y$6,AS!$V:$V,$Y$4,AS!$K:$K,$Y$1,AS!CA:CA,$Y$5,AS!CV:CV,$Y$2)</f>
        <v>0</v>
      </c>
      <c r="O134" s="445">
        <f t="shared" ca="1" si="35"/>
        <v>0</v>
      </c>
      <c r="P134" s="611">
        <f t="shared" ca="1" si="34"/>
        <v>0</v>
      </c>
      <c r="Q134" s="445">
        <f>IF($W$3="12",SUMIFS(AS!$W:$W,AS!$AB:$AB,"OK",AS!$AY:$AY,$X134,AS!$K:$K,$Y$1,AS!$AW:$AW,$Y$6),0)</f>
        <v>0</v>
      </c>
      <c r="X134" t="s">
        <v>557</v>
      </c>
      <c r="Y134" t="s">
        <v>567</v>
      </c>
    </row>
    <row r="135" spans="1:25" x14ac:dyDescent="0.25">
      <c r="A135" s="483" t="s">
        <v>737</v>
      </c>
      <c r="B135" s="524">
        <f t="shared" ca="1" si="32"/>
        <v>0</v>
      </c>
      <c r="C135" s="426">
        <f t="shared" ref="C135:O135" ca="1" si="43">SUM(C100,C102,C107,C111,C118,C125,C128,C132)</f>
        <v>0</v>
      </c>
      <c r="D135" s="427">
        <f t="shared" ca="1" si="43"/>
        <v>0</v>
      </c>
      <c r="E135" s="9">
        <f t="shared" ca="1" si="43"/>
        <v>0</v>
      </c>
      <c r="F135" s="9">
        <f t="shared" ca="1" si="43"/>
        <v>0</v>
      </c>
      <c r="G135" s="9">
        <f t="shared" ca="1" si="43"/>
        <v>0</v>
      </c>
      <c r="H135" s="9">
        <f t="shared" ca="1" si="43"/>
        <v>0</v>
      </c>
      <c r="I135" s="9">
        <f t="shared" ca="1" si="43"/>
        <v>0</v>
      </c>
      <c r="J135" s="9">
        <f t="shared" ca="1" si="43"/>
        <v>0</v>
      </c>
      <c r="K135" s="9">
        <f t="shared" ca="1" si="43"/>
        <v>0</v>
      </c>
      <c r="L135" s="9">
        <f t="shared" ca="1" si="43"/>
        <v>0</v>
      </c>
      <c r="M135" s="9">
        <f t="shared" ca="1" si="43"/>
        <v>0</v>
      </c>
      <c r="N135" s="9">
        <f t="shared" ca="1" si="43"/>
        <v>0</v>
      </c>
      <c r="O135" s="9">
        <f t="shared" ca="1" si="43"/>
        <v>0</v>
      </c>
      <c r="P135" s="510">
        <f t="shared" ca="1" si="34"/>
        <v>0</v>
      </c>
      <c r="Q135" s="9">
        <f>SUM(Q100,Q102,Q107,Q111,Q118,Q125,Q128,Q132)</f>
        <v>0</v>
      </c>
    </row>
    <row r="136" spans="1:25" x14ac:dyDescent="0.25">
      <c r="A136" s="4" t="s">
        <v>738</v>
      </c>
      <c r="B136" s="532"/>
      <c r="C136" s="488"/>
      <c r="D136" s="488"/>
      <c r="E136" s="17"/>
      <c r="F136" s="17"/>
      <c r="G136" s="17"/>
      <c r="H136" s="17"/>
      <c r="I136" s="17"/>
      <c r="J136" s="17"/>
      <c r="K136" s="17"/>
      <c r="L136" s="17"/>
      <c r="M136" s="17"/>
      <c r="N136" s="17"/>
      <c r="O136" s="17"/>
      <c r="P136" s="514"/>
      <c r="Q136" s="17"/>
    </row>
    <row r="138" spans="1:25" x14ac:dyDescent="0.25">
      <c r="A138" s="388" t="s">
        <v>568</v>
      </c>
    </row>
  </sheetData>
  <sheetProtection sheet="1" objects="1" scenarios="1"/>
  <mergeCells count="20">
    <mergeCell ref="A60:A61"/>
    <mergeCell ref="A98:A99"/>
    <mergeCell ref="C44:N44"/>
    <mergeCell ref="C60:N60"/>
    <mergeCell ref="C98:N98"/>
    <mergeCell ref="A44:A45"/>
    <mergeCell ref="C14:N14"/>
    <mergeCell ref="A28:A29"/>
    <mergeCell ref="C28:N28"/>
    <mergeCell ref="A16:B16"/>
    <mergeCell ref="A14:B15"/>
    <mergeCell ref="A21:A22"/>
    <mergeCell ref="C21:N21"/>
    <mergeCell ref="A17:B17"/>
    <mergeCell ref="A18:B18"/>
    <mergeCell ref="C35:N35"/>
    <mergeCell ref="A35:B36"/>
    <mergeCell ref="A37:B37"/>
    <mergeCell ref="A38:B38"/>
    <mergeCell ref="A39:B39"/>
  </mergeCells>
  <dataValidations count="4">
    <dataValidation type="list" showInputMessage="1" showErrorMessage="1" sqref="A4" xr:uid="{00000000-0002-0000-0100-000000000000}">
      <formula1>$AB$5:$AB$58</formula1>
    </dataValidation>
    <dataValidation type="list" allowBlank="1" showInputMessage="1" showErrorMessage="1" sqref="A5" xr:uid="{00000000-0002-0000-0100-000002000000}">
      <formula1>$AD$5:$AD$55</formula1>
    </dataValidation>
    <dataValidation type="list" allowBlank="1" showInputMessage="1" showErrorMessage="1" sqref="A6" xr:uid="{00000000-0002-0000-0100-000003000000}">
      <formula1>$X$3:$X$4</formula1>
    </dataValidation>
    <dataValidation type="date" allowBlank="1" showInputMessage="1" showErrorMessage="1" error="Kirjoita päivämäärä muodossa _x000a_pp.kk.vvvv_x000a__x000a_Päivämäärän on oltava _x000a_suurempi kuin 01.01.2008 ja _x000a_pienempi kuin 31.12.2020" sqref="A1:A3" xr:uid="{B40F9BEC-75F8-47E9-81E9-320ADDE1EC73}">
      <formula1>36526</formula1>
      <formula2>55153</formula2>
    </dataValidation>
  </dataValidations>
  <hyperlinks>
    <hyperlink ref="A138" location="Trendit!A1" display="Sivun alkuun" xr:uid="{E86389DF-D11A-41A3-BB4D-62AB9BDCA34D}"/>
    <hyperlink ref="A2" location="Asiakastilastot!A2" display="Asiakastilastot!A2" xr:uid="{B7758730-937E-4DC9-8BB5-A60696DDB858}"/>
  </hyperlinks>
  <pageMargins left="0.7" right="0.7" top="0.75" bottom="0.83333333333333337" header="0" footer="0"/>
  <pageSetup paperSize="9" scale="66" fitToHeight="0" orientation="landscape" horizontalDpi="300" r:id="rId1"/>
  <headerFooter>
    <oddFooter>&amp;L 
PAR työpaja
osoitettie
0100, paikka&amp;C&amp;G&amp;R&amp;P/&amp;N</oddFooter>
  </headerFooter>
  <rowBreaks count="1" manualBreakCount="1">
    <brk id="9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2">
    <pageSetUpPr fitToPage="1"/>
  </sheetPr>
  <dimension ref="A1:AM238"/>
  <sheetViews>
    <sheetView showGridLines="0" zoomScaleNormal="100" workbookViewId="0">
      <selection activeCell="A8" sqref="A8"/>
    </sheetView>
  </sheetViews>
  <sheetFormatPr defaultColWidth="9.140625" defaultRowHeight="15" x14ac:dyDescent="0.25"/>
  <cols>
    <col min="1" max="1" width="45.7109375" customWidth="1"/>
    <col min="2" max="9" width="11.42578125" customWidth="1"/>
    <col min="12" max="12" width="11.5703125" style="177" bestFit="1" customWidth="1"/>
    <col min="13" max="13" width="10.42578125" style="177" customWidth="1"/>
    <col min="14" max="15" width="9" style="177" customWidth="1"/>
    <col min="16" max="16" width="9" customWidth="1"/>
    <col min="17" max="17" width="10.7109375" customWidth="1"/>
    <col min="18" max="22" width="9" customWidth="1"/>
    <col min="23" max="23" width="9" hidden="1" customWidth="1"/>
    <col min="24" max="24" width="8.140625" hidden="1" customWidth="1"/>
    <col min="25" max="25" width="13.7109375" hidden="1" customWidth="1"/>
    <col min="26" max="26" width="9" hidden="1" customWidth="1"/>
    <col min="27" max="27" width="42.42578125" hidden="1" customWidth="1"/>
    <col min="28" max="28" width="9" hidden="1" customWidth="1"/>
    <col min="29" max="29" width="24" hidden="1" customWidth="1"/>
    <col min="30" max="32" width="9" hidden="1" customWidth="1"/>
    <col min="33" max="45" width="9" customWidth="1"/>
    <col min="52" max="52" width="31.28515625" customWidth="1"/>
    <col min="53" max="56" width="11.5703125" customWidth="1"/>
  </cols>
  <sheetData>
    <row r="1" spans="1:39" x14ac:dyDescent="0.25">
      <c r="A1" s="358" t="s">
        <v>0</v>
      </c>
      <c r="W1" s="91" t="s">
        <v>1</v>
      </c>
      <c r="X1" s="91" t="s">
        <v>1</v>
      </c>
      <c r="Y1" s="100" t="str">
        <f>IF(A5="","*",INDEX(AE5:AE54,MATCH(A5,AD5:AD54,0)))</f>
        <v>*</v>
      </c>
      <c r="Z1" s="92" t="s">
        <v>1</v>
      </c>
      <c r="AA1" s="92" t="s">
        <v>1</v>
      </c>
      <c r="AB1" s="92" t="s">
        <v>1</v>
      </c>
      <c r="AC1" s="92" t="s">
        <v>1</v>
      </c>
      <c r="AD1" s="92" t="s">
        <v>1</v>
      </c>
      <c r="AE1" s="92" t="s">
        <v>1</v>
      </c>
    </row>
    <row r="2" spans="1:39" x14ac:dyDescent="0.25">
      <c r="A2" s="377">
        <v>46023</v>
      </c>
      <c r="B2" t="s">
        <v>2</v>
      </c>
      <c r="X2" s="95" t="s">
        <v>4</v>
      </c>
      <c r="Y2" s="100" t="str">
        <f>IF(A6=X3,"OK","*")</f>
        <v>*</v>
      </c>
      <c r="Z2" s="409" t="s">
        <v>5</v>
      </c>
      <c r="AA2" s="168" t="s">
        <v>6</v>
      </c>
      <c r="AB2" s="169" t="s">
        <v>7</v>
      </c>
      <c r="AC2" s="168" t="s">
        <v>6</v>
      </c>
      <c r="AD2" s="169" t="s">
        <v>8</v>
      </c>
    </row>
    <row r="3" spans="1:39" x14ac:dyDescent="0.25">
      <c r="A3" s="377">
        <v>46387</v>
      </c>
      <c r="B3" t="s">
        <v>9</v>
      </c>
      <c r="X3" s="95" t="s">
        <v>11</v>
      </c>
      <c r="Z3" s="409" t="s">
        <v>12</v>
      </c>
      <c r="AA3" s="168" t="s">
        <v>13</v>
      </c>
      <c r="AB3" s="169" t="e">
        <f>INDEX(Data_Omakoodi!K:K,MATCH($AB$2,Data_Omakoodi!$I:$I,0))</f>
        <v>#N/A</v>
      </c>
      <c r="AC3" s="168" t="s">
        <v>13</v>
      </c>
      <c r="AD3" s="169" t="e">
        <f>INDEX(Data_Omakoodi!K:K,MATCH($AD$2,Data_Omakoodi!$I:$I,0))</f>
        <v>#N/A</v>
      </c>
    </row>
    <row r="4" spans="1:39" x14ac:dyDescent="0.25">
      <c r="A4" s="378" t="s">
        <v>16</v>
      </c>
      <c r="B4" t="s">
        <v>17</v>
      </c>
      <c r="X4" s="95" t="s">
        <v>19</v>
      </c>
      <c r="AA4" s="168" t="s">
        <v>20</v>
      </c>
      <c r="AB4" s="169" t="str">
        <f>IFERROR(MATCH($AB$2,Data_Omakoodi!$I:$I,0),"")</f>
        <v/>
      </c>
      <c r="AC4" s="168" t="s">
        <v>20</v>
      </c>
      <c r="AD4" s="169" t="str">
        <f>IFERROR(MATCH($AB$2,Data_Omakoodi!$I:$I,0),"")</f>
        <v/>
      </c>
    </row>
    <row r="5" spans="1:39" x14ac:dyDescent="0.25">
      <c r="A5" s="378" t="s">
        <v>22</v>
      </c>
      <c r="B5" t="s">
        <v>23</v>
      </c>
      <c r="Y5" s="100" t="str">
        <f>IF(A6="","*",IF(A6=X2,"*",IF(A6=X4,X9,"*")))</f>
        <v>*</v>
      </c>
      <c r="AA5" s="168" t="s">
        <v>26</v>
      </c>
      <c r="AB5" s="169" t="s">
        <v>16</v>
      </c>
      <c r="AC5" s="168" t="s">
        <v>26</v>
      </c>
      <c r="AD5" s="169" t="s">
        <v>22</v>
      </c>
      <c r="AE5" s="168" t="s">
        <v>26</v>
      </c>
    </row>
    <row r="6" spans="1:39" x14ac:dyDescent="0.25">
      <c r="A6" s="378" t="s">
        <v>4</v>
      </c>
      <c r="B6" t="s">
        <v>739</v>
      </c>
      <c r="Y6" s="100" t="str">
        <f>IF(A4="","*",INDEX(AA5:AA54,MATCH(A4,AB5:AB54,0)))</f>
        <v>*</v>
      </c>
      <c r="AA6" s="168" t="s">
        <v>29</v>
      </c>
      <c r="AB6" s="170" t="s">
        <v>30</v>
      </c>
      <c r="AC6" s="168" t="s">
        <v>29</v>
      </c>
      <c r="AD6" s="170" t="s">
        <v>31</v>
      </c>
      <c r="AE6" s="168" t="s">
        <v>29</v>
      </c>
    </row>
    <row r="7" spans="1:39" s="101" customFormat="1" x14ac:dyDescent="0.25">
      <c r="B7"/>
      <c r="C7" s="203"/>
      <c r="L7" s="173"/>
      <c r="M7" s="173"/>
      <c r="N7" s="173"/>
      <c r="O7" s="173"/>
      <c r="X7" s="171" t="s">
        <v>34</v>
      </c>
      <c r="Y7" s="171" t="s">
        <v>35</v>
      </c>
      <c r="Z7"/>
      <c r="AA7" s="168" t="s">
        <v>36</v>
      </c>
      <c r="AB7" s="170" t="s">
        <v>37</v>
      </c>
      <c r="AC7" s="168" t="s">
        <v>36</v>
      </c>
      <c r="AD7" s="170" t="s">
        <v>38</v>
      </c>
      <c r="AE7" s="168" t="s">
        <v>36</v>
      </c>
      <c r="AJ7"/>
      <c r="AK7"/>
      <c r="AL7"/>
      <c r="AM7"/>
    </row>
    <row r="8" spans="1:39" x14ac:dyDescent="0.25">
      <c r="A8" s="359"/>
      <c r="X8" s="233" t="s">
        <v>40</v>
      </c>
      <c r="AA8" s="176" t="s">
        <v>41</v>
      </c>
      <c r="AB8" s="169" t="str">
        <f>IFERROR(INDEX(Data_Omakoodi!E:E,MATCH(AA8,Data_Omakoodi!A:A,0)),"")</f>
        <v/>
      </c>
      <c r="AC8" t="s">
        <v>42</v>
      </c>
      <c r="AD8" s="169" t="str">
        <f>IFERROR(INDEX(Data_Omakoodi!E:E,MATCH(AC8,Data_Omakoodi!A:A,0)),"")</f>
        <v/>
      </c>
      <c r="AE8" t="s">
        <v>42</v>
      </c>
      <c r="AF8" t="s">
        <v>43</v>
      </c>
    </row>
    <row r="9" spans="1:39" x14ac:dyDescent="0.25">
      <c r="X9" s="105" t="s">
        <v>44</v>
      </c>
      <c r="AA9" s="176" t="s">
        <v>45</v>
      </c>
      <c r="AB9" s="169" t="str">
        <f>IFERROR(INDEX(Data_Omakoodi!E:E,MATCH(AA9,Data_Omakoodi!A:A,0)),"")</f>
        <v/>
      </c>
      <c r="AC9" t="s">
        <v>46</v>
      </c>
      <c r="AD9" s="169" t="str">
        <f>IFERROR(INDEX(Data_Omakoodi!E:E,MATCH(AC9,Data_Omakoodi!A:A,0)),"")</f>
        <v/>
      </c>
      <c r="AE9" t="s">
        <v>46</v>
      </c>
      <c r="AF9" t="s">
        <v>47</v>
      </c>
    </row>
    <row r="10" spans="1:39" x14ac:dyDescent="0.25">
      <c r="X10" s="106" t="str">
        <f>" - "&amp;TEXT($A$2,$X$11)&amp;"-"&amp;TEXT($A$3,$X$11)&amp;" "</f>
        <v xml:space="preserve"> - 01.01.2026-31.12.2026 </v>
      </c>
      <c r="Y10" s="101"/>
      <c r="AA10" s="176" t="s">
        <v>52</v>
      </c>
      <c r="AB10" s="169" t="str">
        <f>IFERROR(INDEX(Data_Omakoodi!E:E,MATCH(AA10,Data_Omakoodi!A:A,0)),"")</f>
        <v/>
      </c>
      <c r="AC10" t="s">
        <v>53</v>
      </c>
      <c r="AD10" s="169" t="str">
        <f>IFERROR(INDEX(Data_Omakoodi!E:E,MATCH(AC10,Data_Omakoodi!A:A,0)),"")</f>
        <v/>
      </c>
      <c r="AE10" t="s">
        <v>53</v>
      </c>
      <c r="AF10" t="s">
        <v>54</v>
      </c>
    </row>
    <row r="11" spans="1:39" x14ac:dyDescent="0.25">
      <c r="X11" s="106" t="s">
        <v>55</v>
      </c>
      <c r="Y11" s="107" t="s">
        <v>56</v>
      </c>
      <c r="AA11" s="176" t="s">
        <v>57</v>
      </c>
      <c r="AB11" s="169" t="str">
        <f>IFERROR(INDEX(Data_Omakoodi!E:E,MATCH(AA11,Data_Omakoodi!A:A,0)),"")</f>
        <v/>
      </c>
      <c r="AC11" t="s">
        <v>58</v>
      </c>
      <c r="AD11" s="169" t="str">
        <f>IFERROR(INDEX(Data_Omakoodi!E:E,MATCH(AC11,Data_Omakoodi!A:A,0)),"")</f>
        <v/>
      </c>
      <c r="AE11" t="s">
        <v>58</v>
      </c>
      <c r="AF11" t="s">
        <v>59</v>
      </c>
    </row>
    <row r="12" spans="1:39" x14ac:dyDescent="0.25">
      <c r="X12" s="106" t="str">
        <f>"("&amp;A4&amp;", "&amp;A5&amp;", "&amp;A6&amp;" asiakkuudet)"</f>
        <v>(Kaikki kunnat, Kaikki yksiköt, Kaikki asiakkuudet)</v>
      </c>
      <c r="Y12" s="101"/>
      <c r="AA12" s="176" t="s">
        <v>60</v>
      </c>
      <c r="AB12" s="169" t="str">
        <f>IFERROR(INDEX(Data_Omakoodi!E:E,MATCH(AA12,Data_Omakoodi!A:A,0)),"")</f>
        <v/>
      </c>
      <c r="AC12" t="s">
        <v>61</v>
      </c>
      <c r="AD12" s="169" t="str">
        <f>IFERROR(INDEX(Data_Omakoodi!E:E,MATCH(AC12,Data_Omakoodi!A:A,0)),"")</f>
        <v/>
      </c>
      <c r="AE12" t="s">
        <v>61</v>
      </c>
      <c r="AF12" t="s">
        <v>62</v>
      </c>
    </row>
    <row r="13" spans="1:39" x14ac:dyDescent="0.25">
      <c r="A13" s="1006" t="s">
        <v>715</v>
      </c>
      <c r="B13" s="1036" t="s">
        <v>740</v>
      </c>
      <c r="C13" s="1009" t="s">
        <v>707</v>
      </c>
      <c r="D13" s="1010"/>
      <c r="E13" s="1009" t="s">
        <v>708</v>
      </c>
      <c r="F13" s="1010"/>
      <c r="G13" s="4"/>
      <c r="H13" s="17"/>
      <c r="I13" s="17"/>
      <c r="J13" s="17"/>
      <c r="K13" s="40"/>
      <c r="L13" s="994" t="s">
        <v>741</v>
      </c>
      <c r="M13" s="995"/>
      <c r="N13" s="995"/>
      <c r="O13" s="996"/>
      <c r="AA13" s="176" t="s">
        <v>63</v>
      </c>
      <c r="AB13" s="169" t="str">
        <f>IFERROR(INDEX(Data_Omakoodi!E:E,MATCH(AA13,Data_Omakoodi!A:A,0)),"")</f>
        <v/>
      </c>
      <c r="AC13" t="s">
        <v>64</v>
      </c>
      <c r="AD13" s="169" t="str">
        <f>IFERROR(INDEX(Data_Omakoodi!E:E,MATCH(AC13,Data_Omakoodi!A:A,0)),"")</f>
        <v/>
      </c>
      <c r="AE13" t="s">
        <v>64</v>
      </c>
      <c r="AF13" t="s">
        <v>65</v>
      </c>
    </row>
    <row r="14" spans="1:39" x14ac:dyDescent="0.25">
      <c r="A14" s="1007"/>
      <c r="B14" s="1037"/>
      <c r="C14" s="451" t="s">
        <v>742</v>
      </c>
      <c r="D14" s="451" t="s">
        <v>743</v>
      </c>
      <c r="E14" s="451" t="s">
        <v>742</v>
      </c>
      <c r="F14" s="451" t="s">
        <v>743</v>
      </c>
      <c r="G14" s="52"/>
      <c r="K14" s="41"/>
      <c r="L14" s="997"/>
      <c r="M14" s="998"/>
      <c r="N14" s="998"/>
      <c r="O14" s="999"/>
      <c r="X14" t="s">
        <v>35</v>
      </c>
      <c r="AA14" s="176" t="s">
        <v>66</v>
      </c>
      <c r="AB14" s="169" t="str">
        <f>IFERROR(INDEX(Data_Omakoodi!E:E,MATCH(AA14,Data_Omakoodi!A:A,0)),"")</f>
        <v/>
      </c>
      <c r="AC14" t="s">
        <v>67</v>
      </c>
      <c r="AD14" s="169" t="str">
        <f>IFERROR(INDEX(Data_Omakoodi!E:E,MATCH(AC14,Data_Omakoodi!A:A,0)),"")</f>
        <v/>
      </c>
      <c r="AE14" t="s">
        <v>67</v>
      </c>
      <c r="AF14" t="s">
        <v>68</v>
      </c>
    </row>
    <row r="15" spans="1:39" x14ac:dyDescent="0.25">
      <c r="A15" t="str">
        <f>X23&amp;X10&amp;X12</f>
        <v>UUSIEN Valmentautujien määrä (ei aikaisempia jaksoja) - 01.01.2026-31.12.2026 (Kaikki kunnat, Kaikki yksiköt, Kaikki asiakkuudet)</v>
      </c>
      <c r="B15" s="447"/>
      <c r="C15" s="447"/>
      <c r="D15" s="447"/>
      <c r="E15" s="447"/>
      <c r="F15" s="447"/>
      <c r="G15" s="447"/>
      <c r="H15" s="447"/>
      <c r="I15" s="447"/>
      <c r="J15" s="447"/>
      <c r="K15" s="448"/>
      <c r="L15" s="612" t="str">
        <f>A23</f>
        <v>Kaikki yhteensä</v>
      </c>
      <c r="M15" s="381">
        <f>D23</f>
        <v>0</v>
      </c>
      <c r="N15" s="381">
        <f>F23</f>
        <v>0</v>
      </c>
      <c r="O15" s="613"/>
      <c r="X15" t="s">
        <v>34</v>
      </c>
      <c r="AA15" s="176" t="s">
        <v>73</v>
      </c>
      <c r="AB15" s="169" t="str">
        <f>IFERROR(INDEX(Data_Omakoodi!E:E,MATCH(AA15,Data_Omakoodi!A:A,0)),"")</f>
        <v/>
      </c>
      <c r="AC15" t="s">
        <v>74</v>
      </c>
      <c r="AD15" s="169" t="str">
        <f>IFERROR(INDEX(Data_Omakoodi!E:E,MATCH(AC15,Data_Omakoodi!A:A,0)),"")</f>
        <v/>
      </c>
      <c r="AE15" t="s">
        <v>74</v>
      </c>
      <c r="AF15" t="s">
        <v>75</v>
      </c>
    </row>
    <row r="16" spans="1:39" x14ac:dyDescent="0.25">
      <c r="A16" s="745" t="s">
        <v>716</v>
      </c>
      <c r="B16" s="748">
        <f ca="1">C16+E16</f>
        <v>0</v>
      </c>
      <c r="C16" s="746">
        <f ca="1">SUMIFS(AS!$W:$W,AS!X:X,"OK",AS!$F:$F,Asiakastilastot!$X$14,AS!$AW:$AW,Asiakastilastot!$Y$6,AS!$K:$K,Asiakastilastot!$Y$1,AS!$AH:$AH,Asiakastilastot!$X$8,AS!$AB:$AB,"OK")</f>
        <v>0</v>
      </c>
      <c r="D16" s="747">
        <f ca="1">IFERROR(C16/$B16,0)</f>
        <v>0</v>
      </c>
      <c r="E16" s="746">
        <f ca="1">SUMIFS(AS!$W:$W,AS!$X:$X,"OK",AS!$F:$F,Asiakastilastot!$X$15,AS!$AW:$AW,Asiakastilastot!$Y$6,AS!$K:$K,Asiakastilastot!$Y$1,AS!$AH:$AH,Asiakastilastot!$X$8,AS!$AB:$AB,"OK")</f>
        <v>0</v>
      </c>
      <c r="F16" s="747">
        <f ca="1">IFERROR(E16/$B16,0)</f>
        <v>0</v>
      </c>
      <c r="G16" s="131"/>
      <c r="H16" s="132"/>
      <c r="I16" s="132"/>
      <c r="J16" s="132"/>
      <c r="K16" s="133"/>
      <c r="L16" s="612" t="str">
        <f>A22</f>
        <v>Nuoret yhteensä</v>
      </c>
      <c r="M16" s="381">
        <f>D22</f>
        <v>0</v>
      </c>
      <c r="N16" s="381">
        <f>F22</f>
        <v>0</v>
      </c>
      <c r="O16" s="613"/>
      <c r="AA16" s="176" t="s">
        <v>80</v>
      </c>
      <c r="AB16" s="169" t="str">
        <f>IFERROR(INDEX(Data_Omakoodi!E:E,MATCH(AA16,Data_Omakoodi!A:A,0)),"")</f>
        <v/>
      </c>
      <c r="AC16" t="s">
        <v>81</v>
      </c>
      <c r="AD16" s="169" t="str">
        <f>IFERROR(INDEX(Data_Omakoodi!E:E,MATCH(AC16,Data_Omakoodi!A:A,0)),"")</f>
        <v/>
      </c>
      <c r="AE16" t="s">
        <v>81</v>
      </c>
      <c r="AF16" t="s">
        <v>82</v>
      </c>
    </row>
    <row r="17" spans="1:32" x14ac:dyDescent="0.25">
      <c r="A17" s="43" t="s">
        <v>744</v>
      </c>
      <c r="B17" s="89">
        <f ca="1">C17+E17</f>
        <v>0</v>
      </c>
      <c r="C17" s="37">
        <f ca="1">SUMIFS(AS!$W:$W,AS!X:X,"OK",AS!$F:$F,Asiakastilastot!$X$14,AS!$AW:$AW,Asiakastilastot!$Y$6,AS!$K:$K,Asiakastilastot!$Y$1,AS!$AB:$AB,"OK")</f>
        <v>0</v>
      </c>
      <c r="D17" s="398">
        <f ca="1">IFERROR(C17/$B17,0)</f>
        <v>0</v>
      </c>
      <c r="E17" s="37">
        <f ca="1">SUMIFS(AS!$W:$W,AS!$X:$X,"OK",AS!$F:$F,Asiakastilastot!$X$15,AS!$AW:$AW,Asiakastilastot!$Y$6,AS!$K:$K,Asiakastilastot!$Y$1,AS!$AB:$AB,"OK")</f>
        <v>0</v>
      </c>
      <c r="F17" s="398">
        <f ca="1">IFERROR(E17/$B17,0)</f>
        <v>0</v>
      </c>
      <c r="G17" s="135"/>
      <c r="H17" s="136"/>
      <c r="I17" s="136"/>
      <c r="J17" s="136"/>
      <c r="K17" s="137"/>
      <c r="L17" s="612"/>
      <c r="M17" s="381">
        <f>D21</f>
        <v>0</v>
      </c>
      <c r="N17" s="381">
        <f>F21</f>
        <v>0</v>
      </c>
      <c r="O17" s="613"/>
      <c r="AA17" s="176" t="s">
        <v>87</v>
      </c>
      <c r="AB17" s="169" t="str">
        <f>IFERROR(INDEX(Data_Omakoodi!E:E,MATCH(AA17,Data_Omakoodi!A:A,0)),"")</f>
        <v/>
      </c>
      <c r="AC17" t="s">
        <v>88</v>
      </c>
      <c r="AD17" s="169" t="str">
        <f>IFERROR(INDEX(Data_Omakoodi!E:E,MATCH(AC17,Data_Omakoodi!A:A,0)),"")</f>
        <v/>
      </c>
      <c r="AE17" t="s">
        <v>88</v>
      </c>
      <c r="AF17" t="s">
        <v>89</v>
      </c>
    </row>
    <row r="18" spans="1:32" x14ac:dyDescent="0.25">
      <c r="A18" t="str">
        <f>X24&amp;X10&amp;X12</f>
        <v>UUSIEN valmentautujien määrä (löytyy jaksoja edellisiltä vuosilta) - 01.01.2026-31.12.2026 (Kaikki kunnat, Kaikki yksiköt, Kaikki asiakkuudet)</v>
      </c>
      <c r="B18" s="447"/>
      <c r="C18" s="447"/>
      <c r="D18" s="447"/>
      <c r="E18" s="447"/>
      <c r="F18" s="447"/>
      <c r="G18" s="447"/>
      <c r="H18" s="447"/>
      <c r="I18" s="447"/>
      <c r="J18" s="447"/>
      <c r="K18" s="448"/>
      <c r="L18" s="612" t="str">
        <f>A20</f>
        <v>Kaikki yhteensä</v>
      </c>
      <c r="M18" s="381">
        <f>D20</f>
        <v>0</v>
      </c>
      <c r="N18" s="381">
        <f>F20</f>
        <v>0</v>
      </c>
      <c r="O18" s="613"/>
      <c r="AA18" s="176" t="s">
        <v>94</v>
      </c>
      <c r="AB18" s="169" t="str">
        <f>IFERROR(INDEX(Data_Omakoodi!E:E,MATCH(AA18,Data_Omakoodi!A:A,0)),"")</f>
        <v/>
      </c>
      <c r="AC18" t="s">
        <v>95</v>
      </c>
      <c r="AD18" s="169" t="str">
        <f>IFERROR(INDEX(Data_Omakoodi!E:E,MATCH(AC18,Data_Omakoodi!A:A,0)),"")</f>
        <v/>
      </c>
      <c r="AE18" t="s">
        <v>95</v>
      </c>
      <c r="AF18" t="s">
        <v>96</v>
      </c>
    </row>
    <row r="19" spans="1:32" x14ac:dyDescent="0.25">
      <c r="A19" s="745" t="s">
        <v>716</v>
      </c>
      <c r="B19" s="748">
        <f>C19+E19</f>
        <v>0</v>
      </c>
      <c r="C19" s="746">
        <f>SUMIFS(AS!$W:$W,AS!AV:AV,"OK",AS!$F:$F,Asiakastilastot!$X$14,AS!$AW:$AW,Asiakastilastot!$Y$6,AS!$K:$K,Asiakastilastot!$Y$1,AS!$AH:$AH,Asiakastilastot!$X$8,AS!$AB:$AB,"OK")</f>
        <v>0</v>
      </c>
      <c r="D19" s="747">
        <f>IFERROR(C19/$B19,0)</f>
        <v>0</v>
      </c>
      <c r="E19" s="746">
        <f>SUMIFS(AS!$W:$W,AS!AV:AV,"OK",AS!$F:$F,Asiakastilastot!$X$15,AS!$AW:$AW,Asiakastilastot!$Y$6,AS!$K:$K,Asiakastilastot!$Y$1,AS!$AH:$AH,Asiakastilastot!$X$8,AS!$AB:$AB,"OK")</f>
        <v>0</v>
      </c>
      <c r="F19" s="747">
        <f>IFERROR(E19/$B19,0)</f>
        <v>0</v>
      </c>
      <c r="G19" s="131"/>
      <c r="H19" s="132"/>
      <c r="I19" s="132"/>
      <c r="J19" s="132"/>
      <c r="K19" s="133"/>
      <c r="L19" s="612" t="str">
        <f>A19</f>
        <v>Nuoret yhteensä</v>
      </c>
      <c r="M19" s="381">
        <f>D19</f>
        <v>0</v>
      </c>
      <c r="N19" s="381">
        <f>F19</f>
        <v>0</v>
      </c>
      <c r="O19" s="613"/>
      <c r="AA19" s="176" t="s">
        <v>101</v>
      </c>
      <c r="AB19" s="169" t="str">
        <f>IFERROR(INDEX(Data_Omakoodi!E:E,MATCH(AA19,Data_Omakoodi!A:A,0)),"")</f>
        <v/>
      </c>
      <c r="AC19" t="s">
        <v>102</v>
      </c>
      <c r="AD19" s="169" t="str">
        <f>IFERROR(INDEX(Data_Omakoodi!E:E,MATCH(AC19,Data_Omakoodi!A:A,0)),"")</f>
        <v/>
      </c>
      <c r="AE19" t="s">
        <v>102</v>
      </c>
      <c r="AF19" t="s">
        <v>103</v>
      </c>
    </row>
    <row r="20" spans="1:32" x14ac:dyDescent="0.25">
      <c r="A20" s="43" t="s">
        <v>744</v>
      </c>
      <c r="B20" s="89">
        <f>C20+E20</f>
        <v>0</v>
      </c>
      <c r="C20" s="37">
        <f>SUMIFS(AS!$W:$W,AS!AV:AV,"OK",AS!$F:$F,Asiakastilastot!$X$14,AS!$AW:$AW,Asiakastilastot!$Y$6,AS!$K:$K,Asiakastilastot!$Y$1,AS!$AB:$AB,"OK")</f>
        <v>0</v>
      </c>
      <c r="D20" s="398">
        <f>IFERROR(C20/$B20,0)</f>
        <v>0</v>
      </c>
      <c r="E20" s="37">
        <f>SUMIFS(AS!$W:$W,AS!AV:AV,"OK",AS!$F:$F,Asiakastilastot!$X$15,AS!$AW:$AW,Asiakastilastot!$Y$6,AS!$K:$K,Asiakastilastot!$Y$1,AS!$AB:$AB,"OK")</f>
        <v>0</v>
      </c>
      <c r="F20" s="398">
        <f>IFERROR(E20/$B20,0)</f>
        <v>0</v>
      </c>
      <c r="G20" s="135"/>
      <c r="H20" s="136"/>
      <c r="I20" s="136"/>
      <c r="J20" s="136"/>
      <c r="K20" s="137"/>
      <c r="L20" s="612"/>
      <c r="M20" s="381">
        <f>D18</f>
        <v>0</v>
      </c>
      <c r="N20" s="381">
        <f>F18</f>
        <v>0</v>
      </c>
      <c r="O20" s="613"/>
      <c r="AA20" s="176" t="s">
        <v>107</v>
      </c>
      <c r="AB20" s="169" t="str">
        <f>IFERROR(INDEX(Data_Omakoodi!E:E,MATCH(AA20,Data_Omakoodi!A:A,0)),"")</f>
        <v/>
      </c>
      <c r="AC20" t="s">
        <v>108</v>
      </c>
      <c r="AD20" s="169" t="str">
        <f>IFERROR(INDEX(Data_Omakoodi!E:E,MATCH(AC20,Data_Omakoodi!A:A,0)),"")</f>
        <v/>
      </c>
      <c r="AE20" t="s">
        <v>108</v>
      </c>
      <c r="AF20" t="s">
        <v>109</v>
      </c>
    </row>
    <row r="21" spans="1:32" x14ac:dyDescent="0.25">
      <c r="A21" t="str">
        <f>X25&amp;X10&amp;X12</f>
        <v>KAIKKIEN Valmentautujien määrä  - 01.01.2026-31.12.2026 (Kaikki kunnat, Kaikki yksiköt, Kaikki asiakkuudet)</v>
      </c>
      <c r="B21" s="447"/>
      <c r="C21" s="447"/>
      <c r="D21" s="447"/>
      <c r="E21" s="447"/>
      <c r="F21" s="447"/>
      <c r="G21" s="447"/>
      <c r="H21" s="447"/>
      <c r="I21" s="447"/>
      <c r="J21" s="447"/>
      <c r="K21" s="448"/>
      <c r="L21" s="612" t="str">
        <f>A17</f>
        <v>Kaikki yhteensä</v>
      </c>
      <c r="M21" s="381">
        <f ca="1">D17</f>
        <v>0</v>
      </c>
      <c r="N21" s="381">
        <f ca="1">F17</f>
        <v>0</v>
      </c>
      <c r="O21" s="613"/>
      <c r="AA21" s="176" t="s">
        <v>112</v>
      </c>
      <c r="AB21" s="169" t="str">
        <f>IFERROR(INDEX(Data_Omakoodi!E:E,MATCH(AA21,Data_Omakoodi!A:A,0)),"")</f>
        <v/>
      </c>
      <c r="AC21" t="s">
        <v>113</v>
      </c>
      <c r="AD21" s="169" t="str">
        <f>IFERROR(INDEX(Data_Omakoodi!E:E,MATCH(AC21,Data_Omakoodi!A:A,0)),"")</f>
        <v/>
      </c>
      <c r="AE21" t="s">
        <v>113</v>
      </c>
      <c r="AF21" t="s">
        <v>114</v>
      </c>
    </row>
    <row r="22" spans="1:32" x14ac:dyDescent="0.25">
      <c r="A22" s="745" t="s">
        <v>716</v>
      </c>
      <c r="B22" s="748">
        <f>C22+E22</f>
        <v>0</v>
      </c>
      <c r="C22" s="746">
        <f>SUMIFS(AS!$W:$W,AS!AB:AB,"OK",AS!$F:$F,Asiakastilastot!$X$14,AS!$AW:$AW,Asiakastilastot!$Y$6,AS!$K:$K,Asiakastilastot!$Y$1,AS!$AH:$AH,Asiakastilastot!$X$8)</f>
        <v>0</v>
      </c>
      <c r="D22" s="747">
        <f>IFERROR(C22/$B22,0)</f>
        <v>0</v>
      </c>
      <c r="E22" s="746">
        <f>SUMIFS(AS!$W:$W,AS!$AB:$AB,"OK",AS!$F:$F,Asiakastilastot!$X$15,AS!$AW:$AW,Asiakastilastot!$Y$6,AS!$K:$K,Asiakastilastot!$Y$1,AS!$AH:$AH,Asiakastilastot!$X$8)</f>
        <v>0</v>
      </c>
      <c r="F22" s="747">
        <f>IFERROR(E22/$B22,0)</f>
        <v>0</v>
      </c>
      <c r="G22" s="131"/>
      <c r="H22" s="132"/>
      <c r="I22" s="132"/>
      <c r="J22" s="132"/>
      <c r="K22" s="133"/>
      <c r="L22" s="612" t="str">
        <f>A16</f>
        <v>Nuoret yhteensä</v>
      </c>
      <c r="M22" s="381">
        <f ca="1">D16</f>
        <v>0</v>
      </c>
      <c r="N22" s="381">
        <f ca="1">F16</f>
        <v>0</v>
      </c>
      <c r="O22" s="613"/>
      <c r="X22" s="86"/>
      <c r="AA22" s="176" t="s">
        <v>117</v>
      </c>
      <c r="AB22" s="169" t="str">
        <f>IFERROR(INDEX(Data_Omakoodi!E:E,MATCH(AA22,Data_Omakoodi!A:A,0)),"")</f>
        <v/>
      </c>
      <c r="AC22" t="s">
        <v>118</v>
      </c>
      <c r="AD22" s="169" t="str">
        <f>IFERROR(INDEX(Data_Omakoodi!E:E,MATCH(AC22,Data_Omakoodi!A:A,0)),"")</f>
        <v/>
      </c>
      <c r="AE22" t="s">
        <v>118</v>
      </c>
      <c r="AF22" t="s">
        <v>119</v>
      </c>
    </row>
    <row r="23" spans="1:32" x14ac:dyDescent="0.25">
      <c r="A23" s="43" t="s">
        <v>744</v>
      </c>
      <c r="B23" s="89">
        <f>C23+E23</f>
        <v>0</v>
      </c>
      <c r="C23" s="37">
        <f>SUMIFS(AS!$W:$W,AS!AB:AB,"OK",AS!$F:$F,Asiakastilastot!$X$14,AS!$AW:$AW,Asiakastilastot!$Y$6,AS!$K:$K,Asiakastilastot!$Y$1)</f>
        <v>0</v>
      </c>
      <c r="D23" s="398">
        <f>IFERROR(C23/$B23,0)</f>
        <v>0</v>
      </c>
      <c r="E23" s="37">
        <f>SUMIFS(AS!$W:$W,AS!$AB:$AB,"OK",AS!$F:$F,Asiakastilastot!$X$15,AS!$AW:$AW,Asiakastilastot!$Y$6,AS!$K:$K,Asiakastilastot!$Y$1)</f>
        <v>0</v>
      </c>
      <c r="F23" s="398">
        <f>IFERROR(E23/$B23,0)</f>
        <v>0</v>
      </c>
      <c r="G23" s="135"/>
      <c r="H23" s="136"/>
      <c r="I23" s="136"/>
      <c r="J23" s="136"/>
      <c r="K23" s="137"/>
      <c r="L23" s="612"/>
      <c r="M23" s="381">
        <f>D15</f>
        <v>0</v>
      </c>
      <c r="N23" s="381">
        <f>F15</f>
        <v>0</v>
      </c>
      <c r="O23" s="613"/>
      <c r="X23" s="302" t="s">
        <v>745</v>
      </c>
      <c r="Y23" s="302" t="s">
        <v>123</v>
      </c>
      <c r="AA23" s="176" t="s">
        <v>124</v>
      </c>
      <c r="AB23" s="169" t="str">
        <f>IFERROR(INDEX(Data_Omakoodi!E:E,MATCH(AA23,Data_Omakoodi!A:A,0)),"")</f>
        <v/>
      </c>
      <c r="AC23" t="s">
        <v>125</v>
      </c>
      <c r="AD23" s="169" t="str">
        <f>IFERROR(INDEX(Data_Omakoodi!E:E,MATCH(AC23,Data_Omakoodi!A:A,0)),"")</f>
        <v/>
      </c>
      <c r="AE23" t="s">
        <v>125</v>
      </c>
      <c r="AF23" t="s">
        <v>126</v>
      </c>
    </row>
    <row r="24" spans="1:32" x14ac:dyDescent="0.25">
      <c r="A24" s="14"/>
      <c r="B24" s="449"/>
      <c r="C24" s="449"/>
      <c r="D24" s="450"/>
      <c r="E24" s="450"/>
      <c r="F24" s="24"/>
      <c r="G24" s="52"/>
      <c r="K24" s="41"/>
      <c r="L24" s="612"/>
      <c r="M24" s="380"/>
      <c r="N24" s="380"/>
      <c r="O24" s="613"/>
      <c r="X24" s="302" t="s">
        <v>746</v>
      </c>
      <c r="Y24" s="302" t="s">
        <v>130</v>
      </c>
      <c r="AA24" s="176" t="s">
        <v>131</v>
      </c>
      <c r="AB24" s="169" t="str">
        <f>IFERROR(INDEX(Data_Omakoodi!E:E,MATCH(AA24,Data_Omakoodi!A:A,0)),"")</f>
        <v/>
      </c>
      <c r="AC24" t="s">
        <v>132</v>
      </c>
      <c r="AD24" s="169" t="str">
        <f>IFERROR(INDEX(Data_Omakoodi!E:E,MATCH(AC24,Data_Omakoodi!A:A,0)),"")</f>
        <v/>
      </c>
      <c r="AE24" t="s">
        <v>132</v>
      </c>
      <c r="AF24" t="s">
        <v>133</v>
      </c>
    </row>
    <row r="25" spans="1:32" x14ac:dyDescent="0.25">
      <c r="A25" s="15"/>
      <c r="B25" s="20"/>
      <c r="C25" s="20"/>
      <c r="D25" s="20"/>
      <c r="E25" s="20"/>
      <c r="F25" s="23"/>
      <c r="G25" s="55"/>
      <c r="H25" s="18"/>
      <c r="I25" s="18"/>
      <c r="J25" s="18"/>
      <c r="K25" s="45"/>
      <c r="L25" s="614"/>
      <c r="M25" s="615"/>
      <c r="N25" s="615"/>
      <c r="O25" s="616"/>
      <c r="X25" s="389" t="s">
        <v>747</v>
      </c>
      <c r="Y25" s="389" t="s">
        <v>135</v>
      </c>
      <c r="AA25" s="176" t="s">
        <v>136</v>
      </c>
      <c r="AB25" s="169" t="str">
        <f>IFERROR(INDEX(Data_Omakoodi!E:E,MATCH(AA25,Data_Omakoodi!A:A,0)),"")</f>
        <v/>
      </c>
      <c r="AC25" t="s">
        <v>137</v>
      </c>
      <c r="AD25" s="169" t="str">
        <f>IFERROR(INDEX(Data_Omakoodi!E:E,MATCH(AC25,Data_Omakoodi!A:A,0)),"")</f>
        <v/>
      </c>
      <c r="AE25" t="s">
        <v>137</v>
      </c>
      <c r="AF25" t="s">
        <v>138</v>
      </c>
    </row>
    <row r="26" spans="1:32" ht="33" customHeight="1" x14ac:dyDescent="0.25">
      <c r="L26" s="380"/>
      <c r="M26" s="380"/>
      <c r="N26" s="380"/>
      <c r="AA26" s="176" t="s">
        <v>140</v>
      </c>
      <c r="AB26" s="169" t="str">
        <f>IFERROR(INDEX(Data_Omakoodi!E:E,MATCH(AA26,Data_Omakoodi!A:A,0)),"")</f>
        <v/>
      </c>
      <c r="AC26" t="s">
        <v>141</v>
      </c>
      <c r="AD26" s="169" t="str">
        <f>IFERROR(INDEX(Data_Omakoodi!E:E,MATCH(AC26,Data_Omakoodi!A:A,0)),"")</f>
        <v/>
      </c>
      <c r="AE26" t="s">
        <v>141</v>
      </c>
      <c r="AF26" t="s">
        <v>142</v>
      </c>
    </row>
    <row r="27" spans="1:32" x14ac:dyDescent="0.25">
      <c r="A27" s="66" t="str">
        <f>IF(A6=X2,X25,IF(A6=X3,X24,IF(A6=X4,X23,X25)))&amp;X10&amp;X12</f>
        <v>KAIKKIEN Valmentautujien määrä  - 01.01.2026-31.12.2026 (Kaikki kunnat, Kaikki yksiköt, Kaikki asiakkuudet)</v>
      </c>
      <c r="L27" s="380"/>
      <c r="M27" s="610"/>
      <c r="N27" s="380"/>
      <c r="AA27" s="176" t="s">
        <v>145</v>
      </c>
      <c r="AB27" s="169" t="str">
        <f>IFERROR(INDEX(Data_Omakoodi!E:E,MATCH(AA27,Data_Omakoodi!A:A,0)),"")</f>
        <v/>
      </c>
      <c r="AC27" t="s">
        <v>146</v>
      </c>
      <c r="AD27" s="169" t="str">
        <f>IFERROR(INDEX(Data_Omakoodi!E:E,MATCH(AC27,Data_Omakoodi!A:A,0)),"")</f>
        <v/>
      </c>
      <c r="AE27" t="s">
        <v>146</v>
      </c>
      <c r="AF27" t="s">
        <v>147</v>
      </c>
    </row>
    <row r="28" spans="1:32" x14ac:dyDescent="0.25">
      <c r="A28" s="1006" t="s">
        <v>715</v>
      </c>
      <c r="B28" s="1038" t="s">
        <v>243</v>
      </c>
      <c r="C28" s="1039"/>
      <c r="D28" s="1009" t="s">
        <v>707</v>
      </c>
      <c r="E28" s="1010"/>
      <c r="F28" s="1009" t="s">
        <v>708</v>
      </c>
      <c r="G28" s="1010"/>
      <c r="H28" s="17"/>
      <c r="I28" s="17"/>
      <c r="J28" s="17"/>
      <c r="K28" s="17"/>
      <c r="L28" s="40"/>
      <c r="M28" s="1024" t="str">
        <f>A27</f>
        <v>KAIKKIEN Valmentautujien määrä  - 01.01.2026-31.12.2026 (Kaikki kunnat, Kaikki yksiköt, Kaikki asiakkuudet)</v>
      </c>
      <c r="N28" s="1025"/>
      <c r="O28" s="1025"/>
      <c r="P28" s="1025"/>
      <c r="Q28" s="1026"/>
      <c r="X28" t="s">
        <v>748</v>
      </c>
      <c r="AA28" s="176" t="s">
        <v>150</v>
      </c>
      <c r="AB28" s="169" t="str">
        <f>IFERROR(INDEX(Data_Omakoodi!E:E,MATCH(AA28,Data_Omakoodi!A:A,0)),"")</f>
        <v/>
      </c>
      <c r="AC28" t="s">
        <v>151</v>
      </c>
      <c r="AD28" s="169" t="str">
        <f>IFERROR(INDEX(Data_Omakoodi!E:E,MATCH(AC28,Data_Omakoodi!A:A,0)),"")</f>
        <v/>
      </c>
      <c r="AE28" t="s">
        <v>151</v>
      </c>
      <c r="AF28" t="s">
        <v>152</v>
      </c>
    </row>
    <row r="29" spans="1:32" x14ac:dyDescent="0.25">
      <c r="A29" s="1007"/>
      <c r="B29" s="658" t="s">
        <v>742</v>
      </c>
      <c r="C29" s="658" t="s">
        <v>743</v>
      </c>
      <c r="D29" s="451" t="s">
        <v>742</v>
      </c>
      <c r="E29" s="451" t="s">
        <v>743</v>
      </c>
      <c r="F29" s="451" t="s">
        <v>742</v>
      </c>
      <c r="G29" s="451" t="s">
        <v>743</v>
      </c>
      <c r="L29" s="41"/>
      <c r="M29" s="1027"/>
      <c r="N29" s="1028"/>
      <c r="O29" s="1028"/>
      <c r="P29" s="1028"/>
      <c r="Q29" s="1029"/>
      <c r="X29" t="s">
        <v>35</v>
      </c>
      <c r="AA29" s="176" t="s">
        <v>157</v>
      </c>
      <c r="AB29" s="169" t="str">
        <f>IFERROR(INDEX(Data_Omakoodi!E:E,MATCH(AA29,Data_Omakoodi!A:A,0)),"")</f>
        <v/>
      </c>
      <c r="AC29" t="s">
        <v>158</v>
      </c>
      <c r="AD29" s="169" t="str">
        <f>IFERROR(INDEX(Data_Omakoodi!E:E,MATCH(AC29,Data_Omakoodi!A:A,0)),"")</f>
        <v/>
      </c>
      <c r="AE29" t="s">
        <v>158</v>
      </c>
      <c r="AF29" t="s">
        <v>159</v>
      </c>
    </row>
    <row r="30" spans="1:32" x14ac:dyDescent="0.25">
      <c r="A30" s="740" t="s">
        <v>716</v>
      </c>
      <c r="B30" s="741">
        <f>SUM(B31:B34)</f>
        <v>0</v>
      </c>
      <c r="C30" s="742">
        <f t="shared" ref="C30:C38" si="0">IFERROR(B30/$B$38,0)</f>
        <v>0</v>
      </c>
      <c r="D30" s="741">
        <f>SUM(D31:D34)</f>
        <v>0</v>
      </c>
      <c r="E30" s="742">
        <f t="shared" ref="E30:E37" si="1">IFERROR(D30/$B$38,0)</f>
        <v>0</v>
      </c>
      <c r="F30" s="741">
        <f>SUM(F31:F34)</f>
        <v>0</v>
      </c>
      <c r="G30" s="742">
        <f t="shared" ref="G30:G37" si="2">IFERROR(F30/$B$38,0)</f>
        <v>0</v>
      </c>
      <c r="H30" s="743"/>
      <c r="I30" s="743"/>
      <c r="J30" s="743"/>
      <c r="K30" s="743"/>
      <c r="L30" s="744"/>
      <c r="M30" s="766"/>
      <c r="N30" s="380" t="str">
        <f>A38</f>
        <v>Yhteensä</v>
      </c>
      <c r="O30" s="381">
        <f>E38</f>
        <v>0</v>
      </c>
      <c r="P30" s="381">
        <f>G38</f>
        <v>0</v>
      </c>
      <c r="Q30" s="41"/>
      <c r="X30" t="s">
        <v>34</v>
      </c>
      <c r="AA30" s="176" t="s">
        <v>164</v>
      </c>
      <c r="AB30" s="169" t="str">
        <f>IFERROR(INDEX(Data_Omakoodi!E:E,MATCH(AA30,Data_Omakoodi!A:A,0)),"")</f>
        <v/>
      </c>
      <c r="AC30" t="s">
        <v>165</v>
      </c>
      <c r="AD30" s="169" t="str">
        <f>IFERROR(INDEX(Data_Omakoodi!E:E,MATCH(AC30,Data_Omakoodi!A:A,0)),"")</f>
        <v/>
      </c>
      <c r="AE30" t="s">
        <v>165</v>
      </c>
      <c r="AF30" t="s">
        <v>166</v>
      </c>
    </row>
    <row r="31" spans="1:32" x14ac:dyDescent="0.25">
      <c r="A31" s="130" t="s">
        <v>717</v>
      </c>
      <c r="B31" s="131">
        <f>SUMIFS(AS!$W:$W,AS!$AB:$AB,"OK",AS!$AG:$AG,Asiakastilastot!$X31,AS!$AW:$AW,Asiakastilastot!$Y$6,AS!$X:$X,Asiakastilastot!$Y$5,AS!$K:$K,Asiakastilastot!$Y$1,AS!$AV:$AV,Asiakastilastot!$Y$2)</f>
        <v>0</v>
      </c>
      <c r="C31" s="400">
        <f t="shared" si="0"/>
        <v>0</v>
      </c>
      <c r="D31" s="131">
        <f>SUMIFS(AS!$W:$W,AS!$AB:$AB,"OK",AS!$AG:$AG,Asiakastilastot!$X31,AS!$F:$F,Asiakastilastot!$X$29,AS!$AW:$AW,Asiakastilastot!$Y$6,AS!$X:$X,Asiakastilastot!$Y$5,AS!$K:$K,Asiakastilastot!$Y$1,AS!$AV:$AV,Asiakastilastot!$Y$2)</f>
        <v>0</v>
      </c>
      <c r="E31" s="400">
        <f t="shared" si="1"/>
        <v>0</v>
      </c>
      <c r="F31" s="131">
        <f>SUMIFS(AS!$W:$W,AS!$AB:$AB,"OK",AS!$AG:$AG,Asiakastilastot!$X31,AS!$F:$F,Asiakastilastot!$X$30,AS!$AW:$AW,Asiakastilastot!$Y$6,AS!$X:$X,Asiakastilastot!$Y$5,AS!$K:$K,Asiakastilastot!$Y$1,AS!$AV:$AV,Asiakastilastot!$Y$2)</f>
        <v>0</v>
      </c>
      <c r="G31" s="400">
        <f t="shared" si="2"/>
        <v>0</v>
      </c>
      <c r="H31" s="132"/>
      <c r="I31" s="132"/>
      <c r="J31" s="132"/>
      <c r="K31" s="132"/>
      <c r="L31" s="133"/>
      <c r="M31" s="766"/>
      <c r="N31" s="380" t="str">
        <f>A37</f>
        <v>Ei tietoa</v>
      </c>
      <c r="O31" s="381">
        <f>E37</f>
        <v>0</v>
      </c>
      <c r="P31" s="381">
        <f>G37</f>
        <v>0</v>
      </c>
      <c r="Q31" s="41"/>
      <c r="X31" t="s">
        <v>79</v>
      </c>
      <c r="AA31" s="176" t="s">
        <v>169</v>
      </c>
      <c r="AB31" s="169" t="str">
        <f>IFERROR(INDEX(Data_Omakoodi!E:E,MATCH(AA31,Data_Omakoodi!A:A,0)),"")</f>
        <v/>
      </c>
      <c r="AC31" t="s">
        <v>170</v>
      </c>
      <c r="AD31" s="169" t="str">
        <f>IFERROR(INDEX(Data_Omakoodi!E:E,MATCH(AC31,Data_Omakoodi!A:A,0)),"")</f>
        <v/>
      </c>
      <c r="AE31" t="s">
        <v>170</v>
      </c>
      <c r="AF31" t="s">
        <v>171</v>
      </c>
    </row>
    <row r="32" spans="1:32" x14ac:dyDescent="0.25">
      <c r="A32" s="134" t="s">
        <v>718</v>
      </c>
      <c r="B32" s="135">
        <f>SUMIFS(AS!$W:$W,AS!$AB:$AB,"OK",AS!$AG:$AG,Asiakastilastot!$X32,AS!$AW:$AW,Asiakastilastot!$Y$6,AS!$X:$X,Asiakastilastot!$Y$5,AS!$K:$K,Asiakastilastot!$Y$1,AS!$AV:$AV,Asiakastilastot!$Y$2)</f>
        <v>0</v>
      </c>
      <c r="C32" s="401">
        <f t="shared" si="0"/>
        <v>0</v>
      </c>
      <c r="D32" s="135">
        <f>SUMIFS(AS!$W:$W,AS!$AB:$AB,"OK",AS!$AG:$AG,Asiakastilastot!$X32,AS!$F:$F,Asiakastilastot!$X$29,AS!$AW:$AW,Asiakastilastot!$Y$6,AS!$X:$X,Asiakastilastot!$Y$5,AS!$K:$K,Asiakastilastot!$Y$1,AS!$AV:$AV,Asiakastilastot!$Y$2)</f>
        <v>0</v>
      </c>
      <c r="E32" s="401">
        <f t="shared" si="1"/>
        <v>0</v>
      </c>
      <c r="F32" s="135">
        <f>SUMIFS(AS!$W:$W,AS!$AB:$AB,"OK",AS!$AG:$AG,Asiakastilastot!$X32,AS!$F:$F,Asiakastilastot!$X$30,AS!$AW:$AW,Asiakastilastot!$Y$6,AS!$X:$X,Asiakastilastot!$Y$5,AS!$K:$K,Asiakastilastot!$Y$1,AS!$AV:$AV,Asiakastilastot!$Y$2)</f>
        <v>0</v>
      </c>
      <c r="G32" s="401">
        <f t="shared" si="2"/>
        <v>0</v>
      </c>
      <c r="H32" s="136"/>
      <c r="I32" s="136"/>
      <c r="J32" s="136"/>
      <c r="K32" s="136"/>
      <c r="L32" s="137"/>
      <c r="M32" s="766"/>
      <c r="N32" s="380" t="str">
        <f>A36</f>
        <v>Yli 50 vuotta</v>
      </c>
      <c r="O32" s="381">
        <f>E36</f>
        <v>0</v>
      </c>
      <c r="P32" s="381">
        <f>G36</f>
        <v>0</v>
      </c>
      <c r="Q32" s="41"/>
      <c r="X32" t="s">
        <v>86</v>
      </c>
      <c r="AA32" s="176" t="s">
        <v>174</v>
      </c>
      <c r="AB32" s="169" t="str">
        <f>IFERROR(INDEX(Data_Omakoodi!E:E,MATCH(AA32,Data_Omakoodi!A:A,0)),"")</f>
        <v/>
      </c>
      <c r="AC32" t="s">
        <v>175</v>
      </c>
      <c r="AD32" s="169" t="str">
        <f>IFERROR(INDEX(Data_Omakoodi!E:E,MATCH(AC32,Data_Omakoodi!A:A,0)),"")</f>
        <v/>
      </c>
      <c r="AE32" t="s">
        <v>175</v>
      </c>
      <c r="AF32" t="s">
        <v>176</v>
      </c>
    </row>
    <row r="33" spans="1:32" x14ac:dyDescent="0.25">
      <c r="A33" s="134" t="s">
        <v>719</v>
      </c>
      <c r="B33" s="135">
        <f>SUMIFS(AS!$W:$W,AS!$AB:$AB,"OK",AS!$AG:$AG,Asiakastilastot!$X33,AS!$AW:$AW,Asiakastilastot!$Y$6,AS!$X:$X,Asiakastilastot!$Y$5,AS!$K:$K,Asiakastilastot!$Y$1,AS!$AV:$AV,Asiakastilastot!$Y$2)</f>
        <v>0</v>
      </c>
      <c r="C33" s="401">
        <f t="shared" si="0"/>
        <v>0</v>
      </c>
      <c r="D33" s="135">
        <f>SUMIFS(AS!$W:$W,AS!$AB:$AB,"OK",AS!$AG:$AG,Asiakastilastot!$X33,AS!$F:$F,Asiakastilastot!$X$29,AS!$AW:$AW,Asiakastilastot!$Y$6,AS!$X:$X,Asiakastilastot!$Y$5,AS!$K:$K,Asiakastilastot!$Y$1,AS!$AV:$AV,Asiakastilastot!$Y$2)</f>
        <v>0</v>
      </c>
      <c r="E33" s="401">
        <f t="shared" si="1"/>
        <v>0</v>
      </c>
      <c r="F33" s="135">
        <f>SUMIFS(AS!$W:$W,AS!$AB:$AB,"OK",AS!$AG:$AG,Asiakastilastot!$X33,AS!$F:$F,Asiakastilastot!$X$30,AS!$AW:$AW,Asiakastilastot!$Y$6,AS!$X:$X,Asiakastilastot!$Y$5,AS!$K:$K,Asiakastilastot!$Y$1,AS!$AV:$AV,Asiakastilastot!$Y$2)</f>
        <v>0</v>
      </c>
      <c r="G33" s="401">
        <f t="shared" si="2"/>
        <v>0</v>
      </c>
      <c r="H33" s="136"/>
      <c r="I33" s="136"/>
      <c r="J33" s="136"/>
      <c r="K33" s="136"/>
      <c r="L33" s="137"/>
      <c r="M33" s="766"/>
      <c r="N33" s="380" t="str">
        <f>A35</f>
        <v>29-49 vuotta</v>
      </c>
      <c r="O33" s="381">
        <f>E35</f>
        <v>0</v>
      </c>
      <c r="P33" s="381">
        <f>G35</f>
        <v>0</v>
      </c>
      <c r="Q33" s="41"/>
      <c r="X33" t="s">
        <v>93</v>
      </c>
      <c r="AA33" s="176" t="s">
        <v>179</v>
      </c>
      <c r="AB33" s="169" t="str">
        <f>IFERROR(INDEX(Data_Omakoodi!E:E,MATCH(AA33,Data_Omakoodi!A:A,0)),"")</f>
        <v/>
      </c>
      <c r="AC33" t="s">
        <v>180</v>
      </c>
      <c r="AD33" s="169" t="str">
        <f>IFERROR(INDEX(Data_Omakoodi!E:E,MATCH(AC33,Data_Omakoodi!A:A,0)),"")</f>
        <v/>
      </c>
      <c r="AE33" t="s">
        <v>180</v>
      </c>
      <c r="AF33" t="s">
        <v>181</v>
      </c>
    </row>
    <row r="34" spans="1:32" x14ac:dyDescent="0.25">
      <c r="A34" s="138" t="s">
        <v>720</v>
      </c>
      <c r="B34" s="139">
        <f>SUMIFS(AS!$W:$W,AS!$AB:$AB,"OK",AS!$AG:$AG,Asiakastilastot!$X34,AS!$AW:$AW,Asiakastilastot!$Y$6,AS!$X:$X,Asiakastilastot!$Y$5,AS!$K:$K,Asiakastilastot!$Y$1,AS!$AV:$AV,Asiakastilastot!$Y$2)</f>
        <v>0</v>
      </c>
      <c r="C34" s="609">
        <f t="shared" si="0"/>
        <v>0</v>
      </c>
      <c r="D34" s="139">
        <f>SUMIFS(AS!$W:$W,AS!$AB:$AB,"OK",AS!$AG:$AG,Asiakastilastot!$X34,AS!$F:$F,Asiakastilastot!$X$29,AS!$AW:$AW,Asiakastilastot!$Y$6,AS!$X:$X,Asiakastilastot!$Y$5,AS!$K:$K,Asiakastilastot!$Y$1,AS!$AV:$AV,Asiakastilastot!$Y$2)</f>
        <v>0</v>
      </c>
      <c r="E34" s="609">
        <f t="shared" si="1"/>
        <v>0</v>
      </c>
      <c r="F34" s="139">
        <f>SUMIFS(AS!$W:$W,AS!$AB:$AB,"OK",AS!$AG:$AG,Asiakastilastot!$X34,AS!$F:$F,Asiakastilastot!$X$30,AS!$AW:$AW,Asiakastilastot!$Y$6,AS!$X:$X,Asiakastilastot!$Y$5,AS!$K:$K,Asiakastilastot!$Y$1,AS!$AV:$AV,Asiakastilastot!$Y$2)</f>
        <v>0</v>
      </c>
      <c r="G34" s="609">
        <f t="shared" si="2"/>
        <v>0</v>
      </c>
      <c r="H34" s="140"/>
      <c r="I34" s="140"/>
      <c r="J34" s="140"/>
      <c r="K34" s="140"/>
      <c r="L34" s="141"/>
      <c r="M34" s="766"/>
      <c r="N34" s="380" t="str">
        <f>A34</f>
        <v>25-28 vuotta</v>
      </c>
      <c r="O34" s="381">
        <f>E34</f>
        <v>0</v>
      </c>
      <c r="P34" s="381">
        <f>G34</f>
        <v>0</v>
      </c>
      <c r="Q34" s="41"/>
      <c r="X34" t="s">
        <v>100</v>
      </c>
      <c r="AA34" s="176" t="s">
        <v>183</v>
      </c>
      <c r="AB34" s="169" t="str">
        <f>IFERROR(INDEX(Data_Omakoodi!E:E,MATCH(AA34,Data_Omakoodi!A:A,0)),"")</f>
        <v/>
      </c>
      <c r="AC34" t="s">
        <v>184</v>
      </c>
      <c r="AD34" s="169" t="str">
        <f>IFERROR(INDEX(Data_Omakoodi!E:E,MATCH(AC34,Data_Omakoodi!A:A,0)),"")</f>
        <v/>
      </c>
      <c r="AE34" t="s">
        <v>184</v>
      </c>
      <c r="AF34" t="s">
        <v>185</v>
      </c>
    </row>
    <row r="35" spans="1:32" x14ac:dyDescent="0.25">
      <c r="A35" s="42" t="s">
        <v>721</v>
      </c>
      <c r="B35" s="36">
        <f>SUMIFS(AS!$W:$W,AS!$AB:$AB,"OK",AS!$AG:$AG,Asiakastilastot!$X35,AS!$AW:$AW,Asiakastilastot!$Y$6,AS!$X:$X,Asiakastilastot!$Y$5,AS!$K:$K,Asiakastilastot!$Y$1,AS!$AV:$AV,Asiakastilastot!$Y$2)</f>
        <v>0</v>
      </c>
      <c r="C35" s="607">
        <f t="shared" si="0"/>
        <v>0</v>
      </c>
      <c r="D35" s="36">
        <f>SUMIFS(AS!$W:$W,AS!$AB:$AB,"OK",AS!$AG:$AG,Asiakastilastot!$X35,AS!$F:$F,Asiakastilastot!$X$29,AS!$AW:$AW,Asiakastilastot!$Y$6,AS!$X:$X,Asiakastilastot!$Y$5,AS!$K:$K,Asiakastilastot!$Y$1,AS!$AV:$AV,Asiakastilastot!$Y$2)</f>
        <v>0</v>
      </c>
      <c r="E35" s="607">
        <f t="shared" si="1"/>
        <v>0</v>
      </c>
      <c r="F35" s="36">
        <f>SUMIFS(AS!$W:$W,AS!$AB:$AB,"OK",AS!$AG:$AG,Asiakastilastot!$X35,AS!$F:$F,Asiakastilastot!$X$30,AS!$AW:$AW,Asiakastilastot!$Y$6,AS!$X:$X,Asiakastilastot!$Y$5,AS!$K:$K,Asiakastilastot!$Y$1,AS!$AV:$AV,Asiakastilastot!$Y$2)</f>
        <v>0</v>
      </c>
      <c r="G35" s="607">
        <f t="shared" si="2"/>
        <v>0</v>
      </c>
      <c r="H35" s="46"/>
      <c r="I35" s="46"/>
      <c r="J35" s="46"/>
      <c r="K35" s="46"/>
      <c r="L35" s="48"/>
      <c r="M35" s="766"/>
      <c r="N35" s="380" t="str">
        <f>A33</f>
        <v>21-24 vuotta</v>
      </c>
      <c r="O35" s="381">
        <f>E33</f>
        <v>0</v>
      </c>
      <c r="P35" s="381">
        <f>G33</f>
        <v>0</v>
      </c>
      <c r="Q35" s="41"/>
      <c r="X35" t="s">
        <v>111</v>
      </c>
      <c r="AA35" s="176" t="s">
        <v>187</v>
      </c>
      <c r="AB35" s="169" t="str">
        <f>IFERROR(INDEX(Data_Omakoodi!E:E,MATCH(AA35,Data_Omakoodi!A:A,0)),"")</f>
        <v/>
      </c>
      <c r="AC35" t="s">
        <v>188</v>
      </c>
      <c r="AD35" s="169" t="str">
        <f>IFERROR(INDEX(Data_Omakoodi!E:E,MATCH(AC35,Data_Omakoodi!A:A,0)),"")</f>
        <v/>
      </c>
      <c r="AE35" t="s">
        <v>188</v>
      </c>
      <c r="AF35" t="s">
        <v>189</v>
      </c>
    </row>
    <row r="36" spans="1:32" x14ac:dyDescent="0.25">
      <c r="A36" s="43" t="s">
        <v>722</v>
      </c>
      <c r="B36" s="37">
        <f>SUMIFS(AS!$W:$W,AS!$AB:$AB,"OK",AS!$AG:$AG,Asiakastilastot!$X36,AS!$AW:$AW,Asiakastilastot!$Y$6,AS!$X:$X,Asiakastilastot!$Y$5,AS!$K:$K,Asiakastilastot!$Y$1,AS!$AV:$AV,Asiakastilastot!$Y$2)</f>
        <v>0</v>
      </c>
      <c r="C36" s="398">
        <f t="shared" si="0"/>
        <v>0</v>
      </c>
      <c r="D36" s="37">
        <f>SUMIFS(AS!$W:$W,AS!$AB:$AB,"OK",AS!$AG:$AG,Asiakastilastot!$X36,AS!$F:$F,Asiakastilastot!$X$29,AS!$AW:$AW,Asiakastilastot!$Y$6,AS!$X:$X,Asiakastilastot!$Y$5,AS!$K:$K,Asiakastilastot!$Y$1,AS!$AV:$AV,Asiakastilastot!$Y$2)</f>
        <v>0</v>
      </c>
      <c r="E36" s="398">
        <f t="shared" si="1"/>
        <v>0</v>
      </c>
      <c r="F36" s="37">
        <f>SUMIFS(AS!$W:$W,AS!$AB:$AB,"OK",AS!$AG:$AG,Asiakastilastot!$X36,AS!$F:$F,Asiakastilastot!$X$30,AS!$AW:$AW,Asiakastilastot!$Y$6,AS!$X:$X,Asiakastilastot!$Y$5,AS!$K:$K,Asiakastilastot!$Y$1,AS!$AV:$AV,Asiakastilastot!$Y$2)</f>
        <v>0</v>
      </c>
      <c r="G36" s="398">
        <f t="shared" si="2"/>
        <v>0</v>
      </c>
      <c r="H36" s="47"/>
      <c r="I36" s="47"/>
      <c r="J36" s="47"/>
      <c r="K36" s="47"/>
      <c r="L36" s="49"/>
      <c r="M36" s="766"/>
      <c r="N36" s="380" t="str">
        <f>A32</f>
        <v>17-20 vuotta</v>
      </c>
      <c r="O36" s="381">
        <f>E32</f>
        <v>0</v>
      </c>
      <c r="P36" s="381">
        <f>G32</f>
        <v>0</v>
      </c>
      <c r="Q36" s="41"/>
      <c r="X36" t="s">
        <v>116</v>
      </c>
      <c r="AA36" s="176" t="s">
        <v>190</v>
      </c>
      <c r="AB36" s="169" t="str">
        <f>IFERROR(INDEX(Data_Omakoodi!E:E,MATCH(AA36,Data_Omakoodi!A:A,0)),"")</f>
        <v/>
      </c>
      <c r="AC36" t="s">
        <v>191</v>
      </c>
      <c r="AD36" s="169" t="str">
        <f>IFERROR(INDEX(Data_Omakoodi!E:E,MATCH(AC36,Data_Omakoodi!A:A,0)),"")</f>
        <v/>
      </c>
      <c r="AE36" t="s">
        <v>191</v>
      </c>
      <c r="AF36" t="s">
        <v>192</v>
      </c>
    </row>
    <row r="37" spans="1:32" x14ac:dyDescent="0.25">
      <c r="A37" s="44" t="s">
        <v>239</v>
      </c>
      <c r="B37" s="38">
        <f>SUMIFS(AS!$W:$W,AS!$AB:$AB,"OK",AS!$AG:$AG,Asiakastilastot!$X37,AS!$AW:$AW,Asiakastilastot!$Y$6,AS!$X:$X,Asiakastilastot!$Y$5,AS!$K:$K,Asiakastilastot!$Y$1,AS!$AV:$AV,Asiakastilastot!$Y$2)</f>
        <v>0</v>
      </c>
      <c r="C37" s="608">
        <f t="shared" si="0"/>
        <v>0</v>
      </c>
      <c r="D37" s="38">
        <f>SUMIFS(AS!$W:$W,AS!$AB:$AB,"OK",AS!$AG:$AG,Asiakastilastot!$X37,AS!$F:$F,Asiakastilastot!$X$29,AS!$AW:$AW,Asiakastilastot!$Y$6,AS!$X:$X,Asiakastilastot!$Y$5,AS!$K:$K,Asiakastilastot!$Y$1,AS!$AV:$AV,Asiakastilastot!$Y$2)</f>
        <v>0</v>
      </c>
      <c r="E37" s="608">
        <f t="shared" si="1"/>
        <v>0</v>
      </c>
      <c r="F37" s="38">
        <f>SUMIFS(AS!$W:$W,AS!$AB:$AB,"OK",AS!$AG:$AG,Asiakastilastot!$X37,AS!$F:$F,Asiakastilastot!$X$30,AS!$AW:$AW,Asiakastilastot!$Y$6,AS!$X:$X,Asiakastilastot!$Y$5,AS!$K:$K,Asiakastilastot!$Y$1,AS!$AV:$AV,Asiakastilastot!$Y$2)</f>
        <v>0</v>
      </c>
      <c r="G37" s="608">
        <f t="shared" si="2"/>
        <v>0</v>
      </c>
      <c r="H37" s="39"/>
      <c r="I37" s="39"/>
      <c r="J37" s="39"/>
      <c r="K37" s="39"/>
      <c r="L37" s="60"/>
      <c r="M37" s="766"/>
      <c r="N37" s="380" t="str">
        <f>A31</f>
        <v>Alle 17 vuotta</v>
      </c>
      <c r="O37" s="381">
        <f>E31</f>
        <v>0</v>
      </c>
      <c r="P37" s="381">
        <f>G31</f>
        <v>0</v>
      </c>
      <c r="Q37" s="41"/>
      <c r="X37" s="86" t="s">
        <v>122</v>
      </c>
      <c r="AA37" s="176" t="s">
        <v>193</v>
      </c>
      <c r="AB37" s="169" t="str">
        <f>IFERROR(INDEX(Data_Omakoodi!E:E,MATCH(AA37,Data_Omakoodi!A:A,0)),"")</f>
        <v/>
      </c>
      <c r="AC37" t="s">
        <v>194</v>
      </c>
      <c r="AD37" s="169" t="str">
        <f>IFERROR(INDEX(Data_Omakoodi!E:E,MATCH(AC37,Data_Omakoodi!A:A,0)),"")</f>
        <v/>
      </c>
      <c r="AE37" t="s">
        <v>194</v>
      </c>
      <c r="AF37" t="s">
        <v>195</v>
      </c>
    </row>
    <row r="38" spans="1:32" x14ac:dyDescent="0.25">
      <c r="A38" s="59" t="s">
        <v>243</v>
      </c>
      <c r="B38" s="89">
        <f>SUM(B31:B37)</f>
        <v>0</v>
      </c>
      <c r="C38" s="32">
        <f t="shared" si="0"/>
        <v>0</v>
      </c>
      <c r="D38" s="89">
        <f>SUM(D31:D37)</f>
        <v>0</v>
      </c>
      <c r="E38" s="32">
        <f>IFERROR(D38/$B38,0)</f>
        <v>0</v>
      </c>
      <c r="F38" s="89">
        <f>SUM(F31:F37)</f>
        <v>0</v>
      </c>
      <c r="G38" s="32">
        <f>IFERROR(F38/$B38,0)</f>
        <v>0</v>
      </c>
      <c r="H38" s="33"/>
      <c r="I38" s="33"/>
      <c r="J38" s="33"/>
      <c r="K38" s="33"/>
      <c r="L38" s="54"/>
      <c r="M38" s="766"/>
      <c r="N38" s="380" t="str">
        <f>A30</f>
        <v>Nuoret yhteensä</v>
      </c>
      <c r="O38" s="381">
        <f>E30</f>
        <v>0</v>
      </c>
      <c r="P38" s="381">
        <f>G30</f>
        <v>0</v>
      </c>
      <c r="Q38" s="41"/>
    </row>
    <row r="39" spans="1:32" x14ac:dyDescent="0.25">
      <c r="A39" s="475" t="str">
        <f>$A$6</f>
        <v>Kaikki</v>
      </c>
      <c r="B39" s="6"/>
      <c r="C39" s="6"/>
      <c r="D39" s="6"/>
      <c r="E39" s="6"/>
      <c r="G39" s="24"/>
      <c r="L39" s="41"/>
      <c r="M39" s="766"/>
      <c r="N39" s="380"/>
      <c r="O39" s="380"/>
      <c r="P39" s="380"/>
      <c r="Q39" s="41"/>
    </row>
    <row r="40" spans="1:32" x14ac:dyDescent="0.25">
      <c r="A40" s="15"/>
      <c r="B40" s="20"/>
      <c r="C40" s="20"/>
      <c r="D40" s="20"/>
      <c r="E40" s="20"/>
      <c r="F40" s="20"/>
      <c r="G40" s="23"/>
      <c r="H40" s="18"/>
      <c r="I40" s="18"/>
      <c r="J40" s="18"/>
      <c r="K40" s="18"/>
      <c r="L40" s="45"/>
      <c r="M40" s="767"/>
      <c r="N40" s="764"/>
      <c r="O40" s="764"/>
      <c r="P40" s="764"/>
      <c r="Q40" s="45"/>
    </row>
    <row r="41" spans="1:32" ht="40.5" customHeight="1" x14ac:dyDescent="0.25"/>
    <row r="42" spans="1:32" ht="30" customHeight="1" x14ac:dyDescent="0.25">
      <c r="A42" s="66" t="str">
        <f>X42&amp;X10&amp;X12</f>
        <v>Työpajajaksojen kokonaiskesto, jonka valmentautuja on ollut pajalla kuukausina - 01.01.2026-31.12.2026 (Kaikki kunnat, Kaikki yksiköt, Kaikki asiakkuudet)</v>
      </c>
      <c r="L42" s="610"/>
      <c r="M42" s="1030" t="s">
        <v>749</v>
      </c>
      <c r="N42" s="1031"/>
      <c r="O42" s="1031"/>
      <c r="P42" s="1031"/>
      <c r="Q42" s="1032"/>
      <c r="X42" s="389" t="s">
        <v>750</v>
      </c>
    </row>
    <row r="43" spans="1:32" x14ac:dyDescent="0.25">
      <c r="A43" s="1011" t="s">
        <v>751</v>
      </c>
      <c r="B43" s="1012" t="s">
        <v>752</v>
      </c>
      <c r="C43" s="1013"/>
      <c r="D43" s="1014" t="s">
        <v>753</v>
      </c>
      <c r="E43" s="1014"/>
      <c r="F43" s="4"/>
      <c r="G43" s="17"/>
      <c r="H43" s="17"/>
      <c r="I43" s="17"/>
      <c r="J43" s="17"/>
      <c r="K43" s="17"/>
      <c r="L43" s="40"/>
      <c r="M43" s="765"/>
      <c r="N43" s="762"/>
      <c r="O43" s="762"/>
      <c r="P43" s="17"/>
      <c r="Q43" s="40"/>
    </row>
    <row r="44" spans="1:32" x14ac:dyDescent="0.25">
      <c r="A44" s="1011"/>
      <c r="B44" s="771" t="s">
        <v>742</v>
      </c>
      <c r="C44" s="772" t="s">
        <v>754</v>
      </c>
      <c r="D44" s="773" t="s">
        <v>742</v>
      </c>
      <c r="E44" s="774" t="s">
        <v>754</v>
      </c>
      <c r="F44" s="52"/>
      <c r="L44" s="41"/>
      <c r="M44" s="766"/>
      <c r="Q44" s="41"/>
    </row>
    <row r="45" spans="1:32" x14ac:dyDescent="0.25">
      <c r="A45" s="142" t="s">
        <v>755</v>
      </c>
      <c r="B45" s="143">
        <f>SUMIFS(AS!$W:$W,AS!$AB:$AB,"OK",AS!$BD:$BD,Asiakastilastot!$X45,AS!$AW:$AW,Asiakastilastot!$Y$6,AS!$K:$K,Asiakastilastot!$Y$1,AS!$X:$X,Asiakastilastot!$Y$5,AS!$AV:$AV,Asiakastilastot!$Y$2)</f>
        <v>0</v>
      </c>
      <c r="C45" s="400">
        <f>IFERROR(B45/B$51,0)</f>
        <v>0</v>
      </c>
      <c r="D45" s="143">
        <f>SUMIFS(AS!$W:$W,AS!$AB:$AB,"OK",AS!$BD:$BD,Asiakastilastot!$X45,AS!$AH:$AH,Asiakastilastot!$X$8,AS!$AW:$AW,Asiakastilastot!$Y$6,AS!$K:$K,Asiakastilastot!$Y$1,AS!$X:$X,Asiakastilastot!$Y$5,AS!$AV:$AV,Asiakastilastot!$Y$2)</f>
        <v>0</v>
      </c>
      <c r="E45" s="400">
        <f>IFERROR(D45/D$51,0)</f>
        <v>0</v>
      </c>
      <c r="F45" s="52"/>
      <c r="L45" s="41"/>
      <c r="M45" s="766"/>
      <c r="Q45" s="41"/>
      <c r="X45" t="s">
        <v>156</v>
      </c>
    </row>
    <row r="46" spans="1:32" x14ac:dyDescent="0.25">
      <c r="A46" s="144" t="s">
        <v>756</v>
      </c>
      <c r="B46" s="145">
        <f>SUMIFS(AS!$W:$W,AS!$AB:$AB,"OK",AS!$BD:$BD,Asiakastilastot!$X46,AS!$AW:$AW,Asiakastilastot!$Y$6,AS!$K:$K,Asiakastilastot!$Y$1,AS!$X:$X,Asiakastilastot!$Y$5,AS!$AV:$AV,Asiakastilastot!$Y$2)</f>
        <v>0</v>
      </c>
      <c r="C46" s="401">
        <f t="shared" ref="C46:E49" si="3">IFERROR(B46/B$51,0)</f>
        <v>0</v>
      </c>
      <c r="D46" s="145">
        <f>SUMIFS(AS!$W:$W,AS!$AB:$AB,"OK",AS!$BD:$BD,Asiakastilastot!$X46,AS!$AH:$AH,Asiakastilastot!$X$8,AS!$AW:$AW,Asiakastilastot!$Y$6,AS!$K:$K,Asiakastilastot!$Y$1,AS!$X:$X,Asiakastilastot!$Y$5,AS!$AV:$AV,Asiakastilastot!$Y$2)</f>
        <v>0</v>
      </c>
      <c r="E46" s="401">
        <f t="shared" si="3"/>
        <v>0</v>
      </c>
      <c r="F46" s="52"/>
      <c r="L46" s="41"/>
      <c r="M46" s="766"/>
      <c r="Q46" s="41"/>
      <c r="X46" t="s">
        <v>163</v>
      </c>
    </row>
    <row r="47" spans="1:32" ht="15" customHeight="1" x14ac:dyDescent="0.25">
      <c r="A47" s="144" t="s">
        <v>757</v>
      </c>
      <c r="B47" s="145">
        <f>SUMIFS(AS!$W:$W,AS!$AB:$AB,"OK",AS!$BD:$BD,Asiakastilastot!$X47,AS!$AW:$AW,Asiakastilastot!$Y$6,AS!$K:$K,Asiakastilastot!$Y$1,AS!$X:$X,Asiakastilastot!$Y$5,AS!$AV:$AV,Asiakastilastot!$Y$2)</f>
        <v>0</v>
      </c>
      <c r="C47" s="401">
        <f t="shared" si="3"/>
        <v>0</v>
      </c>
      <c r="D47" s="145">
        <f>SUMIFS(AS!$W:$W,AS!$AB:$AB,"OK",AS!$BD:$BD,Asiakastilastot!$X47,AS!$AH:$AH,Asiakastilastot!$X$8,AS!$AW:$AW,Asiakastilastot!$Y$6,AS!$K:$K,Asiakastilastot!$Y$1,AS!$X:$X,Asiakastilastot!$Y$5,AS!$AV:$AV,Asiakastilastot!$Y$2)</f>
        <v>0</v>
      </c>
      <c r="E47" s="401">
        <f t="shared" si="3"/>
        <v>0</v>
      </c>
      <c r="F47" s="52"/>
      <c r="L47" s="41"/>
      <c r="M47" s="766"/>
      <c r="Q47" s="41"/>
      <c r="X47" t="s">
        <v>168</v>
      </c>
    </row>
    <row r="48" spans="1:32" x14ac:dyDescent="0.25">
      <c r="A48" s="144" t="s">
        <v>758</v>
      </c>
      <c r="B48" s="145">
        <f>SUMIFS(AS!$W:$W,AS!$AB:$AB,"OK",AS!$BD:$BD,Asiakastilastot!$X48,AS!$AW:$AW,Asiakastilastot!$Y$6,AS!$K:$K,Asiakastilastot!$Y$1,AS!$X:$X,Asiakastilastot!$Y$5,AS!$AV:$AV,Asiakastilastot!$Y$2)</f>
        <v>0</v>
      </c>
      <c r="C48" s="401">
        <f t="shared" si="3"/>
        <v>0</v>
      </c>
      <c r="D48" s="145">
        <f>SUMIFS(AS!$W:$W,AS!$AB:$AB,"OK",AS!$BD:$BD,Asiakastilastot!$X48,AS!$AH:$AH,Asiakastilastot!$X$8,AS!$AW:$AW,Asiakastilastot!$Y$6,AS!$K:$K,Asiakastilastot!$Y$1,AS!$X:$X,Asiakastilastot!$Y$5,AS!$AV:$AV,Asiakastilastot!$Y$2)</f>
        <v>0</v>
      </c>
      <c r="E48" s="401">
        <f t="shared" si="3"/>
        <v>0</v>
      </c>
      <c r="F48" s="52"/>
      <c r="L48" s="41"/>
      <c r="M48" s="766"/>
      <c r="Q48" s="41"/>
      <c r="X48" t="s">
        <v>173</v>
      </c>
    </row>
    <row r="49" spans="1:24" x14ac:dyDescent="0.25">
      <c r="A49" s="144" t="s">
        <v>759</v>
      </c>
      <c r="B49" s="145">
        <f>SUMIFS(AS!$W:$W,AS!$AB:$AB,"OK",AS!$BD:$BD,Asiakastilastot!$X49,AS!$AW:$AW,Asiakastilastot!$Y$6,AS!$K:$K,Asiakastilastot!$Y$1,AS!$X:$X,Asiakastilastot!$Y$5,AS!$AV:$AV,Asiakastilastot!$Y$2)</f>
        <v>0</v>
      </c>
      <c r="C49" s="401">
        <f t="shared" si="3"/>
        <v>0</v>
      </c>
      <c r="D49" s="145">
        <f>SUMIFS(AS!$W:$W,AS!$AB:$AB,"OK",AS!$BD:$BD,Asiakastilastot!$X49,AS!$AH:$AH,Asiakastilastot!$X$8,AS!$AW:$AW,Asiakastilastot!$Y$6,AS!$K:$K,Asiakastilastot!$Y$1,AS!$X:$X,Asiakastilastot!$Y$5,AS!$AV:$AV,Asiakastilastot!$Y$2)</f>
        <v>0</v>
      </c>
      <c r="E49" s="401">
        <f t="shared" si="3"/>
        <v>0</v>
      </c>
      <c r="F49" s="52"/>
      <c r="L49" s="41"/>
      <c r="M49" s="766"/>
      <c r="Q49" s="41"/>
      <c r="X49" t="s">
        <v>178</v>
      </c>
    </row>
    <row r="50" spans="1:24" x14ac:dyDescent="0.25">
      <c r="A50" s="146" t="s">
        <v>239</v>
      </c>
      <c r="B50" s="147">
        <f>SUMIFS(AS!$W:$W,AS!$AB:$AB,"OK",AS!$BD:$BD,Asiakastilastot!$X50,AS!$AW:$AW,Asiakastilastot!$Y$6,AS!$K:$K,Asiakastilastot!$Y$1,AS!$X:$X,Asiakastilastot!$Y$5,AS!$AV:$AV,Asiakastilastot!$Y$2)</f>
        <v>0</v>
      </c>
      <c r="C50" s="401">
        <f>IFERROR(B50/B$51,0)</f>
        <v>0</v>
      </c>
      <c r="D50" s="147">
        <f>SUMIFS(AS!$W:$W,AS!$AB:$AB,"OK",AS!$BD:$BD,Asiakastilastot!$X50,AS!$AH:$AH,Asiakastilastot!$X$8,AS!$AW:$AW,Asiakastilastot!$Y$6,AS!$K:$K,Asiakastilastot!$Y$1,AS!$X:$X,Asiakastilastot!$Y$5,AS!$AV:$AV,Asiakastilastot!$Y$2)</f>
        <v>0</v>
      </c>
      <c r="E50" s="401">
        <f>IFERROR(D50/D$51,0)</f>
        <v>0</v>
      </c>
      <c r="F50" s="52"/>
      <c r="L50" s="41"/>
      <c r="M50" s="766"/>
      <c r="Q50" s="41"/>
      <c r="X50" s="86" t="s">
        <v>122</v>
      </c>
    </row>
    <row r="51" spans="1:24" x14ac:dyDescent="0.25">
      <c r="A51" s="68" t="s">
        <v>243</v>
      </c>
      <c r="B51" s="29">
        <f>SUM(B45:B50)</f>
        <v>0</v>
      </c>
      <c r="C51" s="32">
        <f>IFERROR(B51/B$51,0)</f>
        <v>0</v>
      </c>
      <c r="D51" s="29">
        <f>D45+D46+D47+D48+D50+D49</f>
        <v>0</v>
      </c>
      <c r="E51" s="32">
        <f>IFERROR(D51/D$51,0)</f>
        <v>0</v>
      </c>
      <c r="F51" s="55"/>
      <c r="G51" s="18"/>
      <c r="H51" s="18"/>
      <c r="I51" s="18"/>
      <c r="J51" s="18"/>
      <c r="K51" s="18"/>
      <c r="L51" s="45"/>
      <c r="M51" s="767"/>
      <c r="N51" s="764"/>
      <c r="O51" s="764"/>
      <c r="P51" s="18"/>
      <c r="Q51" s="45"/>
    </row>
    <row r="52" spans="1:24" x14ac:dyDescent="0.25">
      <c r="A52" s="475" t="str">
        <f>$A$6</f>
        <v>Kaikki</v>
      </c>
      <c r="L52" s="66"/>
      <c r="M52" s="1024" t="s">
        <v>760</v>
      </c>
      <c r="N52" s="1025"/>
      <c r="O52" s="1025"/>
      <c r="P52" s="1025"/>
      <c r="Q52" s="1026"/>
    </row>
    <row r="53" spans="1:24" x14ac:dyDescent="0.25">
      <c r="M53" s="1027"/>
      <c r="N53" s="1028"/>
      <c r="O53" s="1028"/>
      <c r="P53" s="1028"/>
      <c r="Q53" s="1029"/>
    </row>
    <row r="54" spans="1:24" x14ac:dyDescent="0.25">
      <c r="E54" s="80"/>
      <c r="M54" s="765"/>
      <c r="N54" s="762"/>
      <c r="O54" s="762"/>
      <c r="P54" s="762"/>
      <c r="Q54" s="763"/>
    </row>
    <row r="55" spans="1:24" x14ac:dyDescent="0.25">
      <c r="A55" s="66" t="str">
        <f>X56&amp;X10&amp;X12</f>
        <v>Työpajalla olleiden valmentautujien äidinkieli - 01.01.2026-31.12.2026 (Kaikki kunnat, Kaikki yksiköt, Kaikki asiakkuudet)</v>
      </c>
      <c r="E55" s="80"/>
      <c r="M55" s="766"/>
      <c r="Q55" s="41"/>
    </row>
    <row r="56" spans="1:24" x14ac:dyDescent="0.25">
      <c r="A56" s="988" t="s">
        <v>196</v>
      </c>
      <c r="B56" s="978" t="s">
        <v>752</v>
      </c>
      <c r="C56" s="978" t="s">
        <v>753</v>
      </c>
      <c r="D56" s="1015" t="s">
        <v>761</v>
      </c>
      <c r="E56" s="1016"/>
      <c r="F56" s="1017"/>
      <c r="G56" s="761"/>
      <c r="H56" s="761"/>
      <c r="I56" s="761"/>
      <c r="J56" s="761"/>
      <c r="K56" s="761"/>
      <c r="M56" s="766"/>
      <c r="Q56" s="41"/>
      <c r="X56" s="66" t="s">
        <v>762</v>
      </c>
    </row>
    <row r="57" spans="1:24" x14ac:dyDescent="0.25">
      <c r="A57" s="1035"/>
      <c r="B57" s="980"/>
      <c r="C57" s="980"/>
      <c r="D57" s="1018"/>
      <c r="E57" s="1019"/>
      <c r="F57" s="1020"/>
      <c r="G57" s="761"/>
      <c r="H57" s="761"/>
      <c r="I57" s="761"/>
      <c r="J57" s="761"/>
      <c r="K57" s="761"/>
      <c r="M57" s="766"/>
      <c r="Q57" s="41"/>
    </row>
    <row r="58" spans="1:24" x14ac:dyDescent="0.25">
      <c r="A58" s="989"/>
      <c r="B58" s="1009" t="s">
        <v>763</v>
      </c>
      <c r="C58" s="1034"/>
      <c r="D58" s="1021"/>
      <c r="E58" s="1022"/>
      <c r="F58" s="1023"/>
      <c r="G58" s="761"/>
      <c r="H58" s="761"/>
      <c r="I58" s="761"/>
      <c r="J58" s="761"/>
      <c r="K58" s="761"/>
      <c r="M58" s="766"/>
      <c r="Q58" s="41"/>
    </row>
    <row r="59" spans="1:24" x14ac:dyDescent="0.25">
      <c r="A59" s="1040" t="s">
        <v>197</v>
      </c>
      <c r="B59" s="7">
        <f>SUM(B61:B63)</f>
        <v>0</v>
      </c>
      <c r="C59" s="738">
        <f>SUM(C61:C63)</f>
        <v>0</v>
      </c>
      <c r="D59" s="52"/>
      <c r="F59" s="41"/>
      <c r="M59" s="766"/>
      <c r="Q59" s="41"/>
    </row>
    <row r="60" spans="1:24" x14ac:dyDescent="0.25">
      <c r="A60" s="1042"/>
      <c r="B60" s="34">
        <f>IFERROR(B59/B$85,0)</f>
        <v>0</v>
      </c>
      <c r="C60" s="739">
        <f>IFERROR(C59/C$85,0)</f>
        <v>0</v>
      </c>
      <c r="D60" s="52"/>
      <c r="F60" s="41"/>
      <c r="M60" s="766"/>
      <c r="Q60" s="41"/>
      <c r="X60" t="s">
        <v>764</v>
      </c>
    </row>
    <row r="61" spans="1:24" x14ac:dyDescent="0.25">
      <c r="A61" s="148" t="s">
        <v>198</v>
      </c>
      <c r="B61" s="149">
        <f>SUMIFS(AS!$W:$W,AS!$AB:$AB,"OK",AS!$AI:$AI,Asiakastilastot!$X61,AS!$AW:$AW,Asiakastilastot!$Y$6,AS!$K:$K,Asiakastilastot!$Y$1,AS!$X:$X,Asiakastilastot!$Y$5,AS!$AV:$AV,Asiakastilastot!$Y$2)</f>
        <v>0</v>
      </c>
      <c r="C61" s="143">
        <f>SUMIFS(AS!$W:$W,AS!$AB:$AB,"OK",AS!$AI:$AI,Asiakastilastot!$X61,AS!$AH:$AH,Asiakastilastot!$X$8,AS!$AW:$AW,Asiakastilastot!$Y$6,AS!$K:$K,Asiakastilastot!$Y$1,AS!$X:$X,Asiakastilastot!$Y$5,AS!$AV:$AV,Asiakastilastot!$Y$2)</f>
        <v>0</v>
      </c>
      <c r="D61" s="52"/>
      <c r="F61" s="41"/>
      <c r="M61" s="766"/>
      <c r="Q61" s="41"/>
      <c r="X61" t="s">
        <v>199</v>
      </c>
    </row>
    <row r="62" spans="1:24" x14ac:dyDescent="0.25">
      <c r="A62" s="150" t="s">
        <v>201</v>
      </c>
      <c r="B62" s="151">
        <f>SUMIFS(AS!$W:$W,AS!$AB:$AB,"OK",AS!$AI:$AI,Asiakastilastot!$X62,AS!$AW:$AW,Asiakastilastot!$Y$6,AS!$K:$K,Asiakastilastot!$Y$1,AS!$X:$X,Asiakastilastot!$Y$5,AS!$AV:$AV,Asiakastilastot!$Y$2)</f>
        <v>0</v>
      </c>
      <c r="C62" s="145">
        <f>SUMIFS(AS!$W:$W,AS!$AB:$AB,"OK",AS!$AI:$AI,Asiakastilastot!$X62,AS!$AH:$AH,Asiakastilastot!$X$8,AS!$AW:$AW,Asiakastilastot!$Y$6,AS!$K:$K,Asiakastilastot!$Y$1,AS!$X:$X,Asiakastilastot!$Y$5,AS!$AV:$AV,Asiakastilastot!$Y$2)</f>
        <v>0</v>
      </c>
      <c r="D62" s="52"/>
      <c r="F62" s="41"/>
      <c r="M62" s="767"/>
      <c r="N62" s="764"/>
      <c r="O62" s="764"/>
      <c r="P62" s="18"/>
      <c r="Q62" s="45"/>
      <c r="X62" t="s">
        <v>202</v>
      </c>
    </row>
    <row r="63" spans="1:24" x14ac:dyDescent="0.25">
      <c r="A63" s="152" t="s">
        <v>203</v>
      </c>
      <c r="B63" s="153">
        <f>SUMIFS(AS!$W:$W,AS!$AB:$AB,"OK",AS!$AI:$AI,Asiakastilastot!$X63,AS!$AW:$AW,Asiakastilastot!$Y$6,AS!$K:$K,Asiakastilastot!$Y$1,AS!$X:$X,Asiakastilastot!$Y$5,AS!$AV:$AV,Asiakastilastot!$Y$2)</f>
        <v>0</v>
      </c>
      <c r="C63" s="147">
        <f>SUMIFS(AS!$W:$W,AS!$AB:$AB,"OK",AS!$AI:$AI,Asiakastilastot!$X63,AS!$AH:$AH,Asiakastilastot!$X$8,AS!$AW:$AW,Asiakastilastot!$Y$6,AS!$K:$K,Asiakastilastot!$Y$1,AS!$X:$X,Asiakastilastot!$Y$5,AS!$AV:$AV,Asiakastilastot!$Y$2)</f>
        <v>0</v>
      </c>
      <c r="D63" s="52"/>
      <c r="F63" s="41"/>
      <c r="X63" t="s">
        <v>204</v>
      </c>
    </row>
    <row r="64" spans="1:24" x14ac:dyDescent="0.25">
      <c r="A64" s="1040" t="s">
        <v>205</v>
      </c>
      <c r="B64" s="8">
        <f>SUM(B66:B80)</f>
        <v>0</v>
      </c>
      <c r="C64" s="738">
        <f>SUM(C66:C80)</f>
        <v>0</v>
      </c>
      <c r="D64" s="52"/>
      <c r="F64" s="41"/>
    </row>
    <row r="65" spans="1:27" ht="15" customHeight="1" x14ac:dyDescent="0.25">
      <c r="A65" s="1041"/>
      <c r="B65" s="35">
        <f>IFERROR(B64/B$85,0)</f>
        <v>0</v>
      </c>
      <c r="C65" s="739">
        <f>IFERROR(C64/C$85,0)</f>
        <v>0</v>
      </c>
      <c r="D65" s="52"/>
      <c r="F65" s="41"/>
      <c r="J65" s="1000" t="str">
        <f>A89</f>
        <v>Valmentautujien ohjautuminen työpajatoimintaan ohjaavan tahon mukaan - 01.01.2026-31.12.2026 (Kaikki kunnat, Kaikki yksiköt, Kaikki asiakkuudet)</v>
      </c>
      <c r="K65" s="1001"/>
      <c r="L65" s="1001"/>
      <c r="M65" s="1001"/>
      <c r="N65" s="1001"/>
      <c r="O65" s="1001"/>
      <c r="P65" s="1001"/>
      <c r="Q65" s="1002"/>
    </row>
    <row r="66" spans="1:27" x14ac:dyDescent="0.25">
      <c r="A66" s="148" t="s">
        <v>206</v>
      </c>
      <c r="B66" s="149">
        <f>SUMIFS(AS!$W:$W,AS!$AB:$AB,"OK",AS!$AI:$AI,Asiakastilastot!$X66,AS!$AW:$AW,Asiakastilastot!$Y$6,AS!$K:$K,Asiakastilastot!$Y$1,AS!$X:$X,Asiakastilastot!$Y$5,AS!$AV:$AV,Asiakastilastot!$Y$2)</f>
        <v>0</v>
      </c>
      <c r="C66" s="143">
        <f>SUMIFS(AS!$W:$W,AS!$AB:$AB,"OK",AS!$AI:$AI,Asiakastilastot!$X66,AS!$AH:$AH,Asiakastilastot!$X$8,AS!$AW:$AW,Asiakastilastot!$Y$6,AS!$K:$K,Asiakastilastot!$Y$1,AS!$X:$X,Asiakastilastot!$Y$5,AS!$AV:$AV,Asiakastilastot!$Y$2)</f>
        <v>0</v>
      </c>
      <c r="D66" s="52"/>
      <c r="F66" s="41"/>
      <c r="J66" s="1003"/>
      <c r="K66" s="1004"/>
      <c r="L66" s="1004"/>
      <c r="M66" s="1004"/>
      <c r="N66" s="1004"/>
      <c r="O66" s="1004"/>
      <c r="P66" s="1004"/>
      <c r="Q66" s="1005"/>
      <c r="X66" s="195" t="s">
        <v>207</v>
      </c>
      <c r="Y66" s="195"/>
      <c r="AA66" s="148" t="s">
        <v>206</v>
      </c>
    </row>
    <row r="67" spans="1:27" x14ac:dyDescent="0.25">
      <c r="A67" s="903" t="s">
        <v>208</v>
      </c>
      <c r="B67" s="151">
        <f>SUMIFS(AS!$W:$W,AS!$AB:$AB,"OK",AS!$AI:$AI,Asiakastilastot!$X67,AS!$AW:$AW,Asiakastilastot!$Y$6,AS!$K:$K,Asiakastilastot!$Y$1,AS!$X:$X,Asiakastilastot!$Y$5,AS!$AV:$AV,Asiakastilastot!$Y$2)</f>
        <v>0</v>
      </c>
      <c r="C67" s="145">
        <f>SUMIFS(AS!$W:$W,AS!$AB:$AB,"OK",AS!$AI:$AI,Asiakastilastot!$X67,AS!$AH:$AH,Asiakastilastot!$X$8,AS!$AW:$AW,Asiakastilastot!$Y$6,AS!$K:$K,Asiakastilastot!$Y$1,AS!$X:$X,Asiakastilastot!$Y$5,AS!$AV:$AV,Asiakastilastot!$Y$2)</f>
        <v>0</v>
      </c>
      <c r="D67" s="52"/>
      <c r="F67" s="41"/>
      <c r="J67" s="4"/>
      <c r="K67" s="17"/>
      <c r="L67" s="17"/>
      <c r="M67" s="17"/>
      <c r="N67" s="762"/>
      <c r="O67" s="762"/>
      <c r="P67" s="762"/>
      <c r="Q67" s="763"/>
      <c r="X67" s="195" t="s">
        <v>212</v>
      </c>
      <c r="Y67" s="195"/>
      <c r="AA67" s="150" t="s">
        <v>208</v>
      </c>
    </row>
    <row r="68" spans="1:27" x14ac:dyDescent="0.25">
      <c r="A68" s="903" t="s">
        <v>213</v>
      </c>
      <c r="B68" s="151">
        <f>SUMIFS(AS!$W:$W,AS!$AB:$AB,"OK",AS!$AI:$AI,Asiakastilastot!$X68,AS!$AW:$AW,Asiakastilastot!$Y$6,AS!$K:$K,Asiakastilastot!$Y$1,AS!$X:$X,Asiakastilastot!$Y$5,AS!$AV:$AV,Asiakastilastot!$Y$2)</f>
        <v>0</v>
      </c>
      <c r="C68" s="145">
        <f>SUMIFS(AS!$W:$W,AS!$AB:$AB,"OK",AS!$AI:$AI,Asiakastilastot!$X68,AS!$AH:$AH,Asiakastilastot!$X$8,AS!$AW:$AW,Asiakastilastot!$Y$6,AS!$K:$K,Asiakastilastot!$Y$1,AS!$X:$X,Asiakastilastot!$Y$5,AS!$AV:$AV,Asiakastilastot!$Y$2)</f>
        <v>0</v>
      </c>
      <c r="D68" s="52"/>
      <c r="F68" s="41"/>
      <c r="J68" s="52"/>
      <c r="L68"/>
      <c r="M68"/>
      <c r="P68" s="177"/>
      <c r="Q68" s="613"/>
      <c r="X68" s="478" t="s">
        <v>214</v>
      </c>
      <c r="Y68" s="478"/>
      <c r="AA68" s="886" t="s">
        <v>213</v>
      </c>
    </row>
    <row r="69" spans="1:27" x14ac:dyDescent="0.25">
      <c r="A69" s="903" t="s">
        <v>216</v>
      </c>
      <c r="B69" s="151">
        <f>SUMIFS(AS!$W:$W,AS!$AB:$AB,"OK",AS!$AI:$AI,Asiakastilastot!$X69,AS!$AW:$AW,Asiakastilastot!$Y$6,AS!$K:$K,Asiakastilastot!$Y$1,AS!$X:$X,Asiakastilastot!$Y$5,AS!$AV:$AV,Asiakastilastot!$Y$2)</f>
        <v>0</v>
      </c>
      <c r="C69" s="145">
        <f>SUMIFS(AS!$W:$W,AS!$AB:$AB,"OK",AS!$AI:$AI,Asiakastilastot!$X69,AS!$AH:$AH,Asiakastilastot!$X$8,AS!$AW:$AW,Asiakastilastot!$Y$6,AS!$K:$K,Asiakastilastot!$Y$1,AS!$X:$X,Asiakastilastot!$Y$5,AS!$AV:$AV,Asiakastilastot!$Y$2)</f>
        <v>0</v>
      </c>
      <c r="D69" s="52"/>
      <c r="F69" s="41"/>
      <c r="J69" s="52"/>
      <c r="L69"/>
      <c r="M69"/>
      <c r="P69" s="177"/>
      <c r="Q69" s="613"/>
      <c r="X69" s="195" t="s">
        <v>215</v>
      </c>
      <c r="Y69" s="195"/>
      <c r="AA69" s="150" t="s">
        <v>216</v>
      </c>
    </row>
    <row r="70" spans="1:27" x14ac:dyDescent="0.25">
      <c r="A70" s="903" t="s">
        <v>218</v>
      </c>
      <c r="B70" s="151">
        <f>SUMIFS(AS!$W:$W,AS!$AB:$AB,"OK",AS!$AI:$AI,Asiakastilastot!$X70,AS!$AW:$AW,Asiakastilastot!$Y$6,AS!$K:$K,Asiakastilastot!$Y$1,AS!$X:$X,Asiakastilastot!$Y$5,AS!$AV:$AV,Asiakastilastot!$Y$2)</f>
        <v>0</v>
      </c>
      <c r="C70" s="145">
        <f>SUMIFS(AS!$W:$W,AS!$AB:$AB,"OK",AS!$AI:$AI,Asiakastilastot!$X70,AS!$AH:$AH,Asiakastilastot!$X$8,AS!$AW:$AW,Asiakastilastot!$Y$6,AS!$K:$K,Asiakastilastot!$Y$1,AS!$X:$X,Asiakastilastot!$Y$5,AS!$AV:$AV,Asiakastilastot!$Y$2)</f>
        <v>0</v>
      </c>
      <c r="D70" s="55"/>
      <c r="E70" s="18"/>
      <c r="F70" s="45"/>
      <c r="J70" s="52"/>
      <c r="L70"/>
      <c r="M70"/>
      <c r="P70" s="177"/>
      <c r="Q70" s="613"/>
      <c r="X70" s="195" t="s">
        <v>217</v>
      </c>
      <c r="Y70" s="195"/>
      <c r="AA70" s="150" t="s">
        <v>218</v>
      </c>
    </row>
    <row r="71" spans="1:27" x14ac:dyDescent="0.25">
      <c r="A71" s="903" t="s">
        <v>220</v>
      </c>
      <c r="B71" s="151">
        <f>SUMIFS(AS!$W:$W,AS!$AB:$AB,"OK",AS!$AI:$AI,Asiakastilastot!$X71,AS!$AW:$AW,Asiakastilastot!$Y$6,AS!$K:$K,Asiakastilastot!$Y$1,AS!$X:$X,Asiakastilastot!$Y$5,AS!$AV:$AV,Asiakastilastot!$Y$2)</f>
        <v>0</v>
      </c>
      <c r="C71" s="145">
        <f>SUMIFS(AS!$W:$W,AS!$AB:$AB,"OK",AS!$AI:$AI,Asiakastilastot!$X71,AS!$AH:$AH,Asiakastilastot!$X$8,AS!$AW:$AW,Asiakastilastot!$Y$6,AS!$K:$K,Asiakastilastot!$Y$1,AS!$X:$X,Asiakastilastot!$Y$5,AS!$AV:$AV,Asiakastilastot!$Y$2)</f>
        <v>0</v>
      </c>
      <c r="D71" s="52"/>
      <c r="J71" s="52"/>
      <c r="L71"/>
      <c r="M71"/>
      <c r="P71" s="177"/>
      <c r="Q71" s="613"/>
      <c r="X71" s="195" t="s">
        <v>221</v>
      </c>
      <c r="Y71" s="195"/>
      <c r="AA71" s="150" t="s">
        <v>220</v>
      </c>
    </row>
    <row r="72" spans="1:27" x14ac:dyDescent="0.25">
      <c r="A72" s="903" t="s">
        <v>222</v>
      </c>
      <c r="B72" s="151">
        <f>SUMIFS(AS!$W:$W,AS!$AB:$AB,"OK",AS!$AI:$AI,Asiakastilastot!$X72,AS!$AW:$AW,Asiakastilastot!$Y$6,AS!$K:$K,Asiakastilastot!$Y$1,AS!$X:$X,Asiakastilastot!$Y$5,AS!$AV:$AV,Asiakastilastot!$Y$2)</f>
        <v>0</v>
      </c>
      <c r="C72" s="145">
        <f>SUMIFS(AS!$W:$W,AS!$AB:$AB,"OK",AS!$AI:$AI,Asiakastilastot!$X72,AS!$AH:$AH,Asiakastilastot!$X$8,AS!$AW:$AW,Asiakastilastot!$Y$6,AS!$K:$K,Asiakastilastot!$Y$1,AS!$X:$X,Asiakastilastot!$Y$5,AS!$AV:$AV,Asiakastilastot!$Y$2)</f>
        <v>0</v>
      </c>
      <c r="D72" s="52"/>
      <c r="J72" s="52"/>
      <c r="L72"/>
      <c r="M72"/>
      <c r="P72" s="177"/>
      <c r="Q72" s="613"/>
      <c r="X72" s="195" t="s">
        <v>219</v>
      </c>
      <c r="Y72" s="195"/>
      <c r="AA72" s="150" t="s">
        <v>222</v>
      </c>
    </row>
    <row r="73" spans="1:27" x14ac:dyDescent="0.25">
      <c r="A73" s="903" t="s">
        <v>223</v>
      </c>
      <c r="B73" s="151">
        <f>SUMIFS(AS!$W:$W,AS!$AB:$AB,"OK",AS!$AI:$AI,Asiakastilastot!$X73,AS!$AW:$AW,Asiakastilastot!$Y$6,AS!$K:$K,Asiakastilastot!$Y$1,AS!$X:$X,Asiakastilastot!$Y$5,AS!$AV:$AV,Asiakastilastot!$Y$2)</f>
        <v>0</v>
      </c>
      <c r="C73" s="145">
        <f>SUMIFS(AS!$W:$W,AS!$AB:$AB,"OK",AS!$AI:$AI,Asiakastilastot!$X73,AS!$AH:$AH,Asiakastilastot!$X$8,AS!$AW:$AW,Asiakastilastot!$Y$6,AS!$K:$K,Asiakastilastot!$Y$1,AS!$X:$X,Asiakastilastot!$Y$5,AS!$AV:$AV,Asiakastilastot!$Y$2)</f>
        <v>0</v>
      </c>
      <c r="D73" s="52"/>
      <c r="J73" s="52"/>
      <c r="L73"/>
      <c r="M73"/>
      <c r="P73" s="177"/>
      <c r="Q73" s="613"/>
      <c r="X73" s="195" t="s">
        <v>224</v>
      </c>
      <c r="Y73" s="195"/>
      <c r="AA73" s="150" t="s">
        <v>223</v>
      </c>
    </row>
    <row r="74" spans="1:27" x14ac:dyDescent="0.25">
      <c r="A74" s="903" t="s">
        <v>225</v>
      </c>
      <c r="B74" s="151">
        <f>SUMIFS(AS!$W:$W,AS!$AB:$AB,"OK",AS!$AI:$AI,Asiakastilastot!$X74,AS!$AW:$AW,Asiakastilastot!$Y$6,AS!$K:$K,Asiakastilastot!$Y$1,AS!$X:$X,Asiakastilastot!$Y$5,AS!$AV:$AV,Asiakastilastot!$Y$2)</f>
        <v>0</v>
      </c>
      <c r="C74" s="145">
        <f>SUMIFS(AS!$W:$W,AS!$AB:$AB,"OK",AS!$AI:$AI,Asiakastilastot!$X74,AS!$AH:$AH,Asiakastilastot!$X$8,AS!$AW:$AW,Asiakastilastot!$Y$6,AS!$K:$K,Asiakastilastot!$Y$1,AS!$X:$X,Asiakastilastot!$Y$5,AS!$AV:$AV,Asiakastilastot!$Y$2)</f>
        <v>0</v>
      </c>
      <c r="D74" s="52"/>
      <c r="J74" s="52"/>
      <c r="L74"/>
      <c r="M74"/>
      <c r="P74" s="177"/>
      <c r="Q74" s="613"/>
      <c r="X74" s="195" t="s">
        <v>226</v>
      </c>
      <c r="Y74" s="195"/>
      <c r="AA74" s="150" t="s">
        <v>225</v>
      </c>
    </row>
    <row r="75" spans="1:27" x14ac:dyDescent="0.25">
      <c r="A75" s="903" t="s">
        <v>227</v>
      </c>
      <c r="B75" s="151">
        <f>SUMIFS(AS!$W:$W,AS!$AB:$AB,"OK",AS!$AI:$AI,Asiakastilastot!$X75,AS!$AW:$AW,Asiakastilastot!$Y$6,AS!$K:$K,Asiakastilastot!$Y$1,AS!$X:$X,Asiakastilastot!$Y$5,AS!$AV:$AV,Asiakastilastot!$Y$2)</f>
        <v>0</v>
      </c>
      <c r="C75" s="145">
        <f>SUMIFS(AS!$W:$W,AS!$AB:$AB,"OK",AS!$AI:$AI,Asiakastilastot!$X75,AS!$AH:$AH,Asiakastilastot!$X$8,AS!$AW:$AW,Asiakastilastot!$Y$6,AS!$K:$K,Asiakastilastot!$Y$1,AS!$X:$X,Asiakastilastot!$Y$5,AS!$AV:$AV,Asiakastilastot!$Y$2)</f>
        <v>0</v>
      </c>
      <c r="D75" s="52"/>
      <c r="J75" s="52"/>
      <c r="L75"/>
      <c r="M75"/>
      <c r="P75" s="177"/>
      <c r="Q75" s="613"/>
      <c r="X75" s="478" t="s">
        <v>228</v>
      </c>
      <c r="Y75" s="478"/>
      <c r="AA75" s="886" t="s">
        <v>227</v>
      </c>
    </row>
    <row r="76" spans="1:27" x14ac:dyDescent="0.25">
      <c r="A76" s="903" t="s">
        <v>230</v>
      </c>
      <c r="B76" s="151">
        <f>SUMIFS(AS!$W:$W,AS!$AB:$AB,"OK",AS!$AI:$AI,Asiakastilastot!$X76,AS!$AW:$AW,Asiakastilastot!$Y$6,AS!$K:$K,Asiakastilastot!$Y$1,AS!$X:$X,Asiakastilastot!$Y$5,AS!$AV:$AV,Asiakastilastot!$Y$2)</f>
        <v>0</v>
      </c>
      <c r="C76" s="145">
        <f>SUMIFS(AS!$W:$W,AS!$AB:$AB,"OK",AS!$AI:$AI,Asiakastilastot!$X76,AS!$AH:$AH,Asiakastilastot!$X$8,AS!$AW:$AW,Asiakastilastot!$Y$6,AS!$K:$K,Asiakastilastot!$Y$1,AS!$X:$X,Asiakastilastot!$Y$5,AS!$AV:$AV,Asiakastilastot!$Y$2)</f>
        <v>0</v>
      </c>
      <c r="D76" s="52"/>
      <c r="E76" s="57"/>
      <c r="J76" s="52"/>
      <c r="L76"/>
      <c r="M76"/>
      <c r="P76" s="177"/>
      <c r="Q76" s="613"/>
      <c r="X76" s="195" t="s">
        <v>229</v>
      </c>
      <c r="Y76" s="195"/>
      <c r="AA76" s="150" t="s">
        <v>230</v>
      </c>
    </row>
    <row r="77" spans="1:27" x14ac:dyDescent="0.25">
      <c r="A77" s="887" t="s">
        <v>232</v>
      </c>
      <c r="B77" s="151">
        <f>SUMIFS(AS!$W:$W,AS!$AB:$AB,"OK",AS!$AI:$AI,Asiakastilastot!$X77,AS!$AW:$AW,Asiakastilastot!$Y$6,AS!$K:$K,Asiakastilastot!$Y$1,AS!$X:$X,Asiakastilastot!$Y$5,AS!$AV:$AV,Asiakastilastot!$Y$2)</f>
        <v>0</v>
      </c>
      <c r="C77" s="145">
        <f>SUMIFS(AS!$W:$W,AS!$AB:$AB,"OK",AS!$AI:$AI,Asiakastilastot!$X77,AS!$AH:$AH,Asiakastilastot!$X$8,AS!$AW:$AW,Asiakastilastot!$Y$6,AS!$K:$K,Asiakastilastot!$Y$1,AS!$X:$X,Asiakastilastot!$Y$5,AS!$AV:$AV,Asiakastilastot!$Y$2)</f>
        <v>0</v>
      </c>
      <c r="D77" s="52"/>
      <c r="E77" s="57"/>
      <c r="J77" s="52"/>
      <c r="L77"/>
      <c r="M77"/>
      <c r="P77" s="177"/>
      <c r="Q77" s="613"/>
      <c r="X77" s="478" t="s">
        <v>233</v>
      </c>
      <c r="Y77" s="478"/>
      <c r="AA77" s="886" t="s">
        <v>232</v>
      </c>
    </row>
    <row r="78" spans="1:27" x14ac:dyDescent="0.25">
      <c r="A78" s="887" t="s">
        <v>234</v>
      </c>
      <c r="B78" s="151">
        <f>SUMIFS(AS!$W:$W,AS!$AB:$AB,"OK",AS!$AI:$AI,Asiakastilastot!$X78,AS!$AW:$AW,Asiakastilastot!$Y$6,AS!$K:$K,Asiakastilastot!$Y$1,AS!$X:$X,Asiakastilastot!$Y$5,AS!$AV:$AV,Asiakastilastot!$Y$2)</f>
        <v>0</v>
      </c>
      <c r="C78" s="145">
        <f>SUMIFS(AS!$W:$W,AS!$AB:$AB,"OK",AS!$AI:$AI,Asiakastilastot!$X78,AS!$AH:$AH,Asiakastilastot!$X$8,AS!$AW:$AW,Asiakastilastot!$Y$6,AS!$K:$K,Asiakastilastot!$Y$1,AS!$X:$X,Asiakastilastot!$Y$5,AS!$AV:$AV,Asiakastilastot!$Y$2)</f>
        <v>0</v>
      </c>
      <c r="D78" s="52"/>
      <c r="E78" s="57"/>
      <c r="J78" s="52"/>
      <c r="L78"/>
      <c r="M78"/>
      <c r="P78" s="177"/>
      <c r="Q78" s="613"/>
      <c r="X78" s="195" t="s">
        <v>231</v>
      </c>
      <c r="Y78" s="195"/>
      <c r="AA78" s="150" t="s">
        <v>234</v>
      </c>
    </row>
    <row r="79" spans="1:27" x14ac:dyDescent="0.25">
      <c r="A79" s="887" t="s">
        <v>235</v>
      </c>
      <c r="B79" s="151">
        <f>SUMIFS(AS!$W:$W,AS!$AB:$AB,"OK",AS!$AI:$AI,Asiakastilastot!$X79,AS!$AW:$AW,Asiakastilastot!$Y$6,AS!$K:$K,Asiakastilastot!$Y$1,AS!$X:$X,Asiakastilastot!$Y$5,AS!$AV:$AV,Asiakastilastot!$Y$2)</f>
        <v>0</v>
      </c>
      <c r="C79" s="145">
        <f>SUMIFS(AS!$W:$W,AS!$AB:$AB,"OK",AS!$AI:$AI,Asiakastilastot!$X79,AS!$AH:$AH,Asiakastilastot!$X$8,AS!$AW:$AW,Asiakastilastot!$Y$6,AS!$K:$K,Asiakastilastot!$Y$1,AS!$X:$X,Asiakastilastot!$Y$5,AS!$AV:$AV,Asiakastilastot!$Y$2)</f>
        <v>0</v>
      </c>
      <c r="D79" s="52"/>
      <c r="E79" s="57"/>
      <c r="J79" s="52"/>
      <c r="L79"/>
      <c r="M79"/>
      <c r="P79" s="177"/>
      <c r="Q79" s="613"/>
      <c r="X79" s="195" t="s">
        <v>236</v>
      </c>
      <c r="Y79" s="195"/>
      <c r="AA79" s="150" t="s">
        <v>235</v>
      </c>
    </row>
    <row r="80" spans="1:27" x14ac:dyDescent="0.25">
      <c r="A80" s="152" t="s">
        <v>237</v>
      </c>
      <c r="B80" s="153">
        <f>SUMIFS(AS!$W:$W,AS!$AB:$AB,"OK",AS!$AI:$AI,Asiakastilastot!$X80,AS!$AW:$AW,Asiakastilastot!$Y$6,AS!$K:$K,Asiakastilastot!$Y$1,AS!$X:$X,Asiakastilastot!$Y$5,AS!$AV:$AV,Asiakastilastot!$Y$2)</f>
        <v>0</v>
      </c>
      <c r="C80" s="147">
        <f>SUMIFS(AS!$W:$W,AS!$AB:$AB,"OK",AS!$AI:$AI,Asiakastilastot!$X80,AS!$AH:$AH,Asiakastilastot!$X$8,AS!$AW:$AW,Asiakastilastot!$Y$6,AS!$K:$K,Asiakastilastot!$Y$1,AS!$X:$X,Asiakastilastot!$Y$5,AS!$AV:$AV,Asiakastilastot!$Y$2)</f>
        <v>0</v>
      </c>
      <c r="D80" s="52"/>
      <c r="J80" s="52"/>
      <c r="L80"/>
      <c r="M80"/>
      <c r="P80" s="177"/>
      <c r="Q80" s="613"/>
      <c r="X80" s="195" t="s">
        <v>238</v>
      </c>
      <c r="Y80" s="195"/>
      <c r="AA80" s="886"/>
    </row>
    <row r="81" spans="1:27" x14ac:dyDescent="0.25">
      <c r="A81" s="1040" t="s">
        <v>239</v>
      </c>
      <c r="B81" s="8">
        <f>SUM(B83:B84)</f>
        <v>0</v>
      </c>
      <c r="C81" s="738">
        <f>SUM(C83:C84)</f>
        <v>0</v>
      </c>
      <c r="D81" s="52"/>
      <c r="J81" s="52"/>
      <c r="L81"/>
      <c r="M81"/>
      <c r="P81" s="177"/>
      <c r="Q81" s="613"/>
      <c r="AA81" s="886"/>
    </row>
    <row r="82" spans="1:27" x14ac:dyDescent="0.25">
      <c r="A82" s="1041"/>
      <c r="B82" s="35">
        <f>IFERROR(B81/B85,0)</f>
        <v>0</v>
      </c>
      <c r="C82" s="739">
        <f>IFERROR(C81/C85,0)</f>
        <v>0</v>
      </c>
      <c r="D82" s="52"/>
      <c r="J82" s="52"/>
      <c r="L82"/>
      <c r="M82"/>
      <c r="P82" s="177"/>
      <c r="Q82" s="613"/>
    </row>
    <row r="83" spans="1:27" x14ac:dyDescent="0.25">
      <c r="A83" s="150" t="s">
        <v>239</v>
      </c>
      <c r="B83" s="151">
        <f>SUMIFS(AS!$W:$W,AS!$AB:$AB,"OK",AS!$AI:$AI,Asiakastilastot!$X83,AS!$AW:$AW,Asiakastilastot!$Y$6,AS!$K:$K,Asiakastilastot!$Y$1,AS!$X:$X,Asiakastilastot!$Y$5,AS!$AV:$AV,Asiakastilastot!$Y$2)</f>
        <v>0</v>
      </c>
      <c r="C83" s="145">
        <f>SUMIFS(AS!$W:$W,AS!$AB:$AB,"OK",AS!$AI:$AI,Asiakastilastot!$X83,AS!$AH:$AH,Asiakastilastot!$X$8,AS!$AW:$AW,Asiakastilastot!$Y$6,AS!$K:$K,Asiakastilastot!$Y$1,AS!$X:$X,Asiakastilastot!$Y$5,AS!$AV:$AV,Asiakastilastot!$Y$2)</f>
        <v>0</v>
      </c>
      <c r="D83" s="52"/>
      <c r="J83" s="52"/>
      <c r="L83"/>
      <c r="M83"/>
      <c r="P83" s="177"/>
      <c r="Q83" s="613"/>
      <c r="X83" s="195" t="s">
        <v>240</v>
      </c>
    </row>
    <row r="84" spans="1:27" x14ac:dyDescent="0.25">
      <c r="A84" s="152" t="s">
        <v>241</v>
      </c>
      <c r="B84" s="151">
        <f>SUMIFS(AS!$W:$W,AS!$AB:$AB,"OK",AS!$AI:$AI,Asiakastilastot!$X84,AS!$AW:$AW,Asiakastilastot!$Y$6,AS!$K:$K,Asiakastilastot!$Y$1,AS!$X:$X,Asiakastilastot!$Y$5,AS!$AV:$AV,Asiakastilastot!$Y$2)</f>
        <v>0</v>
      </c>
      <c r="C84" s="145">
        <f>SUMIFS(AS!$W:$W,AS!$AB:$AB,"OK",AS!$AI:$AI,Asiakastilastot!$X84,AS!$AH:$AH,Asiakastilastot!$X$8,AS!$AW:$AW,Asiakastilastot!$Y$6,AS!$K:$K,Asiakastilastot!$Y$1,AS!$X:$X,Asiakastilastot!$Y$5,AS!$AV:$AV,Asiakastilastot!$Y$2)</f>
        <v>0</v>
      </c>
      <c r="D84" s="52"/>
      <c r="J84" s="52"/>
      <c r="L84"/>
      <c r="M84"/>
      <c r="P84" s="177"/>
      <c r="Q84" s="613"/>
      <c r="X84" s="195" t="s">
        <v>242</v>
      </c>
    </row>
    <row r="85" spans="1:27" x14ac:dyDescent="0.25">
      <c r="A85" s="30" t="s">
        <v>243</v>
      </c>
      <c r="B85" s="31">
        <f>SUM(B59,B64,B81)</f>
        <v>0</v>
      </c>
      <c r="C85" s="31">
        <f>SUM(C59,C64,C81)</f>
        <v>0</v>
      </c>
      <c r="J85" s="52"/>
      <c r="L85"/>
      <c r="M85"/>
      <c r="P85" s="177"/>
      <c r="Q85" s="613"/>
    </row>
    <row r="86" spans="1:27" x14ac:dyDescent="0.25">
      <c r="A86" s="475" t="str">
        <f>$A$6</f>
        <v>Kaikki</v>
      </c>
      <c r="J86" s="52"/>
      <c r="L86"/>
      <c r="M86"/>
      <c r="P86" s="177"/>
      <c r="Q86" s="613"/>
    </row>
    <row r="87" spans="1:27" x14ac:dyDescent="0.25">
      <c r="J87" s="52"/>
      <c r="L87"/>
      <c r="M87"/>
      <c r="P87" s="177"/>
      <c r="Q87" s="613"/>
    </row>
    <row r="88" spans="1:27" x14ac:dyDescent="0.25">
      <c r="J88" s="55"/>
      <c r="K88" s="18"/>
      <c r="L88" s="18"/>
      <c r="M88" s="18"/>
      <c r="N88" s="764"/>
      <c r="O88" s="764"/>
      <c r="P88" s="764"/>
      <c r="Q88" s="616"/>
    </row>
    <row r="89" spans="1:27" x14ac:dyDescent="0.25">
      <c r="A89" s="66" t="str">
        <f>X89&amp;X10&amp;X12</f>
        <v>Valmentautujien ohjautuminen työpajatoimintaan ohjaavan tahon mukaan - 01.01.2026-31.12.2026 (Kaikki kunnat, Kaikki yksiköt, Kaikki asiakkuudet)</v>
      </c>
      <c r="X89" s="389" t="s">
        <v>765</v>
      </c>
    </row>
    <row r="90" spans="1:27" x14ac:dyDescent="0.25">
      <c r="A90" s="1006"/>
      <c r="B90" s="1008" t="s">
        <v>766</v>
      </c>
      <c r="C90" s="1008"/>
      <c r="D90" s="1008" t="s">
        <v>767</v>
      </c>
      <c r="E90" s="1008"/>
      <c r="F90" s="1008" t="s">
        <v>753</v>
      </c>
      <c r="G90" s="1008"/>
      <c r="H90" s="1008" t="s">
        <v>768</v>
      </c>
      <c r="I90" s="1008"/>
      <c r="J90" s="13"/>
      <c r="K90" s="19"/>
      <c r="L90" s="362"/>
      <c r="M90" s="362"/>
      <c r="N90" s="362"/>
      <c r="O90" s="362"/>
      <c r="P90" s="362"/>
      <c r="Q90" s="363"/>
    </row>
    <row r="91" spans="1:27" x14ac:dyDescent="0.25">
      <c r="A91" s="1007"/>
      <c r="B91" s="451" t="s">
        <v>742</v>
      </c>
      <c r="C91" s="451" t="s">
        <v>754</v>
      </c>
      <c r="D91" s="451" t="s">
        <v>742</v>
      </c>
      <c r="E91" s="451" t="s">
        <v>754</v>
      </c>
      <c r="F91" s="451" t="s">
        <v>742</v>
      </c>
      <c r="G91" s="451" t="s">
        <v>754</v>
      </c>
      <c r="H91" s="451" t="s">
        <v>742</v>
      </c>
      <c r="I91" s="451" t="s">
        <v>754</v>
      </c>
      <c r="J91" s="15"/>
      <c r="K91" s="20"/>
      <c r="L91" s="364"/>
      <c r="M91" s="364"/>
      <c r="N91" s="364"/>
      <c r="O91" s="364"/>
      <c r="P91" s="364"/>
      <c r="Q91" s="365"/>
    </row>
    <row r="92" spans="1:27" x14ac:dyDescent="0.25">
      <c r="A92" s="25" t="s">
        <v>769</v>
      </c>
      <c r="B92" s="26">
        <f>SUM(B93:B96)</f>
        <v>0</v>
      </c>
      <c r="C92" s="53">
        <f t="shared" ref="C92:C97" si="4">IFERROR(B92/B$124,0)</f>
        <v>0</v>
      </c>
      <c r="D92" s="26">
        <f>SUM(D93:D96)</f>
        <v>0</v>
      </c>
      <c r="E92" s="53">
        <f t="shared" ref="E92:E97" si="5">IFERROR(D92/B$124,0)</f>
        <v>0</v>
      </c>
      <c r="F92" s="749">
        <f>SUM(F93:F96)</f>
        <v>0</v>
      </c>
      <c r="G92" s="750">
        <f t="shared" ref="G92:G97" si="6">IFERROR(F92/F$124,0)</f>
        <v>0</v>
      </c>
      <c r="H92" s="749">
        <f>SUM(H93:H96)</f>
        <v>0</v>
      </c>
      <c r="I92" s="750">
        <f t="shared" ref="I92:I97" si="7">IFERROR(H92/F$124,0)</f>
        <v>0</v>
      </c>
      <c r="J92" s="61"/>
      <c r="K92" s="62"/>
      <c r="L92" s="366"/>
      <c r="M92" s="366"/>
      <c r="N92" s="366"/>
      <c r="O92" s="366"/>
      <c r="P92" s="366"/>
      <c r="Q92" s="367"/>
    </row>
    <row r="93" spans="1:27" x14ac:dyDescent="0.25">
      <c r="A93" s="155" t="s">
        <v>247</v>
      </c>
      <c r="B93" s="156">
        <f>SUMIFS(AS!$W:$W,AS!$AB:$AB,"OK",AS!$AX:$AX,Asiakastilastot!$X93,AS!$AW:$AW,Asiakastilastot!$Y$6,AS!$K:$K,Asiakastilastot!$Y$1,AS!$X:$X,Asiakastilastot!$Y$5,AS!$AV:$AV,Asiakastilastot!$Y$2)</f>
        <v>0</v>
      </c>
      <c r="C93" s="157">
        <f t="shared" si="4"/>
        <v>0</v>
      </c>
      <c r="D93" s="156">
        <f>SUMIFS(AS!$W:$W,AS!$AB:$AB,"OK",AS!$AX:$AX,Asiakastilastot!$X93,AS!$F:$F,Asiakastilastot!$X$7,AS!$AW:$AW,Asiakastilastot!$Y$6,AS!$K:$K,Asiakastilastot!$Y$1,AS!$X:$X,Asiakastilastot!$Y$5,AS!$AV:$AV,Asiakastilastot!$Y$2)</f>
        <v>0</v>
      </c>
      <c r="E93" s="157">
        <f t="shared" si="5"/>
        <v>0</v>
      </c>
      <c r="F93" s="156">
        <f>SUMIFS(AS!$W:$W,AS!$AB:$AB,"OK",AS!$AX:$AX,Asiakastilastot!$X93,AS!$AH:$AH,Asiakastilastot!$X$8,AS!$AW:$AW,Asiakastilastot!$Y$6,AS!$K:$K,Asiakastilastot!$Y$1,AS!$X:$X,Asiakastilastot!$Y$5,AS!$AV:$AV,Asiakastilastot!$Y$2)</f>
        <v>0</v>
      </c>
      <c r="G93" s="157">
        <f t="shared" si="6"/>
        <v>0</v>
      </c>
      <c r="H93" s="156">
        <f>SUMIFS(AS!$W:$W,AS!$AB:$AB,"OK",AS!$AX:$AX,Asiakastilastot!$X93,AS!$AH:$AH,Asiakastilastot!$X$8,AS!$F:$F,Asiakastilastot!$X$7,AS!$AW:$AW,Asiakastilastot!$Y$6,AS!$K:$K,Asiakastilastot!$Y$1,AS!$X:$X,Asiakastilastot!$Y$5,AS!$AV:$AV,Asiakastilastot!$Y$2)</f>
        <v>0</v>
      </c>
      <c r="I93" s="157">
        <f t="shared" si="7"/>
        <v>0</v>
      </c>
      <c r="J93" s="158"/>
      <c r="K93" s="159"/>
      <c r="L93" s="368"/>
      <c r="M93" s="368"/>
      <c r="N93" s="368"/>
      <c r="O93" s="368"/>
      <c r="P93" s="368"/>
      <c r="Q93" s="369"/>
      <c r="X93" t="s">
        <v>248</v>
      </c>
    </row>
    <row r="94" spans="1:27" x14ac:dyDescent="0.25">
      <c r="A94" s="155" t="s">
        <v>725</v>
      </c>
      <c r="B94" s="156">
        <f>SUMIFS(AS!$W:$W,AS!$AB:$AB,"OK",AS!$AX:$AX,Asiakastilastot!$X94,AS!$AW:$AW,Asiakastilastot!$Y$6,AS!$K:$K,Asiakastilastot!$Y$1,AS!$X:$X,Asiakastilastot!$Y$5,AS!$AV:$AV,Asiakastilastot!$Y$2)</f>
        <v>0</v>
      </c>
      <c r="C94" s="157">
        <f t="shared" si="4"/>
        <v>0</v>
      </c>
      <c r="D94" s="156">
        <f>SUMIFS(AS!$W:$W,AS!$AB:$AB,"OK",AS!$AX:$AX,Asiakastilastot!$X94,AS!$F:$F,Asiakastilastot!$X$7,AS!$AW:$AW,Asiakastilastot!$Y$6,AS!$K:$K,Asiakastilastot!$Y$1,AS!$X:$X,Asiakastilastot!$Y$5,AS!$AV:$AV,Asiakastilastot!$Y$2)</f>
        <v>0</v>
      </c>
      <c r="E94" s="157">
        <f t="shared" si="5"/>
        <v>0</v>
      </c>
      <c r="F94" s="156">
        <f>SUMIFS(AS!$W:$W,AS!$AB:$AB,"OK",AS!$AX:$AX,Asiakastilastot!$X94,AS!$AH:$AH,Asiakastilastot!$X$8,AS!$AW:$AW,Asiakastilastot!$Y$6,AS!$K:$K,Asiakastilastot!$Y$1,AS!$X:$X,Asiakastilastot!$Y$5,AS!$AV:$AV,Asiakastilastot!$Y$2)</f>
        <v>0</v>
      </c>
      <c r="G94" s="157">
        <f t="shared" si="6"/>
        <v>0</v>
      </c>
      <c r="H94" s="156">
        <f>SUMIFS(AS!$W:$W,AS!$AB:$AB,"OK",AS!$AX:$AX,Asiakastilastot!$X94,AS!$AH:$AH,Asiakastilastot!$X$8,AS!$F:$F,Asiakastilastot!$X$7,AS!$AW:$AW,Asiakastilastot!$Y$6,AS!$K:$K,Asiakastilastot!$Y$1,AS!$X:$X,Asiakastilastot!$Y$5,AS!$AV:$AV,Asiakastilastot!$Y$2)</f>
        <v>0</v>
      </c>
      <c r="I94" s="157">
        <f t="shared" si="7"/>
        <v>0</v>
      </c>
      <c r="J94" s="158"/>
      <c r="K94" s="159"/>
      <c r="L94" s="368"/>
      <c r="M94" s="368"/>
      <c r="N94" s="368"/>
      <c r="O94" s="368"/>
      <c r="P94" s="368"/>
      <c r="Q94" s="369"/>
      <c r="X94" t="s">
        <v>250</v>
      </c>
    </row>
    <row r="95" spans="1:27" x14ac:dyDescent="0.25">
      <c r="A95" s="897" t="s">
        <v>251</v>
      </c>
      <c r="B95" s="156">
        <f>SUMIFS(AS!$W:$W,AS!$AB:$AB,"OK",AS!$AX:$AX,Asiakastilastot!$X95,AS!$AW:$AW,Asiakastilastot!$Y$6,AS!$K:$K,Asiakastilastot!$Y$1,AS!$X:$X,Asiakastilastot!$Y$5,AS!$AV:$AV,Asiakastilastot!$Y$2)</f>
        <v>0</v>
      </c>
      <c r="C95" s="157">
        <f t="shared" si="4"/>
        <v>0</v>
      </c>
      <c r="D95" s="156">
        <f>SUMIFS(AS!$W:$W,AS!$AB:$AB,"OK",AS!$AX:$AX,Asiakastilastot!$X95,AS!$F:$F,Asiakastilastot!$X$7,AS!$AW:$AW,Asiakastilastot!$Y$6,AS!$K:$K,Asiakastilastot!$Y$1,AS!$X:$X,Asiakastilastot!$Y$5,AS!$AV:$AV,Asiakastilastot!$Y$2)</f>
        <v>0</v>
      </c>
      <c r="E95" s="157">
        <f t="shared" si="5"/>
        <v>0</v>
      </c>
      <c r="F95" s="156">
        <f>SUMIFS(AS!$W:$W,AS!$AB:$AB,"OK",AS!$AX:$AX,Asiakastilastot!$X95,AS!$AH:$AH,Asiakastilastot!$X$8,AS!$AW:$AW,Asiakastilastot!$Y$6,AS!$K:$K,Asiakastilastot!$Y$1,AS!$X:$X,Asiakastilastot!$Y$5,AS!$AV:$AV,Asiakastilastot!$Y$2)</f>
        <v>0</v>
      </c>
      <c r="G95" s="157">
        <f t="shared" si="6"/>
        <v>0</v>
      </c>
      <c r="H95" s="156">
        <f>SUMIFS(AS!$W:$W,AS!$AB:$AB,"OK",AS!$AX:$AX,Asiakastilastot!$X95,AS!$AH:$AH,Asiakastilastot!$X$8,AS!$F:$F,Asiakastilastot!$X$7,AS!$AW:$AW,Asiakastilastot!$Y$6,AS!$K:$K,Asiakastilastot!$Y$1,AS!$X:$X,Asiakastilastot!$Y$5,AS!$AV:$AV,Asiakastilastot!$Y$2)</f>
        <v>0</v>
      </c>
      <c r="I95" s="157">
        <f t="shared" si="7"/>
        <v>0</v>
      </c>
      <c r="J95" s="158"/>
      <c r="K95" s="159"/>
      <c r="L95" s="368"/>
      <c r="M95" s="368"/>
      <c r="N95" s="368"/>
      <c r="O95" s="368"/>
      <c r="P95" s="368"/>
      <c r="Q95" s="369"/>
      <c r="X95" t="s">
        <v>252</v>
      </c>
    </row>
    <row r="96" spans="1:27" x14ac:dyDescent="0.25">
      <c r="A96" s="897" t="s">
        <v>253</v>
      </c>
      <c r="B96" s="156">
        <f>SUMIFS(AS!$W:$W,AS!$AB:$AB,"OK",AS!$AX:$AX,Asiakastilastot!$X96,AS!$AW:$AW,Asiakastilastot!$Y$6,AS!$K:$K,Asiakastilastot!$Y$1,AS!$X:$X,Asiakastilastot!$Y$5,AS!$AV:$AV,Asiakastilastot!$Y$2)</f>
        <v>0</v>
      </c>
      <c r="C96" s="157">
        <f t="shared" si="4"/>
        <v>0</v>
      </c>
      <c r="D96" s="156">
        <f>SUMIFS(AS!$W:$W,AS!$AB:$AB,"OK",AS!$AX:$AX,Asiakastilastot!$X96,AS!$F:$F,Asiakastilastot!$X$7,AS!$AW:$AW,Asiakastilastot!$Y$6,AS!$K:$K,Asiakastilastot!$Y$1,AS!$X:$X,Asiakastilastot!$Y$5,AS!$AV:$AV,Asiakastilastot!$Y$2)</f>
        <v>0</v>
      </c>
      <c r="E96" s="157">
        <f t="shared" si="5"/>
        <v>0</v>
      </c>
      <c r="F96" s="156">
        <f>SUMIFS(AS!$W:$W,AS!$AB:$AB,"OK",AS!$AX:$AX,Asiakastilastot!$X96,AS!$AH:$AH,Asiakastilastot!$X$8,AS!$AW:$AW,Asiakastilastot!$Y$6,AS!$K:$K,Asiakastilastot!$Y$1,AS!$X:$X,Asiakastilastot!$Y$5,AS!$AV:$AV,Asiakastilastot!$Y$2)</f>
        <v>0</v>
      </c>
      <c r="G96" s="157">
        <f t="shared" si="6"/>
        <v>0</v>
      </c>
      <c r="H96" s="156">
        <f>SUMIFS(AS!$W:$W,AS!$AB:$AB,"OK",AS!$AX:$AX,Asiakastilastot!$X96,AS!$AH:$AH,Asiakastilastot!$X$8,AS!$F:$F,Asiakastilastot!$X$7,AS!$AW:$AW,Asiakastilastot!$Y$6,AS!$K:$K,Asiakastilastot!$Y$1,AS!$X:$X,Asiakastilastot!$Y$5,AS!$AV:$AV,Asiakastilastot!$Y$2)</f>
        <v>0</v>
      </c>
      <c r="I96" s="157">
        <f t="shared" si="7"/>
        <v>0</v>
      </c>
      <c r="J96" s="158"/>
      <c r="K96" s="159"/>
      <c r="L96" s="368"/>
      <c r="M96" s="368"/>
      <c r="N96" s="368"/>
      <c r="O96" s="368"/>
      <c r="P96" s="368"/>
      <c r="Q96" s="369"/>
      <c r="X96" s="490" t="s">
        <v>254</v>
      </c>
    </row>
    <row r="97" spans="1:26" x14ac:dyDescent="0.25">
      <c r="A97" s="898" t="s">
        <v>726</v>
      </c>
      <c r="B97" s="26">
        <f>SUM(B98:B99)</f>
        <v>0</v>
      </c>
      <c r="C97" s="53">
        <f t="shared" si="4"/>
        <v>0</v>
      </c>
      <c r="D97" s="26">
        <f>SUM(D98:D99)</f>
        <v>0</v>
      </c>
      <c r="E97" s="53">
        <f t="shared" si="5"/>
        <v>0</v>
      </c>
      <c r="F97" s="749">
        <f>SUM(F98:F99)</f>
        <v>0</v>
      </c>
      <c r="G97" s="750">
        <f t="shared" si="6"/>
        <v>0</v>
      </c>
      <c r="H97" s="749">
        <f>SUM(H98:H99)</f>
        <v>0</v>
      </c>
      <c r="I97" s="750">
        <f t="shared" si="7"/>
        <v>0</v>
      </c>
      <c r="J97" s="61"/>
      <c r="K97" s="62"/>
      <c r="L97" s="366"/>
      <c r="M97" s="366"/>
      <c r="N97" s="366"/>
      <c r="O97" s="366"/>
      <c r="P97" s="366"/>
      <c r="Q97" s="367"/>
      <c r="X97" s="490"/>
    </row>
    <row r="98" spans="1:26" x14ac:dyDescent="0.25">
      <c r="A98" s="897" t="s">
        <v>256</v>
      </c>
      <c r="B98" s="156">
        <f>SUMIFS(AS!$W:$W,AS!$AB:$AB,"OK",AS!$AX:$AX,Asiakastilastot!$X98,AS!$AW:$AW,Asiakastilastot!$Y$6,AS!$K:$K,Asiakastilastot!$Y$1,AS!$X:$X,Asiakastilastot!$Y$5,AS!$AV:$AV,Asiakastilastot!$Y$2)</f>
        <v>0</v>
      </c>
      <c r="C98" s="157">
        <f t="shared" ref="C98:C124" si="8">IFERROR(B98/B$124,0)</f>
        <v>0</v>
      </c>
      <c r="D98" s="156">
        <f>SUMIFS(AS!$W:$W,AS!$AB:$AB,"OK",AS!$AX:$AX,Asiakastilastot!$X98,AS!$F:$F,Asiakastilastot!$X$7,AS!$AW:$AW,Asiakastilastot!$Y$6,AS!$K:$K,Asiakastilastot!$Y$1,AS!$X:$X,Asiakastilastot!$Y$5,AS!$AV:$AV,Asiakastilastot!$Y$2)</f>
        <v>0</v>
      </c>
      <c r="E98" s="157">
        <f t="shared" ref="E98:E124" si="9">IFERROR(D98/B$124,0)</f>
        <v>0</v>
      </c>
      <c r="F98" s="156">
        <f>SUMIFS(AS!$W:$W,AS!$AB:$AB,"OK",AS!$AX:$AX,Asiakastilastot!$X98,AS!$AH:$AH,Asiakastilastot!$X$8,AS!$AW:$AW,Asiakastilastot!$Y$6,AS!$K:$K,Asiakastilastot!$Y$1,AS!$X:$X,Asiakastilastot!$Y$5,AS!$AV:$AV,Asiakastilastot!$Y$2)</f>
        <v>0</v>
      </c>
      <c r="G98" s="157">
        <f t="shared" ref="G98:G124" si="10">IFERROR(F98/F$124,0)</f>
        <v>0</v>
      </c>
      <c r="H98" s="156">
        <f>SUMIFS(AS!$W:$W,AS!$AB:$AB,"OK",AS!$AX:$AX,Asiakastilastot!$X98,AS!$AH:$AH,Asiakastilastot!$X$8,AS!$F:$F,Asiakastilastot!$X$7,AS!$AW:$AW,Asiakastilastot!$Y$6,AS!$K:$K,Asiakastilastot!$Y$1,AS!$X:$X,Asiakastilastot!$Y$5,AS!$AV:$AV,Asiakastilastot!$Y$2)</f>
        <v>0</v>
      </c>
      <c r="I98" s="157">
        <f t="shared" ref="I98:I124" si="11">IFERROR(H98/F$124,0)</f>
        <v>0</v>
      </c>
      <c r="J98" s="158"/>
      <c r="K98" s="159"/>
      <c r="L98" s="368"/>
      <c r="M98" s="368"/>
      <c r="N98" s="368"/>
      <c r="O98" s="368"/>
      <c r="P98" s="368"/>
      <c r="Q98" s="369"/>
      <c r="X98" t="s">
        <v>257</v>
      </c>
    </row>
    <row r="99" spans="1:26" x14ac:dyDescent="0.25">
      <c r="A99" s="904" t="s">
        <v>258</v>
      </c>
      <c r="B99" s="156">
        <f>SUMIFS(AS!$W:$W,AS!$AB:$AB,"OK",AS!$AX:$AX,Asiakastilastot!$X99,AS!$AW:$AW,Asiakastilastot!$Y$6,AS!$K:$K,Asiakastilastot!$Y$1,AS!$X:$X,Asiakastilastot!$Y$5,AS!$AV:$AV,Asiakastilastot!$Y$2)+SUMIFS(AS!$W:$W,AS!$AB:$AB,"OK",AS!$AX:$AX,Asiakastilastot!$W99,AS!$AW:$AW,Asiakastilastot!$Y$6,AS!$K:$K,Asiakastilastot!$Y$1,AS!$X:$X,Asiakastilastot!$Y$5,AS!$AV:$AV,Asiakastilastot!$Y$2)</f>
        <v>0</v>
      </c>
      <c r="C99" s="157">
        <f t="shared" si="8"/>
        <v>0</v>
      </c>
      <c r="D99" s="156">
        <f>SUMIFS(AS!$W:$W,AS!$AB:$AB,"OK",AS!$AX:$AX,Asiakastilastot!$X99,AS!$F:$F,Asiakastilastot!$X$7,AS!$AW:$AW,Asiakastilastot!$Y$6,AS!$K:$K,Asiakastilastot!$Y$1,AS!$X:$X,Asiakastilastot!$Y$5,AS!$AV:$AV,Asiakastilastot!$Y$2)+SUMIFS(AS!$W:$W,AS!$AB:$AB,"OK",AS!$AX:$AX,Asiakastilastot!$W99,AS!$F:$F,Asiakastilastot!$X$7,AS!$AW:$AW,Asiakastilastot!$Y$6,AS!$K:$K,Asiakastilastot!$Y$1,AS!$X:$X,Asiakastilastot!$Y$5,AS!$AV:$AV,Asiakastilastot!$Y$2)</f>
        <v>0</v>
      </c>
      <c r="E99" s="157">
        <f t="shared" si="9"/>
        <v>0</v>
      </c>
      <c r="F99" s="156">
        <f>SUMIFS(AS!$W:$W,AS!$AB:$AB,"OK",AS!$AX:$AX,Asiakastilastot!$X99,AS!$AH:$AH,Asiakastilastot!$X$8,AS!$AW:$AW,Asiakastilastot!$Y$6,AS!$K:$K,Asiakastilastot!$Y$1,AS!$X:$X,Asiakastilastot!$Y$5,AS!$AV:$AV,Asiakastilastot!$Y$2)+SUMIFS(AS!$W:$W,AS!$AB:$AB,"OK",AS!$AX:$AX,Asiakastilastot!$W99,AS!$AH:$AH,Asiakastilastot!$X$8,AS!$AW:$AW,Asiakastilastot!$Y$6,AS!$K:$K,Asiakastilastot!$Y$1,AS!$X:$X,Asiakastilastot!$Y$5,AS!$AV:$AV,Asiakastilastot!$Y$2)</f>
        <v>0</v>
      </c>
      <c r="G99" s="157">
        <f t="shared" si="10"/>
        <v>0</v>
      </c>
      <c r="H99" s="156">
        <f>SUMIFS(AS!$W:$W,AS!$AB:$AB,"OK",AS!$AX:$AX,Asiakastilastot!$X99,AS!$AH:$AH,Asiakastilastot!$X$8,AS!$F:$F,Asiakastilastot!$X$7,AS!$AW:$AW,Asiakastilastot!$Y$6,AS!$K:$K,Asiakastilastot!$Y$1,AS!$X:$X,Asiakastilastot!$Y$5,AS!$AV:$AV,Asiakastilastot!$Y$2)+SUMIFS(AS!$W:$W,AS!$AB:$AB,"OK",AS!$AX:$AX,Asiakastilastot!$W99,AS!$AH:$AH,Asiakastilastot!$X$8,AS!$F:$F,Asiakastilastot!$X$7,AS!$AW:$AW,Asiakastilastot!$Y$6,AS!$K:$K,Asiakastilastot!$Y$1,AS!$X:$X,Asiakastilastot!$Y$5,AS!$AV:$AV,Asiakastilastot!$Y$2)</f>
        <v>0</v>
      </c>
      <c r="I99" s="157">
        <f t="shared" si="11"/>
        <v>0</v>
      </c>
      <c r="J99" s="163"/>
      <c r="K99" s="164"/>
      <c r="L99" s="370"/>
      <c r="M99" s="370"/>
      <c r="N99" s="370"/>
      <c r="O99" s="370"/>
      <c r="P99" s="370"/>
      <c r="Q99" s="371"/>
      <c r="W99" s="119" t="s">
        <v>259</v>
      </c>
      <c r="X99" s="407" t="s">
        <v>260</v>
      </c>
      <c r="Z99" s="86" t="s">
        <v>261</v>
      </c>
    </row>
    <row r="100" spans="1:26" x14ac:dyDescent="0.25">
      <c r="A100" s="898" t="s">
        <v>770</v>
      </c>
      <c r="B100" s="26">
        <f>SUM(B101:B105)</f>
        <v>0</v>
      </c>
      <c r="C100" s="53">
        <f>IFERROR(B100/B$124,0)</f>
        <v>0</v>
      </c>
      <c r="D100" s="26">
        <f>SUM(D101:D105)</f>
        <v>0</v>
      </c>
      <c r="E100" s="53">
        <f t="shared" si="9"/>
        <v>0</v>
      </c>
      <c r="F100" s="749">
        <f>SUM(F101:F105)</f>
        <v>0</v>
      </c>
      <c r="G100" s="750">
        <f t="shared" si="10"/>
        <v>0</v>
      </c>
      <c r="H100" s="749">
        <f>SUM(H101:H105)</f>
        <v>0</v>
      </c>
      <c r="I100" s="750">
        <f t="shared" si="11"/>
        <v>0</v>
      </c>
      <c r="J100" s="61"/>
      <c r="K100" s="62"/>
      <c r="L100" s="366"/>
      <c r="M100" s="366"/>
      <c r="N100" s="366"/>
      <c r="O100" s="366"/>
      <c r="P100" s="366"/>
      <c r="Q100" s="367"/>
    </row>
    <row r="101" spans="1:26" x14ac:dyDescent="0.25">
      <c r="A101" s="897" t="s">
        <v>263</v>
      </c>
      <c r="B101" s="156">
        <f>SUMIFS(AS!$W:$W,AS!$AB:$AB,"OK",AS!$AX:$AX,Asiakastilastot!$X101,AS!$AW:$AW,Asiakastilastot!$Y$6,AS!$K:$K,Asiakastilastot!$Y$1,AS!$X:$X,Asiakastilastot!$Y$5,AS!$AV:$AV,Asiakastilastot!$Y$2)</f>
        <v>0</v>
      </c>
      <c r="C101" s="157">
        <f t="shared" si="8"/>
        <v>0</v>
      </c>
      <c r="D101" s="156">
        <f>SUMIFS(AS!$W:$W,AS!$AB:$AB,"OK",AS!$AX:$AX,Asiakastilastot!$X101,AS!$F:$F,Asiakastilastot!$X$7,AS!$AW:$AW,Asiakastilastot!$Y$6,AS!$K:$K,Asiakastilastot!$Y$1,AS!$X:$X,Asiakastilastot!$Y$5,AS!$AV:$AV,Asiakastilastot!$Y$2)</f>
        <v>0</v>
      </c>
      <c r="E101" s="157">
        <f t="shared" si="9"/>
        <v>0</v>
      </c>
      <c r="F101" s="156">
        <f>SUMIFS(AS!$W:$W,AS!$AB:$AB,"OK",AS!$AX:$AX,Asiakastilastot!$X101,AS!$AH:$AH,Asiakastilastot!$X$8,AS!$AW:$AW,Asiakastilastot!$Y$6,AS!$K:$K,Asiakastilastot!$Y$1,AS!$X:$X,Asiakastilastot!$Y$5,AS!$AV:$AV,Asiakastilastot!$Y$2)</f>
        <v>0</v>
      </c>
      <c r="G101" s="157">
        <f t="shared" si="10"/>
        <v>0</v>
      </c>
      <c r="H101" s="156">
        <f>SUMIFS(AS!$W:$W,AS!$AB:$AB,"OK",AS!$AX:$AX,Asiakastilastot!$X101,AS!$AH:$AH,Asiakastilastot!$X$8,AS!$F:$F,Asiakastilastot!$X$7,AS!$AW:$AW,Asiakastilastot!$Y$6,AS!$K:$K,Asiakastilastot!$Y$1,AS!$X:$X,Asiakastilastot!$Y$5,AS!$AV:$AV,Asiakastilastot!$Y$2)</f>
        <v>0</v>
      </c>
      <c r="I101" s="157">
        <f t="shared" si="11"/>
        <v>0</v>
      </c>
      <c r="J101" s="158"/>
      <c r="K101" s="159"/>
      <c r="L101" s="368"/>
      <c r="M101" s="368"/>
      <c r="N101" s="368"/>
      <c r="O101" s="368"/>
      <c r="P101" s="368"/>
      <c r="Q101" s="369"/>
      <c r="X101" s="407" t="s">
        <v>264</v>
      </c>
    </row>
    <row r="102" spans="1:26" x14ac:dyDescent="0.25">
      <c r="A102" s="897" t="s">
        <v>262</v>
      </c>
      <c r="B102" s="156">
        <f>SUMIFS(AS!$W:$W,AS!$AB:$AB,"OK",AS!$AX:$AX,Asiakastilastot!$X102,AS!$AW:$AW,Asiakastilastot!$Y$6,AS!$K:$K,Asiakastilastot!$Y$1,AS!$X:$X,Asiakastilastot!$Y$5,AS!$AV:$AV,Asiakastilastot!$Y$2)+SUMIFS(AS!$W:$W,AS!$AB:$AB,"OK",AS!$AX:$AX,Asiakastilastot!$W102,AS!$AW:$AW,Asiakastilastot!$Y$6,AS!$K:$K,Asiakastilastot!$Y$1,AS!$X:$X,Asiakastilastot!$Y$5,AS!$AV:$AV,Asiakastilastot!$Y$2)</f>
        <v>0</v>
      </c>
      <c r="C102" s="157">
        <f t="shared" si="8"/>
        <v>0</v>
      </c>
      <c r="D102" s="156">
        <f>SUMIFS(AS!$W:$W,AS!$AB:$AB,"OK",AS!$AX:$AX,Asiakastilastot!$X102,AS!$F:$F,Asiakastilastot!$X$7,AS!$AW:$AW,Asiakastilastot!$Y$6,AS!$K:$K,Asiakastilastot!$Y$1,AS!$X:$X,Asiakastilastot!$Y$5,AS!$AV:$AV,Asiakastilastot!$Y$2)+SUMIFS(AS!$W:$W,AS!$AB:$AB,"OK",AS!$AX:$AX,Asiakastilastot!$W102,AS!$F:$F,Asiakastilastot!$X$7,AS!$AW:$AW,Asiakastilastot!$Y$6,AS!$K:$K,Asiakastilastot!$Y$1,AS!$X:$X,Asiakastilastot!$Y$5,AS!$AV:$AV,Asiakastilastot!$Y$2)</f>
        <v>0</v>
      </c>
      <c r="E102" s="157">
        <f t="shared" si="9"/>
        <v>0</v>
      </c>
      <c r="F102" s="156">
        <f>SUMIFS(AS!$W:$W,AS!$AB:$AB,"OK",AS!$AX:$AX,Asiakastilastot!$X102,AS!$AH:$AH,Asiakastilastot!$X$8,AS!$AW:$AW,Asiakastilastot!$Y$6,AS!$K:$K,Asiakastilastot!$Y$1,AS!$X:$X,Asiakastilastot!$Y$5,AS!$AV:$AV,Asiakastilastot!$Y$2)+SUMIFS(AS!$W:$W,AS!$AB:$AB,"OK",AS!$AX:$AX,Asiakastilastot!$W102,AS!$AH:$AH,Asiakastilastot!$X$8,AS!$AW:$AW,Asiakastilastot!$Y$6,AS!$K:$K,Asiakastilastot!$Y$1,AS!$X:$X,Asiakastilastot!$Y$5,AS!$AV:$AV,Asiakastilastot!$Y$2)</f>
        <v>0</v>
      </c>
      <c r="G102" s="157">
        <f t="shared" si="10"/>
        <v>0</v>
      </c>
      <c r="H102" s="156">
        <f>SUMIFS(AS!$W:$W,AS!$AB:$AB,"OK",AS!$AX:$AX,Asiakastilastot!$X102,AS!$AH:$AH,Asiakastilastot!$X$8,AS!$F:$F,Asiakastilastot!$X$7,AS!$AW:$AW,Asiakastilastot!$Y$6,AS!$K:$K,Asiakastilastot!$Y$1,AS!$X:$X,Asiakastilastot!$Y$5,AS!$AV:$AV,Asiakastilastot!$Y$2)+SUMIFS(AS!$W:$W,AS!$AB:$AB,"OK",AS!$AX:$AX,Asiakastilastot!$W102,AS!$AH:$AH,Asiakastilastot!$X$8,AS!$F:$F,Asiakastilastot!$X$7,AS!$AW:$AW,Asiakastilastot!$Y$6,AS!$K:$K,Asiakastilastot!$Y$1,AS!$X:$X,Asiakastilastot!$Y$5,AS!$AV:$AV,Asiakastilastot!$Y$2)</f>
        <v>0</v>
      </c>
      <c r="I102" s="157">
        <f t="shared" si="11"/>
        <v>0</v>
      </c>
      <c r="J102" s="158"/>
      <c r="K102" s="159"/>
      <c r="L102" s="368"/>
      <c r="M102" s="368"/>
      <c r="N102" s="368"/>
      <c r="O102" s="368"/>
      <c r="P102" s="368"/>
      <c r="Q102" s="369"/>
      <c r="W102" t="s">
        <v>266</v>
      </c>
      <c r="X102" s="407" t="s">
        <v>267</v>
      </c>
    </row>
    <row r="103" spans="1:26" x14ac:dyDescent="0.25">
      <c r="A103" s="897" t="s">
        <v>268</v>
      </c>
      <c r="B103" s="156">
        <f>SUMIFS(AS!$W:$W,AS!$AB:$AB,"OK",AS!$AX:$AX,Asiakastilastot!$X103,AS!$AW:$AW,Asiakastilastot!$Y$6,AS!$K:$K,Asiakastilastot!$Y$1,AS!$X:$X,Asiakastilastot!$Y$5,AS!$AV:$AV,Asiakastilastot!$Y$2)+SUMIFS(AS!$W:$W,AS!$AB:$AB,"OK",AS!$AX:$AX,Asiakastilastot!$W103,AS!$AW:$AW,Asiakastilastot!$Y$6,AS!$K:$K,Asiakastilastot!$Y$1,AS!$X:$X,Asiakastilastot!$Y$5,AS!$AV:$AV,Asiakastilastot!$Y$2)</f>
        <v>0</v>
      </c>
      <c r="C103" s="157">
        <f t="shared" si="8"/>
        <v>0</v>
      </c>
      <c r="D103" s="156">
        <f>SUMIFS(AS!$W:$W,AS!$AB:$AB,"OK",AS!$AX:$AX,Asiakastilastot!$X103,AS!$F:$F,Asiakastilastot!$X$7,AS!$AW:$AW,Asiakastilastot!$Y$6,AS!$K:$K,Asiakastilastot!$Y$1,AS!$X:$X,Asiakastilastot!$Y$5,AS!$AV:$AV,Asiakastilastot!$Y$2)+SUMIFS(AS!$W:$W,AS!$AB:$AB,"OK",AS!$AX:$AX,Asiakastilastot!$W103,AS!$F:$F,Asiakastilastot!$X$7,AS!$AW:$AW,Asiakastilastot!$Y$6,AS!$K:$K,Asiakastilastot!$Y$1,AS!$X:$X,Asiakastilastot!$Y$5,AS!$AV:$AV,Asiakastilastot!$Y$2)</f>
        <v>0</v>
      </c>
      <c r="E103" s="157">
        <f t="shared" si="9"/>
        <v>0</v>
      </c>
      <c r="F103" s="156">
        <f>SUMIFS(AS!$W:$W,AS!$AB:$AB,"OK",AS!$AX:$AX,Asiakastilastot!$X103,AS!$AH:$AH,Asiakastilastot!$X$8,AS!$AW:$AW,Asiakastilastot!$Y$6,AS!$K:$K,Asiakastilastot!$Y$1,AS!$X:$X,Asiakastilastot!$Y$5,AS!$AV:$AV,Asiakastilastot!$Y$2)+SUMIFS(AS!$W:$W,AS!$AB:$AB,"OK",AS!$AX:$AX,Asiakastilastot!$W103,AS!$AH:$AH,Asiakastilastot!$X$8,AS!$AW:$AW,Asiakastilastot!$Y$6,AS!$K:$K,Asiakastilastot!$Y$1,AS!$X:$X,Asiakastilastot!$Y$5,AS!$AV:$AV,Asiakastilastot!$Y$2)</f>
        <v>0</v>
      </c>
      <c r="G103" s="157">
        <f t="shared" si="10"/>
        <v>0</v>
      </c>
      <c r="H103" s="156">
        <f>SUMIFS(AS!$W:$W,AS!$AB:$AB,"OK",AS!$AX:$AX,Asiakastilastot!$X103,AS!$AH:$AH,Asiakastilastot!$X$8,AS!$F:$F,Asiakastilastot!$X$7,AS!$AW:$AW,Asiakastilastot!$Y$6,AS!$K:$K,Asiakastilastot!$Y$1,AS!$X:$X,Asiakastilastot!$Y$5,AS!$AV:$AV,Asiakastilastot!$Y$2)+SUMIFS(AS!$W:$W,AS!$AB:$AB,"OK",AS!$AX:$AX,Asiakastilastot!$W103,AS!$AH:$AH,Asiakastilastot!$X$8,AS!$F:$F,Asiakastilastot!$X$7,AS!$AW:$AW,Asiakastilastot!$Y$6,AS!$K:$K,Asiakastilastot!$Y$1,AS!$X:$X,Asiakastilastot!$Y$5,AS!$AV:$AV,Asiakastilastot!$Y$2)</f>
        <v>0</v>
      </c>
      <c r="I103" s="157">
        <f t="shared" si="11"/>
        <v>0</v>
      </c>
      <c r="J103" s="158"/>
      <c r="K103" s="159"/>
      <c r="L103" s="368"/>
      <c r="M103" s="368"/>
      <c r="N103" s="368"/>
      <c r="O103" s="368"/>
      <c r="P103" s="368"/>
      <c r="Q103" s="369"/>
      <c r="W103" s="407" t="s">
        <v>269</v>
      </c>
      <c r="X103" t="s">
        <v>270</v>
      </c>
    </row>
    <row r="104" spans="1:26" x14ac:dyDescent="0.25">
      <c r="A104" s="897" t="s">
        <v>271</v>
      </c>
      <c r="B104" s="156">
        <f>SUMIFS(AS!$W:$W,AS!$AB:$AB,"OK",AS!$AX:$AX,Asiakastilastot!$X104,AS!$AW:$AW,Asiakastilastot!$Y$6,AS!$K:$K,Asiakastilastot!$Y$1,AS!$X:$X,Asiakastilastot!$Y$5,AS!$AV:$AV,Asiakastilastot!$Y$2)+SUMIFS(AS!$W:$W,AS!$AB:$AB,"OK",AS!$AX:$AX,Asiakastilastot!$W104,AS!$AW:$AW,Asiakastilastot!$Y$6,AS!$K:$K,Asiakastilastot!$Y$1,AS!$X:$X,Asiakastilastot!$Y$5,AS!$AV:$AV,Asiakastilastot!$Y$2)</f>
        <v>0</v>
      </c>
      <c r="C104" s="157">
        <f t="shared" si="8"/>
        <v>0</v>
      </c>
      <c r="D104" s="156">
        <f>SUMIFS(AS!$W:$W,AS!$AB:$AB,"OK",AS!$AX:$AX,Asiakastilastot!$X104,AS!$F:$F,Asiakastilastot!$X$7,AS!$AW:$AW,Asiakastilastot!$Y$6,AS!$K:$K,Asiakastilastot!$Y$1,AS!$X:$X,Asiakastilastot!$Y$5,AS!$AV:$AV,Asiakastilastot!$Y$2)+SUMIFS(AS!$W:$W,AS!$AB:$AB,"OK",AS!$AX:$AX,Asiakastilastot!$W104,AS!$F:$F,Asiakastilastot!$X$7,AS!$AW:$AW,Asiakastilastot!$Y$6,AS!$K:$K,Asiakastilastot!$Y$1,AS!$X:$X,Asiakastilastot!$Y$5,AS!$AV:$AV,Asiakastilastot!$Y$2)</f>
        <v>0</v>
      </c>
      <c r="E104" s="157">
        <f t="shared" si="9"/>
        <v>0</v>
      </c>
      <c r="F104" s="156">
        <f>SUMIFS(AS!$W:$W,AS!$AB:$AB,"OK",AS!$AX:$AX,Asiakastilastot!$X104,AS!$AH:$AH,Asiakastilastot!$X$8,AS!$AW:$AW,Asiakastilastot!$Y$6,AS!$K:$K,Asiakastilastot!$Y$1,AS!$X:$X,Asiakastilastot!$Y$5,AS!$AV:$AV,Asiakastilastot!$Y$2)+SUMIFS(AS!$W:$W,AS!$AB:$AB,"OK",AS!$AX:$AX,Asiakastilastot!$W104,AS!$AH:$AH,Asiakastilastot!$X$8,AS!$AW:$AW,Asiakastilastot!$Y$6,AS!$K:$K,Asiakastilastot!$Y$1,AS!$X:$X,Asiakastilastot!$Y$5,AS!$AV:$AV,Asiakastilastot!$Y$2)</f>
        <v>0</v>
      </c>
      <c r="G104" s="157">
        <f t="shared" si="10"/>
        <v>0</v>
      </c>
      <c r="H104" s="156">
        <f>SUMIFS(AS!$W:$W,AS!$AB:$AB,"OK",AS!$AX:$AX,Asiakastilastot!$X104,AS!$AH:$AH,Asiakastilastot!$X$8,AS!$F:$F,Asiakastilastot!$X$7,AS!$AW:$AW,Asiakastilastot!$Y$6,AS!$K:$K,Asiakastilastot!$Y$1,AS!$X:$X,Asiakastilastot!$Y$5,AS!$AV:$AV,Asiakastilastot!$Y$2)+SUMIFS(AS!$W:$W,AS!$AB:$AB,"OK",AS!$AX:$AX,Asiakastilastot!$W104,AS!$AH:$AH,Asiakastilastot!$X$8,AS!$F:$F,Asiakastilastot!$X$7,AS!$AW:$AW,Asiakastilastot!$Y$6,AS!$K:$K,Asiakastilastot!$Y$1,AS!$X:$X,Asiakastilastot!$Y$5,AS!$AV:$AV,Asiakastilastot!$Y$2)</f>
        <v>0</v>
      </c>
      <c r="I104" s="157">
        <f t="shared" si="11"/>
        <v>0</v>
      </c>
      <c r="J104" s="158"/>
      <c r="K104" s="159"/>
      <c r="L104" s="368"/>
      <c r="M104" s="368"/>
      <c r="N104" s="368"/>
      <c r="O104" s="368"/>
      <c r="P104" s="368"/>
      <c r="Q104" s="369"/>
      <c r="W104" t="s">
        <v>272</v>
      </c>
      <c r="X104" s="407" t="s">
        <v>273</v>
      </c>
    </row>
    <row r="105" spans="1:26" x14ac:dyDescent="0.25">
      <c r="A105" s="901" t="s">
        <v>274</v>
      </c>
      <c r="B105" s="156">
        <f>SUMIFS(AS!$W:$W,AS!$AB:$AB,"OK",AS!$AX:$AX,Asiakastilastot!$X105,AS!$AW:$AW,Asiakastilastot!$Y$6,AS!$K:$K,Asiakastilastot!$Y$1,AS!$X:$X,Asiakastilastot!$Y$5,AS!$AV:$AV,Asiakastilastot!$Y$2)</f>
        <v>0</v>
      </c>
      <c r="C105" s="157">
        <f t="shared" si="8"/>
        <v>0</v>
      </c>
      <c r="D105" s="156">
        <f>SUMIFS(AS!$W:$W,AS!$AB:$AB,"OK",AS!$AX:$AX,Asiakastilastot!$X105,AS!$F:$F,Asiakastilastot!$X$7,AS!$AW:$AW,Asiakastilastot!$Y$6,AS!$K:$K,Asiakastilastot!$Y$1,AS!$X:$X,Asiakastilastot!$Y$5,AS!$AV:$AV,Asiakastilastot!$Y$2)</f>
        <v>0</v>
      </c>
      <c r="E105" s="157">
        <f t="shared" si="9"/>
        <v>0</v>
      </c>
      <c r="F105" s="156">
        <f>SUMIFS(AS!$W:$W,AS!$AB:$AB,"OK",AS!$AX:$AX,Asiakastilastot!$X105,AS!$AH:$AH,Asiakastilastot!$X$8,AS!$AW:$AW,Asiakastilastot!$Y$6,AS!$K:$K,Asiakastilastot!$Y$1,AS!$X:$X,Asiakastilastot!$Y$5,AS!$AV:$AV,Asiakastilastot!$Y$2)</f>
        <v>0</v>
      </c>
      <c r="G105" s="157">
        <f t="shared" si="10"/>
        <v>0</v>
      </c>
      <c r="H105" s="156">
        <f>SUMIFS(AS!$W:$W,AS!$AB:$AB,"OK",AS!$AX:$AX,Asiakastilastot!$X105,AS!$AH:$AH,Asiakastilastot!$X$8,AS!$F:$F,Asiakastilastot!$X$7,AS!$AW:$AW,Asiakastilastot!$Y$6,AS!$K:$K,Asiakastilastot!$Y$1,AS!$X:$X,Asiakastilastot!$Y$5,AS!$AV:$AV,Asiakastilastot!$Y$2)</f>
        <v>0</v>
      </c>
      <c r="I105" s="157">
        <f t="shared" si="11"/>
        <v>0</v>
      </c>
      <c r="J105" s="621"/>
      <c r="K105" s="622"/>
      <c r="L105" s="623"/>
      <c r="M105" s="623"/>
      <c r="N105" s="623"/>
      <c r="O105" s="623"/>
      <c r="P105" s="623"/>
      <c r="Q105" s="624"/>
      <c r="X105" s="407" t="s">
        <v>275</v>
      </c>
    </row>
    <row r="106" spans="1:26" x14ac:dyDescent="0.25">
      <c r="A106" s="905" t="s">
        <v>727</v>
      </c>
      <c r="B106" s="26">
        <f>SUM(B107:B110)</f>
        <v>0</v>
      </c>
      <c r="C106" s="53">
        <f t="shared" si="8"/>
        <v>0</v>
      </c>
      <c r="D106" s="26">
        <f>SUM(D107:D110)</f>
        <v>0</v>
      </c>
      <c r="E106" s="53">
        <f t="shared" si="9"/>
        <v>0</v>
      </c>
      <c r="F106" s="749">
        <f>SUM(F108:F110)</f>
        <v>0</v>
      </c>
      <c r="G106" s="750">
        <f t="shared" si="10"/>
        <v>0</v>
      </c>
      <c r="H106" s="749">
        <f>SUM(H108:H110)</f>
        <v>0</v>
      </c>
      <c r="I106" s="750">
        <f t="shared" si="11"/>
        <v>0</v>
      </c>
      <c r="J106" s="61"/>
      <c r="K106" s="62"/>
      <c r="L106" s="366"/>
      <c r="M106" s="366"/>
      <c r="N106" s="366"/>
      <c r="O106" s="366"/>
      <c r="P106" s="366"/>
      <c r="Q106" s="367"/>
    </row>
    <row r="107" spans="1:26" x14ac:dyDescent="0.25">
      <c r="A107" s="897" t="s">
        <v>277</v>
      </c>
      <c r="B107" s="156">
        <f>SUMIFS(AS!$W:$W,AS!$AB:$AB,"OK",AS!$AX:$AX,Asiakastilastot!$X107,AS!$AW:$AW,Asiakastilastot!$Y$6,AS!$K:$K,Asiakastilastot!$Y$1,AS!$X:$X,Asiakastilastot!$Y$5,AS!$AV:$AV,Asiakastilastot!$Y$2)</f>
        <v>0</v>
      </c>
      <c r="C107" s="157">
        <f t="shared" si="8"/>
        <v>0</v>
      </c>
      <c r="D107" s="156">
        <f>SUMIFS(AS!$W:$W,AS!$AB:$AB,"OK",AS!$AX:$AX,Asiakastilastot!$X107,AS!$F:$F,Asiakastilastot!$X$7,AS!$AW:$AW,Asiakastilastot!$Y$6,AS!$K:$K,Asiakastilastot!$Y$1,AS!$X:$X,Asiakastilastot!$Y$5,AS!$AV:$AV,Asiakastilastot!$Y$2)</f>
        <v>0</v>
      </c>
      <c r="E107" s="157">
        <f t="shared" si="9"/>
        <v>0</v>
      </c>
      <c r="F107" s="156">
        <f>SUMIFS(AS!$W:$W,AS!$AB:$AB,"OK",AS!$AX:$AX,Asiakastilastot!$X107,AS!$AH:$AH,Asiakastilastot!$X$8,AS!$AW:$AW,Asiakastilastot!$Y$6,AS!$K:$K,Asiakastilastot!$Y$1,AS!$X:$X,Asiakastilastot!$Y$5,AS!$AV:$AV,Asiakastilastot!$Y$2)</f>
        <v>0</v>
      </c>
      <c r="G107" s="157">
        <f t="shared" si="10"/>
        <v>0</v>
      </c>
      <c r="H107" s="156">
        <f>SUMIFS(AS!$W:$W,AS!$AB:$AB,"OK",AS!$AX:$AX,Asiakastilastot!$X107,AS!$AH:$AH,Asiakastilastot!$X$8,AS!$F:$F,Asiakastilastot!$X$7,AS!$AW:$AW,Asiakastilastot!$Y$6,AS!$K:$K,Asiakastilastot!$Y$1,AS!$X:$X,Asiakastilastot!$Y$5,AS!$AV:$AV,Asiakastilastot!$Y$2)</f>
        <v>0</v>
      </c>
      <c r="I107" s="157">
        <f t="shared" si="11"/>
        <v>0</v>
      </c>
      <c r="J107" s="158"/>
      <c r="K107" s="159"/>
      <c r="L107" s="368"/>
      <c r="M107" s="368"/>
      <c r="N107" s="368"/>
      <c r="O107" s="368"/>
      <c r="P107" s="368"/>
      <c r="Q107" s="369"/>
      <c r="X107" t="s">
        <v>278</v>
      </c>
    </row>
    <row r="108" spans="1:26" x14ac:dyDescent="0.25">
      <c r="A108" s="897" t="s">
        <v>279</v>
      </c>
      <c r="B108" s="156">
        <f>SUMIFS(AS!$W:$W,AS!$AB:$AB,"OK",AS!$AX:$AX,Asiakastilastot!$X108,AS!$AW:$AW,Asiakastilastot!$Y$6,AS!$K:$K,Asiakastilastot!$Y$1,AS!$X:$X,Asiakastilastot!$Y$5,AS!$AV:$AV,Asiakastilastot!$Y$2)</f>
        <v>0</v>
      </c>
      <c r="C108" s="157">
        <f t="shared" si="8"/>
        <v>0</v>
      </c>
      <c r="D108" s="156">
        <f>SUMIFS(AS!$W:$W,AS!$AB:$AB,"OK",AS!$AX:$AX,Asiakastilastot!$X108,AS!$F:$F,Asiakastilastot!$X$7,AS!$AW:$AW,Asiakastilastot!$Y$6,AS!$K:$K,Asiakastilastot!$Y$1,AS!$X:$X,Asiakastilastot!$Y$5,AS!$AV:$AV,Asiakastilastot!$Y$2)</f>
        <v>0</v>
      </c>
      <c r="E108" s="157">
        <f t="shared" si="9"/>
        <v>0</v>
      </c>
      <c r="F108" s="156">
        <f>SUMIFS(AS!$W:$W,AS!$AB:$AB,"OK",AS!$AX:$AX,Asiakastilastot!$X108,AS!$AH:$AH,Asiakastilastot!$X$8,AS!$AW:$AW,Asiakastilastot!$Y$6,AS!$K:$K,Asiakastilastot!$Y$1,AS!$X:$X,Asiakastilastot!$Y$5,AS!$AV:$AV,Asiakastilastot!$Y$2)</f>
        <v>0</v>
      </c>
      <c r="G108" s="157">
        <f t="shared" si="10"/>
        <v>0</v>
      </c>
      <c r="H108" s="156">
        <f>SUMIFS(AS!$W:$W,AS!$AB:$AB,"OK",AS!$AX:$AX,Asiakastilastot!$X108,AS!$AH:$AH,Asiakastilastot!$X$8,AS!$F:$F,Asiakastilastot!$X$7,AS!$AW:$AW,Asiakastilastot!$Y$6,AS!$K:$K,Asiakastilastot!$Y$1,AS!$X:$X,Asiakastilastot!$Y$5,AS!$AV:$AV,Asiakastilastot!$Y$2)</f>
        <v>0</v>
      </c>
      <c r="I108" s="157">
        <f t="shared" si="11"/>
        <v>0</v>
      </c>
      <c r="J108" s="158"/>
      <c r="K108" s="159"/>
      <c r="L108" s="368"/>
      <c r="M108" s="368"/>
      <c r="N108" s="368"/>
      <c r="O108" s="368"/>
      <c r="P108" s="368"/>
      <c r="Q108" s="369"/>
      <c r="X108" t="s">
        <v>280</v>
      </c>
    </row>
    <row r="109" spans="1:26" x14ac:dyDescent="0.25">
      <c r="A109" s="897" t="s">
        <v>728</v>
      </c>
      <c r="B109" s="156">
        <f>SUMIFS(AS!$W:$W,AS!$AB:$AB,"OK",AS!$AX:$AX,Asiakastilastot!$X109,AS!$AW:$AW,Asiakastilastot!$Y$6,AS!$K:$K,Asiakastilastot!$Y$1,AS!$X:$X,Asiakastilastot!$Y$5,AS!$AV:$AV,Asiakastilastot!$Y$2)</f>
        <v>0</v>
      </c>
      <c r="C109" s="157">
        <f t="shared" si="8"/>
        <v>0</v>
      </c>
      <c r="D109" s="156">
        <f>SUMIFS(AS!$W:$W,AS!$AB:$AB,"OK",AS!$AX:$AX,Asiakastilastot!$X109,AS!$F:$F,Asiakastilastot!$X$7,AS!$AW:$AW,Asiakastilastot!$Y$6,AS!$K:$K,Asiakastilastot!$Y$1,AS!$X:$X,Asiakastilastot!$Y$5,AS!$AV:$AV,Asiakastilastot!$Y$2)</f>
        <v>0</v>
      </c>
      <c r="E109" s="157">
        <f t="shared" si="9"/>
        <v>0</v>
      </c>
      <c r="F109" s="156">
        <f>SUMIFS(AS!$W:$W,AS!$AB:$AB,"OK",AS!$AX:$AX,Asiakastilastot!$X109,AS!$AH:$AH,Asiakastilastot!$X$8,AS!$AW:$AW,Asiakastilastot!$Y$6,AS!$K:$K,Asiakastilastot!$Y$1,AS!$X:$X,Asiakastilastot!$Y$5,AS!$AV:$AV,Asiakastilastot!$Y$2)</f>
        <v>0</v>
      </c>
      <c r="G109" s="157">
        <f t="shared" si="10"/>
        <v>0</v>
      </c>
      <c r="H109" s="156">
        <f>SUMIFS(AS!$W:$W,AS!$AB:$AB,"OK",AS!$AX:$AX,Asiakastilastot!$X109,AS!$AH:$AH,Asiakastilastot!$X$8,AS!$F:$F,Asiakastilastot!$X$7,AS!$AW:$AW,Asiakastilastot!$Y$6,AS!$K:$K,Asiakastilastot!$Y$1,AS!$X:$X,Asiakastilastot!$Y$5,AS!$AV:$AV,Asiakastilastot!$Y$2)</f>
        <v>0</v>
      </c>
      <c r="I109" s="157">
        <f t="shared" si="11"/>
        <v>0</v>
      </c>
      <c r="J109" s="158"/>
      <c r="K109" s="159"/>
      <c r="L109" s="368"/>
      <c r="M109" s="368"/>
      <c r="N109" s="368"/>
      <c r="O109" s="368"/>
      <c r="P109" s="368"/>
      <c r="Q109" s="369"/>
      <c r="X109" t="s">
        <v>282</v>
      </c>
    </row>
    <row r="110" spans="1:26" x14ac:dyDescent="0.25">
      <c r="A110" s="897" t="s">
        <v>283</v>
      </c>
      <c r="B110" s="156">
        <f>SUMIFS(AS!$W:$W,AS!$AB:$AB,"OK",AS!$AX:$AX,Asiakastilastot!$X110,AS!$AW:$AW,Asiakastilastot!$Y$6,AS!$K:$K,Asiakastilastot!$Y$1,AS!$X:$X,Asiakastilastot!$Y$5,AS!$AV:$AV,Asiakastilastot!$Y$2)+SUMIFS(AS!$W:$W,AS!$AB:$AB,"OK",AS!$AX:$AX,Asiakastilastot!$W110,AS!$AW:$AW,Asiakastilastot!$Y$6,AS!$K:$K,Asiakastilastot!$Y$1,AS!$X:$X,Asiakastilastot!$Y$5,AS!$AV:$AV,Asiakastilastot!$Y$2)</f>
        <v>0</v>
      </c>
      <c r="C110" s="157">
        <f t="shared" si="8"/>
        <v>0</v>
      </c>
      <c r="D110" s="156">
        <f>SUMIFS(AS!$W:$W,AS!$AB:$AB,"OK",AS!$AX:$AX,Asiakastilastot!$X110,AS!$F:$F,Asiakastilastot!$X$7,AS!$AW:$AW,Asiakastilastot!$Y$6,AS!$K:$K,Asiakastilastot!$Y$1,AS!$X:$X,Asiakastilastot!$Y$5,AS!$AV:$AV,Asiakastilastot!$Y$2)+SUMIFS(AS!$W:$W,AS!$AB:$AB,"OK",AS!$AX:$AX,Asiakastilastot!$W110,AS!$F:$F,Asiakastilastot!$X$7,AS!$AW:$AW,Asiakastilastot!$Y$6,AS!$K:$K,Asiakastilastot!$Y$1,AS!$X:$X,Asiakastilastot!$Y$5,AS!$AV:$AV,Asiakastilastot!$Y$2)</f>
        <v>0</v>
      </c>
      <c r="E110" s="157">
        <f t="shared" si="9"/>
        <v>0</v>
      </c>
      <c r="F110" s="156">
        <f>SUMIFS(AS!$W:$W,AS!$AB:$AB,"OK",AS!$AX:$AX,Asiakastilastot!$X110,AS!$AH:$AH,Asiakastilastot!$X$8,AS!$AW:$AW,Asiakastilastot!$Y$6,AS!$K:$K,Asiakastilastot!$Y$1,AS!$X:$X,Asiakastilastot!$Y$5,AS!$AV:$AV,Asiakastilastot!$Y$2)+SUMIFS(AS!$W:$W,AS!$AB:$AB,"OK",AS!$AX:$AX,Asiakastilastot!$W110,AS!$AH:$AH,Asiakastilastot!$X$8,AS!$AW:$AW,Asiakastilastot!$Y$6,AS!$K:$K,Asiakastilastot!$Y$1,AS!$X:$X,Asiakastilastot!$Y$5,AS!$AV:$AV,Asiakastilastot!$Y$2)</f>
        <v>0</v>
      </c>
      <c r="G110" s="157">
        <f t="shared" si="10"/>
        <v>0</v>
      </c>
      <c r="H110" s="156">
        <f>SUMIFS(AS!$W:$W,AS!$AB:$AB,"OK",AS!$AX:$AX,Asiakastilastot!$X110,AS!$AH:$AH,Asiakastilastot!$X$8,AS!$F:$F,Asiakastilastot!$X$7,AS!$AW:$AW,Asiakastilastot!$Y$6,AS!$K:$K,Asiakastilastot!$Y$1,AS!$X:$X,Asiakastilastot!$Y$5,AS!$AV:$AV,Asiakastilastot!$Y$2)+SUMIFS(AS!$W:$W,AS!$AB:$AB,"OK",AS!$AX:$AX,Asiakastilastot!$W110,AS!$AH:$AH,Asiakastilastot!$X$8,AS!$F:$F,Asiakastilastot!$X$7,AS!$AW:$AW,Asiakastilastot!$Y$6,AS!$K:$K,Asiakastilastot!$Y$1,AS!$X:$X,Asiakastilastot!$Y$5,AS!$AV:$AV,Asiakastilastot!$Y$2)</f>
        <v>0</v>
      </c>
      <c r="I110" s="157">
        <f t="shared" si="11"/>
        <v>0</v>
      </c>
      <c r="J110" s="158"/>
      <c r="K110" s="159"/>
      <c r="L110" s="368"/>
      <c r="M110" s="368"/>
      <c r="N110" s="368"/>
      <c r="O110" s="368"/>
      <c r="P110" s="368"/>
      <c r="Q110" s="369"/>
      <c r="W110" t="s">
        <v>284</v>
      </c>
      <c r="X110" s="407" t="s">
        <v>285</v>
      </c>
    </row>
    <row r="111" spans="1:26" x14ac:dyDescent="0.25">
      <c r="A111" s="898" t="s">
        <v>771</v>
      </c>
      <c r="B111" s="26">
        <f>SUM(B112:B116)</f>
        <v>0</v>
      </c>
      <c r="C111" s="53">
        <f t="shared" si="8"/>
        <v>0</v>
      </c>
      <c r="D111" s="26">
        <f>SUM(D112:D116)</f>
        <v>0</v>
      </c>
      <c r="E111" s="53">
        <f t="shared" si="9"/>
        <v>0</v>
      </c>
      <c r="F111" s="749">
        <f>SUM(F112:F116)</f>
        <v>0</v>
      </c>
      <c r="G111" s="750">
        <f t="shared" si="10"/>
        <v>0</v>
      </c>
      <c r="H111" s="749">
        <f>SUM(H112:H116)</f>
        <v>0</v>
      </c>
      <c r="I111" s="750">
        <f t="shared" si="11"/>
        <v>0</v>
      </c>
      <c r="J111" s="61"/>
      <c r="K111" s="62"/>
      <c r="L111" s="366"/>
      <c r="M111" s="366"/>
      <c r="N111" s="366"/>
      <c r="O111" s="366"/>
      <c r="P111" s="366"/>
      <c r="Q111" s="367"/>
    </row>
    <row r="112" spans="1:26" x14ac:dyDescent="0.25">
      <c r="A112" s="897" t="s">
        <v>287</v>
      </c>
      <c r="B112" s="156">
        <f>SUMIFS(AS!$W:$W,AS!$AB:$AB,"OK",AS!$AX:$AX,Asiakastilastot!$X112,AS!$AW:$AW,Asiakastilastot!$Y$6,AS!$K:$K,Asiakastilastot!$Y$1,AS!$X:$X,Asiakastilastot!$Y$5,AS!$AV:$AV,Asiakastilastot!$Y$2)</f>
        <v>0</v>
      </c>
      <c r="C112" s="157">
        <f t="shared" si="8"/>
        <v>0</v>
      </c>
      <c r="D112" s="156">
        <f>SUMIFS(AS!$W:$W,AS!$AB:$AB,"OK",AS!$AX:$AX,Asiakastilastot!$X112,AS!$F:$F,Asiakastilastot!$X$7,AS!$AW:$AW,Asiakastilastot!$Y$6,AS!$K:$K,Asiakastilastot!$Y$1,AS!$X:$X,Asiakastilastot!$Y$5,AS!$AV:$AV,Asiakastilastot!$Y$2)</f>
        <v>0</v>
      </c>
      <c r="E112" s="157">
        <f t="shared" si="9"/>
        <v>0</v>
      </c>
      <c r="F112" s="156">
        <f>SUMIFS(AS!$W:$W,AS!$AB:$AB,"OK",AS!$AX:$AX,Asiakastilastot!$X112,AS!$AH:$AH,Asiakastilastot!$X$8,AS!$AW:$AW,Asiakastilastot!$Y$6,AS!$K:$K,Asiakastilastot!$Y$1,AS!$X:$X,Asiakastilastot!$Y$5,AS!$AV:$AV,Asiakastilastot!$Y$2)</f>
        <v>0</v>
      </c>
      <c r="G112" s="157">
        <f t="shared" si="10"/>
        <v>0</v>
      </c>
      <c r="H112" s="156">
        <f>SUMIFS(AS!$W:$W,AS!$AB:$AB,"OK",AS!$AX:$AX,Asiakastilastot!$X112,AS!$AH:$AH,Asiakastilastot!$X$8,AS!$F:$F,Asiakastilastot!$X$7,AS!$AW:$AW,Asiakastilastot!$Y$6,AS!$K:$K,Asiakastilastot!$Y$1,AS!$X:$X,Asiakastilastot!$Y$5,AS!$AV:$AV,Asiakastilastot!$Y$2)</f>
        <v>0</v>
      </c>
      <c r="I112" s="157">
        <f t="shared" si="11"/>
        <v>0</v>
      </c>
      <c r="J112" s="158"/>
      <c r="K112" s="159"/>
      <c r="L112" s="368"/>
      <c r="M112" s="368"/>
      <c r="N112" s="368"/>
      <c r="O112" s="368"/>
      <c r="P112" s="368"/>
      <c r="Q112" s="369"/>
      <c r="X112" t="s">
        <v>288</v>
      </c>
    </row>
    <row r="113" spans="1:25" x14ac:dyDescent="0.25">
      <c r="A113" s="897" t="s">
        <v>289</v>
      </c>
      <c r="B113" s="156">
        <f>SUMIFS(AS!$W:$W,AS!$AB:$AB,"OK",AS!$AX:$AX,Asiakastilastot!$X113,AS!$AW:$AW,Asiakastilastot!$Y$6,AS!$K:$K,Asiakastilastot!$Y$1,AS!$X:$X,Asiakastilastot!$Y$5,AS!$AV:$AV,Asiakastilastot!$Y$2)</f>
        <v>0</v>
      </c>
      <c r="C113" s="157">
        <f t="shared" si="8"/>
        <v>0</v>
      </c>
      <c r="D113" s="156">
        <f>SUMIFS(AS!$W:$W,AS!$AB:$AB,"OK",AS!$AX:$AX,Asiakastilastot!$X113,AS!$F:$F,Asiakastilastot!$X$7,AS!$AW:$AW,Asiakastilastot!$Y$6,AS!$K:$K,Asiakastilastot!$Y$1,AS!$X:$X,Asiakastilastot!$Y$5,AS!$AV:$AV,Asiakastilastot!$Y$2)</f>
        <v>0</v>
      </c>
      <c r="E113" s="157">
        <f t="shared" si="9"/>
        <v>0</v>
      </c>
      <c r="F113" s="156">
        <f>SUMIFS(AS!$W:$W,AS!$AB:$AB,"OK",AS!$AX:$AX,Asiakastilastot!$X113,AS!$AH:$AH,Asiakastilastot!$X$8,AS!$AW:$AW,Asiakastilastot!$Y$6,AS!$K:$K,Asiakastilastot!$Y$1,AS!$X:$X,Asiakastilastot!$Y$5,AS!$AV:$AV,Asiakastilastot!$Y$2)</f>
        <v>0</v>
      </c>
      <c r="G113" s="157">
        <f t="shared" si="10"/>
        <v>0</v>
      </c>
      <c r="H113" s="156">
        <f>SUMIFS(AS!$W:$W,AS!$AB:$AB,"OK",AS!$AX:$AX,Asiakastilastot!$X113,AS!$AH:$AH,Asiakastilastot!$X$8,AS!$F:$F,Asiakastilastot!$X$7,AS!$AW:$AW,Asiakastilastot!$Y$6,AS!$K:$K,Asiakastilastot!$Y$1,AS!$X:$X,Asiakastilastot!$Y$5,AS!$AV:$AV,Asiakastilastot!$Y$2)</f>
        <v>0</v>
      </c>
      <c r="I113" s="157">
        <f t="shared" si="11"/>
        <v>0</v>
      </c>
      <c r="J113" s="158"/>
      <c r="K113" s="159"/>
      <c r="L113" s="368"/>
      <c r="M113" s="368"/>
      <c r="N113" s="368"/>
      <c r="O113" s="368"/>
      <c r="P113" s="368"/>
      <c r="Q113" s="369"/>
      <c r="X113" t="s">
        <v>290</v>
      </c>
    </row>
    <row r="114" spans="1:25" x14ac:dyDescent="0.25">
      <c r="A114" s="897" t="s">
        <v>291</v>
      </c>
      <c r="B114" s="156">
        <f>SUMIFS(AS!$W:$W,AS!$AB:$AB,"OK",AS!$AX:$AX,Asiakastilastot!$X114,AS!$AW:$AW,Asiakastilastot!$Y$6,AS!$K:$K,Asiakastilastot!$Y$1,AS!$X:$X,Asiakastilastot!$Y$5,AS!$AV:$AV,Asiakastilastot!$Y$2)</f>
        <v>0</v>
      </c>
      <c r="C114" s="157">
        <f t="shared" si="8"/>
        <v>0</v>
      </c>
      <c r="D114" s="156">
        <f>SUMIFS(AS!$W:$W,AS!$AB:$AB,"OK",AS!$AX:$AX,Asiakastilastot!$X114,AS!$F:$F,Asiakastilastot!$X$7,AS!$AW:$AW,Asiakastilastot!$Y$6,AS!$K:$K,Asiakastilastot!$Y$1,AS!$X:$X,Asiakastilastot!$Y$5,AS!$AV:$AV,Asiakastilastot!$Y$2)</f>
        <v>0</v>
      </c>
      <c r="E114" s="157">
        <f t="shared" si="9"/>
        <v>0</v>
      </c>
      <c r="F114" s="156">
        <f>SUMIFS(AS!$W:$W,AS!$AB:$AB,"OK",AS!$AX:$AX,Asiakastilastot!$X114,AS!$AH:$AH,Asiakastilastot!$X$8,AS!$AW:$AW,Asiakastilastot!$Y$6,AS!$K:$K,Asiakastilastot!$Y$1,AS!$X:$X,Asiakastilastot!$Y$5,AS!$AV:$AV,Asiakastilastot!$Y$2)</f>
        <v>0</v>
      </c>
      <c r="G114" s="157">
        <f t="shared" si="10"/>
        <v>0</v>
      </c>
      <c r="H114" s="156">
        <f>SUMIFS(AS!$W:$W,AS!$AB:$AB,"OK",AS!$AX:$AX,Asiakastilastot!$X114,AS!$AH:$AH,Asiakastilastot!$X$8,AS!$F:$F,Asiakastilastot!$X$7,AS!$AW:$AW,Asiakastilastot!$Y$6,AS!$K:$K,Asiakastilastot!$Y$1,AS!$X:$X,Asiakastilastot!$Y$5,AS!$AV:$AV,Asiakastilastot!$Y$2)</f>
        <v>0</v>
      </c>
      <c r="I114" s="157">
        <f t="shared" si="11"/>
        <v>0</v>
      </c>
      <c r="J114" s="158"/>
      <c r="K114" s="159"/>
      <c r="L114" s="368"/>
      <c r="M114" s="368"/>
      <c r="N114" s="368"/>
      <c r="O114" s="368"/>
      <c r="P114" s="368"/>
      <c r="Q114" s="369"/>
      <c r="X114" t="s">
        <v>292</v>
      </c>
    </row>
    <row r="115" spans="1:25" x14ac:dyDescent="0.25">
      <c r="A115" s="897" t="s">
        <v>293</v>
      </c>
      <c r="B115" s="156">
        <f>SUMIFS(AS!$W:$W,AS!$AB:$AB,"OK",AS!$AX:$AX,Asiakastilastot!$X115,AS!$AW:$AW,Asiakastilastot!$Y$6,AS!$K:$K,Asiakastilastot!$Y$1,AS!$X:$X,Asiakastilastot!$Y$5,AS!$AV:$AV,Asiakastilastot!$Y$2)</f>
        <v>0</v>
      </c>
      <c r="C115" s="157">
        <f t="shared" si="8"/>
        <v>0</v>
      </c>
      <c r="D115" s="156">
        <f>SUMIFS(AS!$W:$W,AS!$AB:$AB,"OK",AS!$AX:$AX,Asiakastilastot!$X115,AS!$F:$F,Asiakastilastot!$X$7,AS!$AW:$AW,Asiakastilastot!$Y$6,AS!$K:$K,Asiakastilastot!$Y$1,AS!$X:$X,Asiakastilastot!$Y$5,AS!$AV:$AV,Asiakastilastot!$Y$2)</f>
        <v>0</v>
      </c>
      <c r="E115" s="157">
        <f t="shared" si="9"/>
        <v>0</v>
      </c>
      <c r="F115" s="156">
        <f>SUMIFS(AS!$W:$W,AS!$AB:$AB,"OK",AS!$AX:$AX,Asiakastilastot!$X115,AS!$AH:$AH,Asiakastilastot!$X$8,AS!$AW:$AW,Asiakastilastot!$Y$6,AS!$K:$K,Asiakastilastot!$Y$1,AS!$X:$X,Asiakastilastot!$Y$5,AS!$AV:$AV,Asiakastilastot!$Y$2)</f>
        <v>0</v>
      </c>
      <c r="G115" s="157">
        <f t="shared" si="10"/>
        <v>0</v>
      </c>
      <c r="H115" s="156">
        <f>SUMIFS(AS!$W:$W,AS!$AB:$AB,"OK",AS!$AX:$AX,Asiakastilastot!$X115,AS!$AH:$AH,Asiakastilastot!$X$8,AS!$F:$F,Asiakastilastot!$X$7,AS!$AW:$AW,Asiakastilastot!$Y$6,AS!$K:$K,Asiakastilastot!$Y$1,AS!$X:$X,Asiakastilastot!$Y$5,AS!$AV:$AV,Asiakastilastot!$Y$2)</f>
        <v>0</v>
      </c>
      <c r="I115" s="157">
        <f t="shared" si="11"/>
        <v>0</v>
      </c>
      <c r="J115" s="158"/>
      <c r="K115" s="159"/>
      <c r="L115" s="368"/>
      <c r="M115" s="368"/>
      <c r="N115" s="368"/>
      <c r="O115" s="368"/>
      <c r="P115" s="368"/>
      <c r="Q115" s="369"/>
      <c r="X115" s="86" t="s">
        <v>295</v>
      </c>
      <c r="Y115" s="228" t="s">
        <v>294</v>
      </c>
    </row>
    <row r="116" spans="1:25" x14ac:dyDescent="0.25">
      <c r="A116" s="155" t="s">
        <v>296</v>
      </c>
      <c r="B116" s="156">
        <f>SUMIFS(AS!$W:$W,AS!$AB:$AB,"OK",AS!$AX:$AX,Asiakastilastot!$X116,AS!$AW:$AW,Asiakastilastot!$Y$6,AS!$K:$K,Asiakastilastot!$Y$1,AS!$X:$X,Asiakastilastot!$Y$5,AS!$AV:$AV,Asiakastilastot!$Y$2)</f>
        <v>0</v>
      </c>
      <c r="C116" s="157">
        <f t="shared" si="8"/>
        <v>0</v>
      </c>
      <c r="D116" s="156">
        <f>SUMIFS(AS!$W:$W,AS!$AB:$AB,"OK",AS!$AX:$AX,Asiakastilastot!$X116,AS!$F:$F,Asiakastilastot!$X$7,AS!$AW:$AW,Asiakastilastot!$Y$6,AS!$K:$K,Asiakastilastot!$Y$1,AS!$X:$X,Asiakastilastot!$Y$5,AS!$AV:$AV,Asiakastilastot!$Y$2)</f>
        <v>0</v>
      </c>
      <c r="E116" s="157">
        <f t="shared" si="9"/>
        <v>0</v>
      </c>
      <c r="F116" s="156">
        <f>SUMIFS(AS!$W:$W,AS!$AB:$AB,"OK",AS!$AX:$AX,Asiakastilastot!$X116,AS!$AH:$AH,Asiakastilastot!$X$8,AS!$AW:$AW,Asiakastilastot!$Y$6,AS!$K:$K,Asiakastilastot!$Y$1,AS!$X:$X,Asiakastilastot!$Y$5,AS!$AV:$AV,Asiakastilastot!$Y$2)</f>
        <v>0</v>
      </c>
      <c r="G116" s="157">
        <f t="shared" si="10"/>
        <v>0</v>
      </c>
      <c r="H116" s="156">
        <f>SUMIFS(AS!$W:$W,AS!$AB:$AB,"OK",AS!$AX:$AX,Asiakastilastot!$X116,AS!$AH:$AH,Asiakastilastot!$X$8,AS!$F:$F,Asiakastilastot!$X$7,AS!$AW:$AW,Asiakastilastot!$Y$6,AS!$K:$K,Asiakastilastot!$Y$1,AS!$X:$X,Asiakastilastot!$Y$5,AS!$AV:$AV,Asiakastilastot!$Y$2)</f>
        <v>0</v>
      </c>
      <c r="I116" s="157">
        <f t="shared" si="11"/>
        <v>0</v>
      </c>
      <c r="J116" s="158"/>
      <c r="K116" s="159"/>
      <c r="L116" s="368"/>
      <c r="M116" s="368"/>
      <c r="N116" s="368"/>
      <c r="O116" s="368"/>
      <c r="P116" s="368"/>
      <c r="Q116" s="369"/>
      <c r="X116" t="s">
        <v>297</v>
      </c>
    </row>
    <row r="117" spans="1:25" x14ac:dyDescent="0.25">
      <c r="A117" s="25" t="s">
        <v>772</v>
      </c>
      <c r="B117" s="26">
        <f>SUM(B118:B120)</f>
        <v>0</v>
      </c>
      <c r="C117" s="53">
        <f t="shared" si="8"/>
        <v>0</v>
      </c>
      <c r="D117" s="26">
        <f>SUM(D118:D120)</f>
        <v>0</v>
      </c>
      <c r="E117" s="53">
        <f t="shared" si="9"/>
        <v>0</v>
      </c>
      <c r="F117" s="749">
        <f>SUM(F118:F120)</f>
        <v>0</v>
      </c>
      <c r="G117" s="750">
        <f t="shared" si="10"/>
        <v>0</v>
      </c>
      <c r="H117" s="749">
        <f>SUM(H118:H120)</f>
        <v>0</v>
      </c>
      <c r="I117" s="750">
        <f t="shared" si="11"/>
        <v>0</v>
      </c>
      <c r="J117" s="61"/>
      <c r="K117" s="62"/>
      <c r="L117" s="366"/>
      <c r="M117" s="366"/>
      <c r="N117" s="366"/>
      <c r="O117" s="366"/>
      <c r="P117" s="366"/>
      <c r="Q117" s="367"/>
    </row>
    <row r="118" spans="1:25" x14ac:dyDescent="0.25">
      <c r="A118" s="165" t="s">
        <v>299</v>
      </c>
      <c r="B118" s="156">
        <f>SUMIFS(AS!$W:$W,AS!$AB:$AB,"OK",AS!$AX:$AX,Asiakastilastot!$X118,AS!$AW:$AW,Asiakastilastot!$Y$6,AS!$K:$K,Asiakastilastot!$Y$1,AS!$X:$X,Asiakastilastot!$Y$5,AS!$AV:$AV,Asiakastilastot!$Y$2)</f>
        <v>0</v>
      </c>
      <c r="C118" s="157">
        <f t="shared" si="8"/>
        <v>0</v>
      </c>
      <c r="D118" s="156">
        <f>SUMIFS(AS!$W:$W,AS!$AB:$AB,"OK",AS!$AX:$AX,Asiakastilastot!$X118,AS!$F:$F,Asiakastilastot!$X$7,AS!$AW:$AW,Asiakastilastot!$Y$6,AS!$K:$K,Asiakastilastot!$Y$1,AS!$X:$X,Asiakastilastot!$Y$5,AS!$AV:$AV,Asiakastilastot!$Y$2)</f>
        <v>0</v>
      </c>
      <c r="E118" s="157">
        <f t="shared" si="9"/>
        <v>0</v>
      </c>
      <c r="F118" s="156">
        <f>SUMIFS(AS!$W:$W,AS!$AB:$AB,"OK",AS!$AX:$AX,Asiakastilastot!$X118,AS!$AH:$AH,Asiakastilastot!$X$8,AS!$AW:$AW,Asiakastilastot!$Y$6,AS!$K:$K,Asiakastilastot!$Y$1,AS!$X:$X,Asiakastilastot!$Y$5,AS!$AV:$AV,Asiakastilastot!$Y$2)</f>
        <v>0</v>
      </c>
      <c r="G118" s="157">
        <f t="shared" si="10"/>
        <v>0</v>
      </c>
      <c r="H118" s="156">
        <f>SUMIFS(AS!$W:$W,AS!$AB:$AB,"OK",AS!$AX:$AX,Asiakastilastot!$X118,AS!$AH:$AH,Asiakastilastot!$X$8,AS!$F:$F,Asiakastilastot!$X$7,AS!$AW:$AW,Asiakastilastot!$Y$6,AS!$K:$K,Asiakastilastot!$Y$1,AS!$X:$X,Asiakastilastot!$Y$5,AS!$AV:$AV,Asiakastilastot!$Y$2)</f>
        <v>0</v>
      </c>
      <c r="I118" s="157">
        <f t="shared" si="11"/>
        <v>0</v>
      </c>
      <c r="J118" s="158"/>
      <c r="K118" s="159"/>
      <c r="L118" s="368"/>
      <c r="M118" s="368"/>
      <c r="N118" s="368"/>
      <c r="O118" s="368"/>
      <c r="P118" s="368"/>
      <c r="Q118" s="369"/>
      <c r="X118" t="s">
        <v>300</v>
      </c>
    </row>
    <row r="119" spans="1:25" x14ac:dyDescent="0.25">
      <c r="A119" s="166" t="s">
        <v>301</v>
      </c>
      <c r="B119" s="156">
        <f>SUMIFS(AS!$W:$W,AS!$AB:$AB,"OK",AS!$AX:$AX,Asiakastilastot!$X119,AS!$AW:$AW,Asiakastilastot!$Y$6,AS!$K:$K,Asiakastilastot!$Y$1,AS!$X:$X,Asiakastilastot!$Y$5,AS!$AV:$AV,Asiakastilastot!$Y$2)</f>
        <v>0</v>
      </c>
      <c r="C119" s="157">
        <f t="shared" si="8"/>
        <v>0</v>
      </c>
      <c r="D119" s="156">
        <f>SUMIFS(AS!$W:$W,AS!$AB:$AB,"OK",AS!$AX:$AX,Asiakastilastot!$X119,AS!$F:$F,Asiakastilastot!$X$7,AS!$AW:$AW,Asiakastilastot!$Y$6,AS!$K:$K,Asiakastilastot!$Y$1,AS!$X:$X,Asiakastilastot!$Y$5,AS!$AV:$AV,Asiakastilastot!$Y$2)</f>
        <v>0</v>
      </c>
      <c r="E119" s="157">
        <f t="shared" si="9"/>
        <v>0</v>
      </c>
      <c r="F119" s="156">
        <f>SUMIFS(AS!$W:$W,AS!$AB:$AB,"OK",AS!$AX:$AX,Asiakastilastot!$X119,AS!$AH:$AH,Asiakastilastot!$X$8,AS!$AW:$AW,Asiakastilastot!$Y$6,AS!$K:$K,Asiakastilastot!$Y$1,AS!$X:$X,Asiakastilastot!$Y$5,AS!$AV:$AV,Asiakastilastot!$Y$2)</f>
        <v>0</v>
      </c>
      <c r="G119" s="157">
        <f t="shared" si="10"/>
        <v>0</v>
      </c>
      <c r="H119" s="156">
        <f>SUMIFS(AS!$W:$W,AS!$AB:$AB,"OK",AS!$AX:$AX,Asiakastilastot!$X119,AS!$AH:$AH,Asiakastilastot!$X$8,AS!$F:$F,Asiakastilastot!$X$7,AS!$AW:$AW,Asiakastilastot!$Y$6,AS!$K:$K,Asiakastilastot!$Y$1,AS!$X:$X,Asiakastilastot!$Y$5,AS!$AV:$AV,Asiakastilastot!$Y$2)</f>
        <v>0</v>
      </c>
      <c r="I119" s="157">
        <f t="shared" si="11"/>
        <v>0</v>
      </c>
      <c r="J119" s="158"/>
      <c r="K119" s="159"/>
      <c r="L119" s="368"/>
      <c r="M119" s="368"/>
      <c r="N119" s="368"/>
      <c r="O119" s="368"/>
      <c r="P119" s="368"/>
      <c r="Q119" s="369"/>
      <c r="X119" t="s">
        <v>302</v>
      </c>
    </row>
    <row r="120" spans="1:25" x14ac:dyDescent="0.25">
      <c r="A120" s="160" t="s">
        <v>303</v>
      </c>
      <c r="B120" s="161">
        <f>SUMIFS(AS!$W:$W,AS!$AB:$AB,"OK",AS!$AX:$AX,Asiakastilastot!$X120,AS!$AW:$AW,Asiakastilastot!$Y$6,AS!$K:$K,Asiakastilastot!$Y$1,AS!$X:$X,Asiakastilastot!$Y$5,AS!$AV:$AV,Asiakastilastot!$Y$2)</f>
        <v>0</v>
      </c>
      <c r="C120" s="162">
        <f t="shared" si="8"/>
        <v>0</v>
      </c>
      <c r="D120" s="156">
        <f>SUMIFS(AS!$W:$W,AS!$AB:$AB,"OK",AS!$AX:$AX,Asiakastilastot!$X120,AS!$F:$F,Asiakastilastot!$X$7,AS!$AW:$AW,Asiakastilastot!$Y$6,AS!$K:$K,Asiakastilastot!$Y$1,AS!$X:$X,Asiakastilastot!$Y$5,AS!$AV:$AV,Asiakastilastot!$Y$2)</f>
        <v>0</v>
      </c>
      <c r="E120" s="162">
        <f t="shared" si="9"/>
        <v>0</v>
      </c>
      <c r="F120" s="161">
        <f>SUMIFS(AS!$W:$W,AS!$AB:$AB,"OK",AS!$AX:$AX,Asiakastilastot!$X120,AS!$AH:$AH,Asiakastilastot!$X$8,AS!$AW:$AW,Asiakastilastot!$Y$6,AS!$K:$K,Asiakastilastot!$Y$1,AS!$X:$X,Asiakastilastot!$Y$5,AS!$AV:$AV,Asiakastilastot!$Y$2)</f>
        <v>0</v>
      </c>
      <c r="G120" s="162">
        <f t="shared" si="10"/>
        <v>0</v>
      </c>
      <c r="H120" s="161">
        <f>SUMIFS(AS!$W:$W,AS!$AB:$AB,"OK",AS!$AX:$AX,Asiakastilastot!$X120,AS!$AH:$AH,Asiakastilastot!$X$8,AS!$F:$F,Asiakastilastot!$X$7,AS!$AW:$AW,Asiakastilastot!$Y$6,AS!$K:$K,Asiakastilastot!$Y$1,AS!$X:$X,Asiakastilastot!$Y$5,AS!$AV:$AV,Asiakastilastot!$Y$2)</f>
        <v>0</v>
      </c>
      <c r="I120" s="162">
        <f t="shared" si="11"/>
        <v>0</v>
      </c>
      <c r="J120" s="163"/>
      <c r="K120" s="164"/>
      <c r="L120" s="370"/>
      <c r="M120" s="370"/>
      <c r="N120" s="370"/>
      <c r="O120" s="370"/>
      <c r="P120" s="370"/>
      <c r="Q120" s="371"/>
      <c r="X120" s="86" t="s">
        <v>304</v>
      </c>
    </row>
    <row r="121" spans="1:25" x14ac:dyDescent="0.25">
      <c r="A121" s="27" t="s">
        <v>773</v>
      </c>
      <c r="B121" s="28">
        <f>SUM(B122:B123)</f>
        <v>0</v>
      </c>
      <c r="C121" s="56">
        <f t="shared" si="8"/>
        <v>0</v>
      </c>
      <c r="D121" s="28">
        <f>SUM(D122:D123)</f>
        <v>0</v>
      </c>
      <c r="E121" s="56">
        <f t="shared" si="9"/>
        <v>0</v>
      </c>
      <c r="F121" s="751">
        <f>SUM(F122:F123)</f>
        <v>0</v>
      </c>
      <c r="G121" s="752">
        <f t="shared" si="10"/>
        <v>0</v>
      </c>
      <c r="H121" s="751">
        <f>SUM(H122:H123)</f>
        <v>0</v>
      </c>
      <c r="I121" s="752">
        <f t="shared" si="11"/>
        <v>0</v>
      </c>
      <c r="J121" s="63"/>
      <c r="K121" s="64"/>
      <c r="L121" s="372"/>
      <c r="M121" s="372"/>
      <c r="N121" s="372"/>
      <c r="O121" s="372"/>
      <c r="P121" s="372"/>
      <c r="Q121" s="373"/>
      <c r="X121" s="86"/>
    </row>
    <row r="122" spans="1:25" x14ac:dyDescent="0.25">
      <c r="A122" s="166" t="s">
        <v>239</v>
      </c>
      <c r="B122" s="156">
        <f>SUMIFS(AS!$W:$W,AS!$AB:$AB,"OK",AS!$AX:$AX,Asiakastilastot!$X122,AS!$AW:$AW,Asiakastilastot!$Y$6,AS!$K:$K,Asiakastilastot!$Y$1,AS!$X:$X,Asiakastilastot!$Y$5,AS!$AV:$AV,Asiakastilastot!$Y$2)</f>
        <v>0</v>
      </c>
      <c r="C122" s="157">
        <f t="shared" si="8"/>
        <v>0</v>
      </c>
      <c r="D122" s="156">
        <f>SUMIFS(AS!$W:$W,AS!$AB:$AB,"OK",AS!$AX:$AX,Asiakastilastot!$X122,AS!$F:$F,Asiakastilastot!$X$7,AS!$AW:$AW,Asiakastilastot!$Y$6,AS!$K:$K,Asiakastilastot!$Y$1,AS!$X:$X,Asiakastilastot!$Y$5,AS!$AV:$AV,Asiakastilastot!$Y$2)</f>
        <v>0</v>
      </c>
      <c r="E122" s="157">
        <f t="shared" si="9"/>
        <v>0</v>
      </c>
      <c r="F122" s="156">
        <f>SUMIFS(AS!$W:$W,AS!$AB:$AB,"OK",AS!$AX:$AX,Asiakastilastot!$X122,AS!$AH:$AH,Asiakastilastot!$X$8,AS!$AW:$AW,Asiakastilastot!$Y$6,AS!$K:$K,Asiakastilastot!$Y$1,AS!$X:$X,Asiakastilastot!$Y$5,AS!$AV:$AV,Asiakastilastot!$Y$2)</f>
        <v>0</v>
      </c>
      <c r="G122" s="157">
        <f t="shared" si="10"/>
        <v>0</v>
      </c>
      <c r="H122" s="156">
        <f>SUMIFS(AS!$W:$W,AS!$AB:$AB,"OK",AS!$AX:$AX,Asiakastilastot!$X122,AS!$AH:$AH,Asiakastilastot!$X$8,AS!$F:$F,Asiakastilastot!$X$7,AS!$AW:$AW,Asiakastilastot!$Y$6,AS!$K:$K,Asiakastilastot!$Y$1,AS!$X:$X,Asiakastilastot!$Y$5,AS!$AV:$AV,Asiakastilastot!$Y$2)</f>
        <v>0</v>
      </c>
      <c r="I122" s="157">
        <f t="shared" si="11"/>
        <v>0</v>
      </c>
      <c r="J122" s="158"/>
      <c r="K122" s="159"/>
      <c r="L122" s="368"/>
      <c r="M122" s="368"/>
      <c r="N122" s="368"/>
      <c r="O122" s="368"/>
      <c r="P122" s="368"/>
      <c r="Q122" s="369"/>
      <c r="X122" s="86" t="s">
        <v>305</v>
      </c>
    </row>
    <row r="123" spans="1:25" x14ac:dyDescent="0.25">
      <c r="A123" s="160" t="s">
        <v>241</v>
      </c>
      <c r="B123" s="161">
        <f>SUMIFS(AS!$W:$W,AS!$AB:$AB,"OK",AS!$AX:$AX,"",AS!$AW:$AW,Asiakastilastot!$Y$6,AS!$K:$K,Asiakastilastot!$Y$1,AS!$X:$X,Asiakastilastot!$Y$5,AS!$AV:$AV,Asiakastilastot!$Y$2)</f>
        <v>0</v>
      </c>
      <c r="C123" s="162">
        <f t="shared" si="8"/>
        <v>0</v>
      </c>
      <c r="D123" s="161">
        <f>SUMIFS(AS!$W:$W,AS!$AB:$AB,"OK",AS!$AX:$AX,"",AS!$F:$F,Asiakastilastot!$X$7,AS!$AW:$AW,Asiakastilastot!$Y$6,AS!$K:$K,Asiakastilastot!$Y$1,AS!$X:$X,Asiakastilastot!$Y$5,AS!$AV:$AV,Asiakastilastot!$Y$2)</f>
        <v>0</v>
      </c>
      <c r="E123" s="162">
        <f t="shared" si="9"/>
        <v>0</v>
      </c>
      <c r="F123" s="161">
        <f>SUMIFS(AS!$W:$W,AS!$AB:$AB,"OK",AS!$AX:$AX,"",AS!$AH:$AH,Asiakastilastot!$X$8,AS!$AW:$AW,Asiakastilastot!$Y$6,AS!$K:$K,Asiakastilastot!$Y$1,AS!$X:$X,Asiakastilastot!$Y$5,AS!$AV:$AV,Asiakastilastot!$Y$2)</f>
        <v>0</v>
      </c>
      <c r="G123" s="162">
        <f t="shared" si="10"/>
        <v>0</v>
      </c>
      <c r="H123" s="161">
        <f>SUMIFS(AS!$W:$W,AS!$AB:$AB,"OK",AS!$AX:$AX,"",AS!$AH:$AH,Asiakastilastot!$X$8,AS!$F:$F,Asiakastilastot!$X$7,AS!$AW:$AW,Asiakastilastot!$Y$6,AS!$K:$K,Asiakastilastot!$Y$1,AS!$X:$X,Asiakastilastot!$Y$5,AS!$AV:$AV,Asiakastilastot!$Y$2)</f>
        <v>0</v>
      </c>
      <c r="I123" s="162">
        <f t="shared" si="11"/>
        <v>0</v>
      </c>
      <c r="J123" s="163"/>
      <c r="K123" s="164"/>
      <c r="L123" s="370"/>
      <c r="M123" s="370"/>
      <c r="N123" s="370"/>
      <c r="O123" s="370"/>
      <c r="P123" s="370"/>
      <c r="Q123" s="371"/>
      <c r="X123" s="478" t="s">
        <v>774</v>
      </c>
    </row>
    <row r="124" spans="1:25" x14ac:dyDescent="0.25">
      <c r="A124" s="10" t="s">
        <v>730</v>
      </c>
      <c r="B124" s="9">
        <f>SUM(B100,B92,B106,B111,B117,B121,B97)</f>
        <v>0</v>
      </c>
      <c r="C124" s="21">
        <f t="shared" si="8"/>
        <v>0</v>
      </c>
      <c r="D124" s="9">
        <f>SUM(D100,D92,D106,D111,D117,D121,D97)</f>
        <v>0</v>
      </c>
      <c r="E124" s="32">
        <f t="shared" si="9"/>
        <v>0</v>
      </c>
      <c r="F124" s="9">
        <f>SUM(F100,F92,F106,F111,F117,F121,F97)</f>
        <v>0</v>
      </c>
      <c r="G124" s="21">
        <f t="shared" si="10"/>
        <v>0</v>
      </c>
      <c r="H124" s="9">
        <f>SUM(H100,H92,H106,H111,H117,H121,H97)</f>
        <v>0</v>
      </c>
      <c r="I124" s="32">
        <f t="shared" si="11"/>
        <v>0</v>
      </c>
      <c r="J124" s="13"/>
      <c r="K124" s="19"/>
      <c r="L124" s="362"/>
      <c r="M124" s="362"/>
      <c r="N124" s="362"/>
      <c r="O124" s="362"/>
      <c r="P124" s="362"/>
      <c r="Q124" s="363"/>
    </row>
    <row r="125" spans="1:25" x14ac:dyDescent="0.25">
      <c r="A125" s="475" t="str">
        <f>$A$6</f>
        <v>Kaikki</v>
      </c>
      <c r="B125" s="17"/>
      <c r="C125" s="17"/>
      <c r="D125" s="17"/>
      <c r="E125" s="40"/>
      <c r="F125" s="17"/>
      <c r="G125" s="17"/>
      <c r="H125" s="17"/>
      <c r="I125" s="40"/>
      <c r="J125" s="14"/>
      <c r="K125" s="6"/>
      <c r="L125" s="374"/>
      <c r="M125" s="374"/>
      <c r="N125" s="374"/>
      <c r="O125" s="374"/>
      <c r="P125" s="374"/>
      <c r="Q125" s="375"/>
    </row>
    <row r="126" spans="1:25" x14ac:dyDescent="0.25">
      <c r="A126" s="55"/>
      <c r="B126" s="18"/>
      <c r="C126" s="18"/>
      <c r="D126" s="18"/>
      <c r="E126" s="45"/>
      <c r="F126" s="18"/>
      <c r="G126" s="18"/>
      <c r="H126" s="18"/>
      <c r="I126" s="45"/>
      <c r="J126" s="15"/>
      <c r="K126" s="20"/>
      <c r="L126" s="364"/>
      <c r="M126" s="364"/>
      <c r="N126" s="364"/>
      <c r="O126" s="364"/>
      <c r="P126" s="364"/>
      <c r="Q126" s="365"/>
    </row>
    <row r="127" spans="1:25" x14ac:dyDescent="0.25">
      <c r="A127" s="75"/>
      <c r="B127" s="75"/>
      <c r="C127" s="75"/>
      <c r="D127" s="75"/>
      <c r="E127" s="75"/>
      <c r="F127" s="6"/>
      <c r="G127" s="6"/>
      <c r="H127" s="6"/>
      <c r="I127" s="6"/>
      <c r="J127" s="6"/>
    </row>
    <row r="128" spans="1:25" x14ac:dyDescent="0.25">
      <c r="A128" s="75"/>
      <c r="B128" s="75"/>
      <c r="C128" s="75"/>
      <c r="D128" s="75"/>
      <c r="E128" s="75"/>
      <c r="F128" s="6"/>
      <c r="G128" s="6"/>
      <c r="H128" s="6"/>
      <c r="I128" s="6"/>
      <c r="J128" s="6"/>
    </row>
    <row r="129" spans="1:24" x14ac:dyDescent="0.25">
      <c r="A129" s="66" t="str">
        <f>X129&amp;X10&amp;X12</f>
        <v>Valmentautujien koulutustaustat - 01.01.2026-31.12.2026 (Kaikki kunnat, Kaikki yksiköt, Kaikki asiakkuudet)</v>
      </c>
      <c r="X129" s="389" t="s">
        <v>775</v>
      </c>
    </row>
    <row r="130" spans="1:24" x14ac:dyDescent="0.25">
      <c r="A130" s="1006" t="s">
        <v>632</v>
      </c>
      <c r="B130" s="976" t="s">
        <v>766</v>
      </c>
      <c r="C130" s="1033"/>
      <c r="D130" s="976" t="s">
        <v>767</v>
      </c>
      <c r="E130" s="1033"/>
      <c r="F130" s="1034" t="s">
        <v>753</v>
      </c>
      <c r="G130" s="1010"/>
      <c r="H130" s="1009" t="s">
        <v>768</v>
      </c>
      <c r="I130" s="1010"/>
      <c r="J130" s="19"/>
      <c r="K130" s="19"/>
      <c r="L130" s="362"/>
      <c r="M130" s="362"/>
      <c r="N130" s="362"/>
      <c r="O130" s="362"/>
      <c r="P130" s="362"/>
      <c r="Q130" s="363"/>
    </row>
    <row r="131" spans="1:24" ht="30" customHeight="1" x14ac:dyDescent="0.25">
      <c r="A131" s="1007"/>
      <c r="B131" s="58" t="s">
        <v>742</v>
      </c>
      <c r="C131" s="58" t="s">
        <v>754</v>
      </c>
      <c r="D131" s="58" t="s">
        <v>742</v>
      </c>
      <c r="E131" s="758" t="s">
        <v>776</v>
      </c>
      <c r="F131" s="452" t="s">
        <v>742</v>
      </c>
      <c r="G131" s="58" t="s">
        <v>754</v>
      </c>
      <c r="H131" s="58" t="s">
        <v>742</v>
      </c>
      <c r="I131" s="758" t="s">
        <v>777</v>
      </c>
      <c r="J131" s="6"/>
      <c r="K131" s="6"/>
      <c r="L131" s="374"/>
      <c r="M131" s="374"/>
      <c r="N131" s="374"/>
      <c r="O131" s="374"/>
      <c r="P131" s="374"/>
      <c r="Q131" s="375"/>
    </row>
    <row r="132" spans="1:24" x14ac:dyDescent="0.25">
      <c r="A132" s="25" t="s">
        <v>308</v>
      </c>
      <c r="B132" s="26">
        <f>SUM(B133:B142)</f>
        <v>0</v>
      </c>
      <c r="C132" s="53">
        <f>IFERROR(B132/$B$146,0)</f>
        <v>0</v>
      </c>
      <c r="D132" s="26">
        <f>SUM(D133:D142)</f>
        <v>0</v>
      </c>
      <c r="E132" s="53">
        <f>IFERROR(D132/B$146,0)</f>
        <v>0</v>
      </c>
      <c r="F132" s="749">
        <f>SUM(F133:F142)</f>
        <v>0</v>
      </c>
      <c r="G132" s="750">
        <f>IFERROR(F132/F$146,0)</f>
        <v>0</v>
      </c>
      <c r="H132" s="749">
        <f>SUM(H133:H142)</f>
        <v>0</v>
      </c>
      <c r="I132" s="750">
        <f>IFERROR(H132/F$146,0)</f>
        <v>0</v>
      </c>
      <c r="J132" s="753"/>
      <c r="K132" s="754"/>
      <c r="L132" s="755"/>
      <c r="M132" s="755"/>
      <c r="N132" s="755"/>
      <c r="O132" s="755"/>
      <c r="P132" s="755"/>
      <c r="Q132" s="756"/>
    </row>
    <row r="133" spans="1:24" x14ac:dyDescent="0.25">
      <c r="A133" s="206" t="s">
        <v>309</v>
      </c>
      <c r="B133" s="156">
        <f>SUMIFS(AS!$W:$W,AS!$AB:$AB,"OK",AS!$AJ:$AJ,Asiakastilastot!$X133,AS!$AW:$AW,Asiakastilastot!$Y$6,AS!$K:$K,Asiakastilastot!$Y$1,AS!$X:$X,Asiakastilastot!$Y$5,AS!$AV:$AV,Asiakastilastot!$Y$2)</f>
        <v>0</v>
      </c>
      <c r="C133" s="157">
        <f>IFERROR(B133/B$146,0)</f>
        <v>0</v>
      </c>
      <c r="D133" s="156">
        <f>SUMIFS(AS!$W:$W,AS!$AB:$AB,"OK",AS!$AJ:$AJ,Asiakastilastot!$X133,AS!$F:$F,Asiakastilastot!$X$7,AS!$AW:$AW,Asiakastilastot!$Y$6,AS!$K:$K,Asiakastilastot!$Y$1,AS!$X:$X,Asiakastilastot!$Y$5,AS!$AV:$AV,Asiakastilastot!$Y$2)</f>
        <v>0</v>
      </c>
      <c r="E133" s="157">
        <f>IFERROR(D133/B$146,0)</f>
        <v>0</v>
      </c>
      <c r="F133" s="156">
        <f>SUMIFS(AS!$W:$W,AS!$AB:$AB,"OK",AS!$AJ:$AJ,Asiakastilastot!$X133,AS!$AH:$AH,Asiakastilastot!$X$8,AS!$AW:$AW,Asiakastilastot!$Y$6,AS!$K:$K,Asiakastilastot!$Y$1,AS!$X:$X,Asiakastilastot!$Y$5,AS!$AV:$AV,Asiakastilastot!$Y$2)</f>
        <v>0</v>
      </c>
      <c r="G133" s="157">
        <f t="shared" ref="G133:G141" si="12">IFERROR(F133/F$146,0)</f>
        <v>0</v>
      </c>
      <c r="H133" s="156">
        <f>SUMIFS(AS!$W:$W,AS!$AB:$AB,"OK",AS!$AJ:$AJ,Asiakastilastot!$X133,AS!$AH:$AH,Asiakastilastot!$X$8,AS!$F:$F,Asiakastilastot!$X$7,AS!$AW:$AW,Asiakastilastot!$Y$6,AS!$K:$K,Asiakastilastot!$Y$1,AS!$X:$X,Asiakastilastot!$Y$5,AS!$AV:$AV,Asiakastilastot!$Y$2)</f>
        <v>0</v>
      </c>
      <c r="I133" s="157">
        <f>IFERROR(H133/F$146,0)</f>
        <v>0</v>
      </c>
      <c r="J133" s="158"/>
      <c r="K133" s="159"/>
      <c r="L133" s="368"/>
      <c r="M133" s="368"/>
      <c r="N133" s="368"/>
      <c r="O133" s="368"/>
      <c r="P133" s="368"/>
      <c r="Q133" s="369"/>
      <c r="X133" t="s">
        <v>310</v>
      </c>
    </row>
    <row r="134" spans="1:24" x14ac:dyDescent="0.25">
      <c r="A134" s="206" t="s">
        <v>312</v>
      </c>
      <c r="B134" s="156">
        <f>SUMIFS(AS!$W:$W,AS!$AB:$AB,"OK",AS!$AJ:$AJ,Asiakastilastot!$X134,AS!$AW:$AW,Asiakastilastot!$Y$6,AS!$K:$K,Asiakastilastot!$Y$1,AS!$X:$X,Asiakastilastot!$Y$5,AS!$AV:$AV,Asiakastilastot!$Y$2)</f>
        <v>0</v>
      </c>
      <c r="C134" s="157">
        <f t="shared" ref="C134:C145" si="13">IFERROR(B134/B$146,0)</f>
        <v>0</v>
      </c>
      <c r="D134" s="156">
        <f>SUMIFS(AS!$W:$W,AS!$AB:$AB,"OK",AS!$AJ:$AJ,Asiakastilastot!$X134,AS!$F:$F,Asiakastilastot!$X$7,AS!$AW:$AW,Asiakastilastot!$Y$6,AS!$K:$K,Asiakastilastot!$Y$1,AS!$X:$X,Asiakastilastot!$Y$5,AS!$AV:$AV,Asiakastilastot!$Y$2)</f>
        <v>0</v>
      </c>
      <c r="E134" s="157">
        <f t="shared" ref="E134:E142" si="14">IFERROR(D134/B$146,0)</f>
        <v>0</v>
      </c>
      <c r="F134" s="156">
        <f>SUMIFS(AS!$W:$W,AS!$AB:$AB,"OK",AS!$AJ:$AJ,Asiakastilastot!$X134,AS!$AH:$AH,Asiakastilastot!$X$8,AS!$AW:$AW,Asiakastilastot!$Y$6,AS!$K:$K,Asiakastilastot!$Y$1,AS!$X:$X,Asiakastilastot!$Y$5,AS!$AV:$AV,Asiakastilastot!$Y$2)</f>
        <v>0</v>
      </c>
      <c r="G134" s="157">
        <f t="shared" si="12"/>
        <v>0</v>
      </c>
      <c r="H134" s="156">
        <f>SUMIFS(AS!$W:$W,AS!$AB:$AB,"OK",AS!$AJ:$AJ,Asiakastilastot!$X134,AS!$AH:$AH,Asiakastilastot!$X$8,AS!$F:$F,Asiakastilastot!$X$7,AS!$AW:$AW,Asiakastilastot!$Y$6,AS!$K:$K,Asiakastilastot!$Y$1,AS!$X:$X,Asiakastilastot!$Y$5,AS!$AV:$AV,Asiakastilastot!$Y$2)</f>
        <v>0</v>
      </c>
      <c r="I134" s="157">
        <f t="shared" ref="I134:I142" si="15">IFERROR(H134/F$146,0)</f>
        <v>0</v>
      </c>
      <c r="J134" s="158"/>
      <c r="K134" s="159"/>
      <c r="L134" s="368"/>
      <c r="M134" s="368"/>
      <c r="N134" s="368"/>
      <c r="O134" s="368"/>
      <c r="P134" s="368"/>
      <c r="Q134" s="369"/>
      <c r="X134" t="s">
        <v>313</v>
      </c>
    </row>
    <row r="135" spans="1:24" x14ac:dyDescent="0.25">
      <c r="A135" s="206" t="s">
        <v>315</v>
      </c>
      <c r="B135" s="156">
        <f>SUMIFS(AS!$W:$W,AS!$AB:$AB,"OK",AS!$AJ:$AJ,Asiakastilastot!$X135,AS!$AW:$AW,Asiakastilastot!$Y$6,AS!$K:$K,Asiakastilastot!$Y$1,AS!$X:$X,Asiakastilastot!$Y$5,AS!$AV:$AV,Asiakastilastot!$Y$2)</f>
        <v>0</v>
      </c>
      <c r="C135" s="157">
        <f t="shared" si="13"/>
        <v>0</v>
      </c>
      <c r="D135" s="156">
        <f>SUMIFS(AS!$W:$W,AS!$AB:$AB,"OK",AS!$AJ:$AJ,Asiakastilastot!$X135,AS!$F:$F,Asiakastilastot!$X$7,AS!$AW:$AW,Asiakastilastot!$Y$6,AS!$K:$K,Asiakastilastot!$Y$1,AS!$X:$X,Asiakastilastot!$Y$5,AS!$AV:$AV,Asiakastilastot!$Y$2)</f>
        <v>0</v>
      </c>
      <c r="E135" s="157">
        <f t="shared" si="14"/>
        <v>0</v>
      </c>
      <c r="F135" s="156">
        <f>SUMIFS(AS!$W:$W,AS!$AB:$AB,"OK",AS!$AJ:$AJ,Asiakastilastot!$X135,AS!$AH:$AH,Asiakastilastot!$X$8,AS!$AW:$AW,Asiakastilastot!$Y$6,AS!$K:$K,Asiakastilastot!$Y$1,AS!$X:$X,Asiakastilastot!$Y$5,AS!$AV:$AV,Asiakastilastot!$Y$2)</f>
        <v>0</v>
      </c>
      <c r="G135" s="157">
        <f t="shared" si="12"/>
        <v>0</v>
      </c>
      <c r="H135" s="156">
        <f>SUMIFS(AS!$W:$W,AS!$AB:$AB,"OK",AS!$AJ:$AJ,Asiakastilastot!$X135,AS!$AH:$AH,Asiakastilastot!$X$8,AS!$F:$F,Asiakastilastot!$X$7,AS!$AW:$AW,Asiakastilastot!$Y$6,AS!$K:$K,Asiakastilastot!$Y$1,AS!$X:$X,Asiakastilastot!$Y$5,AS!$AV:$AV,Asiakastilastot!$Y$2)</f>
        <v>0</v>
      </c>
      <c r="I135" s="157">
        <f t="shared" si="15"/>
        <v>0</v>
      </c>
      <c r="J135" s="158"/>
      <c r="K135" s="159"/>
      <c r="L135" s="368"/>
      <c r="M135" s="368"/>
      <c r="N135" s="368"/>
      <c r="O135" s="368"/>
      <c r="P135" s="368"/>
      <c r="Q135" s="369"/>
      <c r="X135" t="s">
        <v>318</v>
      </c>
    </row>
    <row r="136" spans="1:24" x14ac:dyDescent="0.25">
      <c r="A136" s="206" t="s">
        <v>321</v>
      </c>
      <c r="B136" s="156">
        <f>SUMIFS(AS!$W:$W,AS!$AB:$AB,"OK",AS!$AJ:$AJ,Asiakastilastot!$X136,AS!$AW:$AW,Asiakastilastot!$Y$6,AS!$K:$K,Asiakastilastot!$Y$1,AS!$X:$X,Asiakastilastot!$Y$5,AS!$AV:$AV,Asiakastilastot!$Y$2)</f>
        <v>0</v>
      </c>
      <c r="C136" s="157">
        <f t="shared" si="13"/>
        <v>0</v>
      </c>
      <c r="D136" s="156">
        <f>SUMIFS(AS!$W:$W,AS!$AB:$AB,"OK",AS!$AJ:$AJ,Asiakastilastot!$X136,AS!$F:$F,Asiakastilastot!$X$7,AS!$AW:$AW,Asiakastilastot!$Y$6,AS!$K:$K,Asiakastilastot!$Y$1,AS!$X:$X,Asiakastilastot!$Y$5,AS!$AV:$AV,Asiakastilastot!$Y$2)</f>
        <v>0</v>
      </c>
      <c r="E136" s="157">
        <f t="shared" si="14"/>
        <v>0</v>
      </c>
      <c r="F136" s="156">
        <f>SUMIFS(AS!$W:$W,AS!$AB:$AB,"OK",AS!$AJ:$AJ,Asiakastilastot!$X136,AS!$AH:$AH,Asiakastilastot!$X$8,AS!$AW:$AW,Asiakastilastot!$Y$6,AS!$K:$K,Asiakastilastot!$Y$1,AS!$X:$X,Asiakastilastot!$Y$5,AS!$AV:$AV,Asiakastilastot!$Y$2)</f>
        <v>0</v>
      </c>
      <c r="G136" s="157">
        <f t="shared" si="12"/>
        <v>0</v>
      </c>
      <c r="H136" s="156">
        <f>SUMIFS(AS!$W:$W,AS!$AB:$AB,"OK",AS!$AJ:$AJ,Asiakastilastot!$X136,AS!$AH:$AH,Asiakastilastot!$X$8,AS!$F:$F,Asiakastilastot!$X$7,AS!$AW:$AW,Asiakastilastot!$Y$6,AS!$K:$K,Asiakastilastot!$Y$1,AS!$X:$X,Asiakastilastot!$Y$5,AS!$AV:$AV,Asiakastilastot!$Y$2)</f>
        <v>0</v>
      </c>
      <c r="I136" s="157">
        <f t="shared" si="15"/>
        <v>0</v>
      </c>
      <c r="J136" s="158"/>
      <c r="K136" s="159"/>
      <c r="L136" s="368"/>
      <c r="M136" s="368"/>
      <c r="N136" s="368"/>
      <c r="O136" s="368"/>
      <c r="P136" s="368"/>
      <c r="Q136" s="369"/>
      <c r="X136" t="s">
        <v>322</v>
      </c>
    </row>
    <row r="137" spans="1:24" x14ac:dyDescent="0.25">
      <c r="A137" s="206" t="s">
        <v>324</v>
      </c>
      <c r="B137" s="156">
        <f>SUMIFS(AS!$W:$W,AS!$AB:$AB,"OK",AS!$AJ:$AJ,Asiakastilastot!$X137,AS!$AW:$AW,Asiakastilastot!$Y$6,AS!$K:$K,Asiakastilastot!$Y$1,AS!$X:$X,Asiakastilastot!$Y$5,AS!$AV:$AV,Asiakastilastot!$Y$2)</f>
        <v>0</v>
      </c>
      <c r="C137" s="157">
        <f t="shared" si="13"/>
        <v>0</v>
      </c>
      <c r="D137" s="156">
        <f>SUMIFS(AS!$W:$W,AS!$AB:$AB,"OK",AS!$AJ:$AJ,Asiakastilastot!$X137,AS!$F:$F,Asiakastilastot!$X$7,AS!$AW:$AW,Asiakastilastot!$Y$6,AS!$K:$K,Asiakastilastot!$Y$1,AS!$X:$X,Asiakastilastot!$Y$5,AS!$AV:$AV,Asiakastilastot!$Y$2)</f>
        <v>0</v>
      </c>
      <c r="E137" s="157">
        <f t="shared" si="14"/>
        <v>0</v>
      </c>
      <c r="F137" s="156">
        <f>SUMIFS(AS!$W:$W,AS!$AB:$AB,"OK",AS!$AJ:$AJ,Asiakastilastot!$X137,AS!$AH:$AH,Asiakastilastot!$X$8,AS!$AW:$AW,Asiakastilastot!$Y$6,AS!$K:$K,Asiakastilastot!$Y$1,AS!$X:$X,Asiakastilastot!$Y$5,AS!$AV:$AV,Asiakastilastot!$Y$2)</f>
        <v>0</v>
      </c>
      <c r="G137" s="157">
        <f t="shared" si="12"/>
        <v>0</v>
      </c>
      <c r="H137" s="156">
        <f>SUMIFS(AS!$W:$W,AS!$AB:$AB,"OK",AS!$AJ:$AJ,Asiakastilastot!$X137,AS!$AH:$AH,Asiakastilastot!$X$8,AS!$F:$F,Asiakastilastot!$X$7,AS!$AW:$AW,Asiakastilastot!$Y$6,AS!$K:$K,Asiakastilastot!$Y$1,AS!$X:$X,Asiakastilastot!$Y$5,AS!$AV:$AV,Asiakastilastot!$Y$2)</f>
        <v>0</v>
      </c>
      <c r="I137" s="157">
        <f t="shared" si="15"/>
        <v>0</v>
      </c>
      <c r="J137" s="158"/>
      <c r="K137" s="159"/>
      <c r="L137" s="368"/>
      <c r="M137" s="368"/>
      <c r="N137" s="368"/>
      <c r="O137" s="368"/>
      <c r="P137" s="368"/>
      <c r="Q137" s="369"/>
      <c r="X137" t="s">
        <v>327</v>
      </c>
    </row>
    <row r="138" spans="1:24" x14ac:dyDescent="0.25">
      <c r="A138" s="206" t="s">
        <v>329</v>
      </c>
      <c r="B138" s="156">
        <f>SUMIFS(AS!$W:$W,AS!$AB:$AB,"OK",AS!$AJ:$AJ,Asiakastilastot!$X138,AS!$AW:$AW,Asiakastilastot!$Y$6,AS!$K:$K,Asiakastilastot!$Y$1,AS!$X:$X,Asiakastilastot!$Y$5,AS!$AV:$AV,Asiakastilastot!$Y$2)</f>
        <v>0</v>
      </c>
      <c r="C138" s="157">
        <f t="shared" si="13"/>
        <v>0</v>
      </c>
      <c r="D138" s="156">
        <f>SUMIFS(AS!$W:$W,AS!$AB:$AB,"OK",AS!$AJ:$AJ,Asiakastilastot!$X138,AS!$F:$F,Asiakastilastot!$X$7,AS!$AW:$AW,Asiakastilastot!$Y$6,AS!$K:$K,Asiakastilastot!$Y$1,AS!$X:$X,Asiakastilastot!$Y$5,AS!$AV:$AV,Asiakastilastot!$Y$2)</f>
        <v>0</v>
      </c>
      <c r="E138" s="157">
        <f t="shared" si="14"/>
        <v>0</v>
      </c>
      <c r="F138" s="156">
        <f>SUMIFS(AS!$W:$W,AS!$AB:$AB,"OK",AS!$AJ:$AJ,Asiakastilastot!$X138,AS!$AH:$AH,Asiakastilastot!$X$8,AS!$AW:$AW,Asiakastilastot!$Y$6,AS!$K:$K,Asiakastilastot!$Y$1,AS!$X:$X,Asiakastilastot!$Y$5,AS!$AV:$AV,Asiakastilastot!$Y$2)</f>
        <v>0</v>
      </c>
      <c r="G138" s="157">
        <f t="shared" si="12"/>
        <v>0</v>
      </c>
      <c r="H138" s="156">
        <f>SUMIFS(AS!$W:$W,AS!$AB:$AB,"OK",AS!$AJ:$AJ,Asiakastilastot!$X138,AS!$AH:$AH,Asiakastilastot!$X$8,AS!$F:$F,Asiakastilastot!$X$7,AS!$AW:$AW,Asiakastilastot!$Y$6,AS!$K:$K,Asiakastilastot!$Y$1,AS!$X:$X,Asiakastilastot!$Y$5,AS!$AV:$AV,Asiakastilastot!$Y$2)</f>
        <v>0</v>
      </c>
      <c r="I138" s="157">
        <f t="shared" si="15"/>
        <v>0</v>
      </c>
      <c r="J138" s="158"/>
      <c r="K138" s="159"/>
      <c r="L138" s="368"/>
      <c r="M138" s="368"/>
      <c r="N138" s="368"/>
      <c r="O138" s="368"/>
      <c r="P138" s="368"/>
      <c r="Q138" s="369"/>
      <c r="X138" t="s">
        <v>332</v>
      </c>
    </row>
    <row r="139" spans="1:24" x14ac:dyDescent="0.25">
      <c r="A139" s="206" t="s">
        <v>336</v>
      </c>
      <c r="B139" s="156">
        <f>SUMIFS(AS!$W:$W,AS!$AB:$AB,"OK",AS!$AJ:$AJ,Asiakastilastot!$X139,AS!$AW:$AW,Asiakastilastot!$Y$6,AS!$K:$K,Asiakastilastot!$Y$1,AS!$X:$X,Asiakastilastot!$Y$5,AS!$AV:$AV,Asiakastilastot!$Y$2)</f>
        <v>0</v>
      </c>
      <c r="C139" s="157">
        <f t="shared" si="13"/>
        <v>0</v>
      </c>
      <c r="D139" s="156">
        <f>SUMIFS(AS!$W:$W,AS!$AB:$AB,"OK",AS!$AJ:$AJ,Asiakastilastot!$X139,AS!$F:$F,Asiakastilastot!$X$7,AS!$AW:$AW,Asiakastilastot!$Y$6,AS!$K:$K,Asiakastilastot!$Y$1,AS!$X:$X,Asiakastilastot!$Y$5,AS!$AV:$AV,Asiakastilastot!$Y$2)</f>
        <v>0</v>
      </c>
      <c r="E139" s="157">
        <f t="shared" si="14"/>
        <v>0</v>
      </c>
      <c r="F139" s="156">
        <f>SUMIFS(AS!$W:$W,AS!$AB:$AB,"OK",AS!$AJ:$AJ,Asiakastilastot!$X139,AS!$AH:$AH,Asiakastilastot!$X$8,AS!$AW:$AW,Asiakastilastot!$Y$6,AS!$K:$K,Asiakastilastot!$Y$1,AS!$X:$X,Asiakastilastot!$Y$5,AS!$AV:$AV,Asiakastilastot!$Y$2)</f>
        <v>0</v>
      </c>
      <c r="G139" s="157">
        <f t="shared" si="12"/>
        <v>0</v>
      </c>
      <c r="H139" s="156">
        <f>SUMIFS(AS!$W:$W,AS!$AB:$AB,"OK",AS!$AJ:$AJ,Asiakastilastot!$X139,AS!$AH:$AH,Asiakastilastot!$X$8,AS!$F:$F,Asiakastilastot!$X$7,AS!$AW:$AW,Asiakastilastot!$Y$6,AS!$K:$K,Asiakastilastot!$Y$1,AS!$X:$X,Asiakastilastot!$Y$5,AS!$AV:$AV,Asiakastilastot!$Y$2)</f>
        <v>0</v>
      </c>
      <c r="I139" s="157">
        <f t="shared" si="15"/>
        <v>0</v>
      </c>
      <c r="J139" s="158"/>
      <c r="K139" s="159"/>
      <c r="L139" s="368"/>
      <c r="M139" s="368"/>
      <c r="N139" s="368"/>
      <c r="O139" s="368"/>
      <c r="P139" s="368"/>
      <c r="Q139" s="369"/>
      <c r="X139" t="s">
        <v>338</v>
      </c>
    </row>
    <row r="140" spans="1:24" x14ac:dyDescent="0.25">
      <c r="A140" s="206" t="s">
        <v>341</v>
      </c>
      <c r="B140" s="156">
        <f>SUMIFS(AS!$W:$W,AS!$AB:$AB,"OK",AS!$AJ:$AJ,Asiakastilastot!$X140,AS!$AW:$AW,Asiakastilastot!$Y$6,AS!$K:$K,Asiakastilastot!$Y$1,AS!$X:$X,Asiakastilastot!$Y$5,AS!$AV:$AV,Asiakastilastot!$Y$2)</f>
        <v>0</v>
      </c>
      <c r="C140" s="157">
        <f t="shared" si="13"/>
        <v>0</v>
      </c>
      <c r="D140" s="156">
        <f>SUMIFS(AS!$W:$W,AS!$AB:$AB,"OK",AS!$AJ:$AJ,Asiakastilastot!$X140,AS!$F:$F,Asiakastilastot!$X$7,AS!$AW:$AW,Asiakastilastot!$Y$6,AS!$K:$K,Asiakastilastot!$Y$1,AS!$X:$X,Asiakastilastot!$Y$5,AS!$AV:$AV,Asiakastilastot!$Y$2)</f>
        <v>0</v>
      </c>
      <c r="E140" s="157">
        <f t="shared" si="14"/>
        <v>0</v>
      </c>
      <c r="F140" s="156">
        <f>SUMIFS(AS!$W:$W,AS!$AB:$AB,"OK",AS!$AJ:$AJ,Asiakastilastot!$X140,AS!$AH:$AH,Asiakastilastot!$X$8,AS!$AW:$AW,Asiakastilastot!$Y$6,AS!$K:$K,Asiakastilastot!$Y$1,AS!$X:$X,Asiakastilastot!$Y$5,AS!$AV:$AV,Asiakastilastot!$Y$2)</f>
        <v>0</v>
      </c>
      <c r="G140" s="157">
        <f t="shared" si="12"/>
        <v>0</v>
      </c>
      <c r="H140" s="156">
        <f>SUMIFS(AS!$W:$W,AS!$AB:$AB,"OK",AS!$AJ:$AJ,Asiakastilastot!$X140,AS!$AH:$AH,Asiakastilastot!$X$8,AS!$F:$F,Asiakastilastot!$X$7,AS!$AW:$AW,Asiakastilastot!$Y$6,AS!$K:$K,Asiakastilastot!$Y$1,AS!$X:$X,Asiakastilastot!$Y$5,AS!$AV:$AV,Asiakastilastot!$Y$2)</f>
        <v>0</v>
      </c>
      <c r="I140" s="157">
        <f t="shared" si="15"/>
        <v>0</v>
      </c>
      <c r="J140" s="158"/>
      <c r="K140" s="159"/>
      <c r="L140" s="368"/>
      <c r="M140" s="368"/>
      <c r="N140" s="368"/>
      <c r="O140" s="368"/>
      <c r="P140" s="368"/>
      <c r="Q140" s="369"/>
      <c r="X140" t="s">
        <v>344</v>
      </c>
    </row>
    <row r="141" spans="1:24" x14ac:dyDescent="0.25">
      <c r="A141" s="206" t="s">
        <v>348</v>
      </c>
      <c r="B141" s="156">
        <f>SUMIFS(AS!$W:$W,AS!$AB:$AB,"OK",AS!$AJ:$AJ,Asiakastilastot!$X142,AS!$AW:$AW,Asiakastilastot!$Y$6,AS!$K:$K,Asiakastilastot!$Y$1,AS!$X:$X,Asiakastilastot!$Y$5,AS!$AV:$AV,Asiakastilastot!$Y$2)</f>
        <v>0</v>
      </c>
      <c r="C141" s="157">
        <f t="shared" si="13"/>
        <v>0</v>
      </c>
      <c r="D141" s="156">
        <f>SUMIFS(AS!$W:$W,AS!$AB:$AB,"OK",AS!$AJ:$AJ,Asiakastilastot!$X142,AS!$F:$F,Asiakastilastot!$X$7,AS!$AW:$AW,Asiakastilastot!$Y$6,AS!$K:$K,Asiakastilastot!$Y$1,AS!$X:$X,Asiakastilastot!$Y$5,AS!$AV:$AV,Asiakastilastot!$Y$2)</f>
        <v>0</v>
      </c>
      <c r="E141" s="157">
        <f t="shared" si="14"/>
        <v>0</v>
      </c>
      <c r="F141" s="156">
        <f>SUMIFS(AS!$W:$W,AS!$AB:$AB,"OK",AS!$AJ:$AJ,Asiakastilastot!$X142,AS!$AH:$AH,Asiakastilastot!$X$8,AS!$AW:$AW,Asiakastilastot!$Y$6,AS!$K:$K,Asiakastilastot!$Y$1,AS!$X:$X,Asiakastilastot!$Y$5,AS!$AV:$AV,Asiakastilastot!$Y$2)</f>
        <v>0</v>
      </c>
      <c r="G141" s="157">
        <f t="shared" si="12"/>
        <v>0</v>
      </c>
      <c r="H141" s="156">
        <f>SUMIFS(AS!$W:$W,AS!$AB:$AB,"OK",AS!$AJ:$AJ,Asiakastilastot!$X142,AS!$AH:$AH,Asiakastilastot!$X$8,AS!$F:$F,Asiakastilastot!$X$7,AS!$AW:$AW,Asiakastilastot!$Y$6,AS!$K:$K,Asiakastilastot!$Y$1,AS!$X:$X,Asiakastilastot!$Y$5,AS!$AV:$AV,Asiakastilastot!$Y$2)</f>
        <v>0</v>
      </c>
      <c r="I141" s="157">
        <f t="shared" si="15"/>
        <v>0</v>
      </c>
      <c r="J141" s="158"/>
      <c r="K141" s="159"/>
      <c r="L141" s="368"/>
      <c r="M141" s="368"/>
      <c r="N141" s="368"/>
      <c r="O141" s="368"/>
      <c r="P141" s="368"/>
      <c r="Q141" s="369"/>
      <c r="X141" t="s">
        <v>351</v>
      </c>
    </row>
    <row r="142" spans="1:24" x14ac:dyDescent="0.25">
      <c r="A142" s="206" t="s">
        <v>347</v>
      </c>
      <c r="B142" s="156">
        <f>SUMIFS(AS!$W:$W,AS!$AB:$AB,"OK",AS!$AJ:$AJ,Asiakastilastot!$X141,AS!$AW:$AW,Asiakastilastot!$Y$6,AS!$K:$K,Asiakastilastot!$Y$1,AS!$X:$X,Asiakastilastot!$Y$5,AS!$AV:$AV,Asiakastilastot!$Y$2)</f>
        <v>0</v>
      </c>
      <c r="C142" s="157">
        <f t="shared" si="13"/>
        <v>0</v>
      </c>
      <c r="D142" s="156">
        <f>SUMIFS(AS!$W:$W,AS!$AB:$AB,"OK",AS!$AJ:$AJ,Asiakastilastot!$X141,AS!$F:$F,Asiakastilastot!$X$7,AS!$AW:$AW,Asiakastilastot!$Y$6,AS!$K:$K,Asiakastilastot!$Y$1,AS!$X:$X,Asiakastilastot!$Y$5,AS!$AV:$AV,Asiakastilastot!$Y$2)</f>
        <v>0</v>
      </c>
      <c r="E142" s="157">
        <f t="shared" si="14"/>
        <v>0</v>
      </c>
      <c r="F142" s="156">
        <f>SUMIFS(AS!$W:$W,AS!$AB:$AB,"OK",AS!$AJ:$AJ,Asiakastilastot!$X141,AS!$AH:$AH,Asiakastilastot!$X$8,AS!$AW:$AW,Asiakastilastot!$Y$6,AS!$K:$K,Asiakastilastot!$Y$1,AS!$X:$X,Asiakastilastot!$Y$5,AS!$AV:$AV,Asiakastilastot!$Y$2)</f>
        <v>0</v>
      </c>
      <c r="G142" s="157">
        <f>IFERROR(F142/F$146,0)</f>
        <v>0</v>
      </c>
      <c r="H142" s="156">
        <f>SUMIFS(AS!$W:$W,AS!$AB:$AB,"OK",AS!$AJ:$AJ,Asiakastilastot!$X141,AS!$AH:$AH,Asiakastilastot!$X$8,AS!$F:$F,Asiakastilastot!$X$7,AS!$AW:$AW,Asiakastilastot!$Y$6,AS!$K:$K,Asiakastilastot!$Y$1,AS!$X:$X,Asiakastilastot!$Y$5,AS!$AV:$AV,Asiakastilastot!$Y$2)</f>
        <v>0</v>
      </c>
      <c r="I142" s="157">
        <f t="shared" si="15"/>
        <v>0</v>
      </c>
      <c r="J142" s="158"/>
      <c r="K142" s="159"/>
      <c r="L142" s="368"/>
      <c r="M142" s="368"/>
      <c r="N142" s="368"/>
      <c r="O142" s="368"/>
      <c r="P142" s="368"/>
      <c r="Q142" s="369"/>
      <c r="X142" s="86" t="s">
        <v>356</v>
      </c>
    </row>
    <row r="143" spans="1:24" x14ac:dyDescent="0.25">
      <c r="A143" s="25" t="s">
        <v>239</v>
      </c>
      <c r="B143" s="26">
        <f>SUM(B144:B145)</f>
        <v>0</v>
      </c>
      <c r="C143" s="53">
        <f>IFERROR(B143/B$146,0)</f>
        <v>0</v>
      </c>
      <c r="D143" s="26">
        <f>SUM(D144:D145)</f>
        <v>0</v>
      </c>
      <c r="E143" s="53">
        <f>IFERROR(D143/B$146,0)</f>
        <v>0</v>
      </c>
      <c r="F143" s="749">
        <f>SUM(F144:F145)</f>
        <v>0</v>
      </c>
      <c r="G143" s="750">
        <f>IFERROR(F143/F$146,0)</f>
        <v>0</v>
      </c>
      <c r="H143" s="749">
        <f>SUM(H144:H145)</f>
        <v>0</v>
      </c>
      <c r="I143" s="750">
        <f>IFERROR(H143/F$146,0)</f>
        <v>0</v>
      </c>
      <c r="J143" s="753"/>
      <c r="K143" s="754"/>
      <c r="L143" s="755"/>
      <c r="M143" s="755"/>
      <c r="N143" s="755"/>
      <c r="O143" s="755"/>
      <c r="P143" s="755"/>
      <c r="Q143" s="756"/>
    </row>
    <row r="144" spans="1:24" x14ac:dyDescent="0.25">
      <c r="A144" s="199" t="s">
        <v>239</v>
      </c>
      <c r="B144" s="156">
        <f>SUMIFS(AS!$W:$W,AS!$AB:$AB,"OK",AS!$AJ:$AJ,Asiakastilastot!$X144,AS!$AW:$AW,Asiakastilastot!$Y$6,AS!$K:$K,Asiakastilastot!$Y$1,AS!$X:$X,Asiakastilastot!$Y$5,AS!$AV:$AV,Asiakastilastot!$Y$2)</f>
        <v>0</v>
      </c>
      <c r="C144" s="157">
        <f>IFERROR(B144/B$146,0)</f>
        <v>0</v>
      </c>
      <c r="D144" s="156">
        <f>SUMIFS(AS!$W:$W,AS!$AB:$AB,"OK",AS!$AJ:$AJ,Asiakastilastot!$X144,AS!$F:$F,Asiakastilastot!$X$7,AS!$AW:$AW,Asiakastilastot!$Y$6,AS!$K:$K,Asiakastilastot!$Y$1,AS!$X:$X,Asiakastilastot!$Y$5,AS!$AV:$AV,Asiakastilastot!$Y$2)</f>
        <v>0</v>
      </c>
      <c r="E144" s="157">
        <f>IFERROR(D144/B$146,0)</f>
        <v>0</v>
      </c>
      <c r="F144" s="156">
        <f>SUMIFS(AS!$W:$W,AS!$AB:$AB,"OK",AS!$AJ:$AJ,Asiakastilastot!$X144,AS!$AH:$AH,Asiakastilastot!$X$8,AS!$AW:$AW,Asiakastilastot!$Y$6,AS!$K:$K,Asiakastilastot!$Y$1,AS!$X:$X,Asiakastilastot!$Y$5,AS!$AV:$AV,Asiakastilastot!$Y$2)</f>
        <v>0</v>
      </c>
      <c r="G144" s="157">
        <f>IFERROR(F144/F$146,0)</f>
        <v>0</v>
      </c>
      <c r="H144" s="156">
        <f>SUMIFS(AS!$W:$W,AS!$AB:$AB,"OK",AS!$AJ:$AJ,Asiakastilastot!$X144,AS!$AH:$AH,Asiakastilastot!$X$8,AS!$F:$F,Asiakastilastot!$X$7,AS!$AW:$AW,Asiakastilastot!$Y$6,AS!$K:$K,Asiakastilastot!$Y$1,AS!$X:$X,Asiakastilastot!$Y$5,AS!$AV:$AV,Asiakastilastot!$Y$2)</f>
        <v>0</v>
      </c>
      <c r="I144" s="157">
        <f>IFERROR(H144/F$146,0)</f>
        <v>0</v>
      </c>
      <c r="J144" s="158"/>
      <c r="K144" s="159"/>
      <c r="L144" s="368"/>
      <c r="M144" s="368"/>
      <c r="N144" s="368"/>
      <c r="O144" s="368"/>
      <c r="P144" s="368"/>
      <c r="Q144" s="369"/>
      <c r="X144" s="86" t="s">
        <v>360</v>
      </c>
    </row>
    <row r="145" spans="1:25" x14ac:dyDescent="0.25">
      <c r="A145" s="206" t="s">
        <v>241</v>
      </c>
      <c r="B145" s="156">
        <f>SUMIFS(AS!$W:$W,AS!$AB:$AB,"OK",AS!$AJ:$AJ,"",AS!$AW:$AW,Asiakastilastot!$Y$6,AS!$K:$K,Asiakastilastot!$Y$1,AS!$X:$X,Asiakastilastot!$Y$5,AS!$AV:$AV,Asiakastilastot!$Y$2)</f>
        <v>0</v>
      </c>
      <c r="C145" s="157">
        <f t="shared" si="13"/>
        <v>0</v>
      </c>
      <c r="D145" s="156">
        <f>SUMIFS(AS!$W:$W,AS!$AB:$AB,"OK",AS!$AJ:$AJ,"",AS!$F:$F,Asiakastilastot!$X$7,AS!$AW:$AW,Asiakastilastot!$Y$6,AS!$K:$K,Asiakastilastot!$Y$1,AS!$X:$X,Asiakastilastot!$Y$5,AS!$AV:$AV,Asiakastilastot!$Y$2)</f>
        <v>0</v>
      </c>
      <c r="E145" s="157">
        <f>IFERROR(D145/B$146,0)</f>
        <v>0</v>
      </c>
      <c r="F145" s="156">
        <f>SUMIFS(AS!$W:$W,AS!$AB:$AB,"OK",AS!$AJ:$AJ,"",AS!$AH:$AH,Asiakastilastot!$X$8,AS!$AW:$AW,Asiakastilastot!$Y$6,AS!$K:$K,Asiakastilastot!$Y$1,AS!$X:$X,Asiakastilastot!$Y$5,AS!$AV:$AV,Asiakastilastot!$Y$2)</f>
        <v>0</v>
      </c>
      <c r="G145" s="157">
        <f>IFERROR(F145/F$146,0)</f>
        <v>0</v>
      </c>
      <c r="H145" s="156">
        <f>SUMIFS(AS!$W:$W,AS!$AB:$AB,"OK",AS!$AJ:$AJ,"",AS!$AH:$AH,Asiakastilastot!$X$8,AS!$F:$F,Asiakastilastot!$X$7,AS!$AW:$AW,Asiakastilastot!$Y$6,AS!$K:$K,Asiakastilastot!$Y$1,AS!$X:$X,Asiakastilastot!$Y$5,AS!$AV:$AV,Asiakastilastot!$Y$2)</f>
        <v>0</v>
      </c>
      <c r="I145" s="157">
        <f>IFERROR(H145/F$146,0)</f>
        <v>0</v>
      </c>
      <c r="J145" s="158"/>
      <c r="K145" s="159"/>
      <c r="L145" s="368"/>
      <c r="M145" s="368"/>
      <c r="N145" s="368"/>
      <c r="O145" s="368"/>
      <c r="P145" s="368"/>
      <c r="Q145" s="369"/>
      <c r="X145" s="86"/>
    </row>
    <row r="146" spans="1:25" x14ac:dyDescent="0.25">
      <c r="A146" s="10" t="s">
        <v>730</v>
      </c>
      <c r="B146" s="9">
        <f t="shared" ref="B146:H146" si="16">SUM(B132,B143)</f>
        <v>0</v>
      </c>
      <c r="C146" s="167">
        <f t="shared" si="16"/>
        <v>0</v>
      </c>
      <c r="D146" s="9">
        <f t="shared" si="16"/>
        <v>0</v>
      </c>
      <c r="E146" s="167">
        <f t="shared" si="16"/>
        <v>0</v>
      </c>
      <c r="F146" s="9">
        <f t="shared" si="16"/>
        <v>0</v>
      </c>
      <c r="G146" s="167">
        <f t="shared" si="16"/>
        <v>0</v>
      </c>
      <c r="H146" s="9">
        <f t="shared" si="16"/>
        <v>0</v>
      </c>
      <c r="I146" s="167">
        <f>SUM(I132,I143)</f>
        <v>0</v>
      </c>
      <c r="J146" s="13"/>
      <c r="K146" s="19"/>
      <c r="L146" s="362"/>
      <c r="M146" s="362"/>
      <c r="N146" s="362"/>
      <c r="O146" s="362"/>
      <c r="P146" s="362"/>
      <c r="Q146" s="363"/>
    </row>
    <row r="147" spans="1:25" x14ac:dyDescent="0.25">
      <c r="A147" s="476" t="str">
        <f>$A$6</f>
        <v>Kaikki</v>
      </c>
      <c r="B147" s="20"/>
      <c r="C147" s="20"/>
      <c r="D147" s="20"/>
      <c r="E147" s="23"/>
      <c r="F147" s="20"/>
      <c r="G147" s="20"/>
      <c r="H147" s="20"/>
      <c r="I147" s="20"/>
      <c r="J147" s="15"/>
      <c r="K147" s="20"/>
      <c r="L147" s="364"/>
      <c r="M147" s="364"/>
      <c r="N147" s="364"/>
      <c r="O147" s="364"/>
      <c r="P147" s="364"/>
      <c r="Q147" s="365"/>
    </row>
    <row r="151" spans="1:25" x14ac:dyDescent="0.25">
      <c r="A151" s="65" t="str">
        <f>X152&amp;X10&amp;X12</f>
        <v>Työpajalla olleiden valmentautujien sijoittuminen työpajajakson aikana tai sen jälkeen - 01.01.2026-31.12.2026 (Kaikki kunnat, Kaikki yksiköt, Kaikki asiakkuudet)</v>
      </c>
      <c r="B151" s="65"/>
      <c r="C151" s="65"/>
      <c r="X151" s="85" t="s">
        <v>731</v>
      </c>
    </row>
    <row r="152" spans="1:25" x14ac:dyDescent="0.25">
      <c r="A152" s="988" t="s">
        <v>496</v>
      </c>
      <c r="B152" s="1009" t="s">
        <v>752</v>
      </c>
      <c r="C152" s="1010"/>
      <c r="D152" s="1009" t="s">
        <v>753</v>
      </c>
      <c r="E152" s="1010"/>
      <c r="F152" s="17"/>
      <c r="G152" s="17"/>
      <c r="H152" s="17"/>
      <c r="I152" s="17"/>
      <c r="J152" s="17"/>
      <c r="K152" s="40"/>
      <c r="X152" s="390" t="s">
        <v>778</v>
      </c>
    </row>
    <row r="153" spans="1:25" x14ac:dyDescent="0.25">
      <c r="A153" s="1035"/>
      <c r="B153" s="451" t="s">
        <v>742</v>
      </c>
      <c r="C153" s="451" t="s">
        <v>754</v>
      </c>
      <c r="D153" s="451" t="s">
        <v>742</v>
      </c>
      <c r="E153" s="451" t="s">
        <v>754</v>
      </c>
      <c r="K153" s="41"/>
      <c r="S153" s="119"/>
    </row>
    <row r="154" spans="1:25" x14ac:dyDescent="0.25">
      <c r="A154" s="382" t="s">
        <v>497</v>
      </c>
      <c r="B154" s="69">
        <f>SUM(B155)</f>
        <v>0</v>
      </c>
      <c r="C154" s="53">
        <f t="shared" ref="C154:C190" si="17">IFERROR(B154/B$190,0)</f>
        <v>0</v>
      </c>
      <c r="D154" s="757">
        <f>SUM(D155)</f>
        <v>0</v>
      </c>
      <c r="E154" s="750">
        <f t="shared" ref="E154:E190" si="18">IFERROR(D154/D$190,0)</f>
        <v>0</v>
      </c>
      <c r="F154" s="11"/>
      <c r="G154" s="12"/>
      <c r="H154" s="12"/>
      <c r="I154" s="12"/>
      <c r="J154" s="12"/>
      <c r="K154" s="16"/>
      <c r="S154" s="119"/>
    </row>
    <row r="155" spans="1:25" x14ac:dyDescent="0.25">
      <c r="A155" s="383" t="s">
        <v>779</v>
      </c>
      <c r="B155" s="156">
        <f>SUMIFS(AS!$W:$W,AS!$AB:$AB,"OK",AS!$AY:$AY,Asiakastilastot!$X155,AS!$AW:$AW,Asiakastilastot!$Y$6,AS!$K:$K,Asiakastilastot!$Y$1,AS!$X:$X,Asiakastilastot!$Y$5,AS!$AV:$AV,Asiakastilastot!$Y$2)</f>
        <v>0</v>
      </c>
      <c r="C155" s="240">
        <f t="shared" si="17"/>
        <v>0</v>
      </c>
      <c r="D155" s="156">
        <f>SUMIFS(AS!$W:$W,AS!$AB:$AB,"OK",AS!$AY:$AY,Asiakastilastot!$X155,AS!$AW:$AW,Asiakastilastot!$Y$6,AS!$K:$K,Asiakastilastot!$Y$1,AS!$X:$X,Asiakastilastot!$Y$5,AS!$AV:$AV,Asiakastilastot!$Y$2,AS!$AH:$AH,Asiakastilastot!$X$8)</f>
        <v>0</v>
      </c>
      <c r="E155" s="240">
        <f t="shared" si="18"/>
        <v>0</v>
      </c>
      <c r="F155" s="241"/>
      <c r="G155" s="239"/>
      <c r="H155" s="239"/>
      <c r="I155" s="239"/>
      <c r="J155" s="239"/>
      <c r="K155" s="242"/>
      <c r="S155" s="119"/>
      <c r="X155" t="s">
        <v>498</v>
      </c>
    </row>
    <row r="156" spans="1:25" x14ac:dyDescent="0.25">
      <c r="A156" s="382" t="s">
        <v>499</v>
      </c>
      <c r="B156" s="69">
        <f>SUM(B157:B161)</f>
        <v>0</v>
      </c>
      <c r="C156" s="53">
        <f t="shared" si="17"/>
        <v>0</v>
      </c>
      <c r="D156" s="757">
        <f>SUM(D157:D161)</f>
        <v>0</v>
      </c>
      <c r="E156" s="750">
        <f t="shared" si="18"/>
        <v>0</v>
      </c>
      <c r="F156" s="11"/>
      <c r="G156" s="12"/>
      <c r="H156" s="12"/>
      <c r="I156" s="12"/>
      <c r="J156" s="12"/>
      <c r="K156" s="16"/>
      <c r="S156" s="119"/>
    </row>
    <row r="157" spans="1:25" x14ac:dyDescent="0.25">
      <c r="A157" s="383" t="s">
        <v>780</v>
      </c>
      <c r="B157" s="156">
        <f>SUMIFS(AS!$W:$W,AS!$AB:$AB,"OK",AS!$AY:$AY,Asiakastilastot!$X157,AS!$AW:$AW,Asiakastilastot!$Y$6,AS!$K:$K,Asiakastilastot!$Y$1,AS!$X:$X,Asiakastilastot!$Y$5,AS!$AV:$AV,Asiakastilastot!$Y$2)</f>
        <v>0</v>
      </c>
      <c r="C157" s="240">
        <f t="shared" si="17"/>
        <v>0</v>
      </c>
      <c r="D157" s="156">
        <f>SUMIFS(AS!$W:$W,AS!$AB:$AB,"OK",AS!$AY:$AY,Asiakastilastot!$X157,AS!$AW:$AW,Asiakastilastot!$Y$6,AS!$K:$K,Asiakastilastot!$Y$1,AS!$X:$X,Asiakastilastot!$Y$5,AS!$AV:$AV,Asiakastilastot!$Y$2,AS!$AH:$AH,Asiakastilastot!$X$8)</f>
        <v>0</v>
      </c>
      <c r="E157" s="240">
        <f t="shared" si="18"/>
        <v>0</v>
      </c>
      <c r="F157" s="241"/>
      <c r="G157" s="239"/>
      <c r="H157" s="239"/>
      <c r="I157" s="239"/>
      <c r="J157" s="239"/>
      <c r="K157" s="242"/>
      <c r="S157" s="119"/>
      <c r="X157" t="s">
        <v>501</v>
      </c>
    </row>
    <row r="158" spans="1:25" x14ac:dyDescent="0.25">
      <c r="A158" s="383" t="s">
        <v>413</v>
      </c>
      <c r="B158" s="156">
        <f>SUMIFS(AS!$W:$W,AS!$AB:$AB,"OK",AS!$AY:$AY,Asiakastilastot!$X158,AS!$AW:$AW,Asiakastilastot!$Y$6,AS!$K:$K,Asiakastilastot!$Y$1,AS!$X:$X,Asiakastilastot!$Y$5,AS!$AV:$AV,Asiakastilastot!$Y$2)</f>
        <v>0</v>
      </c>
      <c r="C158" s="240">
        <f>IFERROR(B158/B$190,0)</f>
        <v>0</v>
      </c>
      <c r="D158" s="156">
        <f>SUMIFS(AS!$W:$W,AS!$AB:$AB,"OK",AS!$AY:$AY,Asiakastilastot!$X158,AS!$AW:$AW,Asiakastilastot!$Y$6,AS!$K:$K,Asiakastilastot!$Y$1,AS!$X:$X,Asiakastilastot!$Y$5,AS!$AV:$AV,Asiakastilastot!$Y$2,AS!$AH:$AH,Asiakastilastot!$X$8)</f>
        <v>0</v>
      </c>
      <c r="E158" s="240">
        <f>IFERROR(D158/D$190,0)</f>
        <v>0</v>
      </c>
      <c r="F158" s="241"/>
      <c r="G158" s="239"/>
      <c r="H158" s="239"/>
      <c r="I158" s="239"/>
      <c r="J158" s="239"/>
      <c r="K158" s="242"/>
      <c r="S158" s="119"/>
      <c r="X158" t="s">
        <v>504</v>
      </c>
    </row>
    <row r="159" spans="1:25" x14ac:dyDescent="0.25">
      <c r="A159" s="383" t="s">
        <v>781</v>
      </c>
      <c r="B159" s="156">
        <f>SUMIFS(AS!$W:$W,AS!$AB:$AB,"OK",AS!$AY:$AY,Asiakastilastot!$Y159,AS!$AW:$AW,Asiakastilastot!$Y$6,AS!$K:$K,Asiakastilastot!$Y$1,AS!$X:$X,Asiakastilastot!$Y$5,AS!$AV:$AV,Asiakastilastot!$Y$2)+SUMIFS(AS!$W:$W,AS!$AB:$AB,"OK",AS!$AY:$AY,Asiakastilastot!$X159,AS!$AW:$AW,Asiakastilastot!$Y$6,AS!$K:$K,Asiakastilastot!$Y$1,AS!$X:$X,Asiakastilastot!$Y$5,AS!$AV:$AV,Asiakastilastot!$Y$2)</f>
        <v>0</v>
      </c>
      <c r="C159" s="240">
        <f t="shared" si="17"/>
        <v>0</v>
      </c>
      <c r="D159" s="156">
        <f>SUMIFS(AS!$W:$W,AS!$AB:$AB,"OK",AS!$AY:$AY,Asiakastilastot!$Y159,AS!$AW:$AW,Asiakastilastot!$Y$6,AS!$K:$K,Asiakastilastot!$Y$1,AS!$X:$X,Asiakastilastot!$Y$5,AS!$AV:$AV,Asiakastilastot!$Y$2,AS!$AH:$AH,Asiakastilastot!$X$8)+SUMIFS(AS!$W:$W,AS!$AB:$AB,"OK",AS!$AY:$AY,Asiakastilastot!$X159,AS!$AW:$AW,Asiakastilastot!$Y$6,AS!$K:$K,Asiakastilastot!$Y$1,AS!$X:$X,Asiakastilastot!$Y$5,AS!$AV:$AV,Asiakastilastot!$Y$2,AS!$AH:$AH,Asiakastilastot!$X$8)</f>
        <v>0</v>
      </c>
      <c r="E159" s="240">
        <f t="shared" si="18"/>
        <v>0</v>
      </c>
      <c r="F159" s="241"/>
      <c r="G159" s="239"/>
      <c r="H159" s="239"/>
      <c r="I159" s="239"/>
      <c r="J159" s="239"/>
      <c r="K159" s="242"/>
      <c r="S159" s="119"/>
      <c r="X159" s="86" t="s">
        <v>508</v>
      </c>
      <c r="Y159" s="228" t="s">
        <v>509</v>
      </c>
    </row>
    <row r="160" spans="1:25" x14ac:dyDescent="0.25">
      <c r="A160" s="383" t="s">
        <v>782</v>
      </c>
      <c r="B160" s="156">
        <f>SUMIFS(AS!$W:$W,AS!$AB:$AB,"OK",AS!$AY:$AY,Asiakastilastot!$Y160,AS!$AW:$AW,Asiakastilastot!$Y$6,AS!$K:$K,Asiakastilastot!$Y$1,AS!$X:$X,Asiakastilastot!$Y$5,AS!$AV:$AV,Asiakastilastot!$Y$2)+SUMIFS(AS!$W:$W,AS!$AB:$AB,"OK",AS!$AY:$AY,Asiakastilastot!$X160,AS!$AW:$AW,Asiakastilastot!$Y$6,AS!$K:$K,Asiakastilastot!$Y$1,AS!$X:$X,Asiakastilastot!$Y$5,AS!$AV:$AV,Asiakastilastot!$Y$2)</f>
        <v>0</v>
      </c>
      <c r="C160" s="240">
        <f t="shared" ref="C160" si="19">IFERROR(B160/B$190,0)</f>
        <v>0</v>
      </c>
      <c r="D160" s="156">
        <f>SUMIFS(AS!$W:$W,AS!$AB:$AB,"OK",AS!$AY:$AY,Asiakastilastot!$Y160,AS!$AW:$AW,Asiakastilastot!$Y$6,AS!$K:$K,Asiakastilastot!$Y$1,AS!$X:$X,Asiakastilastot!$Y$5,AS!$AV:$AV,Asiakastilastot!$Y$2,AS!$AH:$AH,Asiakastilastot!$X$8)+SUMIFS(AS!$W:$W,AS!$AB:$AB,"OK",AS!$AY:$AY,Asiakastilastot!$X160,AS!$AW:$AW,Asiakastilastot!$Y$6,AS!$K:$K,Asiakastilastot!$Y$1,AS!$X:$X,Asiakastilastot!$Y$5,AS!$AV:$AV,Asiakastilastot!$Y$2,AS!$AH:$AH,Asiakastilastot!$X$8)</f>
        <v>0</v>
      </c>
      <c r="E160" s="240">
        <f t="shared" ref="E160" si="20">IFERROR(D160/D$190,0)</f>
        <v>0</v>
      </c>
      <c r="F160" s="241"/>
      <c r="G160" s="239"/>
      <c r="H160" s="239"/>
      <c r="I160" s="239"/>
      <c r="J160" s="239"/>
      <c r="K160" s="242"/>
      <c r="S160" s="119"/>
      <c r="X160" s="86" t="s">
        <v>512</v>
      </c>
      <c r="Y160" s="228"/>
    </row>
    <row r="161" spans="1:25" x14ac:dyDescent="0.25">
      <c r="A161" s="630" t="s">
        <v>783</v>
      </c>
      <c r="B161" s="156">
        <f>SUMIFS(AS!$W:$W,AS!$AB:$AB,"OK",AS!$AY:$AY,Asiakastilastot!$X161,AS!$AW:$AW,Asiakastilastot!$Y$6,AS!$K:$K,Asiakastilastot!$Y$1,AS!$X:$X,Asiakastilastot!$Y$5,AS!$AV:$AV,Asiakastilastot!$Y$2)</f>
        <v>0</v>
      </c>
      <c r="C161" s="240">
        <f t="shared" si="17"/>
        <v>0</v>
      </c>
      <c r="D161" s="156">
        <f>SUMIFS(AS!$W:$W,AS!$AB:$AB,"OK",AS!$AY:$AY,Asiakastilastot!$X161,AS!$AW:$AW,Asiakastilastot!$Y$6,AS!$K:$K,Asiakastilastot!$Y$1,AS!$X:$X,Asiakastilastot!$Y$5,AS!$AV:$AV,Asiakastilastot!$Y$2,AS!$AH:$AH,Asiakastilastot!$X$8)</f>
        <v>0</v>
      </c>
      <c r="E161" s="240">
        <f t="shared" si="18"/>
        <v>0</v>
      </c>
      <c r="F161" s="241"/>
      <c r="G161" s="239"/>
      <c r="H161" s="239"/>
      <c r="I161" s="239"/>
      <c r="J161" s="239"/>
      <c r="K161" s="242"/>
      <c r="S161" s="119"/>
      <c r="X161" s="228" t="s">
        <v>514</v>
      </c>
    </row>
    <row r="162" spans="1:25" x14ac:dyDescent="0.25">
      <c r="A162" s="382" t="s">
        <v>503</v>
      </c>
      <c r="B162" s="69">
        <f>SUM(B163:B165)</f>
        <v>0</v>
      </c>
      <c r="C162" s="53">
        <f t="shared" si="17"/>
        <v>0</v>
      </c>
      <c r="D162" s="757">
        <f>SUM(D163:D165)</f>
        <v>0</v>
      </c>
      <c r="E162" s="750">
        <f t="shared" si="18"/>
        <v>0</v>
      </c>
      <c r="F162" s="11"/>
      <c r="G162" s="12"/>
      <c r="H162" s="12"/>
      <c r="I162" s="12"/>
      <c r="J162" s="12"/>
      <c r="K162" s="16"/>
      <c r="S162" s="119"/>
    </row>
    <row r="163" spans="1:25" x14ac:dyDescent="0.25">
      <c r="A163" s="383" t="s">
        <v>784</v>
      </c>
      <c r="B163" s="156">
        <f>SUMIFS(AS!$W:$W,AS!$AB:$AB,"OK",AS!$AY:$AY,Asiakastilastot!$X163,AS!$AW:$AW,Asiakastilastot!$Y$6,AS!$K:$K,Asiakastilastot!$Y$1,AS!$X:$X,Asiakastilastot!$Y$5,AS!$AV:$AV,Asiakastilastot!$Y$2)</f>
        <v>0</v>
      </c>
      <c r="C163" s="240">
        <f t="shared" si="17"/>
        <v>0</v>
      </c>
      <c r="D163" s="156">
        <f>SUMIFS(AS!$W:$W,AS!$AB:$AB,"OK",AS!$AY:$AY,Asiakastilastot!$X163,AS!$AW:$AW,Asiakastilastot!$Y$6,AS!$K:$K,Asiakastilastot!$Y$1,AS!$X:$X,Asiakastilastot!$Y$5,AS!$AV:$AV,Asiakastilastot!$Y$2,AS!$AH:$AH,Asiakastilastot!$X$8)</f>
        <v>0</v>
      </c>
      <c r="E163" s="240">
        <f t="shared" si="18"/>
        <v>0</v>
      </c>
      <c r="F163" s="241"/>
      <c r="G163" s="239"/>
      <c r="H163" s="239"/>
      <c r="I163" s="239"/>
      <c r="J163" s="239"/>
      <c r="K163" s="242"/>
      <c r="S163" s="119"/>
      <c r="X163" t="s">
        <v>518</v>
      </c>
    </row>
    <row r="164" spans="1:25" x14ac:dyDescent="0.25">
      <c r="A164" s="383" t="s">
        <v>785</v>
      </c>
      <c r="B164" s="156">
        <f>SUMIFS(AS!$W:$W,AS!$AB:$AB,"OK",AS!$AY:$AY,Asiakastilastot!$Y164,AS!$AW:$AW,Asiakastilastot!$Y$6,AS!$K:$K,Asiakastilastot!$Y$1,AS!$X:$X,Asiakastilastot!$Y$5,AS!$AV:$AV,Asiakastilastot!$Y$2)+SUMIFS(AS!$W:$W,AS!$AB:$AB,"OK",AS!$AY:$AY,Asiakastilastot!$X164,AS!$AW:$AW,Asiakastilastot!$Y$6,AS!$K:$K,Asiakastilastot!$Y$1,AS!$X:$X,Asiakastilastot!$Y$5,AS!$AV:$AV,Asiakastilastot!$Y$2)</f>
        <v>0</v>
      </c>
      <c r="C164" s="240">
        <f t="shared" si="17"/>
        <v>0</v>
      </c>
      <c r="D164" s="156">
        <f>SUMIFS(AS!$W:$W,AS!$AB:$AB,"OK",AS!$AY:$AY,Asiakastilastot!$Y164,AS!$AW:$AW,Asiakastilastot!$Y$6,AS!$K:$K,Asiakastilastot!$Y$1,AS!$X:$X,Asiakastilastot!$Y$5,AS!$AV:$AV,Asiakastilastot!$Y$2,AS!$AH:$AH,Asiakastilastot!$X$8)+SUMIFS(AS!$W:$W,AS!$AB:$AB,"OK",AS!$AY:$AY,Asiakastilastot!$X164,AS!$AW:$AW,Asiakastilastot!$Y$6,AS!$K:$K,Asiakastilastot!$Y$1,AS!$X:$X,Asiakastilastot!$Y$5,AS!$AV:$AV,Asiakastilastot!$Y$2,AS!$AH:$AH,Asiakastilastot!$X$8)</f>
        <v>0</v>
      </c>
      <c r="E164" s="240">
        <f t="shared" si="18"/>
        <v>0</v>
      </c>
      <c r="F164" s="241"/>
      <c r="G164" s="239"/>
      <c r="H164" s="239"/>
      <c r="I164" s="239"/>
      <c r="J164" s="239"/>
      <c r="K164" s="242"/>
      <c r="S164" s="119"/>
      <c r="X164" s="86" t="s">
        <v>520</v>
      </c>
      <c r="Y164" s="228" t="s">
        <v>521</v>
      </c>
    </row>
    <row r="165" spans="1:25" x14ac:dyDescent="0.25">
      <c r="A165" s="630" t="s">
        <v>786</v>
      </c>
      <c r="B165" s="156">
        <f>SUMIFS(AS!$W:$W,AS!$AB:$AB,"OK",AS!$AY:$AY,Asiakastilastot!$X165,AS!$AW:$AW,Asiakastilastot!$Y$6,AS!$K:$K,Asiakastilastot!$Y$1,AS!$X:$X,Asiakastilastot!$Y$5,AS!$AV:$AV,Asiakastilastot!$Y$2)</f>
        <v>0</v>
      </c>
      <c r="C165" s="240">
        <f t="shared" si="17"/>
        <v>0</v>
      </c>
      <c r="D165" s="156">
        <f>SUMIFS(AS!$W:$W,AS!$AB:$AB,"OK",AS!$AY:$AY,Asiakastilastot!$X165,AS!$AW:$AW,Asiakastilastot!$Y$6,AS!$K:$K,Asiakastilastot!$Y$1,AS!$X:$X,Asiakastilastot!$Y$5,AS!$AV:$AV,Asiakastilastot!$Y$2,AS!$AH:$AH,Asiakastilastot!$X$8)</f>
        <v>0</v>
      </c>
      <c r="E165" s="240">
        <f t="shared" si="18"/>
        <v>0</v>
      </c>
      <c r="F165" s="241"/>
      <c r="G165" s="239"/>
      <c r="H165" s="239"/>
      <c r="I165" s="239"/>
      <c r="J165" s="239"/>
      <c r="K165" s="242"/>
      <c r="S165" s="119"/>
      <c r="X165" s="228" t="s">
        <v>522</v>
      </c>
    </row>
    <row r="166" spans="1:25" x14ac:dyDescent="0.25">
      <c r="A166" s="382" t="s">
        <v>507</v>
      </c>
      <c r="B166" s="69">
        <f>SUM(B167:B172)</f>
        <v>0</v>
      </c>
      <c r="C166" s="53">
        <f t="shared" si="17"/>
        <v>0</v>
      </c>
      <c r="D166" s="757">
        <f>SUM(D167:D172)</f>
        <v>0</v>
      </c>
      <c r="E166" s="750">
        <f t="shared" si="18"/>
        <v>0</v>
      </c>
      <c r="F166" s="11"/>
      <c r="G166" s="12"/>
      <c r="H166" s="12"/>
      <c r="I166" s="12"/>
      <c r="J166" s="12"/>
      <c r="K166" s="16"/>
      <c r="S166" s="119"/>
    </row>
    <row r="167" spans="1:25" x14ac:dyDescent="0.25">
      <c r="A167" s="383" t="s">
        <v>787</v>
      </c>
      <c r="B167" s="156">
        <f>SUMIFS(AS!$W:$W,AS!$AB:$AB,"OK",AS!$AY:$AY,Asiakastilastot!$X167,AS!$AW:$AW,Asiakastilastot!$Y$6,AS!$K:$K,Asiakastilastot!$Y$1,AS!$X:$X,Asiakastilastot!$Y$5,AS!$AV:$AV,Asiakastilastot!$Y$2)</f>
        <v>0</v>
      </c>
      <c r="C167" s="240">
        <f t="shared" si="17"/>
        <v>0</v>
      </c>
      <c r="D167" s="156">
        <f>SUMIFS(AS!$W:$W,AS!$AB:$AB,"OK",AS!$AY:$AY,Asiakastilastot!$X167,AS!$AW:$AW,Asiakastilastot!$Y$6,AS!$K:$K,Asiakastilastot!$Y$1,AS!$X:$X,Asiakastilastot!$Y$5,AS!$AV:$AV,Asiakastilastot!$Y$2,AS!$AH:$AH,Asiakastilastot!$X$8)</f>
        <v>0</v>
      </c>
      <c r="E167" s="240">
        <f t="shared" si="18"/>
        <v>0</v>
      </c>
      <c r="F167" s="241"/>
      <c r="G167" s="239"/>
      <c r="H167" s="239"/>
      <c r="I167" s="239"/>
      <c r="J167" s="239"/>
      <c r="K167" s="242"/>
      <c r="S167" s="119"/>
      <c r="X167" t="s">
        <v>525</v>
      </c>
      <c r="Y167" s="86"/>
    </row>
    <row r="168" spans="1:25" x14ac:dyDescent="0.25">
      <c r="A168" s="383" t="s">
        <v>788</v>
      </c>
      <c r="B168" s="156">
        <f>SUMIFS(AS!$W:$W,AS!$AB:$AB,"OK",AS!$AY:$AY,Asiakastilastot!$X168,AS!$AW:$AW,Asiakastilastot!$Y$6,AS!$K:$K,Asiakastilastot!$Y$1,AS!$X:$X,Asiakastilastot!$Y$5,AS!$AV:$AV,Asiakastilastot!$Y$2)</f>
        <v>0</v>
      </c>
      <c r="C168" s="240">
        <f t="shared" si="17"/>
        <v>0</v>
      </c>
      <c r="D168" s="156">
        <f>SUMIFS(AS!$W:$W,AS!$AB:$AB,"OK",AS!$AY:$AY,Asiakastilastot!$X168,AS!$AW:$AW,Asiakastilastot!$Y$6,AS!$K:$K,Asiakastilastot!$Y$1,AS!$X:$X,Asiakastilastot!$Y$5,AS!$AV:$AV,Asiakastilastot!$Y$2,AS!$AH:$AH,Asiakastilastot!$X$8)</f>
        <v>0</v>
      </c>
      <c r="E168" s="240">
        <f t="shared" si="18"/>
        <v>0</v>
      </c>
      <c r="F168" s="241"/>
      <c r="G168" s="239"/>
      <c r="H168" s="239"/>
      <c r="I168" s="239"/>
      <c r="J168" s="239"/>
      <c r="K168" s="242"/>
      <c r="S168" s="119"/>
      <c r="X168" t="s">
        <v>526</v>
      </c>
      <c r="Y168" s="86"/>
    </row>
    <row r="169" spans="1:25" x14ac:dyDescent="0.25">
      <c r="A169" s="383" t="s">
        <v>789</v>
      </c>
      <c r="B169" s="156">
        <f>SUMIFS(AS!$W:$W,AS!$AB:$AB,"OK",AS!$AY:$AY,Asiakastilastot!$X169,AS!$AW:$AW,Asiakastilastot!$Y$6,AS!$K:$K,Asiakastilastot!$Y$1,AS!$X:$X,Asiakastilastot!$Y$5,AS!$AV:$AV,Asiakastilastot!$Y$2)</f>
        <v>0</v>
      </c>
      <c r="C169" s="240">
        <f t="shared" si="17"/>
        <v>0</v>
      </c>
      <c r="D169" s="156">
        <f>SUMIFS(AS!$W:$W,AS!$AB:$AB,"OK",AS!$AY:$AY,Asiakastilastot!$X169,AS!$AW:$AW,Asiakastilastot!$Y$6,AS!$K:$K,Asiakastilastot!$Y$1,AS!$X:$X,Asiakastilastot!$Y$5,AS!$AV:$AV,Asiakastilastot!$Y$2,AS!$AH:$AH,Asiakastilastot!$X$8)</f>
        <v>0</v>
      </c>
      <c r="E169" s="240">
        <f t="shared" si="18"/>
        <v>0</v>
      </c>
      <c r="F169" s="241"/>
      <c r="G169" s="239"/>
      <c r="H169" s="239"/>
      <c r="I169" s="239"/>
      <c r="J169" s="239"/>
      <c r="K169" s="242"/>
      <c r="S169" s="119"/>
      <c r="X169" t="s">
        <v>528</v>
      </c>
      <c r="Y169" s="86"/>
    </row>
    <row r="170" spans="1:25" x14ac:dyDescent="0.25">
      <c r="A170" s="383" t="s">
        <v>790</v>
      </c>
      <c r="B170" s="156">
        <f>SUMIFS(AS!$W:$W,AS!$AB:$AB,"OK",AS!$AY:$AY,Asiakastilastot!$X170,AS!$AW:$AW,Asiakastilastot!$Y$6,AS!$K:$K,Asiakastilastot!$Y$1,AS!$X:$X,Asiakastilastot!$Y$5,AS!$AV:$AV,Asiakastilastot!$Y$2)</f>
        <v>0</v>
      </c>
      <c r="C170" s="240">
        <f t="shared" si="17"/>
        <v>0</v>
      </c>
      <c r="D170" s="156">
        <f>SUMIFS(AS!$W:$W,AS!$AB:$AB,"OK",AS!$AY:$AY,Asiakastilastot!$X170,AS!$AW:$AW,Asiakastilastot!$Y$6,AS!$K:$K,Asiakastilastot!$Y$1,AS!$X:$X,Asiakastilastot!$Y$5,AS!$AV:$AV,Asiakastilastot!$Y$2,AS!$AH:$AH,Asiakastilastot!$X$8)</f>
        <v>0</v>
      </c>
      <c r="E170" s="240">
        <f t="shared" si="18"/>
        <v>0</v>
      </c>
      <c r="F170" s="241"/>
      <c r="G170" s="239"/>
      <c r="H170" s="239"/>
      <c r="I170" s="239"/>
      <c r="J170" s="239"/>
      <c r="K170" s="242"/>
      <c r="S170" s="119"/>
      <c r="X170" t="s">
        <v>531</v>
      </c>
      <c r="Y170" s="86"/>
    </row>
    <row r="171" spans="1:25" x14ac:dyDescent="0.25">
      <c r="A171" s="383" t="s">
        <v>791</v>
      </c>
      <c r="B171" s="156">
        <f>SUMIFS(AS!$W:$W,AS!$AB:$AB,"OK",AS!$AY:$AY,Asiakastilastot!$X171,AS!$AW:$AW,Asiakastilastot!$Y$6,AS!$K:$K,Asiakastilastot!$Y$1,AS!$X:$X,Asiakastilastot!$Y$5,AS!$AV:$AV,Asiakastilastot!$Y$2)</f>
        <v>0</v>
      </c>
      <c r="C171" s="240">
        <f t="shared" si="17"/>
        <v>0</v>
      </c>
      <c r="D171" s="156">
        <f>SUMIFS(AS!$W:$W,AS!$AB:$AB,"OK",AS!$AY:$AY,Asiakastilastot!$X171,AS!$AW:$AW,Asiakastilastot!$Y$6,AS!$K:$K,Asiakastilastot!$Y$1,AS!$X:$X,Asiakastilastot!$Y$5,AS!$AV:$AV,Asiakastilastot!$Y$2,AS!$AH:$AH,Asiakastilastot!$X$8)</f>
        <v>0</v>
      </c>
      <c r="E171" s="240">
        <f t="shared" si="18"/>
        <v>0</v>
      </c>
      <c r="F171" s="241"/>
      <c r="G171" s="239"/>
      <c r="H171" s="239"/>
      <c r="I171" s="239"/>
      <c r="J171" s="239"/>
      <c r="K171" s="242"/>
      <c r="S171" s="119"/>
      <c r="X171" t="s">
        <v>533</v>
      </c>
      <c r="Y171" s="86"/>
    </row>
    <row r="172" spans="1:25" x14ac:dyDescent="0.25">
      <c r="A172" s="383" t="s">
        <v>792</v>
      </c>
      <c r="B172" s="156">
        <f>SUMIFS(AS!$W:$W,AS!$AB:$AB,"OK",AS!$AY:$AY,Asiakastilastot!$X172,AS!$AW:$AW,Asiakastilastot!$Y$6,AS!$K:$K,Asiakastilastot!$Y$1,AS!$X:$X,Asiakastilastot!$Y$5,AS!$AV:$AV,Asiakastilastot!$Y$2)</f>
        <v>0</v>
      </c>
      <c r="C172" s="240">
        <f t="shared" si="17"/>
        <v>0</v>
      </c>
      <c r="D172" s="156">
        <f>SUMIFS(AS!$W:$W,AS!$AB:$AB,"OK",AS!$AY:$AY,Asiakastilastot!$X172,AS!$AW:$AW,Asiakastilastot!$Y$6,AS!$K:$K,Asiakastilastot!$Y$1,AS!$X:$X,Asiakastilastot!$Y$5,AS!$AV:$AV,Asiakastilastot!$Y$2,AS!$AH:$AH,Asiakastilastot!$X$8)</f>
        <v>0</v>
      </c>
      <c r="E172" s="240">
        <f t="shared" si="18"/>
        <v>0</v>
      </c>
      <c r="F172" s="241"/>
      <c r="G172" s="239"/>
      <c r="H172" s="239"/>
      <c r="I172" s="239"/>
      <c r="J172" s="239"/>
      <c r="K172" s="242"/>
      <c r="S172" s="119"/>
      <c r="X172" t="s">
        <v>534</v>
      </c>
      <c r="Y172" s="86"/>
    </row>
    <row r="173" spans="1:25" x14ac:dyDescent="0.25">
      <c r="A173" s="382" t="s">
        <v>511</v>
      </c>
      <c r="B173" s="69">
        <f>SUM(B174:B179)</f>
        <v>0</v>
      </c>
      <c r="C173" s="53">
        <f t="shared" si="17"/>
        <v>0</v>
      </c>
      <c r="D173" s="757">
        <f>SUM(D174:D179)</f>
        <v>0</v>
      </c>
      <c r="E173" s="750">
        <f t="shared" si="18"/>
        <v>0</v>
      </c>
      <c r="F173" s="11"/>
      <c r="G173" s="12"/>
      <c r="H173" s="12"/>
      <c r="I173" s="12"/>
      <c r="J173" s="12"/>
      <c r="K173" s="16"/>
      <c r="S173" s="119"/>
    </row>
    <row r="174" spans="1:25" x14ac:dyDescent="0.25">
      <c r="A174" s="384" t="s">
        <v>793</v>
      </c>
      <c r="B174" s="156">
        <f>SUMIFS(AS!$W:$W,AS!$AB:$AB,"OK",AS!$AY:$AY,Asiakastilastot!$X174,AS!$AW:$AW,Asiakastilastot!$Y$6,AS!$K:$K,Asiakastilastot!$Y$1,AS!$X:$X,Asiakastilastot!$Y$5,AS!$AV:$AV,Asiakastilastot!$Y$2)</f>
        <v>0</v>
      </c>
      <c r="C174" s="245">
        <f t="shared" si="17"/>
        <v>0</v>
      </c>
      <c r="D174" s="156">
        <f>SUMIFS(AS!$W:$W,AS!$AB:$AB,"OK",AS!$AY:$AY,Asiakastilastot!$X174,AS!$AW:$AW,Asiakastilastot!$Y$6,AS!$K:$K,Asiakastilastot!$Y$1,AS!$X:$X,Asiakastilastot!$Y$5,AS!$AV:$AV,Asiakastilastot!$Y$2,AS!$AH:$AH,Asiakastilastot!$X$8)</f>
        <v>0</v>
      </c>
      <c r="E174" s="245">
        <f t="shared" si="18"/>
        <v>0</v>
      </c>
      <c r="F174" s="246"/>
      <c r="G174" s="244"/>
      <c r="H174" s="244"/>
      <c r="I174" s="244"/>
      <c r="J174" s="244"/>
      <c r="K174" s="247"/>
      <c r="S174" s="119"/>
      <c r="X174" t="s">
        <v>536</v>
      </c>
      <c r="Y174" s="86"/>
    </row>
    <row r="175" spans="1:25" x14ac:dyDescent="0.25">
      <c r="A175" s="384" t="s">
        <v>794</v>
      </c>
      <c r="B175" s="156">
        <f>SUMIFS(AS!$W:$W,AS!$AB:$AB,"OK",AS!$AY:$AY,Asiakastilastot!$X175,AS!$AW:$AW,Asiakastilastot!$Y$6,AS!$K:$K,Asiakastilastot!$Y$1,AS!$X:$X,Asiakastilastot!$Y$5,AS!$AV:$AV,Asiakastilastot!$Y$2)</f>
        <v>0</v>
      </c>
      <c r="C175" s="245">
        <f t="shared" si="17"/>
        <v>0</v>
      </c>
      <c r="D175" s="156">
        <f>SUMIFS(AS!$W:$W,AS!$AB:$AB,"OK",AS!$AY:$AY,Asiakastilastot!$X175,AS!$AW:$AW,Asiakastilastot!$Y$6,AS!$K:$K,Asiakastilastot!$Y$1,AS!$X:$X,Asiakastilastot!$Y$5,AS!$AV:$AV,Asiakastilastot!$Y$2,AS!$AH:$AH,Asiakastilastot!$X$8)</f>
        <v>0</v>
      </c>
      <c r="E175" s="245">
        <f t="shared" si="18"/>
        <v>0</v>
      </c>
      <c r="F175" s="246"/>
      <c r="G175" s="244"/>
      <c r="H175" s="244"/>
      <c r="I175" s="244"/>
      <c r="J175" s="244"/>
      <c r="K175" s="247"/>
      <c r="N175"/>
      <c r="O175"/>
      <c r="S175" s="119"/>
      <c r="X175" t="s">
        <v>538</v>
      </c>
      <c r="Y175" s="86"/>
    </row>
    <row r="176" spans="1:25" x14ac:dyDescent="0.25">
      <c r="A176" s="384" t="s">
        <v>795</v>
      </c>
      <c r="B176" s="156">
        <f>SUMIFS(AS!$W:$W,AS!$AB:$AB,"OK",AS!$AY:$AY,Asiakastilastot!$X176,AS!$AW:$AW,Asiakastilastot!$Y$6,AS!$K:$K,Asiakastilastot!$Y$1,AS!$X:$X,Asiakastilastot!$Y$5,AS!$AV:$AV,Asiakastilastot!$Y$2)</f>
        <v>0</v>
      </c>
      <c r="C176" s="245">
        <f t="shared" si="17"/>
        <v>0</v>
      </c>
      <c r="D176" s="156">
        <f>SUMIFS(AS!$W:$W,AS!$AB:$AB,"OK",AS!$AY:$AY,Asiakastilastot!$X176,AS!$AW:$AW,Asiakastilastot!$Y$6,AS!$K:$K,Asiakastilastot!$Y$1,AS!$X:$X,Asiakastilastot!$Y$5,AS!$AV:$AV,Asiakastilastot!$Y$2,AS!$AH:$AH,Asiakastilastot!$X$8)</f>
        <v>0</v>
      </c>
      <c r="E176" s="245">
        <f t="shared" si="18"/>
        <v>0</v>
      </c>
      <c r="F176" s="246"/>
      <c r="G176" s="244"/>
      <c r="H176" s="244"/>
      <c r="I176" s="244"/>
      <c r="J176" s="244"/>
      <c r="K176" s="247"/>
      <c r="N176"/>
      <c r="O176"/>
      <c r="S176" s="119"/>
      <c r="X176" t="s">
        <v>540</v>
      </c>
      <c r="Y176" s="86"/>
    </row>
    <row r="177" spans="1:25" x14ac:dyDescent="0.25">
      <c r="A177" s="384" t="s">
        <v>796</v>
      </c>
      <c r="B177" s="156">
        <f>SUMIFS(AS!$W:$W,AS!$AB:$AB,"OK",AS!$AY:$AY,Asiakastilastot!$X177,AS!$AW:$AW,Asiakastilastot!$Y$6,AS!$K:$K,Asiakastilastot!$Y$1,AS!$X:$X,Asiakastilastot!$Y$5,AS!$AV:$AV,Asiakastilastot!$Y$2)</f>
        <v>0</v>
      </c>
      <c r="C177" s="245">
        <f t="shared" si="17"/>
        <v>0</v>
      </c>
      <c r="D177" s="156">
        <f>SUMIFS(AS!$W:$W,AS!$AB:$AB,"OK",AS!$AY:$AY,Asiakastilastot!$X177,AS!$AW:$AW,Asiakastilastot!$Y$6,AS!$K:$K,Asiakastilastot!$Y$1,AS!$X:$X,Asiakastilastot!$Y$5,AS!$AV:$AV,Asiakastilastot!$Y$2,AS!$AH:$AH,Asiakastilastot!$X$8)</f>
        <v>0</v>
      </c>
      <c r="E177" s="245">
        <f t="shared" si="18"/>
        <v>0</v>
      </c>
      <c r="F177" s="246"/>
      <c r="G177" s="244"/>
      <c r="H177" s="244"/>
      <c r="I177" s="244"/>
      <c r="J177" s="244"/>
      <c r="K177" s="247"/>
      <c r="N177"/>
      <c r="O177"/>
      <c r="S177" s="119"/>
      <c r="X177" t="s">
        <v>542</v>
      </c>
      <c r="Y177" s="86"/>
    </row>
    <row r="178" spans="1:25" x14ac:dyDescent="0.25">
      <c r="A178" s="384" t="s">
        <v>797</v>
      </c>
      <c r="B178" s="156">
        <f>SUMIFS(AS!$W:$W,AS!$AB:$AB,"OK",AS!$AY:$AY,Asiakastilastot!$X178,AS!$AW:$AW,Asiakastilastot!$Y$6,AS!$K:$K,Asiakastilastot!$Y$1,AS!$X:$X,Asiakastilastot!$Y$5,AS!$AV:$AV,Asiakastilastot!$Y$2)</f>
        <v>0</v>
      </c>
      <c r="C178" s="245">
        <f t="shared" si="17"/>
        <v>0</v>
      </c>
      <c r="D178" s="156">
        <f>SUMIFS(AS!$W:$W,AS!$AB:$AB,"OK",AS!$AY:$AY,Asiakastilastot!$X178,AS!$AW:$AW,Asiakastilastot!$Y$6,AS!$K:$K,Asiakastilastot!$Y$1,AS!$X:$X,Asiakastilastot!$Y$5,AS!$AV:$AV,Asiakastilastot!$Y$2,AS!$AH:$AH,Asiakastilastot!$X$8)</f>
        <v>0</v>
      </c>
      <c r="E178" s="245">
        <f t="shared" si="18"/>
        <v>0</v>
      </c>
      <c r="F178" s="246"/>
      <c r="G178" s="244"/>
      <c r="H178" s="244"/>
      <c r="I178" s="244"/>
      <c r="J178" s="244"/>
      <c r="K178" s="247"/>
      <c r="N178"/>
      <c r="O178"/>
      <c r="S178" s="119"/>
      <c r="X178" t="s">
        <v>545</v>
      </c>
      <c r="Y178" s="86"/>
    </row>
    <row r="179" spans="1:25" x14ac:dyDescent="0.25">
      <c r="A179" s="384" t="s">
        <v>798</v>
      </c>
      <c r="B179" s="156">
        <f>SUMIFS(AS!$W:$W,AS!$AB:$AB,"OK",AS!$AY:$AY,Asiakastilastot!$X179,AS!$AW:$AW,Asiakastilastot!$Y$6,AS!$K:$K,Asiakastilastot!$Y$1,AS!$X:$X,Asiakastilastot!$Y$5,AS!$AV:$AV,Asiakastilastot!$Y$2)</f>
        <v>0</v>
      </c>
      <c r="C179" s="245">
        <f t="shared" si="17"/>
        <v>0</v>
      </c>
      <c r="D179" s="156">
        <f>SUMIFS(AS!$W:$W,AS!$AB:$AB,"OK",AS!$AY:$AY,Asiakastilastot!$X179,AS!$AW:$AW,Asiakastilastot!$Y$6,AS!$K:$K,Asiakastilastot!$Y$1,AS!$X:$X,Asiakastilastot!$Y$5,AS!$AV:$AV,Asiakastilastot!$Y$2,AS!$AH:$AH,Asiakastilastot!$X$8)</f>
        <v>0</v>
      </c>
      <c r="E179" s="245">
        <f t="shared" si="18"/>
        <v>0</v>
      </c>
      <c r="F179" s="246"/>
      <c r="G179" s="244"/>
      <c r="H179" s="244"/>
      <c r="I179" s="244"/>
      <c r="J179" s="244"/>
      <c r="K179" s="247"/>
      <c r="N179"/>
      <c r="O179"/>
      <c r="S179" s="119"/>
      <c r="X179" t="s">
        <v>546</v>
      </c>
      <c r="Y179" s="86"/>
    </row>
    <row r="180" spans="1:25" x14ac:dyDescent="0.25">
      <c r="A180" s="382" t="s">
        <v>513</v>
      </c>
      <c r="B180" s="69">
        <f>SUM(B181:B182)</f>
        <v>0</v>
      </c>
      <c r="C180" s="53">
        <f>IFERROR(B180/B$190,0)</f>
        <v>0</v>
      </c>
      <c r="D180" s="757">
        <f>SUM(D181:D182)</f>
        <v>0</v>
      </c>
      <c r="E180" s="750">
        <f>IFERROR(D180/D$190,0)</f>
        <v>0</v>
      </c>
      <c r="F180" s="11"/>
      <c r="G180" s="12"/>
      <c r="H180" s="12"/>
      <c r="I180" s="12"/>
      <c r="J180" s="12"/>
      <c r="K180" s="16"/>
      <c r="N180"/>
      <c r="O180"/>
      <c r="S180" s="119"/>
    </row>
    <row r="181" spans="1:25" x14ac:dyDescent="0.25">
      <c r="A181" s="384" t="s">
        <v>799</v>
      </c>
      <c r="B181" s="156">
        <f>SUMIFS(AS!$W:$W,AS!$AB:$AB,"OK",AS!$AY:$AY,Asiakastilastot!$X181,AS!$AW:$AW,Asiakastilastot!$Y$6,AS!$K:$K,Asiakastilastot!$Y$1,AS!$X:$X,Asiakastilastot!$Y$5,AS!$AV:$AV,Asiakastilastot!$Y$2)</f>
        <v>0</v>
      </c>
      <c r="C181" s="245">
        <f t="shared" si="17"/>
        <v>0</v>
      </c>
      <c r="D181" s="156">
        <f>SUMIFS(AS!$W:$W,AS!$AB:$AB,"OK",AS!$AY:$AY,Asiakastilastot!$X181,AS!$AW:$AW,Asiakastilastot!$Y$6,AS!$K:$K,Asiakastilastot!$Y$1,AS!$X:$X,Asiakastilastot!$Y$5,AS!$AV:$AV,Asiakastilastot!$Y$2,AS!$AH:$AH,Asiakastilastot!$X$8)</f>
        <v>0</v>
      </c>
      <c r="E181" s="245">
        <f t="shared" si="18"/>
        <v>0</v>
      </c>
      <c r="F181" s="246"/>
      <c r="G181" s="244"/>
      <c r="H181" s="244"/>
      <c r="I181" s="244"/>
      <c r="J181" s="244"/>
      <c r="K181" s="247"/>
      <c r="N181"/>
      <c r="O181"/>
      <c r="S181" s="119"/>
      <c r="X181" t="s">
        <v>547</v>
      </c>
    </row>
    <row r="182" spans="1:25" x14ac:dyDescent="0.25">
      <c r="A182" s="893" t="s">
        <v>274</v>
      </c>
      <c r="B182" s="156">
        <f>SUMIFS(AS!$W:$W,AS!$AB:$AB,"OK",AS!$AY:$AY,Asiakastilastot!$X182,AS!$AW:$AW,Asiakastilastot!$Y$6,AS!$K:$K,Asiakastilastot!$Y$1,AS!$X:$X,Asiakastilastot!$Y$5,AS!$AV:$AV,Asiakastilastot!$Y$2)</f>
        <v>0</v>
      </c>
      <c r="C182" s="245">
        <f>IFERROR(B182/B$190,0)</f>
        <v>0</v>
      </c>
      <c r="D182" s="156">
        <f>SUMIFS(AS!$W:$W,AS!$AB:$AB,"OK",AS!$AY:$AY,Asiakastilastot!$X182,AS!$AW:$AW,Asiakastilastot!$Y$6,AS!$K:$K,Asiakastilastot!$Y$1,AS!$X:$X,Asiakastilastot!$Y$5,AS!$AV:$AV,Asiakastilastot!$Y$2,AS!$AH:$AH,Asiakastilastot!$X$8)</f>
        <v>0</v>
      </c>
      <c r="E182" s="245">
        <f>IFERROR(D182/D$190,0)</f>
        <v>0</v>
      </c>
      <c r="F182" s="246"/>
      <c r="G182" s="244"/>
      <c r="H182" s="244"/>
      <c r="I182" s="244"/>
      <c r="J182" s="244"/>
      <c r="K182" s="247"/>
      <c r="N182"/>
      <c r="O182"/>
      <c r="S182" s="119"/>
      <c r="X182" t="s">
        <v>548</v>
      </c>
    </row>
    <row r="183" spans="1:25" x14ac:dyDescent="0.25">
      <c r="A183" s="382" t="s">
        <v>347</v>
      </c>
      <c r="B183" s="69">
        <f>SUM(B184:B186)</f>
        <v>0</v>
      </c>
      <c r="C183" s="53">
        <f t="shared" si="17"/>
        <v>0</v>
      </c>
      <c r="D183" s="757">
        <f>SUM(D184:D186)</f>
        <v>0</v>
      </c>
      <c r="E183" s="750">
        <f t="shared" si="18"/>
        <v>0</v>
      </c>
      <c r="F183" s="11"/>
      <c r="G183" s="12"/>
      <c r="H183" s="12"/>
      <c r="I183" s="12"/>
      <c r="J183" s="12"/>
      <c r="K183" s="16"/>
      <c r="N183"/>
      <c r="O183"/>
    </row>
    <row r="184" spans="1:25" x14ac:dyDescent="0.25">
      <c r="A184" s="384" t="s">
        <v>800</v>
      </c>
      <c r="B184" s="156">
        <f>SUMIFS(AS!$W:$W,AS!$AB:$AB,"OK",AS!$AY:$AY,Asiakastilastot!$X184,AS!$AW:$AW,Asiakastilastot!$Y$6,AS!$K:$K,Asiakastilastot!$Y$1,AS!$X:$X,Asiakastilastot!$Y$5,AS!$AV:$AV,Asiakastilastot!$Y$2)</f>
        <v>0</v>
      </c>
      <c r="C184" s="245">
        <f t="shared" si="17"/>
        <v>0</v>
      </c>
      <c r="D184" s="156">
        <f>SUMIFS(AS!$W:$W,AS!$AB:$AB,"OK",AS!$AY:$AY,Asiakastilastot!$X184,AS!$AW:$AW,Asiakastilastot!$Y$6,AS!$K:$K,Asiakastilastot!$Y$1,AS!$X:$X,Asiakastilastot!$Y$5,AS!$AV:$AV,Asiakastilastot!$Y$2,AS!$AH:$AH,Asiakastilastot!$X$8)</f>
        <v>0</v>
      </c>
      <c r="E184" s="240">
        <f t="shared" si="18"/>
        <v>0</v>
      </c>
      <c r="F184" s="241"/>
      <c r="G184" s="239"/>
      <c r="H184" s="239"/>
      <c r="I184" s="239"/>
      <c r="J184" s="239"/>
      <c r="K184" s="242"/>
      <c r="N184"/>
      <c r="O184"/>
      <c r="X184" t="s">
        <v>505</v>
      </c>
      <c r="Y184" s="86"/>
    </row>
    <row r="185" spans="1:25" x14ac:dyDescent="0.25">
      <c r="A185" s="243" t="s">
        <v>801</v>
      </c>
      <c r="B185" s="156">
        <f>SUMIFS(AS!$W:$W,AS!$AB:$AB,"OK",AS!$AY:$AY,Asiakastilastot!$X185,AS!$AW:$AW,Asiakastilastot!$Y$6,AS!$K:$K,Asiakastilastot!$Y$1,AS!$X:$X,Asiakastilastot!$Y$5,AS!$AV:$AV,Asiakastilastot!$Y$2)</f>
        <v>0</v>
      </c>
      <c r="C185" s="245">
        <f t="shared" si="17"/>
        <v>0</v>
      </c>
      <c r="D185" s="156">
        <f>SUMIFS(AS!$W:$W,AS!$AB:$AB,"OK",AS!$AY:$AY,Asiakastilastot!$X185,AS!$AW:$AW,Asiakastilastot!$Y$6,AS!$K:$K,Asiakastilastot!$Y$1,AS!$X:$X,Asiakastilastot!$Y$5,AS!$AV:$AV,Asiakastilastot!$Y$2,AS!$AH:$AH,Asiakastilastot!$X$8)</f>
        <v>0</v>
      </c>
      <c r="E185" s="245">
        <f t="shared" si="18"/>
        <v>0</v>
      </c>
      <c r="F185" s="246"/>
      <c r="G185" s="244"/>
      <c r="H185" s="244"/>
      <c r="I185" s="244"/>
      <c r="J185" s="244"/>
      <c r="K185" s="247"/>
      <c r="N185"/>
      <c r="O185"/>
      <c r="X185" t="s">
        <v>552</v>
      </c>
      <c r="Y185" s="86"/>
    </row>
    <row r="186" spans="1:25" x14ac:dyDescent="0.25">
      <c r="A186" s="243" t="s">
        <v>802</v>
      </c>
      <c r="B186" s="156">
        <f>SUMIFS(AS!$W:$W,AS!$AB:$AB,"OK",AS!$AY:$AY,Asiakastilastot!$X186,AS!$AW:$AW,Asiakastilastot!$Y$6,AS!$K:$K,Asiakastilastot!$Y$1,AS!$X:$X,Asiakastilastot!$Y$5,AS!$AV:$AV,Asiakastilastot!$Y$2)</f>
        <v>0</v>
      </c>
      <c r="C186" s="245">
        <f t="shared" si="17"/>
        <v>0</v>
      </c>
      <c r="D186" s="156">
        <f>SUMIFS(AS!$W:$W,AS!$AB:$AB,"OK",AS!$AY:$AY,Asiakastilastot!$X186,AS!$AW:$AW,Asiakastilastot!$Y$6,AS!$K:$K,Asiakastilastot!$Y$1,AS!$X:$X,Asiakastilastot!$Y$5,AS!$AV:$AV,Asiakastilastot!$Y$2,AS!$AH:$AH,Asiakastilastot!$X$8)</f>
        <v>0</v>
      </c>
      <c r="E186" s="245">
        <f t="shared" si="18"/>
        <v>0</v>
      </c>
      <c r="F186" s="246"/>
      <c r="G186" s="244"/>
      <c r="H186" s="244"/>
      <c r="I186" s="244"/>
      <c r="J186" s="244"/>
      <c r="K186" s="247"/>
      <c r="N186"/>
      <c r="O186"/>
      <c r="X186" t="s">
        <v>553</v>
      </c>
      <c r="Y186" s="86"/>
    </row>
    <row r="187" spans="1:25" x14ac:dyDescent="0.25">
      <c r="A187" s="270" t="s">
        <v>239</v>
      </c>
      <c r="B187" s="69">
        <f>SUM(B188:B189)</f>
        <v>0</v>
      </c>
      <c r="C187" s="53">
        <f t="shared" si="17"/>
        <v>0</v>
      </c>
      <c r="D187" s="757">
        <f>SUM(D188:D189)</f>
        <v>0</v>
      </c>
      <c r="E187" s="750">
        <f t="shared" si="18"/>
        <v>0</v>
      </c>
      <c r="F187" s="11"/>
      <c r="G187" s="12"/>
      <c r="H187" s="12"/>
      <c r="I187" s="12"/>
      <c r="J187" s="12"/>
      <c r="K187" s="16"/>
      <c r="N187"/>
      <c r="O187"/>
      <c r="Y187" s="86"/>
    </row>
    <row r="188" spans="1:25" x14ac:dyDescent="0.25">
      <c r="A188" s="243" t="s">
        <v>362</v>
      </c>
      <c r="B188" s="156">
        <f>SUMIFS(AS!$W:$W,AS!$AB:$AB,"OK",AS!$AY:$AY,Asiakastilastot!$X188,AS!$AW:$AW,Asiakastilastot!$Y$6,AS!$K:$K,Asiakastilastot!$Y$1,AS!$X:$X,Asiakastilastot!$Y$5,AS!$AV:$AV,Asiakastilastot!$Y$2)</f>
        <v>0</v>
      </c>
      <c r="C188" s="245">
        <f t="shared" si="17"/>
        <v>0</v>
      </c>
      <c r="D188" s="156">
        <f>SUMIFS(AS!$W:$W,AS!$AB:$AB,"OK",AS!$AY:$AY,Asiakastilastot!$X188,AS!$AW:$AW,Asiakastilastot!$Y$6,AS!$K:$K,Asiakastilastot!$Y$1,AS!$X:$X,Asiakastilastot!$Y$5,AS!$AV:$AV,Asiakastilastot!$Y$2,AS!$AH:$AH,Asiakastilastot!$X$8)</f>
        <v>0</v>
      </c>
      <c r="E188" s="245">
        <f t="shared" si="18"/>
        <v>0</v>
      </c>
      <c r="F188" s="246"/>
      <c r="G188" s="244"/>
      <c r="H188" s="244"/>
      <c r="I188" s="244"/>
      <c r="J188" s="244"/>
      <c r="K188" s="247"/>
      <c r="N188"/>
      <c r="O188"/>
      <c r="X188" t="s">
        <v>554</v>
      </c>
      <c r="Y188" s="86"/>
    </row>
    <row r="189" spans="1:25" x14ac:dyDescent="0.25">
      <c r="A189" s="248" t="s">
        <v>803</v>
      </c>
      <c r="B189" s="156">
        <f>SUMIFS(AS!$W:$W,AS!$AB:$AB,"OK",AS!$AY:$AY,Asiakastilastot!$X189,AS!$AW:$AW,Asiakastilastot!$Y$6,AS!$K:$K,Asiakastilastot!$Y$1,AS!$X:$X,Asiakastilastot!$Y$5,AS!$AV:$AV,Asiakastilastot!$Y$2)</f>
        <v>0</v>
      </c>
      <c r="C189" s="250">
        <f t="shared" si="17"/>
        <v>0</v>
      </c>
      <c r="D189" s="156">
        <f>SUMIFS(AS!$W:$W,AS!$AB:$AB,"OK",AS!$AY:$AY,Asiakastilastot!$X189,AS!$AW:$AW,Asiakastilastot!$Y$6,AS!$K:$K,Asiakastilastot!$Y$1,AS!$X:$X,Asiakastilastot!$Y$5,AS!$AV:$AV,Asiakastilastot!$Y$2,AS!$AH:$AH,Asiakastilastot!$X$8)</f>
        <v>0</v>
      </c>
      <c r="E189" s="250">
        <f t="shared" si="18"/>
        <v>0</v>
      </c>
      <c r="F189" s="251"/>
      <c r="G189" s="249"/>
      <c r="H189" s="249"/>
      <c r="I189" s="249"/>
      <c r="J189" s="249"/>
      <c r="K189" s="252"/>
      <c r="N189"/>
      <c r="O189"/>
      <c r="X189" t="s">
        <v>557</v>
      </c>
    </row>
    <row r="190" spans="1:25" x14ac:dyDescent="0.25">
      <c r="A190" s="70" t="s">
        <v>737</v>
      </c>
      <c r="B190" s="9">
        <f>SUM(B154,B156,B162,B166,B173,B180,B183,B187)</f>
        <v>0</v>
      </c>
      <c r="C190" s="51">
        <f t="shared" si="17"/>
        <v>0</v>
      </c>
      <c r="D190" s="9">
        <f>SUM(D154,D156,D162,D166,D173,D180,D183,D187)</f>
        <v>0</v>
      </c>
      <c r="E190" s="51">
        <f t="shared" si="18"/>
        <v>0</v>
      </c>
      <c r="K190" s="41"/>
      <c r="N190"/>
      <c r="O190"/>
    </row>
    <row r="191" spans="1:25" x14ac:dyDescent="0.25">
      <c r="A191" s="476" t="str">
        <f>$A$6</f>
        <v>Kaikki</v>
      </c>
      <c r="B191" s="50"/>
      <c r="C191" s="50"/>
      <c r="D191" s="18"/>
      <c r="E191" s="18"/>
      <c r="F191" s="18"/>
      <c r="G191" s="18"/>
      <c r="H191" s="18"/>
      <c r="I191" s="18"/>
      <c r="J191" s="18"/>
      <c r="K191" s="45"/>
      <c r="N191"/>
      <c r="O191"/>
    </row>
    <row r="192" spans="1:25" x14ac:dyDescent="0.25">
      <c r="A192" s="545" t="s">
        <v>804</v>
      </c>
      <c r="N192"/>
      <c r="O192"/>
    </row>
    <row r="193" spans="1:25" x14ac:dyDescent="0.25">
      <c r="N193"/>
      <c r="O193"/>
    </row>
    <row r="194" spans="1:25" x14ac:dyDescent="0.25">
      <c r="B194" s="357"/>
      <c r="C194" s="357"/>
    </row>
    <row r="195" spans="1:25" x14ac:dyDescent="0.25">
      <c r="A195" s="388" t="s">
        <v>568</v>
      </c>
    </row>
    <row r="196" spans="1:25" x14ac:dyDescent="0.25">
      <c r="B196" s="428"/>
    </row>
    <row r="197" spans="1:25" x14ac:dyDescent="0.25">
      <c r="B197" s="428"/>
    </row>
    <row r="198" spans="1:25" x14ac:dyDescent="0.25">
      <c r="A198" s="65" t="str">
        <f>X199&amp;X200&amp;X12</f>
        <v>Edellisen vuoden aikana työpajalla olleiden valmentautujien sijoittuminen työpajajakson aikana tai sen jälkeen 01.01.2025-31.12.2025 (Kaikki kunnat, Kaikki yksiköt, Kaikki asiakkuudet)</v>
      </c>
      <c r="B198" s="65"/>
      <c r="C198" s="65"/>
      <c r="X198" s="85" t="s">
        <v>731</v>
      </c>
    </row>
    <row r="199" spans="1:25" x14ac:dyDescent="0.25">
      <c r="A199" s="988" t="s">
        <v>496</v>
      </c>
      <c r="B199" s="1009" t="s">
        <v>752</v>
      </c>
      <c r="C199" s="1010"/>
      <c r="D199" s="1009" t="s">
        <v>753</v>
      </c>
      <c r="E199" s="1010"/>
      <c r="F199" s="17"/>
      <c r="G199" s="17"/>
      <c r="H199" s="17"/>
      <c r="I199" s="17"/>
      <c r="J199" s="17"/>
      <c r="K199" s="40"/>
      <c r="X199" s="390" t="s">
        <v>805</v>
      </c>
    </row>
    <row r="200" spans="1:25" x14ac:dyDescent="0.25">
      <c r="A200" s="1035"/>
      <c r="B200" s="451" t="s">
        <v>742</v>
      </c>
      <c r="C200" s="451" t="s">
        <v>754</v>
      </c>
      <c r="D200" s="451" t="s">
        <v>742</v>
      </c>
      <c r="E200" s="451" t="s">
        <v>754</v>
      </c>
      <c r="K200" s="41"/>
      <c r="S200" s="119"/>
      <c r="X200" s="84" t="str">
        <f>" "&amp;TEXT(A2-365,X11)&amp;"-"&amp;TEXT(A2-1,X11)&amp; " "</f>
        <v xml:space="preserve"> 01.01.2025-31.12.2025 </v>
      </c>
    </row>
    <row r="201" spans="1:25" x14ac:dyDescent="0.25">
      <c r="A201" s="781" t="s">
        <v>497</v>
      </c>
      <c r="B201" s="782">
        <f>SUM(B202)</f>
        <v>0</v>
      </c>
      <c r="C201" s="783">
        <f t="shared" ref="C201:C204" si="21">IFERROR(B201/B$190,0)</f>
        <v>0</v>
      </c>
      <c r="D201" s="757">
        <f>SUM(D202)</f>
        <v>0</v>
      </c>
      <c r="E201" s="750">
        <f t="shared" ref="E201:E204" si="22">IFERROR(D201/D$190,0)</f>
        <v>0</v>
      </c>
      <c r="F201" s="785"/>
      <c r="G201" s="786"/>
      <c r="H201" s="786"/>
      <c r="I201" s="786"/>
      <c r="J201" s="786"/>
      <c r="K201" s="787"/>
      <c r="S201" s="119"/>
    </row>
    <row r="202" spans="1:25" x14ac:dyDescent="0.25">
      <c r="A202" s="383" t="s">
        <v>779</v>
      </c>
      <c r="B202" s="156">
        <f>SUMIFS(AS!$W:$W,AS!$Z:$Z,"OK",AS!$BE:$BE,Asiakastilastot!$X202,AS!$AW:$AW,Asiakastilastot!$Y$6,AS!$K:$K,Asiakastilastot!$Y$1,AS!$X:$X,Asiakastilastot!$Y$5,AS!$AV:$AV,Asiakastilastot!$Y$2)</f>
        <v>0</v>
      </c>
      <c r="C202" s="240">
        <f t="shared" si="21"/>
        <v>0</v>
      </c>
      <c r="D202" s="156">
        <f>SUMIFS(AS!$W:$W,AS!$Z:$Z,"OK",AS!$BE:$BE,Asiakastilastot!$X202,AS!$AW:$AW,Asiakastilastot!$Y$6,AS!$K:$K,Asiakastilastot!$Y$1,AS!$X:$X,Asiakastilastot!$Y$5,AS!$AV:$AV,Asiakastilastot!$Y$2,AS!$AH:$AH,Asiakastilastot!$X$8)</f>
        <v>0</v>
      </c>
      <c r="E202" s="240">
        <f t="shared" si="22"/>
        <v>0</v>
      </c>
      <c r="F202" s="241"/>
      <c r="G202" s="239"/>
      <c r="H202" s="239"/>
      <c r="I202" s="239"/>
      <c r="J202" s="239"/>
      <c r="K202" s="242"/>
      <c r="S202" s="119"/>
      <c r="X202" t="s">
        <v>498</v>
      </c>
    </row>
    <row r="203" spans="1:25" x14ac:dyDescent="0.25">
      <c r="A203" s="781" t="s">
        <v>499</v>
      </c>
      <c r="B203" s="782">
        <f>SUM(B204:B208)</f>
        <v>0</v>
      </c>
      <c r="C203" s="783">
        <f t="shared" si="21"/>
        <v>0</v>
      </c>
      <c r="D203" s="757">
        <f>SUM(D204:D208)</f>
        <v>0</v>
      </c>
      <c r="E203" s="750">
        <f t="shared" si="22"/>
        <v>0</v>
      </c>
      <c r="F203" s="785"/>
      <c r="G203" s="786"/>
      <c r="H203" s="786"/>
      <c r="I203" s="786"/>
      <c r="J203" s="786"/>
      <c r="K203" s="787"/>
      <c r="S203" s="119"/>
    </row>
    <row r="204" spans="1:25" x14ac:dyDescent="0.25">
      <c r="A204" s="383" t="s">
        <v>780</v>
      </c>
      <c r="B204" s="156">
        <f>SUMIFS(AS!$W:$W,AS!$Z:$Z,"OK",AS!$BE:$BE,Asiakastilastot!$X204,AS!$AW:$AW,Asiakastilastot!$Y$6,AS!$K:$K,Asiakastilastot!$Y$1,AS!$X:$X,Asiakastilastot!$Y$5,AS!$AV:$AV,Asiakastilastot!$Y$2)</f>
        <v>0</v>
      </c>
      <c r="C204" s="240">
        <f t="shared" si="21"/>
        <v>0</v>
      </c>
      <c r="D204" s="156">
        <f>SUMIFS(AS!$W:$W,AS!$Z:$Z,"OK",AS!$BE:$BE,Asiakastilastot!$X204,AS!$AW:$AW,Asiakastilastot!$Y$6,AS!$K:$K,Asiakastilastot!$Y$1,AS!$X:$X,Asiakastilastot!$Y$5,AS!$AV:$AV,Asiakastilastot!$Y$2,AS!$AH:$AH,Asiakastilastot!$X$8)</f>
        <v>0</v>
      </c>
      <c r="E204" s="240">
        <f t="shared" si="22"/>
        <v>0</v>
      </c>
      <c r="F204" s="241"/>
      <c r="G204" s="239"/>
      <c r="H204" s="239"/>
      <c r="I204" s="239"/>
      <c r="J204" s="239"/>
      <c r="K204" s="242"/>
      <c r="S204" s="119"/>
      <c r="X204" t="s">
        <v>501</v>
      </c>
    </row>
    <row r="205" spans="1:25" x14ac:dyDescent="0.25">
      <c r="A205" s="383" t="s">
        <v>413</v>
      </c>
      <c r="B205" s="156">
        <f>SUMIFS(AS!$W:$W,AS!$Z:$Z,"OK",AS!$BE:$BE,Asiakastilastot!$X205,AS!$AW:$AW,Asiakastilastot!$Y$6,AS!$K:$K,Asiakastilastot!$Y$1,AS!$X:$X,Asiakastilastot!$Y$5,AS!$AV:$AV,Asiakastilastot!$Y$2)</f>
        <v>0</v>
      </c>
      <c r="C205" s="240">
        <f>IFERROR(B205/B$190,0)</f>
        <v>0</v>
      </c>
      <c r="D205" s="156">
        <f>SUMIFS(AS!$W:$W,AS!$Z:$Z,"OK",AS!$BE:$BE,Asiakastilastot!$X205,AS!$AW:$AW,Asiakastilastot!$Y$6,AS!$K:$K,Asiakastilastot!$Y$1,AS!$X:$X,Asiakastilastot!$Y$5,AS!$AV:$AV,Asiakastilastot!$Y$2,AS!$AH:$AH,Asiakastilastot!$X$8)</f>
        <v>0</v>
      </c>
      <c r="E205" s="240">
        <f>IFERROR(D205/D$190,0)</f>
        <v>0</v>
      </c>
      <c r="F205" s="241"/>
      <c r="G205" s="239"/>
      <c r="H205" s="239"/>
      <c r="I205" s="239"/>
      <c r="J205" s="239"/>
      <c r="K205" s="242"/>
      <c r="S205" s="119"/>
      <c r="X205" t="s">
        <v>504</v>
      </c>
    </row>
    <row r="206" spans="1:25" x14ac:dyDescent="0.25">
      <c r="A206" s="383" t="s">
        <v>781</v>
      </c>
      <c r="B206" s="156">
        <f>SUMIFS(AS!$W:$W,AS!$Z:$Z,"OK",AS!$BE:$BE,Asiakastilastot!$Y206,AS!$AW:$AW,Asiakastilastot!$Y$6,AS!$K:$K,Asiakastilastot!$Y$1,AS!$X:$X,Asiakastilastot!$Y$5,AS!$AV:$AV,Asiakastilastot!$Y$2)+SUMIFS(AS!$W:$W,AS!$Z:$Z,"OK",AS!$BE:$BE,Asiakastilastot!$X206,AS!$AW:$AW,Asiakastilastot!$Y$6,AS!$K:$K,Asiakastilastot!$Y$1,AS!$X:$X,Asiakastilastot!$Y$5,AS!$AV:$AV,Asiakastilastot!$Y$2)</f>
        <v>0</v>
      </c>
      <c r="C206" s="240">
        <f t="shared" ref="C206:C226" si="23">IFERROR(B206/B$190,0)</f>
        <v>0</v>
      </c>
      <c r="D206" s="156">
        <f>SUMIFS(AS!$W:$W,AS!$Z:$Z,"OK",AS!$BE:$BE,Asiakastilastot!$Y206,AS!$AW:$AW,Asiakastilastot!$Y$6,AS!$K:$K,Asiakastilastot!$Y$1,AS!$X:$X,Asiakastilastot!$Y$5,AS!$AV:$AV,Asiakastilastot!$Y$2,AS!$AH:$AH,Asiakastilastot!$X$8)+SUMIFS(AS!$W:$W,AS!$Z:$Z,"OK",AS!$BE:$BE,Asiakastilastot!$X206,AS!$AW:$AW,Asiakastilastot!$Y$6,AS!$K:$K,Asiakastilastot!$Y$1,AS!$X:$X,Asiakastilastot!$Y$5,AS!$AV:$AV,Asiakastilastot!$Y$2,AS!$AH:$AH,Asiakastilastot!$X$8)</f>
        <v>0</v>
      </c>
      <c r="E206" s="240">
        <f t="shared" ref="E206:E226" si="24">IFERROR(D206/D$190,0)</f>
        <v>0</v>
      </c>
      <c r="F206" s="241"/>
      <c r="G206" s="239"/>
      <c r="H206" s="239"/>
      <c r="I206" s="239"/>
      <c r="J206" s="239"/>
      <c r="K206" s="242"/>
      <c r="S206" s="119"/>
      <c r="X206" s="86" t="s">
        <v>508</v>
      </c>
      <c r="Y206" s="228" t="s">
        <v>509</v>
      </c>
    </row>
    <row r="207" spans="1:25" x14ac:dyDescent="0.25">
      <c r="A207" s="383" t="s">
        <v>782</v>
      </c>
      <c r="B207" s="156">
        <f>SUMIFS(AS!$W:$W,AS!$Z:$Z,"OK",AS!$BE:$BE,Asiakastilastot!$Y207,AS!$AW:$AW,Asiakastilastot!$Y$6,AS!$K:$K,Asiakastilastot!$Y$1,AS!$X:$X,Asiakastilastot!$Y$5,AS!$AV:$AV,Asiakastilastot!$Y$2)+SUMIFS(AS!$W:$W,AS!$Z:$Z,"OK",AS!$BE:$BE,Asiakastilastot!$X207,AS!$AW:$AW,Asiakastilastot!$Y$6,AS!$K:$K,Asiakastilastot!$Y$1,AS!$X:$X,Asiakastilastot!$Y$5,AS!$AV:$AV,Asiakastilastot!$Y$2)</f>
        <v>0</v>
      </c>
      <c r="C207" s="240">
        <f t="shared" ref="C207" si="25">IFERROR(B207/B$190,0)</f>
        <v>0</v>
      </c>
      <c r="D207" s="156">
        <f>SUMIFS(AS!$W:$W,AS!$Z:$Z,"OK",AS!$BE:$BE,Asiakastilastot!$Y207,AS!$AW:$AW,Asiakastilastot!$Y$6,AS!$K:$K,Asiakastilastot!$Y$1,AS!$X:$X,Asiakastilastot!$Y$5,AS!$AV:$AV,Asiakastilastot!$Y$2,AS!$AH:$AH,Asiakastilastot!$X$8)+SUMIFS(AS!$W:$W,AS!$Z:$Z,"OK",AS!$BE:$BE,Asiakastilastot!$X207,AS!$AW:$AW,Asiakastilastot!$Y$6,AS!$K:$K,Asiakastilastot!$Y$1,AS!$X:$X,Asiakastilastot!$Y$5,AS!$AV:$AV,Asiakastilastot!$Y$2,AS!$AH:$AH,Asiakastilastot!$X$8)</f>
        <v>0</v>
      </c>
      <c r="E207" s="240">
        <f t="shared" ref="E207" si="26">IFERROR(D207/D$190,0)</f>
        <v>0</v>
      </c>
      <c r="F207" s="241"/>
      <c r="G207" s="239"/>
      <c r="H207" s="239"/>
      <c r="I207" s="239"/>
      <c r="J207" s="239"/>
      <c r="K207" s="242"/>
      <c r="S207" s="119"/>
      <c r="X207" s="86" t="s">
        <v>512</v>
      </c>
      <c r="Y207" s="228"/>
    </row>
    <row r="208" spans="1:25" x14ac:dyDescent="0.25">
      <c r="A208" s="630" t="s">
        <v>783</v>
      </c>
      <c r="B208" s="156">
        <f>SUMIFS(AS!$W:$W,AS!$Z:$Z,"OK",AS!$BE:$BE,Asiakastilastot!$X208,AS!$AW:$AW,Asiakastilastot!$Y$6,AS!$K:$K,Asiakastilastot!$Y$1,AS!$X:$X,Asiakastilastot!$Y$5,AS!$AV:$AV,Asiakastilastot!$Y$2)</f>
        <v>0</v>
      </c>
      <c r="C208" s="240">
        <f t="shared" si="23"/>
        <v>0</v>
      </c>
      <c r="D208" s="156">
        <f>SUMIFS(AS!$W:$W,AS!$Z:$Z,"OK",AS!$BE:$BE,Asiakastilastot!$X208,AS!$AW:$AW,Asiakastilastot!$Y$6,AS!$K:$K,Asiakastilastot!$Y$1,AS!$X:$X,Asiakastilastot!$Y$5,AS!$AV:$AV,Asiakastilastot!$Y$2,AS!$AH:$AH,Asiakastilastot!$X$8)</f>
        <v>0</v>
      </c>
      <c r="E208" s="240">
        <f t="shared" si="24"/>
        <v>0</v>
      </c>
      <c r="F208" s="241"/>
      <c r="G208" s="239"/>
      <c r="H208" s="239"/>
      <c r="I208" s="239"/>
      <c r="J208" s="239"/>
      <c r="K208" s="242"/>
      <c r="S208" s="119"/>
      <c r="X208" s="228" t="s">
        <v>806</v>
      </c>
    </row>
    <row r="209" spans="1:25" x14ac:dyDescent="0.25">
      <c r="A209" s="781" t="s">
        <v>503</v>
      </c>
      <c r="B209" s="782">
        <f>SUM(B210:B212)</f>
        <v>0</v>
      </c>
      <c r="C209" s="783">
        <f t="shared" si="23"/>
        <v>0</v>
      </c>
      <c r="D209" s="757">
        <f>SUM(D210:D212)</f>
        <v>0</v>
      </c>
      <c r="E209" s="750">
        <f t="shared" si="24"/>
        <v>0</v>
      </c>
      <c r="F209" s="785"/>
      <c r="G209" s="786"/>
      <c r="H209" s="786"/>
      <c r="I209" s="786"/>
      <c r="J209" s="786"/>
      <c r="K209" s="787"/>
      <c r="S209" s="119"/>
    </row>
    <row r="210" spans="1:25" x14ac:dyDescent="0.25">
      <c r="A210" s="383" t="s">
        <v>784</v>
      </c>
      <c r="B210" s="156">
        <f>SUMIFS(AS!$W:$W,AS!$Z:$Z,"OK",AS!$BE:$BE,Asiakastilastot!$X210,AS!$AW:$AW,Asiakastilastot!$Y$6,AS!$K:$K,Asiakastilastot!$Y$1,AS!$X:$X,Asiakastilastot!$Y$5,AS!$AV:$AV,Asiakastilastot!$Y$2)</f>
        <v>0</v>
      </c>
      <c r="C210" s="240">
        <f t="shared" si="23"/>
        <v>0</v>
      </c>
      <c r="D210" s="156">
        <f>SUMIFS(AS!$W:$W,AS!$Z:$Z,"OK",AS!$BE:$BE,Asiakastilastot!$X210,AS!$AW:$AW,Asiakastilastot!$Y$6,AS!$K:$K,Asiakastilastot!$Y$1,AS!$X:$X,Asiakastilastot!$Y$5,AS!$AV:$AV,Asiakastilastot!$Y$2,AS!$AH:$AH,Asiakastilastot!$X$8)</f>
        <v>0</v>
      </c>
      <c r="E210" s="240">
        <f t="shared" si="24"/>
        <v>0</v>
      </c>
      <c r="F210" s="241"/>
      <c r="G210" s="239"/>
      <c r="H210" s="239"/>
      <c r="I210" s="239"/>
      <c r="J210" s="239"/>
      <c r="K210" s="242"/>
      <c r="S210" s="119"/>
      <c r="X210" t="s">
        <v>518</v>
      </c>
    </row>
    <row r="211" spans="1:25" x14ac:dyDescent="0.25">
      <c r="A211" s="383" t="s">
        <v>785</v>
      </c>
      <c r="B211" s="156">
        <f>SUMIFS(AS!$W:$W,AS!$Z:$Z,"OK",AS!$BE:$BE,Asiakastilastot!$Y211,AS!$AW:$AW,Asiakastilastot!$Y$6,AS!$K:$K,Asiakastilastot!$Y$1,AS!$X:$X,Asiakastilastot!$Y$5,AS!$AV:$AV,Asiakastilastot!$Y$2)+SUMIFS(AS!$W:$W,AS!$Z:$Z,"OK",AS!$BE:$BE,Asiakastilastot!$X211,AS!$AW:$AW,Asiakastilastot!$Y$6,AS!$K:$K,Asiakastilastot!$Y$1,AS!$X:$X,Asiakastilastot!$Y$5,AS!$AV:$AV,Asiakastilastot!$Y$2)</f>
        <v>0</v>
      </c>
      <c r="C211" s="240">
        <f t="shared" si="23"/>
        <v>0</v>
      </c>
      <c r="D211" s="156">
        <f>SUMIFS(AS!$W:$W,AS!$Z:$Z,"OK",AS!$BE:$BE,Asiakastilastot!$Y211,AS!$AW:$AW,Asiakastilastot!$Y$6,AS!$K:$K,Asiakastilastot!$Y$1,AS!$X:$X,Asiakastilastot!$Y$5,AS!$AV:$AV,Asiakastilastot!$Y$2,AS!$AH:$AH,Asiakastilastot!$X$8)+SUMIFS(AS!$W:$W,AS!$Z:$Z,"OK",AS!$BE:$BE,Asiakastilastot!$X211,AS!$AW:$AW,Asiakastilastot!$Y$6,AS!$K:$K,Asiakastilastot!$Y$1,AS!$X:$X,Asiakastilastot!$Y$5,AS!$AV:$AV,Asiakastilastot!$Y$2,AS!$AH:$AH,Asiakastilastot!$X$8)</f>
        <v>0</v>
      </c>
      <c r="E211" s="240">
        <f t="shared" si="24"/>
        <v>0</v>
      </c>
      <c r="F211" s="241"/>
      <c r="G211" s="239"/>
      <c r="H211" s="239"/>
      <c r="I211" s="239"/>
      <c r="J211" s="239"/>
      <c r="K211" s="242"/>
      <c r="S211" s="119"/>
      <c r="X211" s="86" t="s">
        <v>520</v>
      </c>
      <c r="Y211" s="228" t="s">
        <v>521</v>
      </c>
    </row>
    <row r="212" spans="1:25" x14ac:dyDescent="0.25">
      <c r="A212" s="630" t="s">
        <v>786</v>
      </c>
      <c r="B212" s="156">
        <f>SUMIFS(AS!$W:$W,AS!$Z:$Z,"OK",AS!$BE:$BE,Asiakastilastot!$X212,AS!$AW:$AW,Asiakastilastot!$Y$6,AS!$K:$K,Asiakastilastot!$Y$1,AS!$X:$X,Asiakastilastot!$Y$5,AS!$AV:$AV,Asiakastilastot!$Y$2)</f>
        <v>0</v>
      </c>
      <c r="C212" s="240">
        <f t="shared" si="23"/>
        <v>0</v>
      </c>
      <c r="D212" s="156">
        <f>SUMIFS(AS!$W:$W,AS!$Z:$Z,"OK",AS!$BE:$BE,Asiakastilastot!$X212,AS!$AW:$AW,Asiakastilastot!$Y$6,AS!$K:$K,Asiakastilastot!$Y$1,AS!$X:$X,Asiakastilastot!$Y$5,AS!$AV:$AV,Asiakastilastot!$Y$2,AS!$AH:$AH,Asiakastilastot!$X$8)</f>
        <v>0</v>
      </c>
      <c r="E212" s="240">
        <f t="shared" si="24"/>
        <v>0</v>
      </c>
      <c r="F212" s="241"/>
      <c r="G212" s="239"/>
      <c r="H212" s="239"/>
      <c r="I212" s="239"/>
      <c r="J212" s="239"/>
      <c r="K212" s="242"/>
      <c r="S212" s="119"/>
      <c r="X212" s="228" t="s">
        <v>807</v>
      </c>
    </row>
    <row r="213" spans="1:25" x14ac:dyDescent="0.25">
      <c r="A213" s="781" t="s">
        <v>507</v>
      </c>
      <c r="B213" s="782">
        <f>SUM(B214:B219)</f>
        <v>0</v>
      </c>
      <c r="C213" s="783">
        <f t="shared" si="23"/>
        <v>0</v>
      </c>
      <c r="D213" s="757">
        <f>SUM(D214:D219)</f>
        <v>0</v>
      </c>
      <c r="E213" s="750">
        <f t="shared" si="24"/>
        <v>0</v>
      </c>
      <c r="F213" s="785"/>
      <c r="G213" s="786"/>
      <c r="H213" s="786"/>
      <c r="I213" s="786"/>
      <c r="J213" s="786"/>
      <c r="K213" s="787"/>
      <c r="S213" s="119"/>
    </row>
    <row r="214" spans="1:25" x14ac:dyDescent="0.25">
      <c r="A214" s="383" t="s">
        <v>787</v>
      </c>
      <c r="B214" s="156">
        <f>SUMIFS(AS!$W:$W,AS!$Z:$Z,"OK",AS!$BE:$BE,Asiakastilastot!$X214,AS!$AW:$AW,Asiakastilastot!$Y$6,AS!$K:$K,Asiakastilastot!$Y$1,AS!$X:$X,Asiakastilastot!$Y$5,AS!$AV:$AV,Asiakastilastot!$Y$2)</f>
        <v>0</v>
      </c>
      <c r="C214" s="240">
        <f t="shared" si="23"/>
        <v>0</v>
      </c>
      <c r="D214" s="156">
        <f>SUMIFS(AS!$W:$W,AS!$Z:$Z,"OK",AS!$BE:$BE,Asiakastilastot!$X214,AS!$AW:$AW,Asiakastilastot!$Y$6,AS!$K:$K,Asiakastilastot!$Y$1,AS!$X:$X,Asiakastilastot!$Y$5,AS!$AV:$AV,Asiakastilastot!$Y$2,AS!$AH:$AH,Asiakastilastot!$X$8)</f>
        <v>0</v>
      </c>
      <c r="E214" s="240">
        <f t="shared" si="24"/>
        <v>0</v>
      </c>
      <c r="F214" s="241"/>
      <c r="G214" s="239"/>
      <c r="H214" s="239"/>
      <c r="I214" s="239"/>
      <c r="J214" s="239"/>
      <c r="K214" s="242"/>
      <c r="S214" s="119"/>
      <c r="X214" t="s">
        <v>525</v>
      </c>
      <c r="Y214" s="86"/>
    </row>
    <row r="215" spans="1:25" x14ac:dyDescent="0.25">
      <c r="A215" s="383" t="s">
        <v>788</v>
      </c>
      <c r="B215" s="156">
        <f>SUMIFS(AS!$W:$W,AS!$Z:$Z,"OK",AS!$BE:$BE,Asiakastilastot!$X215,AS!$AW:$AW,Asiakastilastot!$Y$6,AS!$K:$K,Asiakastilastot!$Y$1,AS!$X:$X,Asiakastilastot!$Y$5,AS!$AV:$AV,Asiakastilastot!$Y$2)</f>
        <v>0</v>
      </c>
      <c r="C215" s="240">
        <f t="shared" si="23"/>
        <v>0</v>
      </c>
      <c r="D215" s="156">
        <f>SUMIFS(AS!$W:$W,AS!$Z:$Z,"OK",AS!$BE:$BE,Asiakastilastot!$X215,AS!$AW:$AW,Asiakastilastot!$Y$6,AS!$K:$K,Asiakastilastot!$Y$1,AS!$X:$X,Asiakastilastot!$Y$5,AS!$AV:$AV,Asiakastilastot!$Y$2,AS!$AH:$AH,Asiakastilastot!$X$8)</f>
        <v>0</v>
      </c>
      <c r="E215" s="240">
        <f t="shared" si="24"/>
        <v>0</v>
      </c>
      <c r="F215" s="241"/>
      <c r="G215" s="239"/>
      <c r="H215" s="239"/>
      <c r="I215" s="239"/>
      <c r="J215" s="239"/>
      <c r="K215" s="242"/>
      <c r="S215" s="119"/>
      <c r="X215" t="s">
        <v>526</v>
      </c>
      <c r="Y215" s="86"/>
    </row>
    <row r="216" spans="1:25" x14ac:dyDescent="0.25">
      <c r="A216" s="383" t="s">
        <v>789</v>
      </c>
      <c r="B216" s="156">
        <f>SUMIFS(AS!$W:$W,AS!$Z:$Z,"OK",AS!$BE:$BE,Asiakastilastot!$X216,AS!$AW:$AW,Asiakastilastot!$Y$6,AS!$K:$K,Asiakastilastot!$Y$1,AS!$X:$X,Asiakastilastot!$Y$5,AS!$AV:$AV,Asiakastilastot!$Y$2)</f>
        <v>0</v>
      </c>
      <c r="C216" s="240">
        <f t="shared" si="23"/>
        <v>0</v>
      </c>
      <c r="D216" s="156">
        <f>SUMIFS(AS!$W:$W,AS!$Z:$Z,"OK",AS!$BE:$BE,Asiakastilastot!$X216,AS!$AW:$AW,Asiakastilastot!$Y$6,AS!$K:$K,Asiakastilastot!$Y$1,AS!$X:$X,Asiakastilastot!$Y$5,AS!$AV:$AV,Asiakastilastot!$Y$2,AS!$AH:$AH,Asiakastilastot!$X$8)</f>
        <v>0</v>
      </c>
      <c r="E216" s="240">
        <f t="shared" si="24"/>
        <v>0</v>
      </c>
      <c r="F216" s="241"/>
      <c r="G216" s="239"/>
      <c r="H216" s="239"/>
      <c r="I216" s="239"/>
      <c r="J216" s="239"/>
      <c r="K216" s="242"/>
      <c r="S216" s="119"/>
      <c r="X216" t="s">
        <v>528</v>
      </c>
      <c r="Y216" s="86"/>
    </row>
    <row r="217" spans="1:25" x14ac:dyDescent="0.25">
      <c r="A217" s="383" t="s">
        <v>790</v>
      </c>
      <c r="B217" s="156">
        <f>SUMIFS(AS!$W:$W,AS!$Z:$Z,"OK",AS!$BE:$BE,Asiakastilastot!$X217,AS!$AW:$AW,Asiakastilastot!$Y$6,AS!$K:$K,Asiakastilastot!$Y$1,AS!$X:$X,Asiakastilastot!$Y$5,AS!$AV:$AV,Asiakastilastot!$Y$2)</f>
        <v>0</v>
      </c>
      <c r="C217" s="240">
        <f t="shared" si="23"/>
        <v>0</v>
      </c>
      <c r="D217" s="156">
        <f>SUMIFS(AS!$W:$W,AS!$Z:$Z,"OK",AS!$BE:$BE,Asiakastilastot!$X217,AS!$AW:$AW,Asiakastilastot!$Y$6,AS!$K:$K,Asiakastilastot!$Y$1,AS!$X:$X,Asiakastilastot!$Y$5,AS!$AV:$AV,Asiakastilastot!$Y$2,AS!$AH:$AH,Asiakastilastot!$X$8)</f>
        <v>0</v>
      </c>
      <c r="E217" s="240">
        <f t="shared" si="24"/>
        <v>0</v>
      </c>
      <c r="F217" s="241"/>
      <c r="G217" s="239"/>
      <c r="H217" s="239"/>
      <c r="I217" s="239"/>
      <c r="J217" s="239"/>
      <c r="K217" s="242"/>
      <c r="S217" s="119"/>
      <c r="X217" t="s">
        <v>531</v>
      </c>
      <c r="Y217" s="86"/>
    </row>
    <row r="218" spans="1:25" x14ac:dyDescent="0.25">
      <c r="A218" s="383" t="s">
        <v>791</v>
      </c>
      <c r="B218" s="156">
        <f>SUMIFS(AS!$W:$W,AS!$Z:$Z,"OK",AS!$BE:$BE,Asiakastilastot!$X218,AS!$AW:$AW,Asiakastilastot!$Y$6,AS!$K:$K,Asiakastilastot!$Y$1,AS!$X:$X,Asiakastilastot!$Y$5,AS!$AV:$AV,Asiakastilastot!$Y$2)</f>
        <v>0</v>
      </c>
      <c r="C218" s="240">
        <f t="shared" si="23"/>
        <v>0</v>
      </c>
      <c r="D218" s="156">
        <f>SUMIFS(AS!$W:$W,AS!$Z:$Z,"OK",AS!$BE:$BE,Asiakastilastot!$X218,AS!$AW:$AW,Asiakastilastot!$Y$6,AS!$K:$K,Asiakastilastot!$Y$1,AS!$X:$X,Asiakastilastot!$Y$5,AS!$AV:$AV,Asiakastilastot!$Y$2,AS!$AH:$AH,Asiakastilastot!$X$8)</f>
        <v>0</v>
      </c>
      <c r="E218" s="240">
        <f t="shared" si="24"/>
        <v>0</v>
      </c>
      <c r="F218" s="241"/>
      <c r="G218" s="239"/>
      <c r="H218" s="239"/>
      <c r="I218" s="239"/>
      <c r="J218" s="239"/>
      <c r="K218" s="242"/>
      <c r="S218" s="119"/>
      <c r="X218" t="s">
        <v>533</v>
      </c>
      <c r="Y218" s="86"/>
    </row>
    <row r="219" spans="1:25" x14ac:dyDescent="0.25">
      <c r="A219" s="383" t="s">
        <v>792</v>
      </c>
      <c r="B219" s="156">
        <f>SUMIFS(AS!$W:$W,AS!$Z:$Z,"OK",AS!$BE:$BE,Asiakastilastot!$X219,AS!$AW:$AW,Asiakastilastot!$Y$6,AS!$K:$K,Asiakastilastot!$Y$1,AS!$X:$X,Asiakastilastot!$Y$5,AS!$AV:$AV,Asiakastilastot!$Y$2)</f>
        <v>0</v>
      </c>
      <c r="C219" s="240">
        <f t="shared" si="23"/>
        <v>0</v>
      </c>
      <c r="D219" s="156">
        <f>SUMIFS(AS!$W:$W,AS!$Z:$Z,"OK",AS!$BE:$BE,Asiakastilastot!$X219,AS!$AW:$AW,Asiakastilastot!$Y$6,AS!$K:$K,Asiakastilastot!$Y$1,AS!$X:$X,Asiakastilastot!$Y$5,AS!$AV:$AV,Asiakastilastot!$Y$2,AS!$AH:$AH,Asiakastilastot!$X$8)</f>
        <v>0</v>
      </c>
      <c r="E219" s="240">
        <f t="shared" si="24"/>
        <v>0</v>
      </c>
      <c r="F219" s="241"/>
      <c r="G219" s="239"/>
      <c r="H219" s="239"/>
      <c r="I219" s="239"/>
      <c r="J219" s="239"/>
      <c r="K219" s="242"/>
      <c r="S219" s="119"/>
      <c r="X219" t="s">
        <v>534</v>
      </c>
      <c r="Y219" s="86"/>
    </row>
    <row r="220" spans="1:25" x14ac:dyDescent="0.25">
      <c r="A220" s="781" t="s">
        <v>511</v>
      </c>
      <c r="B220" s="782">
        <f>SUM(B221:B226)</f>
        <v>0</v>
      </c>
      <c r="C220" s="783">
        <f t="shared" si="23"/>
        <v>0</v>
      </c>
      <c r="D220" s="757">
        <f>SUM(D221:D226)</f>
        <v>0</v>
      </c>
      <c r="E220" s="750">
        <f t="shared" si="24"/>
        <v>0</v>
      </c>
      <c r="F220" s="785"/>
      <c r="G220" s="786"/>
      <c r="H220" s="786"/>
      <c r="I220" s="786"/>
      <c r="J220" s="786"/>
      <c r="K220" s="787"/>
      <c r="S220" s="119"/>
    </row>
    <row r="221" spans="1:25" x14ac:dyDescent="0.25">
      <c r="A221" s="384" t="s">
        <v>793</v>
      </c>
      <c r="B221" s="156">
        <f>SUMIFS(AS!$W:$W,AS!$Z:$Z,"OK",AS!$BE:$BE,Asiakastilastot!$X221,AS!$AW:$AW,Asiakastilastot!$Y$6,AS!$K:$K,Asiakastilastot!$Y$1,AS!$X:$X,Asiakastilastot!$Y$5,AS!$AV:$AV,Asiakastilastot!$Y$2)</f>
        <v>0</v>
      </c>
      <c r="C221" s="245">
        <f t="shared" si="23"/>
        <v>0</v>
      </c>
      <c r="D221" s="156">
        <f>SUMIFS(AS!$W:$W,AS!$Z:$Z,"OK",AS!$BE:$BE,Asiakastilastot!$X221,AS!$AW:$AW,Asiakastilastot!$Y$6,AS!$K:$K,Asiakastilastot!$Y$1,AS!$X:$X,Asiakastilastot!$Y$5,AS!$AV:$AV,Asiakastilastot!$Y$2,AS!$AH:$AH,Asiakastilastot!$X$8)</f>
        <v>0</v>
      </c>
      <c r="E221" s="245">
        <f t="shared" si="24"/>
        <v>0</v>
      </c>
      <c r="F221" s="246"/>
      <c r="G221" s="244"/>
      <c r="H221" s="244"/>
      <c r="I221" s="244"/>
      <c r="J221" s="244"/>
      <c r="K221" s="247"/>
      <c r="S221" s="119"/>
      <c r="X221" t="s">
        <v>536</v>
      </c>
      <c r="Y221" s="86"/>
    </row>
    <row r="222" spans="1:25" x14ac:dyDescent="0.25">
      <c r="A222" s="384" t="s">
        <v>794</v>
      </c>
      <c r="B222" s="156">
        <f>SUMIFS(AS!$W:$W,AS!$Z:$Z,"OK",AS!$BE:$BE,Asiakastilastot!$X222,AS!$AW:$AW,Asiakastilastot!$Y$6,AS!$K:$K,Asiakastilastot!$Y$1,AS!$X:$X,Asiakastilastot!$Y$5,AS!$AV:$AV,Asiakastilastot!$Y$2)</f>
        <v>0</v>
      </c>
      <c r="C222" s="245">
        <f t="shared" si="23"/>
        <v>0</v>
      </c>
      <c r="D222" s="156">
        <f>SUMIFS(AS!$W:$W,AS!$Z:$Z,"OK",AS!$BE:$BE,Asiakastilastot!$X222,AS!$AW:$AW,Asiakastilastot!$Y$6,AS!$K:$K,Asiakastilastot!$Y$1,AS!$X:$X,Asiakastilastot!$Y$5,AS!$AV:$AV,Asiakastilastot!$Y$2,AS!$AH:$AH,Asiakastilastot!$X$8)</f>
        <v>0</v>
      </c>
      <c r="E222" s="245">
        <f t="shared" si="24"/>
        <v>0</v>
      </c>
      <c r="F222" s="246"/>
      <c r="G222" s="244"/>
      <c r="H222" s="244"/>
      <c r="I222" s="244"/>
      <c r="J222" s="244"/>
      <c r="K222" s="247"/>
      <c r="N222"/>
      <c r="O222"/>
      <c r="S222" s="119"/>
      <c r="X222" t="s">
        <v>538</v>
      </c>
      <c r="Y222" s="86"/>
    </row>
    <row r="223" spans="1:25" x14ac:dyDescent="0.25">
      <c r="A223" s="384" t="s">
        <v>795</v>
      </c>
      <c r="B223" s="156">
        <f>SUMIFS(AS!$W:$W,AS!$Z:$Z,"OK",AS!$BE:$BE,Asiakastilastot!$X223,AS!$AW:$AW,Asiakastilastot!$Y$6,AS!$K:$K,Asiakastilastot!$Y$1,AS!$X:$X,Asiakastilastot!$Y$5,AS!$AV:$AV,Asiakastilastot!$Y$2)</f>
        <v>0</v>
      </c>
      <c r="C223" s="245">
        <f t="shared" si="23"/>
        <v>0</v>
      </c>
      <c r="D223" s="156">
        <f>SUMIFS(AS!$W:$W,AS!$Z:$Z,"OK",AS!$BE:$BE,Asiakastilastot!$X223,AS!$AW:$AW,Asiakastilastot!$Y$6,AS!$K:$K,Asiakastilastot!$Y$1,AS!$X:$X,Asiakastilastot!$Y$5,AS!$AV:$AV,Asiakastilastot!$Y$2,AS!$AH:$AH,Asiakastilastot!$X$8)</f>
        <v>0</v>
      </c>
      <c r="E223" s="245">
        <f t="shared" si="24"/>
        <v>0</v>
      </c>
      <c r="F223" s="246"/>
      <c r="G223" s="244"/>
      <c r="H223" s="244"/>
      <c r="I223" s="244"/>
      <c r="J223" s="244"/>
      <c r="K223" s="247"/>
      <c r="N223"/>
      <c r="O223"/>
      <c r="S223" s="119"/>
      <c r="X223" t="s">
        <v>540</v>
      </c>
      <c r="Y223" s="86"/>
    </row>
    <row r="224" spans="1:25" x14ac:dyDescent="0.25">
      <c r="A224" s="384" t="s">
        <v>796</v>
      </c>
      <c r="B224" s="156">
        <f>SUMIFS(AS!$W:$W,AS!$Z:$Z,"OK",AS!$BE:$BE,Asiakastilastot!$X224,AS!$AW:$AW,Asiakastilastot!$Y$6,AS!$K:$K,Asiakastilastot!$Y$1,AS!$X:$X,Asiakastilastot!$Y$5,AS!$AV:$AV,Asiakastilastot!$Y$2)</f>
        <v>0</v>
      </c>
      <c r="C224" s="245">
        <f t="shared" si="23"/>
        <v>0</v>
      </c>
      <c r="D224" s="156">
        <f>SUMIFS(AS!$W:$W,AS!$Z:$Z,"OK",AS!$BE:$BE,Asiakastilastot!$X224,AS!$AW:$AW,Asiakastilastot!$Y$6,AS!$K:$K,Asiakastilastot!$Y$1,AS!$X:$X,Asiakastilastot!$Y$5,AS!$AV:$AV,Asiakastilastot!$Y$2,AS!$AH:$AH,Asiakastilastot!$X$8)</f>
        <v>0</v>
      </c>
      <c r="E224" s="245">
        <f t="shared" si="24"/>
        <v>0</v>
      </c>
      <c r="F224" s="246"/>
      <c r="G224" s="244"/>
      <c r="H224" s="244"/>
      <c r="I224" s="244"/>
      <c r="J224" s="244"/>
      <c r="K224" s="247"/>
      <c r="N224"/>
      <c r="O224"/>
      <c r="S224" s="119"/>
      <c r="X224" t="s">
        <v>542</v>
      </c>
      <c r="Y224" s="86"/>
    </row>
    <row r="225" spans="1:25" x14ac:dyDescent="0.25">
      <c r="A225" s="384" t="s">
        <v>797</v>
      </c>
      <c r="B225" s="156">
        <f>SUMIFS(AS!$W:$W,AS!$Z:$Z,"OK",AS!$BE:$BE,Asiakastilastot!$X225,AS!$AW:$AW,Asiakastilastot!$Y$6,AS!$K:$K,Asiakastilastot!$Y$1,AS!$X:$X,Asiakastilastot!$Y$5,AS!$AV:$AV,Asiakastilastot!$Y$2)</f>
        <v>0</v>
      </c>
      <c r="C225" s="245">
        <f t="shared" si="23"/>
        <v>0</v>
      </c>
      <c r="D225" s="156">
        <f>SUMIFS(AS!$W:$W,AS!$Z:$Z,"OK",AS!$BE:$BE,Asiakastilastot!$X225,AS!$AW:$AW,Asiakastilastot!$Y$6,AS!$K:$K,Asiakastilastot!$Y$1,AS!$X:$X,Asiakastilastot!$Y$5,AS!$AV:$AV,Asiakastilastot!$Y$2,AS!$AH:$AH,Asiakastilastot!$X$8)</f>
        <v>0</v>
      </c>
      <c r="E225" s="245">
        <f t="shared" si="24"/>
        <v>0</v>
      </c>
      <c r="F225" s="246"/>
      <c r="G225" s="244"/>
      <c r="H225" s="244"/>
      <c r="I225" s="244"/>
      <c r="J225" s="244"/>
      <c r="K225" s="247"/>
      <c r="N225"/>
      <c r="O225"/>
      <c r="S225" s="119"/>
      <c r="X225" t="s">
        <v>545</v>
      </c>
      <c r="Y225" s="86"/>
    </row>
    <row r="226" spans="1:25" x14ac:dyDescent="0.25">
      <c r="A226" s="384" t="s">
        <v>798</v>
      </c>
      <c r="B226" s="156">
        <f>SUMIFS(AS!$W:$W,AS!$Z:$Z,"OK",AS!$BE:$BE,Asiakastilastot!$X226,AS!$AW:$AW,Asiakastilastot!$Y$6,AS!$K:$K,Asiakastilastot!$Y$1,AS!$X:$X,Asiakastilastot!$Y$5,AS!$AV:$AV,Asiakastilastot!$Y$2)</f>
        <v>0</v>
      </c>
      <c r="C226" s="245">
        <f t="shared" si="23"/>
        <v>0</v>
      </c>
      <c r="D226" s="156">
        <f>SUMIFS(AS!$W:$W,AS!$Z:$Z,"OK",AS!$BE:$BE,Asiakastilastot!$X226,AS!$AW:$AW,Asiakastilastot!$Y$6,AS!$K:$K,Asiakastilastot!$Y$1,AS!$X:$X,Asiakastilastot!$Y$5,AS!$AV:$AV,Asiakastilastot!$Y$2,AS!$AH:$AH,Asiakastilastot!$X$8)</f>
        <v>0</v>
      </c>
      <c r="E226" s="245">
        <f t="shared" si="24"/>
        <v>0</v>
      </c>
      <c r="F226" s="246"/>
      <c r="G226" s="244"/>
      <c r="H226" s="244"/>
      <c r="I226" s="244"/>
      <c r="J226" s="244"/>
      <c r="K226" s="247"/>
      <c r="N226"/>
      <c r="O226"/>
      <c r="S226" s="119"/>
      <c r="X226" t="s">
        <v>546</v>
      </c>
      <c r="Y226" s="86"/>
    </row>
    <row r="227" spans="1:25" x14ac:dyDescent="0.25">
      <c r="A227" s="781" t="s">
        <v>513</v>
      </c>
      <c r="B227" s="782">
        <f>SUM(B228:B229)</f>
        <v>0</v>
      </c>
      <c r="C227" s="783">
        <f>IFERROR(B227/B$190,0)</f>
        <v>0</v>
      </c>
      <c r="D227" s="757">
        <f>SUM(D228:D229)</f>
        <v>0</v>
      </c>
      <c r="E227" s="750">
        <f>IFERROR(D227/D$190,0)</f>
        <v>0</v>
      </c>
      <c r="F227" s="785"/>
      <c r="G227" s="786"/>
      <c r="H227" s="786"/>
      <c r="I227" s="786"/>
      <c r="J227" s="786"/>
      <c r="K227" s="787"/>
      <c r="N227"/>
      <c r="O227"/>
      <c r="S227" s="119"/>
    </row>
    <row r="228" spans="1:25" x14ac:dyDescent="0.25">
      <c r="A228" s="384" t="s">
        <v>799</v>
      </c>
      <c r="B228" s="156">
        <f>SUMIFS(AS!$W:$W,AS!$Z:$Z,"OK",AS!$BE:$BE,Asiakastilastot!$X228,AS!$AW:$AW,Asiakastilastot!$Y$6,AS!$K:$K,Asiakastilastot!$Y$1,AS!$X:$X,Asiakastilastot!$Y$5,AS!$AV:$AV,Asiakastilastot!$Y$2)</f>
        <v>0</v>
      </c>
      <c r="C228" s="245">
        <f t="shared" ref="C228" si="27">IFERROR(B228/B$190,0)</f>
        <v>0</v>
      </c>
      <c r="D228" s="156">
        <f>SUMIFS(AS!$W:$W,AS!$Z:$Z,"OK",AS!$BE:$BE,Asiakastilastot!$X228,AS!$AW:$AW,Asiakastilastot!$Y$6,AS!$K:$K,Asiakastilastot!$Y$1,AS!$X:$X,Asiakastilastot!$Y$5,AS!$AV:$AV,Asiakastilastot!$Y$2,AS!$AH:$AH,Asiakastilastot!$X$8)</f>
        <v>0</v>
      </c>
      <c r="E228" s="245">
        <f t="shared" ref="E228" si="28">IFERROR(D228/D$190,0)</f>
        <v>0</v>
      </c>
      <c r="F228" s="246"/>
      <c r="G228" s="244"/>
      <c r="H228" s="244"/>
      <c r="I228" s="244"/>
      <c r="J228" s="244"/>
      <c r="K228" s="247"/>
      <c r="N228"/>
      <c r="O228"/>
      <c r="S228" s="119"/>
      <c r="X228" t="s">
        <v>547</v>
      </c>
    </row>
    <row r="229" spans="1:25" x14ac:dyDescent="0.25">
      <c r="A229" s="384" t="s">
        <v>808</v>
      </c>
      <c r="B229" s="156">
        <f>SUMIFS(AS!$W:$W,AS!$Z:$Z,"OK",AS!$BE:$BE,Asiakastilastot!$X229,AS!$AW:$AW,Asiakastilastot!$Y$6,AS!$K:$K,Asiakastilastot!$Y$1,AS!$X:$X,Asiakastilastot!$Y$5,AS!$AV:$AV,Asiakastilastot!$Y$2)</f>
        <v>0</v>
      </c>
      <c r="C229" s="245">
        <f>IFERROR(B229/B$190,0)</f>
        <v>0</v>
      </c>
      <c r="D229" s="156">
        <f>SUMIFS(AS!$W:$W,AS!$Z:$Z,"OK",AS!$BE:$BE,Asiakastilastot!$X229,AS!$AW:$AW,Asiakastilastot!$Y$6,AS!$K:$K,Asiakastilastot!$Y$1,AS!$X:$X,Asiakastilastot!$Y$5,AS!$AV:$AV,Asiakastilastot!$Y$2,AS!$AH:$AH,Asiakastilastot!$X$8)</f>
        <v>0</v>
      </c>
      <c r="E229" s="245">
        <f>IFERROR(D229/D$190,0)</f>
        <v>0</v>
      </c>
      <c r="F229" s="246"/>
      <c r="G229" s="244"/>
      <c r="H229" s="244"/>
      <c r="I229" s="244"/>
      <c r="J229" s="244"/>
      <c r="K229" s="247"/>
      <c r="N229"/>
      <c r="O229"/>
      <c r="S229" s="119"/>
      <c r="X229" t="s">
        <v>548</v>
      </c>
    </row>
    <row r="230" spans="1:25" x14ac:dyDescent="0.25">
      <c r="A230" s="781" t="s">
        <v>347</v>
      </c>
      <c r="B230" s="782">
        <f>SUM(B231:B233)</f>
        <v>0</v>
      </c>
      <c r="C230" s="783">
        <f t="shared" ref="C230:C237" si="29">IFERROR(B230/B$190,0)</f>
        <v>0</v>
      </c>
      <c r="D230" s="757">
        <f>SUM(D231:D233)</f>
        <v>0</v>
      </c>
      <c r="E230" s="750">
        <f t="shared" ref="E230:E237" si="30">IFERROR(D230/D$190,0)</f>
        <v>0</v>
      </c>
      <c r="F230" s="785"/>
      <c r="G230" s="786"/>
      <c r="H230" s="786"/>
      <c r="I230" s="786"/>
      <c r="J230" s="786"/>
      <c r="K230" s="787"/>
      <c r="N230"/>
      <c r="O230"/>
    </row>
    <row r="231" spans="1:25" x14ac:dyDescent="0.25">
      <c r="A231" s="384" t="s">
        <v>800</v>
      </c>
      <c r="B231" s="156">
        <f>SUMIFS(AS!$W:$W,AS!$Z:$Z,"OK",AS!$BE:$BE,Asiakastilastot!$X231,AS!$AW:$AW,Asiakastilastot!$Y$6,AS!$K:$K,Asiakastilastot!$Y$1,AS!$X:$X,Asiakastilastot!$Y$5,AS!$AV:$AV,Asiakastilastot!$Y$2)</f>
        <v>0</v>
      </c>
      <c r="C231" s="245">
        <f t="shared" si="29"/>
        <v>0</v>
      </c>
      <c r="D231" s="156">
        <f>SUMIFS(AS!$W:$W,AS!$Z:$Z,"OK",AS!$BE:$BE,Asiakastilastot!$X231,AS!$AW:$AW,Asiakastilastot!$Y$6,AS!$K:$K,Asiakastilastot!$Y$1,AS!$X:$X,Asiakastilastot!$Y$5,AS!$AV:$AV,Asiakastilastot!$Y$2,AS!$AH:$AH,Asiakastilastot!$X$8)</f>
        <v>0</v>
      </c>
      <c r="E231" s="240">
        <f t="shared" si="30"/>
        <v>0</v>
      </c>
      <c r="F231" s="241"/>
      <c r="G231" s="239"/>
      <c r="H231" s="239"/>
      <c r="I231" s="239"/>
      <c r="J231" s="239"/>
      <c r="K231" s="242"/>
      <c r="N231"/>
      <c r="O231"/>
      <c r="X231" t="s">
        <v>505</v>
      </c>
      <c r="Y231" s="86"/>
    </row>
    <row r="232" spans="1:25" x14ac:dyDescent="0.25">
      <c r="A232" s="243" t="s">
        <v>801</v>
      </c>
      <c r="B232" s="156">
        <f>SUMIFS(AS!$W:$W,AS!$Z:$Z,"OK",AS!$BE:$BE,Asiakastilastot!$X232,AS!$AW:$AW,Asiakastilastot!$Y$6,AS!$K:$K,Asiakastilastot!$Y$1,AS!$X:$X,Asiakastilastot!$Y$5,AS!$AV:$AV,Asiakastilastot!$Y$2)</f>
        <v>0</v>
      </c>
      <c r="C232" s="245">
        <f t="shared" si="29"/>
        <v>0</v>
      </c>
      <c r="D232" s="156">
        <f>SUMIFS(AS!$W:$W,AS!$Z:$Z,"OK",AS!$BE:$BE,Asiakastilastot!$X232,AS!$AW:$AW,Asiakastilastot!$Y$6,AS!$K:$K,Asiakastilastot!$Y$1,AS!$X:$X,Asiakastilastot!$Y$5,AS!$AV:$AV,Asiakastilastot!$Y$2,AS!$AH:$AH,Asiakastilastot!$X$8)</f>
        <v>0</v>
      </c>
      <c r="E232" s="245">
        <f t="shared" si="30"/>
        <v>0</v>
      </c>
      <c r="F232" s="246"/>
      <c r="G232" s="244"/>
      <c r="H232" s="244"/>
      <c r="I232" s="244"/>
      <c r="J232" s="244"/>
      <c r="K232" s="247"/>
      <c r="N232"/>
      <c r="O232"/>
      <c r="X232" t="s">
        <v>552</v>
      </c>
      <c r="Y232" s="86"/>
    </row>
    <row r="233" spans="1:25" x14ac:dyDescent="0.25">
      <c r="A233" s="243" t="s">
        <v>802</v>
      </c>
      <c r="B233" s="156">
        <f>SUMIFS(AS!$W:$W,AS!$Z:$Z,"OK",AS!$BE:$BE,Asiakastilastot!$X233,AS!$AW:$AW,Asiakastilastot!$Y$6,AS!$K:$K,Asiakastilastot!$Y$1,AS!$X:$X,Asiakastilastot!$Y$5,AS!$AV:$AV,Asiakastilastot!$Y$2)</f>
        <v>0</v>
      </c>
      <c r="C233" s="245">
        <f t="shared" si="29"/>
        <v>0</v>
      </c>
      <c r="D233" s="156">
        <f>SUMIFS(AS!$W:$W,AS!$Z:$Z,"OK",AS!$BE:$BE,Asiakastilastot!$X233,AS!$AW:$AW,Asiakastilastot!$Y$6,AS!$K:$K,Asiakastilastot!$Y$1,AS!$X:$X,Asiakastilastot!$Y$5,AS!$AV:$AV,Asiakastilastot!$Y$2,AS!$AH:$AH,Asiakastilastot!$X$8)</f>
        <v>0</v>
      </c>
      <c r="E233" s="245">
        <f t="shared" si="30"/>
        <v>0</v>
      </c>
      <c r="F233" s="246"/>
      <c r="G233" s="244"/>
      <c r="H233" s="244"/>
      <c r="I233" s="244"/>
      <c r="J233" s="244"/>
      <c r="K233" s="247"/>
      <c r="N233"/>
      <c r="O233"/>
      <c r="X233" t="s">
        <v>553</v>
      </c>
      <c r="Y233" s="86"/>
    </row>
    <row r="234" spans="1:25" x14ac:dyDescent="0.25">
      <c r="A234" s="784" t="s">
        <v>239</v>
      </c>
      <c r="B234" s="782">
        <f>SUM(B235:B236)</f>
        <v>0</v>
      </c>
      <c r="C234" s="783">
        <f t="shared" si="29"/>
        <v>0</v>
      </c>
      <c r="D234" s="757">
        <f>SUM(D235:D236)</f>
        <v>0</v>
      </c>
      <c r="E234" s="750">
        <f t="shared" si="30"/>
        <v>0</v>
      </c>
      <c r="F234" s="785"/>
      <c r="G234" s="786"/>
      <c r="H234" s="786"/>
      <c r="I234" s="786"/>
      <c r="J234" s="786"/>
      <c r="K234" s="787"/>
      <c r="N234"/>
      <c r="O234"/>
      <c r="Y234" s="86"/>
    </row>
    <row r="235" spans="1:25" x14ac:dyDescent="0.25">
      <c r="A235" s="243" t="s">
        <v>362</v>
      </c>
      <c r="B235" s="156">
        <f>SUMIFS(AS!$W:$W,AS!$Z:$Z,"OK",AS!$BE:$BE,Asiakastilastot!$X235,AS!$AW:$AW,Asiakastilastot!$Y$6,AS!$K:$K,Asiakastilastot!$Y$1,AS!$X:$X,Asiakastilastot!$Y$5,AS!$AV:$AV,Asiakastilastot!$Y$2)</f>
        <v>0</v>
      </c>
      <c r="C235" s="245">
        <f t="shared" si="29"/>
        <v>0</v>
      </c>
      <c r="D235" s="156">
        <f>SUMIFS(AS!$W:$W,AS!$Z:$Z,"OK",AS!$BE:$BE,Asiakastilastot!$X235,AS!$AW:$AW,Asiakastilastot!$Y$6,AS!$K:$K,Asiakastilastot!$Y$1,AS!$X:$X,Asiakastilastot!$Y$5,AS!$AV:$AV,Asiakastilastot!$Y$2,AS!$AH:$AH,Asiakastilastot!$X$8)</f>
        <v>0</v>
      </c>
      <c r="E235" s="245">
        <f t="shared" si="30"/>
        <v>0</v>
      </c>
      <c r="F235" s="246"/>
      <c r="G235" s="244"/>
      <c r="H235" s="244"/>
      <c r="I235" s="244"/>
      <c r="J235" s="244"/>
      <c r="K235" s="247"/>
      <c r="N235"/>
      <c r="O235"/>
      <c r="X235" t="s">
        <v>554</v>
      </c>
      <c r="Y235" s="86"/>
    </row>
    <row r="236" spans="1:25" x14ac:dyDescent="0.25">
      <c r="A236" s="248" t="s">
        <v>803</v>
      </c>
      <c r="B236" s="156">
        <f>SUMIFS(AS!$W:$W,AS!$Z:$Z,"OK",AS!$BE:$BE,Asiakastilastot!$X236,AS!$AW:$AW,Asiakastilastot!$Y$6,AS!$K:$K,Asiakastilastot!$Y$1,AS!$X:$X,Asiakastilastot!$Y$5,AS!$AV:$AV,Asiakastilastot!$Y$2)</f>
        <v>0</v>
      </c>
      <c r="C236" s="250">
        <f t="shared" si="29"/>
        <v>0</v>
      </c>
      <c r="D236" s="156">
        <f>SUMIFS(AS!$W:$W,AS!$Z:$Z,"OK",AS!$BE:$BE,Asiakastilastot!$X236,AS!$AW:$AW,Asiakastilastot!$Y$6,AS!$K:$K,Asiakastilastot!$Y$1,AS!$X:$X,Asiakastilastot!$Y$5,AS!$AV:$AV,Asiakastilastot!$Y$2,AS!$AH:$AH,Asiakastilastot!$X$8)</f>
        <v>0</v>
      </c>
      <c r="E236" s="250">
        <f t="shared" si="30"/>
        <v>0</v>
      </c>
      <c r="F236" s="251"/>
      <c r="G236" s="249"/>
      <c r="H236" s="249"/>
      <c r="I236" s="249"/>
      <c r="J236" s="249"/>
      <c r="K236" s="252"/>
      <c r="N236"/>
      <c r="O236"/>
      <c r="X236" t="s">
        <v>557</v>
      </c>
    </row>
    <row r="237" spans="1:25" x14ac:dyDescent="0.25">
      <c r="A237" s="788" t="s">
        <v>737</v>
      </c>
      <c r="B237" s="789">
        <f>SUM(B201,B203,B209,B213,B220,B227,B230,B234)</f>
        <v>0</v>
      </c>
      <c r="C237" s="790">
        <f t="shared" si="29"/>
        <v>0</v>
      </c>
      <c r="D237" s="789">
        <f>SUM(D201,D203,D209,D213,D220,D227,D230,D234)</f>
        <v>0</v>
      </c>
      <c r="E237" s="790">
        <f t="shared" si="30"/>
        <v>0</v>
      </c>
      <c r="K237" s="41"/>
      <c r="N237"/>
      <c r="O237"/>
    </row>
    <row r="238" spans="1:25" x14ac:dyDescent="0.25">
      <c r="A238" s="476" t="str">
        <f>$A$6</f>
        <v>Kaikki</v>
      </c>
      <c r="B238" s="50"/>
      <c r="C238" s="50"/>
      <c r="D238" s="18"/>
      <c r="E238" s="18"/>
      <c r="F238" s="18"/>
      <c r="G238" s="18"/>
      <c r="H238" s="18"/>
      <c r="I238" s="18"/>
      <c r="J238" s="18"/>
      <c r="K238" s="45"/>
      <c r="N238"/>
      <c r="O238"/>
    </row>
  </sheetData>
  <sheetProtection sheet="1" objects="1" scenarios="1"/>
  <sortState xmlns:xlrd2="http://schemas.microsoft.com/office/spreadsheetml/2017/richdata2" ref="A66:C75">
    <sortCondition ref="A65"/>
  </sortState>
  <mergeCells count="40">
    <mergeCell ref="A199:A200"/>
    <mergeCell ref="B199:C199"/>
    <mergeCell ref="D199:E199"/>
    <mergeCell ref="B13:B14"/>
    <mergeCell ref="B28:C28"/>
    <mergeCell ref="A81:A82"/>
    <mergeCell ref="C56:C57"/>
    <mergeCell ref="A56:A58"/>
    <mergeCell ref="A59:A60"/>
    <mergeCell ref="A64:A65"/>
    <mergeCell ref="B58:C58"/>
    <mergeCell ref="B56:B57"/>
    <mergeCell ref="A130:A131"/>
    <mergeCell ref="B130:C130"/>
    <mergeCell ref="A152:A153"/>
    <mergeCell ref="B152:C152"/>
    <mergeCell ref="D152:E152"/>
    <mergeCell ref="H130:I130"/>
    <mergeCell ref="D56:F58"/>
    <mergeCell ref="M28:Q29"/>
    <mergeCell ref="M42:Q42"/>
    <mergeCell ref="M52:Q53"/>
    <mergeCell ref="D130:E130"/>
    <mergeCell ref="F130:G130"/>
    <mergeCell ref="L13:O14"/>
    <mergeCell ref="J65:Q66"/>
    <mergeCell ref="A90:A91"/>
    <mergeCell ref="F90:G90"/>
    <mergeCell ref="H90:I90"/>
    <mergeCell ref="B90:C90"/>
    <mergeCell ref="D90:E90"/>
    <mergeCell ref="A13:A14"/>
    <mergeCell ref="C13:D13"/>
    <mergeCell ref="E13:F13"/>
    <mergeCell ref="A43:A44"/>
    <mergeCell ref="B43:C43"/>
    <mergeCell ref="D43:E43"/>
    <mergeCell ref="D28:E28"/>
    <mergeCell ref="F28:G28"/>
    <mergeCell ref="A28:A29"/>
  </mergeCells>
  <dataValidations count="4">
    <dataValidation type="date" allowBlank="1" showInputMessage="1" showErrorMessage="1" error="Kirjoita päivämäärä muodossa _x000a_pp.kk.vvvv_x000a__x000a_Päivämäärän on oltava _x000a_suurempi kuin 01.01.2008 ja _x000a_pienempi kuin 31.12.2020" sqref="A2:A3" xr:uid="{8288AD67-EDEC-4CD7-9FFA-BAC190D881C7}">
      <formula1>36526</formula1>
      <formula2>55153</formula2>
    </dataValidation>
    <dataValidation type="list" allowBlank="1" showInputMessage="1" showErrorMessage="1" sqref="A6" xr:uid="{00000000-0002-0000-0300-000003000000}">
      <formula1>$X$2:$X$4</formula1>
    </dataValidation>
    <dataValidation type="list" showInputMessage="1" showErrorMessage="1" sqref="A4" xr:uid="{00000000-0002-0000-0300-000001000000}">
      <formula1>$AB$5:$AB$54</formula1>
    </dataValidation>
    <dataValidation type="list" allowBlank="1" showInputMessage="1" showErrorMessage="1" sqref="A5" xr:uid="{00000000-0002-0000-0300-000002000000}">
      <formula1>$AD$5:$AD$55</formula1>
    </dataValidation>
  </dataValidations>
  <hyperlinks>
    <hyperlink ref="A195" location="Asiakastilastot!A1" display="Sivun alkuun" xr:uid="{00000000-0004-0000-0300-000000000000}"/>
  </hyperlinks>
  <pageMargins left="0.7" right="0.7" top="0.75" bottom="0.83333333333333337" header="0" footer="0"/>
  <pageSetup paperSize="9" scale="58" fitToHeight="0" orientation="landscape" r:id="rId1"/>
  <headerFooter>
    <oddFooter>&amp;L 
PAR työpaja
osoitettie
0100, paikka&amp;C&amp;G&amp;R&amp;P/&amp;N</oddFooter>
  </headerFooter>
  <rowBreaks count="4" manualBreakCount="4">
    <brk id="54" max="16383" man="1"/>
    <brk id="88" max="16383" man="1"/>
    <brk id="128" max="16383" man="1"/>
    <brk id="150"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9DC68-6528-49E2-A1D9-92939F603741}">
  <sheetPr codeName="Taul27">
    <pageSetUpPr fitToPage="1"/>
  </sheetPr>
  <dimension ref="A1:AW200"/>
  <sheetViews>
    <sheetView showGridLines="0" zoomScale="103" zoomScaleNormal="100" workbookViewId="0">
      <selection activeCell="BE52" sqref="BE52"/>
    </sheetView>
  </sheetViews>
  <sheetFormatPr defaultRowHeight="15" x14ac:dyDescent="0.25"/>
  <cols>
    <col min="1" max="1" width="26.7109375" style="101" customWidth="1"/>
    <col min="2" max="2" width="52.28515625" style="335" bestFit="1" customWidth="1"/>
    <col min="3" max="17" width="10.7109375" customWidth="1"/>
    <col min="21" max="22" width="9.140625" customWidth="1"/>
    <col min="23" max="24" width="9.140625" hidden="1" customWidth="1"/>
    <col min="25" max="25" width="13.28515625" hidden="1" customWidth="1"/>
    <col min="26" max="31" width="9.140625" hidden="1" customWidth="1"/>
    <col min="32" max="32" width="7.85546875" hidden="1" customWidth="1"/>
    <col min="33" max="49" width="9.140625" hidden="1" customWidth="1"/>
  </cols>
  <sheetData>
    <row r="1" spans="1:48" x14ac:dyDescent="0.25">
      <c r="A1" s="101" t="s">
        <v>0</v>
      </c>
      <c r="W1" s="91" t="s">
        <v>1</v>
      </c>
      <c r="X1" s="91" t="s">
        <v>1</v>
      </c>
      <c r="Y1" s="100" t="str">
        <f>IF(A5="","*",INDEX(AE5:AE91,MATCH(A5,AD5:AD91,0)))</f>
        <v>*</v>
      </c>
      <c r="Z1" s="92" t="s">
        <v>1</v>
      </c>
      <c r="AA1" s="92" t="s">
        <v>1</v>
      </c>
      <c r="AB1" s="92" t="s">
        <v>1</v>
      </c>
      <c r="AC1" s="92" t="s">
        <v>1</v>
      </c>
      <c r="AD1" s="92" t="s">
        <v>1</v>
      </c>
      <c r="AE1" s="92" t="s">
        <v>1</v>
      </c>
      <c r="AF1" s="92" t="s">
        <v>1</v>
      </c>
      <c r="AG1" s="92" t="s">
        <v>1</v>
      </c>
      <c r="AH1" s="92" t="s">
        <v>1</v>
      </c>
      <c r="AI1" s="92" t="s">
        <v>1</v>
      </c>
      <c r="AJ1" s="92" t="s">
        <v>1</v>
      </c>
      <c r="AK1" s="92" t="s">
        <v>1</v>
      </c>
      <c r="AL1" s="92" t="s">
        <v>1</v>
      </c>
      <c r="AM1" s="92" t="s">
        <v>1</v>
      </c>
      <c r="AN1" s="92" t="s">
        <v>1</v>
      </c>
      <c r="AO1" s="92" t="s">
        <v>1</v>
      </c>
      <c r="AP1" s="92" t="s">
        <v>1</v>
      </c>
      <c r="AQ1" s="92" t="s">
        <v>1</v>
      </c>
      <c r="AR1" s="92" t="s">
        <v>1</v>
      </c>
      <c r="AS1" s="92" t="s">
        <v>1</v>
      </c>
      <c r="AT1" s="92" t="s">
        <v>1</v>
      </c>
      <c r="AU1" s="92" t="s">
        <v>1</v>
      </c>
      <c r="AV1" s="92" t="s">
        <v>1</v>
      </c>
    </row>
    <row r="2" spans="1:48" x14ac:dyDescent="0.25">
      <c r="A2" s="791">
        <f>Asiakastilastot!$A$2</f>
        <v>46023</v>
      </c>
      <c r="B2" s="335" t="s">
        <v>2</v>
      </c>
      <c r="W2" s="106" t="str">
        <f>TEXT(A2,"vvvv")</f>
        <v>2026</v>
      </c>
      <c r="X2" s="95" t="s">
        <v>4</v>
      </c>
      <c r="Y2" s="100" t="str">
        <f>IF(A6=X3,"OK","*")</f>
        <v>*</v>
      </c>
      <c r="AA2" s="168" t="s">
        <v>6</v>
      </c>
      <c r="AB2" s="169" t="s">
        <v>7</v>
      </c>
      <c r="AC2" s="168" t="s">
        <v>6</v>
      </c>
      <c r="AD2" s="169" t="s">
        <v>8</v>
      </c>
      <c r="AF2" s="95" t="s">
        <v>4</v>
      </c>
    </row>
    <row r="3" spans="1:48" x14ac:dyDescent="0.25">
      <c r="A3" s="780">
        <f>Asiakastilastot!$A$3</f>
        <v>46387</v>
      </c>
      <c r="B3" s="335" t="s">
        <v>9</v>
      </c>
      <c r="W3" s="106" t="str">
        <f>TEXT(A3,"KK")</f>
        <v>12</v>
      </c>
      <c r="X3" s="95" t="s">
        <v>11</v>
      </c>
      <c r="AA3" s="168" t="s">
        <v>13</v>
      </c>
      <c r="AB3" s="169" t="e">
        <f>INDEX(Data_Omakoodi!K:K,MATCH($AB$2,Data_Omakoodi!$I:$I,0))</f>
        <v>#N/A</v>
      </c>
      <c r="AC3" s="168" t="s">
        <v>13</v>
      </c>
      <c r="AD3" s="169" t="e">
        <f>INDEX(Data_Omakoodi!K:K,MATCH($AD$2,Data_Omakoodi!$I:$I,0))</f>
        <v>#N/A</v>
      </c>
      <c r="AF3" s="95" t="s">
        <v>809</v>
      </c>
    </row>
    <row r="4" spans="1:48" x14ac:dyDescent="0.25">
      <c r="A4" s="378" t="s">
        <v>16</v>
      </c>
      <c r="B4" s="335" t="s">
        <v>17</v>
      </c>
      <c r="X4" s="95" t="s">
        <v>19</v>
      </c>
      <c r="Y4" s="100" t="str">
        <f>IF(A7="","*",IF(A7=X2,"*",IF(A7=X3,X9,"*")))</f>
        <v>*</v>
      </c>
      <c r="AA4" s="168" t="s">
        <v>20</v>
      </c>
      <c r="AB4" s="169" t="str">
        <f>IFERROR(MATCH($AB$2,Data_Omakoodi!$I:$I,0),"")</f>
        <v/>
      </c>
      <c r="AC4" s="168" t="s">
        <v>20</v>
      </c>
      <c r="AD4" s="169" t="str">
        <f>IFERROR(MATCH($AB$2,Data_Omakoodi!$I:$I,0),"")</f>
        <v/>
      </c>
      <c r="AF4" s="100">
        <f>IF(A8="","*",IF(A8=AF2,"*",IF(A8=AF3,1,"*")))</f>
        <v>1</v>
      </c>
    </row>
    <row r="5" spans="1:48" x14ac:dyDescent="0.25">
      <c r="A5" s="378" t="s">
        <v>22</v>
      </c>
      <c r="B5" s="335" t="s">
        <v>23</v>
      </c>
      <c r="Y5" s="100" t="str">
        <f>IF(A6="","*",IF(A6=X2,"*",IF(A6=X4,X9,"*")))</f>
        <v>*</v>
      </c>
      <c r="AA5" s="168" t="s">
        <v>26</v>
      </c>
      <c r="AB5" s="169" t="s">
        <v>16</v>
      </c>
      <c r="AC5" s="168" t="s">
        <v>26</v>
      </c>
      <c r="AD5" s="169" t="s">
        <v>22</v>
      </c>
      <c r="AE5" s="168" t="s">
        <v>26</v>
      </c>
    </row>
    <row r="6" spans="1:48" x14ac:dyDescent="0.25">
      <c r="A6" s="378" t="s">
        <v>4</v>
      </c>
      <c r="B6" s="335" t="s">
        <v>810</v>
      </c>
      <c r="Y6" s="100" t="str">
        <f>IF(A4="","*",INDEX(AA5:AA91,MATCH(A4,AB5:AB91,0)))</f>
        <v>*</v>
      </c>
      <c r="AA6" s="168" t="s">
        <v>29</v>
      </c>
      <c r="AB6" s="170" t="s">
        <v>30</v>
      </c>
      <c r="AC6" s="168" t="s">
        <v>29</v>
      </c>
      <c r="AD6" s="170" t="s">
        <v>31</v>
      </c>
      <c r="AE6" s="168" t="s">
        <v>29</v>
      </c>
      <c r="AF6">
        <f>$AF$4</f>
        <v>1</v>
      </c>
    </row>
    <row r="7" spans="1:48" s="101" customFormat="1" x14ac:dyDescent="0.25">
      <c r="A7" s="378" t="s">
        <v>4</v>
      </c>
      <c r="B7" s="335" t="s">
        <v>32</v>
      </c>
      <c r="D7" s="203"/>
      <c r="X7" s="171" t="s">
        <v>34</v>
      </c>
      <c r="Y7" s="171" t="s">
        <v>35</v>
      </c>
      <c r="Z7"/>
      <c r="AA7" s="168" t="s">
        <v>36</v>
      </c>
      <c r="AB7" s="170" t="s">
        <v>37</v>
      </c>
      <c r="AC7" s="168" t="s">
        <v>36</v>
      </c>
      <c r="AD7" s="170" t="s">
        <v>38</v>
      </c>
      <c r="AE7" s="168" t="s">
        <v>36</v>
      </c>
      <c r="AJ7"/>
      <c r="AK7"/>
      <c r="AL7"/>
      <c r="AM7"/>
    </row>
    <row r="8" spans="1:48" x14ac:dyDescent="0.25">
      <c r="A8" s="378" t="s">
        <v>809</v>
      </c>
      <c r="B8" s="335" t="s">
        <v>811</v>
      </c>
      <c r="X8" s="233" t="s">
        <v>40</v>
      </c>
      <c r="AA8" s="176" t="s">
        <v>41</v>
      </c>
      <c r="AB8" s="169" t="str">
        <f>IFERROR(INDEX(Data_Omakoodi!E:E,MATCH(AA8,Data_Omakoodi!A:A,0)),"")</f>
        <v/>
      </c>
      <c r="AC8" t="s">
        <v>42</v>
      </c>
      <c r="AD8" s="169" t="str">
        <f>IFERROR(INDEX(Data_Omakoodi!E:E,MATCH(AC8,Data_Omakoodi!A:A,0)),"")</f>
        <v/>
      </c>
      <c r="AE8" t="s">
        <v>42</v>
      </c>
      <c r="AF8" t="s">
        <v>43</v>
      </c>
    </row>
    <row r="9" spans="1:48" x14ac:dyDescent="0.25">
      <c r="X9" s="105" t="s">
        <v>44</v>
      </c>
      <c r="AA9" s="176" t="s">
        <v>45</v>
      </c>
      <c r="AB9" s="169" t="str">
        <f>IFERROR(INDEX(Data_Omakoodi!E:E,MATCH(AA9,Data_Omakoodi!A:A,0)),"")</f>
        <v/>
      </c>
      <c r="AC9" t="s">
        <v>46</v>
      </c>
      <c r="AD9" s="169" t="str">
        <f>IFERROR(INDEX(Data_Omakoodi!E:E,MATCH(AC9,Data_Omakoodi!A:A,0)),"")</f>
        <v/>
      </c>
      <c r="AE9" t="s">
        <v>46</v>
      </c>
      <c r="AF9" t="s">
        <v>47</v>
      </c>
    </row>
    <row r="10" spans="1:48" hidden="1" x14ac:dyDescent="0.25">
      <c r="X10" s="106" t="str">
        <f>" - "&amp;TEXT($A$2,$X$11)&amp;"-"&amp;TEXT($A$3,$X$11)&amp;" "</f>
        <v xml:space="preserve"> - 01.01.2026-31.12.2026 </v>
      </c>
      <c r="AA10" s="176" t="s">
        <v>52</v>
      </c>
      <c r="AB10" s="169" t="str">
        <f>IFERROR(INDEX(Data_Omakoodi!E:E,MATCH(AA10,Data_Omakoodi!A:A,0)),"")</f>
        <v/>
      </c>
      <c r="AC10" t="s">
        <v>53</v>
      </c>
      <c r="AD10" s="169" t="str">
        <f>IFERROR(INDEX(Data_Omakoodi!E:E,MATCH(AC10,Data_Omakoodi!A:A,0)),"")</f>
        <v/>
      </c>
      <c r="AE10" t="s">
        <v>53</v>
      </c>
      <c r="AF10" t="s">
        <v>54</v>
      </c>
    </row>
    <row r="11" spans="1:48" hidden="1" x14ac:dyDescent="0.25">
      <c r="X11" s="107" t="s">
        <v>55</v>
      </c>
      <c r="AA11" s="176" t="s">
        <v>57</v>
      </c>
      <c r="AB11" s="169" t="str">
        <f>IFERROR(INDEX(Data_Omakoodi!E:E,MATCH(AA11,Data_Omakoodi!A:A,0)),"")</f>
        <v/>
      </c>
      <c r="AC11" t="s">
        <v>58</v>
      </c>
      <c r="AD11" s="169" t="str">
        <f>IFERROR(INDEX(Data_Omakoodi!E:E,MATCH(AC11,Data_Omakoodi!A:A,0)),"")</f>
        <v/>
      </c>
      <c r="AE11" t="s">
        <v>58</v>
      </c>
      <c r="AF11" t="s">
        <v>59</v>
      </c>
    </row>
    <row r="12" spans="1:48" hidden="1" x14ac:dyDescent="0.25">
      <c r="X12" s="106" t="str">
        <f>"("&amp;A4&amp;", "&amp;A5&amp;", "&amp;A6&amp;" asiakkuudet, "&amp;A7&amp;" toimenpiteet, "&amp;IF(A8="Kaikki",A8&amp;" esiintymät",A8&amp;" esiintymä")&amp;")"</f>
        <v>(Kaikki kunnat, Kaikki yksiköt, Kaikki asiakkuudet, Kaikki toimenpiteet, Vain yksi esiintymä)</v>
      </c>
      <c r="AA12" s="176" t="s">
        <v>60</v>
      </c>
      <c r="AB12" s="169" t="str">
        <f>IFERROR(INDEX(Data_Omakoodi!E:E,MATCH(AA12,Data_Omakoodi!A:A,0)),"")</f>
        <v/>
      </c>
      <c r="AC12" t="s">
        <v>61</v>
      </c>
      <c r="AD12" s="169" t="str">
        <f>IFERROR(INDEX(Data_Omakoodi!E:E,MATCH(AC12,Data_Omakoodi!A:A,0)),"")</f>
        <v/>
      </c>
      <c r="AE12" t="s">
        <v>61</v>
      </c>
      <c r="AF12" t="s">
        <v>62</v>
      </c>
    </row>
    <row r="13" spans="1:48" hidden="1" x14ac:dyDescent="0.25">
      <c r="X13" s="395" t="s">
        <v>812</v>
      </c>
      <c r="AA13" s="176" t="s">
        <v>63</v>
      </c>
      <c r="AB13" s="169" t="str">
        <f>IFERROR(INDEX(Data_Omakoodi!E:E,MATCH(AA13,Data_Omakoodi!A:A,0)),"")</f>
        <v/>
      </c>
      <c r="AC13" t="s">
        <v>64</v>
      </c>
      <c r="AD13" s="169" t="str">
        <f>IFERROR(INDEX(Data_Omakoodi!E:E,MATCH(AC13,Data_Omakoodi!A:A,0)),"")</f>
        <v/>
      </c>
      <c r="AE13" t="s">
        <v>64</v>
      </c>
      <c r="AF13" t="s">
        <v>65</v>
      </c>
    </row>
    <row r="14" spans="1:48" hidden="1" x14ac:dyDescent="0.25">
      <c r="AA14" s="176" t="s">
        <v>66</v>
      </c>
      <c r="AB14" s="169" t="str">
        <f>IFERROR(INDEX(Data_Omakoodi!E:E,MATCH(AA14,Data_Omakoodi!A:A,0)),"")</f>
        <v/>
      </c>
      <c r="AC14" t="s">
        <v>67</v>
      </c>
      <c r="AD14" s="169" t="str">
        <f>IFERROR(INDEX(Data_Omakoodi!E:E,MATCH(AC14,Data_Omakoodi!A:A,0)),"")</f>
        <v/>
      </c>
      <c r="AE14" t="s">
        <v>67</v>
      </c>
      <c r="AF14" t="s">
        <v>68</v>
      </c>
    </row>
    <row r="15" spans="1:48" hidden="1" x14ac:dyDescent="0.25">
      <c r="AA15" s="176" t="s">
        <v>73</v>
      </c>
      <c r="AB15" s="169" t="str">
        <f>IFERROR(INDEX(Data_Omakoodi!E:E,MATCH(AA15,Data_Omakoodi!A:A,0)),"")</f>
        <v/>
      </c>
      <c r="AC15" t="s">
        <v>74</v>
      </c>
      <c r="AD15" s="169" t="str">
        <f>IFERROR(INDEX(Data_Omakoodi!E:E,MATCH(AC15,Data_Omakoodi!A:A,0)),"")</f>
        <v/>
      </c>
      <c r="AE15" t="s">
        <v>74</v>
      </c>
      <c r="AF15" t="s">
        <v>75</v>
      </c>
    </row>
    <row r="16" spans="1:48" hidden="1" x14ac:dyDescent="0.25">
      <c r="AA16" s="176" t="s">
        <v>80</v>
      </c>
      <c r="AB16" s="169" t="str">
        <f>IFERROR(INDEX(Data_Omakoodi!E:E,MATCH(AA16,Data_Omakoodi!A:A,0)),"")</f>
        <v/>
      </c>
      <c r="AC16" t="s">
        <v>81</v>
      </c>
      <c r="AD16" s="169" t="str">
        <f>IFERROR(INDEX(Data_Omakoodi!E:E,MATCH(AC16,Data_Omakoodi!A:A,0)),"")</f>
        <v/>
      </c>
      <c r="AE16" t="s">
        <v>81</v>
      </c>
      <c r="AF16" t="s">
        <v>82</v>
      </c>
    </row>
    <row r="17" spans="27:38" hidden="1" x14ac:dyDescent="0.25">
      <c r="AA17" s="176" t="s">
        <v>87</v>
      </c>
      <c r="AB17" s="169" t="str">
        <f>IFERROR(INDEX(Data_Omakoodi!E:E,MATCH(AA17,Data_Omakoodi!A:A,0)),"")</f>
        <v/>
      </c>
      <c r="AC17" t="s">
        <v>88</v>
      </c>
      <c r="AD17" s="169" t="str">
        <f>IFERROR(INDEX(Data_Omakoodi!E:E,MATCH(AC17,Data_Omakoodi!A:A,0)),"")</f>
        <v/>
      </c>
      <c r="AE17" t="s">
        <v>88</v>
      </c>
      <c r="AF17" t="s">
        <v>89</v>
      </c>
    </row>
    <row r="18" spans="27:38" hidden="1" x14ac:dyDescent="0.25">
      <c r="AA18" s="176" t="s">
        <v>94</v>
      </c>
      <c r="AB18" s="169" t="str">
        <f>IFERROR(INDEX(Data_Omakoodi!E:E,MATCH(AA18,Data_Omakoodi!A:A,0)),"")</f>
        <v/>
      </c>
      <c r="AC18" t="s">
        <v>95</v>
      </c>
      <c r="AD18" s="169" t="str">
        <f>IFERROR(INDEX(Data_Omakoodi!E:E,MATCH(AC18,Data_Omakoodi!A:A,0)),"")</f>
        <v/>
      </c>
      <c r="AE18" t="s">
        <v>95</v>
      </c>
      <c r="AF18" t="s">
        <v>96</v>
      </c>
    </row>
    <row r="19" spans="27:38" hidden="1" x14ac:dyDescent="0.25">
      <c r="AA19" s="176" t="s">
        <v>101</v>
      </c>
      <c r="AB19" s="169" t="str">
        <f>IFERROR(INDEX(Data_Omakoodi!E:E,MATCH(AA19,Data_Omakoodi!A:A,0)),"")</f>
        <v/>
      </c>
      <c r="AC19" t="s">
        <v>102</v>
      </c>
      <c r="AD19" s="169" t="str">
        <f>IFERROR(INDEX(Data_Omakoodi!E:E,MATCH(AC19,Data_Omakoodi!A:A,0)),"")</f>
        <v/>
      </c>
      <c r="AE19" t="s">
        <v>102</v>
      </c>
      <c r="AF19" t="s">
        <v>103</v>
      </c>
    </row>
    <row r="20" spans="27:38" hidden="1" x14ac:dyDescent="0.25">
      <c r="AA20" s="176" t="s">
        <v>107</v>
      </c>
      <c r="AB20" s="169" t="str">
        <f>IFERROR(INDEX(Data_Omakoodi!E:E,MATCH(AA20,Data_Omakoodi!A:A,0)),"")</f>
        <v/>
      </c>
      <c r="AC20" t="s">
        <v>108</v>
      </c>
      <c r="AD20" s="169" t="str">
        <f>IFERROR(INDEX(Data_Omakoodi!E:E,MATCH(AC20,Data_Omakoodi!A:A,0)),"")</f>
        <v/>
      </c>
      <c r="AE20" t="s">
        <v>108</v>
      </c>
      <c r="AF20" t="s">
        <v>109</v>
      </c>
    </row>
    <row r="21" spans="27:38" hidden="1" x14ac:dyDescent="0.25">
      <c r="AA21" s="176" t="s">
        <v>112</v>
      </c>
      <c r="AB21" s="169" t="str">
        <f>IFERROR(INDEX(Data_Omakoodi!E:E,MATCH(AA21,Data_Omakoodi!A:A,0)),"")</f>
        <v/>
      </c>
      <c r="AC21" t="s">
        <v>113</v>
      </c>
      <c r="AD21" s="169" t="str">
        <f>IFERROR(INDEX(Data_Omakoodi!E:E,MATCH(AC21,Data_Omakoodi!A:A,0)),"")</f>
        <v/>
      </c>
      <c r="AE21" t="s">
        <v>113</v>
      </c>
      <c r="AF21" t="s">
        <v>114</v>
      </c>
    </row>
    <row r="22" spans="27:38" hidden="1" x14ac:dyDescent="0.25">
      <c r="AA22" s="176" t="s">
        <v>117</v>
      </c>
      <c r="AB22" s="169" t="str">
        <f>IFERROR(INDEX(Data_Omakoodi!E:E,MATCH(AA22,Data_Omakoodi!A:A,0)),"")</f>
        <v/>
      </c>
      <c r="AC22" t="s">
        <v>118</v>
      </c>
      <c r="AD22" s="169" t="str">
        <f>IFERROR(INDEX(Data_Omakoodi!E:E,MATCH(AC22,Data_Omakoodi!A:A,0)),"")</f>
        <v/>
      </c>
      <c r="AE22" t="s">
        <v>118</v>
      </c>
      <c r="AF22" t="s">
        <v>119</v>
      </c>
    </row>
    <row r="23" spans="27:38" hidden="1" x14ac:dyDescent="0.25">
      <c r="AA23" s="176" t="s">
        <v>124</v>
      </c>
      <c r="AB23" s="169" t="str">
        <f>IFERROR(INDEX(Data_Omakoodi!E:E,MATCH(AA23,Data_Omakoodi!A:A,0)),"")</f>
        <v/>
      </c>
      <c r="AC23" t="s">
        <v>125</v>
      </c>
      <c r="AD23" s="169" t="str">
        <f>IFERROR(INDEX(Data_Omakoodi!E:E,MATCH(AC23,Data_Omakoodi!A:A,0)),"")</f>
        <v/>
      </c>
      <c r="AE23" t="s">
        <v>125</v>
      </c>
      <c r="AF23" t="s">
        <v>126</v>
      </c>
    </row>
    <row r="24" spans="27:38" hidden="1" x14ac:dyDescent="0.25">
      <c r="AA24" s="176" t="s">
        <v>131</v>
      </c>
      <c r="AB24" s="169" t="str">
        <f>IFERROR(INDEX(Data_Omakoodi!E:E,MATCH(AA24,Data_Omakoodi!A:A,0)),"")</f>
        <v/>
      </c>
      <c r="AC24" t="s">
        <v>132</v>
      </c>
      <c r="AD24" s="169" t="str">
        <f>IFERROR(INDEX(Data_Omakoodi!E:E,MATCH(AC24,Data_Omakoodi!A:A,0)),"")</f>
        <v/>
      </c>
      <c r="AE24" t="s">
        <v>132</v>
      </c>
      <c r="AF24" t="s">
        <v>133</v>
      </c>
    </row>
    <row r="25" spans="27:38" hidden="1" x14ac:dyDescent="0.25">
      <c r="AA25" s="176" t="s">
        <v>136</v>
      </c>
      <c r="AB25" s="169" t="str">
        <f>IFERROR(INDEX(Data_Omakoodi!E:E,MATCH(AA25,Data_Omakoodi!A:A,0)),"")</f>
        <v/>
      </c>
      <c r="AC25" t="s">
        <v>137</v>
      </c>
      <c r="AD25" s="169" t="str">
        <f>IFERROR(INDEX(Data_Omakoodi!E:E,MATCH(AC25,Data_Omakoodi!A:A,0)),"")</f>
        <v/>
      </c>
      <c r="AE25" t="s">
        <v>137</v>
      </c>
      <c r="AF25" t="s">
        <v>138</v>
      </c>
    </row>
    <row r="26" spans="27:38" hidden="1" x14ac:dyDescent="0.25">
      <c r="AA26" s="176" t="s">
        <v>140</v>
      </c>
      <c r="AB26" s="169" t="str">
        <f>IFERROR(INDEX(Data_Omakoodi!E:E,MATCH(AA26,Data_Omakoodi!A:A,0)),"")</f>
        <v/>
      </c>
      <c r="AC26" t="s">
        <v>141</v>
      </c>
      <c r="AD26" s="169" t="str">
        <f>IFERROR(INDEX(Data_Omakoodi!E:E,MATCH(AC26,Data_Omakoodi!A:A,0)),"")</f>
        <v/>
      </c>
      <c r="AE26" t="s">
        <v>141</v>
      </c>
      <c r="AF26" t="s">
        <v>142</v>
      </c>
    </row>
    <row r="27" spans="27:38" hidden="1" x14ac:dyDescent="0.25">
      <c r="AA27" s="176" t="s">
        <v>145</v>
      </c>
      <c r="AB27" s="169" t="str">
        <f>IFERROR(INDEX(Data_Omakoodi!E:E,MATCH(AA27,Data_Omakoodi!A:A,0)),"")</f>
        <v/>
      </c>
      <c r="AC27" t="s">
        <v>146</v>
      </c>
      <c r="AD27" s="169" t="str">
        <f>IFERROR(INDEX(Data_Omakoodi!E:E,MATCH(AC27,Data_Omakoodi!A:A,0)),"")</f>
        <v/>
      </c>
      <c r="AE27" t="s">
        <v>146</v>
      </c>
      <c r="AF27" t="s">
        <v>147</v>
      </c>
    </row>
    <row r="28" spans="27:38" hidden="1" x14ac:dyDescent="0.25">
      <c r="AA28" s="176" t="s">
        <v>150</v>
      </c>
      <c r="AB28" s="169" t="str">
        <f>IFERROR(INDEX(Data_Omakoodi!E:E,MATCH(AA28,Data_Omakoodi!A:A,0)),"")</f>
        <v/>
      </c>
      <c r="AC28" t="s">
        <v>151</v>
      </c>
      <c r="AD28" s="169" t="str">
        <f>IFERROR(INDEX(Data_Omakoodi!E:E,MATCH(AC28,Data_Omakoodi!A:A,0)),"")</f>
        <v/>
      </c>
      <c r="AE28" t="s">
        <v>151</v>
      </c>
      <c r="AF28" t="s">
        <v>152</v>
      </c>
    </row>
    <row r="29" spans="27:38" hidden="1" x14ac:dyDescent="0.25">
      <c r="AA29" s="176" t="s">
        <v>157</v>
      </c>
      <c r="AB29" s="169" t="str">
        <f>IFERROR(INDEX(Data_Omakoodi!E:E,MATCH(AA29,Data_Omakoodi!A:A,0)),"")</f>
        <v/>
      </c>
      <c r="AC29" t="s">
        <v>158</v>
      </c>
      <c r="AD29" s="169" t="str">
        <f>IFERROR(INDEX(Data_Omakoodi!E:E,MATCH(AC29,Data_Omakoodi!A:A,0)),"")</f>
        <v/>
      </c>
      <c r="AE29" t="s">
        <v>158</v>
      </c>
      <c r="AF29" t="s">
        <v>159</v>
      </c>
    </row>
    <row r="30" spans="27:38" hidden="1" x14ac:dyDescent="0.25">
      <c r="AA30" s="176" t="s">
        <v>164</v>
      </c>
      <c r="AB30" s="169" t="str">
        <f>IFERROR(INDEX(Data_Omakoodi!E:E,MATCH(AA30,Data_Omakoodi!A:A,0)),"")</f>
        <v/>
      </c>
      <c r="AC30" t="s">
        <v>165</v>
      </c>
      <c r="AD30" s="169" t="str">
        <f>IFERROR(INDEX(Data_Omakoodi!E:E,MATCH(AC30,Data_Omakoodi!A:A,0)),"")</f>
        <v/>
      </c>
      <c r="AE30" t="s">
        <v>165</v>
      </c>
      <c r="AF30" t="s">
        <v>166</v>
      </c>
      <c r="AJ30" s="626">
        <f>AJ35+AJ36+AJ37+AJ31+AJ32+AJ33+AJ34</f>
        <v>0</v>
      </c>
      <c r="AK30" s="626">
        <f>AK35+AK36+AK37+AK31+AK32+AK33+AK34</f>
        <v>0</v>
      </c>
    </row>
    <row r="31" spans="27:38" hidden="1" x14ac:dyDescent="0.25">
      <c r="AA31" s="176" t="s">
        <v>169</v>
      </c>
      <c r="AB31" s="169" t="str">
        <f>IFERROR(INDEX(Data_Omakoodi!E:E,MATCH(AA31,Data_Omakoodi!A:A,0)),"")</f>
        <v/>
      </c>
      <c r="AC31" t="s">
        <v>170</v>
      </c>
      <c r="AD31" s="169" t="str">
        <f>IFERROR(INDEX(Data_Omakoodi!E:E,MATCH(AC31,Data_Omakoodi!A:A,0)),"")</f>
        <v/>
      </c>
      <c r="AE31" t="s">
        <v>170</v>
      </c>
      <c r="AF31" t="s">
        <v>171</v>
      </c>
      <c r="AJ31" s="469">
        <f>SUMIFS(JA!$Z:$Z,JA!$AE:$AE,"OK",JA!$AT:$AT,Toimenpiteet!$AL31,JA!$AX:$AX,Toimenpiteet!$Y$6,JA!$CI:$CI,Toimenpiteet!$Y$1,JA!$BE:$BE,Toimenpiteet!$Y$5,JA!$AI:$AI,Toimenpiteet!$Y$4,JA!$AJ:$AJ,Toimenpiteet!$Y$2,JA!CT:CT,$AF$4)</f>
        <v>0</v>
      </c>
      <c r="AK31" s="469">
        <f>SUMIFS(JA!$Z:$Z,JA!$AE:$AE,"OK",JA!$AT:$AT,Toimenpiteet!$AL31,JA!$AU:$AU,Toimenpiteet!$X$8,JA!$AX:$AX,Toimenpiteet!$Y$6,JA!$CI:$CI,Toimenpiteet!$Y$1,JA!$BE:$BE,Toimenpiteet!$Y$5,JA!$AI:$AI,Toimenpiteet!$Y$4,JA!$AJ:$AJ,Toimenpiteet!$Y$2,JA!CT:CT,$AF$4)</f>
        <v>0</v>
      </c>
      <c r="AL31" s="228" t="s">
        <v>333</v>
      </c>
    </row>
    <row r="32" spans="27:38" hidden="1" x14ac:dyDescent="0.25">
      <c r="AA32" s="176" t="s">
        <v>174</v>
      </c>
      <c r="AB32" s="169" t="str">
        <f>IFERROR(INDEX(Data_Omakoodi!E:E,MATCH(AA32,Data_Omakoodi!A:A,0)),"")</f>
        <v/>
      </c>
      <c r="AC32" t="s">
        <v>175</v>
      </c>
      <c r="AD32" s="169" t="str">
        <f>IFERROR(INDEX(Data_Omakoodi!E:E,MATCH(AC32,Data_Omakoodi!A:A,0)),"")</f>
        <v/>
      </c>
      <c r="AE32" t="s">
        <v>175</v>
      </c>
      <c r="AF32" t="s">
        <v>176</v>
      </c>
      <c r="AJ32" s="469">
        <f>SUMIFS(JA!$Z:$Z,JA!$AE:$AE,"OK",JA!$AT:$AT,Toimenpiteet!$AL32,JA!$AX:$AX,Toimenpiteet!$Y$6,JA!$CI:$CI,Toimenpiteet!$Y$1,JA!$BE:$BE,Toimenpiteet!$Y$5,JA!$AI:$AI,Toimenpiteet!$Y$4,JA!$AJ:$AJ,Toimenpiteet!$Y$2,JA!CT:CT,$AF$4)</f>
        <v>0</v>
      </c>
      <c r="AK32" s="469">
        <f>SUMIFS(JA!$Z:$Z,JA!$AE:$AE,"OK",JA!$AT:$AT,Toimenpiteet!$AL32,JA!$AU:$AU,Toimenpiteet!$X$8,JA!$AX:$AX,Toimenpiteet!$Y$6,JA!$CI:$CI,Toimenpiteet!$Y$1,JA!$BE:$BE,Toimenpiteet!$Y$5,JA!$AI:$AI,Toimenpiteet!$Y$4,JA!$AJ:$AJ,Toimenpiteet!$Y$2,JA!CT:CT,$AF$4)</f>
        <v>0</v>
      </c>
      <c r="AL32" s="228" t="s">
        <v>339</v>
      </c>
    </row>
    <row r="33" spans="1:47" hidden="1" x14ac:dyDescent="0.25">
      <c r="AA33" s="176" t="s">
        <v>179</v>
      </c>
      <c r="AB33" s="169" t="str">
        <f>IFERROR(INDEX(Data_Omakoodi!E:E,MATCH(AA33,Data_Omakoodi!A:A,0)),"")</f>
        <v/>
      </c>
      <c r="AC33" t="s">
        <v>180</v>
      </c>
      <c r="AD33" s="169" t="str">
        <f>IFERROR(INDEX(Data_Omakoodi!E:E,MATCH(AC33,Data_Omakoodi!A:A,0)),"")</f>
        <v/>
      </c>
      <c r="AE33" t="s">
        <v>180</v>
      </c>
      <c r="AF33" t="s">
        <v>181</v>
      </c>
      <c r="AJ33" s="469">
        <f>SUMIFS(JA!$Z:$Z,JA!$AE:$AE,"OK",JA!$AT:$AT,Toimenpiteet!$AL33,JA!$AX:$AX,Toimenpiteet!$Y$6,JA!$CI:$CI,Toimenpiteet!$Y$1,JA!$BE:$BE,Toimenpiteet!$Y$5,JA!$AI:$AI,Toimenpiteet!$Y$4,JA!$AJ:$AJ,Toimenpiteet!$Y$2,JA!CT:CT,$AF$4)</f>
        <v>0</v>
      </c>
      <c r="AK33" s="469">
        <f>SUMIFS(JA!$Z:$Z,JA!$AE:$AE,"OK",JA!$AT:$AT,Toimenpiteet!$AL33,JA!$AU:$AU,Toimenpiteet!$X$8,JA!$AX:$AX,Toimenpiteet!$Y$6,JA!$CI:$CI,Toimenpiteet!$Y$1,JA!$BE:$BE,Toimenpiteet!$Y$5,JA!$AI:$AI,Toimenpiteet!$Y$4,JA!$AJ:$AJ,Toimenpiteet!$Y$2,JA!CT:CT,$AF$4)</f>
        <v>0</v>
      </c>
      <c r="AL33" s="228" t="s">
        <v>345</v>
      </c>
    </row>
    <row r="34" spans="1:47" hidden="1" x14ac:dyDescent="0.25">
      <c r="AA34" s="176" t="s">
        <v>183</v>
      </c>
      <c r="AB34" s="169" t="str">
        <f>IFERROR(INDEX(Data_Omakoodi!E:E,MATCH(AA34,Data_Omakoodi!A:A,0)),"")</f>
        <v/>
      </c>
      <c r="AC34" t="s">
        <v>184</v>
      </c>
      <c r="AD34" s="169" t="str">
        <f>IFERROR(INDEX(Data_Omakoodi!E:E,MATCH(AC34,Data_Omakoodi!A:A,0)),"")</f>
        <v/>
      </c>
      <c r="AE34" t="s">
        <v>184</v>
      </c>
      <c r="AF34" t="s">
        <v>185</v>
      </c>
      <c r="AJ34" s="469">
        <f>SUMIFS(JA!$Z:$Z,JA!$AE:$AE,"OK",JA!$AT:$AT,Toimenpiteet!$AL34,JA!$AX:$AX,Toimenpiteet!$Y$6,JA!$CI:$CI,Toimenpiteet!$Y$1,JA!$BE:$BE,Toimenpiteet!$Y$5,JA!$AI:$AI,Toimenpiteet!$Y$4,JA!$AJ:$AJ,Toimenpiteet!$Y$2,JA!CT:CT,$AF$4)</f>
        <v>0</v>
      </c>
      <c r="AK34" s="469">
        <f>SUMIFS(JA!$Z:$Z,JA!$AE:$AE,"OK",JA!$AT:$AT,Toimenpiteet!$AL34,JA!$AU:$AU,Toimenpiteet!$X$8,JA!$AX:$AX,Toimenpiteet!$Y$6,JA!$CI:$CI,Toimenpiteet!$Y$1,JA!$BE:$BE,Toimenpiteet!$Y$5,JA!$AI:$AI,Toimenpiteet!$Y$4,JA!$AJ:$AJ,Toimenpiteet!$Y$2,JA!CT:CT,$AF$4)</f>
        <v>0</v>
      </c>
      <c r="AL34" s="228" t="s">
        <v>352</v>
      </c>
    </row>
    <row r="35" spans="1:47" hidden="1" x14ac:dyDescent="0.25">
      <c r="AA35" s="176" t="s">
        <v>187</v>
      </c>
      <c r="AB35" s="169" t="str">
        <f>IFERROR(INDEX(Data_Omakoodi!E:E,MATCH(AA35,Data_Omakoodi!A:A,0)),"")</f>
        <v/>
      </c>
      <c r="AC35" t="s">
        <v>188</v>
      </c>
      <c r="AD35" s="169" t="str">
        <f>IFERROR(INDEX(Data_Omakoodi!E:E,MATCH(AC35,Data_Omakoodi!A:A,0)),"")</f>
        <v/>
      </c>
      <c r="AE35" t="s">
        <v>188</v>
      </c>
      <c r="AF35" t="s">
        <v>189</v>
      </c>
      <c r="AJ35" s="469">
        <f>SUMIFS(JA!$Z:$Z,JA!$AE:$AE,"OK",JA!$AT:$AT,Toimenpiteet!$AL35,JA!$AX:$AX,Toimenpiteet!$Y$6,JA!$CI:$CI,Toimenpiteet!$Y$1,JA!$BE:$BE,Toimenpiteet!$Y$5,JA!$AI:$AI,Toimenpiteet!$Y$4,JA!$AJ:$AJ,Toimenpiteet!$Y$2,JA!CT:CT,$AF$4)</f>
        <v>0</v>
      </c>
      <c r="AK35" s="469">
        <f>SUMIFS(JA!$Z:$Z,JA!$AE:$AE,"OK",JA!$AT:$AT,Toimenpiteet!$AL35,JA!$AU:$AU,Toimenpiteet!$X$8,JA!$AX:$AX,Toimenpiteet!$Y$6,JA!$CI:$CI,Toimenpiteet!$Y$1,JA!$BE:$BE,Toimenpiteet!$Y$5,JA!$AI:$AI,Toimenpiteet!$Y$4,JA!$AJ:$AJ,Toimenpiteet!$Y$2,JA!CT:CT,$AF$4)</f>
        <v>0</v>
      </c>
      <c r="AL35" s="477" t="s">
        <v>357</v>
      </c>
    </row>
    <row r="36" spans="1:47" hidden="1" x14ac:dyDescent="0.25">
      <c r="AA36" s="176" t="s">
        <v>190</v>
      </c>
      <c r="AB36" s="169" t="str">
        <f>IFERROR(INDEX(Data_Omakoodi!E:E,MATCH(AA36,Data_Omakoodi!A:A,0)),"")</f>
        <v/>
      </c>
      <c r="AC36" t="s">
        <v>191</v>
      </c>
      <c r="AD36" s="169" t="str">
        <f>IFERROR(INDEX(Data_Omakoodi!E:E,MATCH(AC36,Data_Omakoodi!A:A,0)),"")</f>
        <v/>
      </c>
      <c r="AE36" t="s">
        <v>191</v>
      </c>
      <c r="AF36" t="s">
        <v>192</v>
      </c>
      <c r="AJ36" s="469">
        <f>SUMIFS(JA!$Z:$Z,JA!$AE:$AE,"OK",JA!$AT:$AT,Toimenpiteet!$AL36,JA!$AX:$AX,Toimenpiteet!$Y$6,JA!$CI:$CI,Toimenpiteet!$Y$1,JA!$BE:$BE,Toimenpiteet!$Y$5,JA!$AI:$AI,Toimenpiteet!$Y$4,JA!$AJ:$AJ,Toimenpiteet!$Y$2,JA!CT:CT,$AF$4)</f>
        <v>0</v>
      </c>
      <c r="AK36" s="469">
        <f>SUMIFS(JA!$Z:$Z,JA!$AE:$AE,"OK",JA!$AT:$AT,Toimenpiteet!$AL36,JA!$AU:$AU,Toimenpiteet!$X$8,JA!$AX:$AX,Toimenpiteet!$Y$6,JA!$CI:$CI,Toimenpiteet!$Y$1,JA!$BE:$BE,Toimenpiteet!$Y$5,JA!$AI:$AI,Toimenpiteet!$Y$4,JA!$AJ:$AJ,Toimenpiteet!$Y$2,JA!CT:CT,$AF$4)</f>
        <v>0</v>
      </c>
      <c r="AL36" s="477" t="s">
        <v>361</v>
      </c>
    </row>
    <row r="37" spans="1:47" hidden="1" x14ac:dyDescent="0.25">
      <c r="AA37" s="176" t="s">
        <v>193</v>
      </c>
      <c r="AB37" s="169" t="str">
        <f>IFERROR(INDEX(Data_Omakoodi!E:E,MATCH(AA37,Data_Omakoodi!A:A,0)),"")</f>
        <v/>
      </c>
      <c r="AC37" t="s">
        <v>194</v>
      </c>
      <c r="AD37" s="169" t="str">
        <f>IFERROR(INDEX(Data_Omakoodi!E:E,MATCH(AC37,Data_Omakoodi!A:A,0)),"")</f>
        <v/>
      </c>
      <c r="AE37" t="s">
        <v>194</v>
      </c>
      <c r="AF37" t="s">
        <v>195</v>
      </c>
      <c r="AJ37" s="469">
        <f>SUMIFS(JA!$Z:$Z,JA!$AE:$AE,"OK",JA!$AT:$AT,Toimenpiteet!$AL37,JA!$AX:$AX,Toimenpiteet!$Y$6,JA!$CI:$CI,Toimenpiteet!$Y$1,JA!$BE:$BE,Toimenpiteet!$Y$5,JA!$AI:$AI,Toimenpiteet!$Y$4,JA!$AJ:$AJ,Toimenpiteet!$Y$2,JA!CT:CT,$AF$4)</f>
        <v>0</v>
      </c>
      <c r="AK37" s="469">
        <f>SUMIFS(JA!$Z:$Z,JA!$AE:$AE,"OK",JA!$AT:$AT,Toimenpiteet!$AL37,JA!$AU:$AU,Toimenpiteet!$X$8,JA!$AX:$AX,Toimenpiteet!$Y$6,JA!$CI:$CI,Toimenpiteet!$Y$1,JA!$BE:$BE,Toimenpiteet!$Y$5,JA!$AI:$AI,Toimenpiteet!$Y$4,JA!$AJ:$AJ,Toimenpiteet!$Y$2,JA!CT:CT,$AF$4)</f>
        <v>0</v>
      </c>
      <c r="AL37" s="477" t="s">
        <v>364</v>
      </c>
    </row>
    <row r="38" spans="1:47" hidden="1" x14ac:dyDescent="0.25">
      <c r="AA38" s="176"/>
      <c r="AB38" s="394"/>
    </row>
    <row r="39" spans="1:47" hidden="1" x14ac:dyDescent="0.25"/>
    <row r="41" spans="1:47" x14ac:dyDescent="0.25">
      <c r="A41" s="205" t="str">
        <f>X13&amp;X10&amp;X12</f>
        <v>Valmentautujien toimenpiteet sopimusjaksottain - 01.01.2026-31.12.2026 (Kaikki kunnat, Kaikki yksiköt, Kaikki asiakkuudet, Kaikki toimenpiteet, Vain yksi esiintymä)</v>
      </c>
    </row>
    <row r="42" spans="1:47" x14ac:dyDescent="0.25">
      <c r="A42" s="978" t="s">
        <v>813</v>
      </c>
      <c r="B42" s="979"/>
      <c r="C42" s="1066" t="s">
        <v>752</v>
      </c>
      <c r="D42" s="1067"/>
      <c r="E42" s="1066" t="s">
        <v>753</v>
      </c>
      <c r="F42" s="1067"/>
      <c r="G42" s="13"/>
      <c r="H42" s="19"/>
      <c r="I42" s="19"/>
      <c r="J42" s="19"/>
      <c r="K42" s="19"/>
      <c r="L42" s="22"/>
      <c r="M42" s="1049" t="str">
        <f>"KAIKKI VALMENTAUTUJAT: "&amp; A41</f>
        <v>KAIKKI VALMENTAUTUJAT: Valmentautujien toimenpiteet sopimusjaksottain - 01.01.2026-31.12.2026 (Kaikki kunnat, Kaikki yksiköt, Kaikki asiakkuudet, Kaikki toimenpiteet, Vain yksi esiintymä)</v>
      </c>
      <c r="N42" s="1050"/>
      <c r="O42" s="1050"/>
      <c r="P42" s="1050"/>
      <c r="Q42" s="1050"/>
      <c r="R42" s="1050"/>
      <c r="S42" s="1050"/>
      <c r="T42" s="1051"/>
    </row>
    <row r="43" spans="1:47" x14ac:dyDescent="0.25">
      <c r="A43" s="980"/>
      <c r="B43" s="981"/>
      <c r="C43" s="342" t="s">
        <v>742</v>
      </c>
      <c r="D43" s="342" t="s">
        <v>754</v>
      </c>
      <c r="E43" s="343" t="s">
        <v>742</v>
      </c>
      <c r="F43" s="287" t="s">
        <v>754</v>
      </c>
      <c r="G43" s="14"/>
      <c r="H43" s="6"/>
      <c r="I43" s="6"/>
      <c r="J43" s="6"/>
      <c r="K43" s="6"/>
      <c r="L43" s="24"/>
      <c r="M43" s="1052"/>
      <c r="N43" s="1053"/>
      <c r="O43" s="1053"/>
      <c r="P43" s="1053"/>
      <c r="Q43" s="1053"/>
      <c r="R43" s="1053"/>
      <c r="S43" s="1053"/>
      <c r="T43" s="1054"/>
      <c r="Z43" s="428" t="s">
        <v>814</v>
      </c>
    </row>
    <row r="44" spans="1:47" x14ac:dyDescent="0.25">
      <c r="A44" s="286"/>
      <c r="B44" s="290" t="s">
        <v>815</v>
      </c>
      <c r="C44" s="352">
        <f>SUMIFS(AS!$W:$W,AS!$AB:$AB,"OK",AS!$AW:$AW,Toimenpiteet!$Y$6,AS!$X:$X,Toimenpiteet!$Y$5,AS!$K:$K,Toimenpiteet!$Y$1,AS!$AV:$AV,$Y$2)</f>
        <v>0</v>
      </c>
      <c r="D44" s="399">
        <f>IFERROR(C44/C44,0)</f>
        <v>0</v>
      </c>
      <c r="E44" s="352">
        <f>SUMIFS(AS!$W:$W,AS!$AB:$AB,"OK",AS!$AH:$AH,Toimenpiteet!$X$8,AS!$AW:$AW,Toimenpiteet!$Y$6,AS!$X:$X,Toimenpiteet!$Y$5,AS!$K:$K,Toimenpiteet!$Y$1,AS!$AV:$AV,$Y$2)</f>
        <v>0</v>
      </c>
      <c r="F44" s="399">
        <f>IFERROR(E44/E44,0)</f>
        <v>0</v>
      </c>
      <c r="G44" s="15"/>
      <c r="H44" s="20"/>
      <c r="I44" s="20"/>
      <c r="J44" s="20"/>
      <c r="K44" s="20"/>
      <c r="L44" s="23"/>
      <c r="M44" s="1052"/>
      <c r="N44" s="1053"/>
      <c r="O44" s="1053"/>
      <c r="P44" s="1053"/>
      <c r="Q44" s="1053"/>
      <c r="R44" s="1053"/>
      <c r="S44" s="1053"/>
      <c r="T44" s="1054"/>
      <c r="Z44" s="428" t="s">
        <v>816</v>
      </c>
    </row>
    <row r="45" spans="1:47" x14ac:dyDescent="0.25">
      <c r="A45" s="291"/>
      <c r="B45" s="336"/>
      <c r="C45" s="309"/>
      <c r="D45" s="314"/>
      <c r="E45" s="309"/>
      <c r="F45" s="314"/>
      <c r="G45" s="314"/>
      <c r="H45" s="314"/>
      <c r="I45" s="314"/>
      <c r="J45" s="314"/>
      <c r="K45" s="314"/>
      <c r="L45" s="271"/>
      <c r="M45" s="52"/>
      <c r="T45" s="41"/>
      <c r="AU45" s="906"/>
    </row>
    <row r="46" spans="1:47" x14ac:dyDescent="0.25">
      <c r="A46" s="1043" t="s">
        <v>366</v>
      </c>
      <c r="B46" s="911" t="s">
        <v>367</v>
      </c>
      <c r="C46" s="310">
        <f>SUMIFS(JA!$Z:$Z,JA!$AE:$AE,"OK",JA!$AT:$AT,Toimenpiteet!$X46,JA!$AX:$AX,Toimenpiteet!$Y$6,JA!$CI:$CI,Toimenpiteet!$Y$1,JA!$BE:$BE,Toimenpiteet!$Y$5,JA!$AI:$AI,Toimenpiteet!$Y$4,JA!$AJ:$AJ,Toimenpiteet!$Y$2,JA!CT:CT,$AF$4)+Z46+AC46+AF46+AI46</f>
        <v>0</v>
      </c>
      <c r="D46" s="400">
        <f>IFERROR(C46/C$44,0)</f>
        <v>0</v>
      </c>
      <c r="E46" s="310">
        <f>SUMIFS(JA!$Z:$Z,JA!$AE:$AE,"OK",JA!$AT:$AT,Toimenpiteet!$X46,JA!$AU:$AU,Toimenpiteet!$X$8,JA!$AX:$AX,Toimenpiteet!$Y$6,JA!$CI:$CI,Toimenpiteet!$Y$1,JA!$BE:$BE,Toimenpiteet!$Y$5,JA!$AI:$AI,Toimenpiteet!$Y$4,JA!$AJ:$AJ,Toimenpiteet!$Y$2,JA!CT:CT,$AF$4)+AA46+AD46+AG46+AJ46</f>
        <v>0</v>
      </c>
      <c r="F46" s="400">
        <f>IFERROR(E46/E$44,0)</f>
        <v>0</v>
      </c>
      <c r="G46" s="311"/>
      <c r="H46" s="312"/>
      <c r="I46" s="312"/>
      <c r="J46" s="312"/>
      <c r="K46" s="312"/>
      <c r="L46" s="313"/>
      <c r="M46" s="52"/>
      <c r="Q46" s="78"/>
      <c r="R46" s="78"/>
      <c r="S46" s="78"/>
      <c r="T46" s="41"/>
      <c r="X46" t="s">
        <v>368</v>
      </c>
      <c r="AU46" s="907"/>
    </row>
    <row r="47" spans="1:47" x14ac:dyDescent="0.25">
      <c r="A47" s="1044"/>
      <c r="B47" s="911" t="s">
        <v>369</v>
      </c>
      <c r="C47" s="310">
        <f>SUMIFS(JA!$Z:$Z,JA!$AE:$AE,"OK",JA!$AT:$AT,Toimenpiteet!$X47,JA!$AX:$AX,Toimenpiteet!$Y$6,JA!$CI:$CI,Toimenpiteet!$Y$1,JA!$BE:$BE,Toimenpiteet!$Y$5,JA!$AI:$AI,Toimenpiteet!$Y$4,JA!$AJ:$AJ,Toimenpiteet!$Y$2,JA!CT:CT,$AF$4)+Z47+AC47+AF47+AI47</f>
        <v>0</v>
      </c>
      <c r="D47" s="400">
        <f t="shared" ref="D47:D76" si="0">IFERROR(C47/C$44,0)</f>
        <v>0</v>
      </c>
      <c r="E47" s="310">
        <f>SUMIFS(JA!$Z:$Z,JA!$AE:$AE,"OK",JA!$AT:$AT,Toimenpiteet!$X47,JA!$AU:$AU,Toimenpiteet!$X$8,JA!$AX:$AX,Toimenpiteet!$Y$6,JA!$CI:$CI,Toimenpiteet!$Y$1,JA!$BE:$BE,Toimenpiteet!$Y$5,JA!$AI:$AI,Toimenpiteet!$Y$4,JA!$AJ:$AJ,Toimenpiteet!$Y$2,JA!CT:CT,$AF$4)+AA47+AD47+AG47+AJ47</f>
        <v>0</v>
      </c>
      <c r="F47" s="400">
        <f t="shared" ref="F47:F76" si="1">IFERROR(E47/E$44,0)</f>
        <v>0</v>
      </c>
      <c r="G47" s="237"/>
      <c r="H47" s="234"/>
      <c r="I47" s="234"/>
      <c r="J47" s="234"/>
      <c r="K47" s="234"/>
      <c r="L47" s="238"/>
      <c r="M47" s="52"/>
      <c r="R47" s="78"/>
      <c r="S47" s="78"/>
      <c r="T47" s="41"/>
      <c r="X47" t="s">
        <v>370</v>
      </c>
      <c r="AU47" s="907"/>
    </row>
    <row r="48" spans="1:47" x14ac:dyDescent="0.25">
      <c r="A48" s="1044"/>
      <c r="B48" s="911" t="s">
        <v>371</v>
      </c>
      <c r="C48" s="310">
        <f>SUMIFS(JA!$Z:$Z,JA!$AE:$AE,"OK",JA!$AT:$AT,Toimenpiteet!$X48,JA!$AX:$AX,Toimenpiteet!$Y$6,JA!$CI:$CI,Toimenpiteet!$Y$1,JA!$BE:$BE,Toimenpiteet!$Y$5,JA!$AI:$AI,Toimenpiteet!$Y$4,JA!$AJ:$AJ,Toimenpiteet!$Y$2,JA!CT:CT,$AF$4)+Z48+AC48+AF48+AI48</f>
        <v>0</v>
      </c>
      <c r="D48" s="400">
        <f t="shared" si="0"/>
        <v>0</v>
      </c>
      <c r="E48" s="310">
        <f>SUMIFS(JA!$Z:$Z,JA!$AE:$AE,"OK",JA!$AT:$AT,Toimenpiteet!$X48,JA!$AU:$AU,Toimenpiteet!$X$8,JA!$AX:$AX,Toimenpiteet!$Y$6,JA!$CI:$CI,Toimenpiteet!$Y$1,JA!$BE:$BE,Toimenpiteet!$Y$5,JA!$AI:$AI,Toimenpiteet!$Y$4,JA!$AJ:$AJ,Toimenpiteet!$Y$2,JA!CT:CT,$AF$4)+AA48+AD48+AG48+AJ48</f>
        <v>0</v>
      </c>
      <c r="F48" s="400">
        <f t="shared" si="1"/>
        <v>0</v>
      </c>
      <c r="G48" s="237"/>
      <c r="H48" s="234"/>
      <c r="I48" s="234"/>
      <c r="J48" s="234"/>
      <c r="K48" s="234"/>
      <c r="L48" s="238"/>
      <c r="M48" s="52"/>
      <c r="R48" s="78"/>
      <c r="T48" s="41"/>
      <c r="X48" t="s">
        <v>372</v>
      </c>
      <c r="AU48" s="907"/>
    </row>
    <row r="49" spans="1:47" x14ac:dyDescent="0.25">
      <c r="A49" s="1044"/>
      <c r="B49" s="911" t="s">
        <v>373</v>
      </c>
      <c r="C49" s="310">
        <f>SUMIFS(JA!$Z:$Z,JA!$AE:$AE,"OK",JA!$AT:$AT,Toimenpiteet!$X49,JA!$AX:$AX,Toimenpiteet!$Y$6,JA!$CI:$CI,Toimenpiteet!$Y$1,JA!$BE:$BE,Toimenpiteet!$Y$5,JA!$AI:$AI,Toimenpiteet!$Y$4,JA!$AJ:$AJ,Toimenpiteet!$Y$2,JA!CT:CT,$AF$4)+Z49+AC49+AF49+AI49</f>
        <v>0</v>
      </c>
      <c r="D49" s="400">
        <f t="shared" si="0"/>
        <v>0</v>
      </c>
      <c r="E49" s="310">
        <f>SUMIFS(JA!$Z:$Z,JA!$AE:$AE,"OK",JA!$AT:$AT,Toimenpiteet!$X49,JA!$AU:$AU,Toimenpiteet!$X$8,JA!$AX:$AX,Toimenpiteet!$Y$6,JA!$CI:$CI,Toimenpiteet!$Y$1,JA!$BE:$BE,Toimenpiteet!$Y$5,JA!$AI:$AI,Toimenpiteet!$Y$4,JA!$AJ:$AJ,Toimenpiteet!$Y$2,JA!CT:CT,$AF$4)+AA49+AD49+AG49+AJ49</f>
        <v>0</v>
      </c>
      <c r="F49" s="400">
        <f t="shared" si="1"/>
        <v>0</v>
      </c>
      <c r="G49" s="237"/>
      <c r="H49" s="234"/>
      <c r="I49" s="234"/>
      <c r="J49" s="234"/>
      <c r="K49" s="234"/>
      <c r="L49" s="238"/>
      <c r="M49" s="52"/>
      <c r="R49" s="78"/>
      <c r="T49" s="41"/>
      <c r="X49" t="s">
        <v>374</v>
      </c>
      <c r="AE49" s="228"/>
      <c r="AU49" s="907"/>
    </row>
    <row r="50" spans="1:47" x14ac:dyDescent="0.25">
      <c r="A50" s="1044"/>
      <c r="B50" s="914" t="s">
        <v>375</v>
      </c>
      <c r="C50" s="310">
        <f>SUMIFS(JA!$Z:$Z,JA!$AE:$AE,"OK",JA!$AT:$AT,Toimenpiteet!$X50,JA!$AX:$AX,Toimenpiteet!$Y$6,JA!$CI:$CI,Toimenpiteet!$Y$1,JA!$BE:$BE,Toimenpiteet!$Y$5,JA!$AI:$AI,Toimenpiteet!$Y$4,JA!$AJ:$AJ,Toimenpiteet!$Y$2,JA!CT:CT,$AF$4)+Z50+AC50+AF50+AI50</f>
        <v>0</v>
      </c>
      <c r="D50" s="400">
        <f t="shared" si="0"/>
        <v>0</v>
      </c>
      <c r="E50" s="310">
        <f>SUMIFS(JA!$Z:$Z,JA!$AE:$AE,"OK",JA!$AT:$AT,Toimenpiteet!$X50,JA!$AU:$AU,Toimenpiteet!$X$8,JA!$AX:$AX,Toimenpiteet!$Y$6,JA!$CI:$CI,Toimenpiteet!$Y$1,JA!$BE:$BE,Toimenpiteet!$Y$5,JA!$AI:$AI,Toimenpiteet!$Y$4,JA!$AJ:$AJ,Toimenpiteet!$Y$2,JA!CT:CT,$AF$4)+AA50+AD50+AG50+AJ50</f>
        <v>0</v>
      </c>
      <c r="F50" s="400">
        <f t="shared" si="1"/>
        <v>0</v>
      </c>
      <c r="G50" s="237"/>
      <c r="H50" s="234"/>
      <c r="I50" s="234"/>
      <c r="J50" s="234"/>
      <c r="K50" s="234"/>
      <c r="L50" s="238"/>
      <c r="M50" s="52"/>
      <c r="R50" s="78"/>
      <c r="T50" s="41"/>
      <c r="X50" t="s">
        <v>376</v>
      </c>
      <c r="Z50" s="469">
        <f>SUMIFS(JA!$Z:$Z,JA!$AE:$AE,"OK",JA!$AT:$AT,Toimenpiteet!$AB50,JA!$AX:$AX,Toimenpiteet!$Y$6,JA!$CI:$CI,Toimenpiteet!$Y$1,JA!$BE:$BE,Toimenpiteet!$Y$5,JA!$AI:$AI,Toimenpiteet!$Y$4,JA!$AJ:$AJ,Toimenpiteet!$Y$2,JA!CT:CT,$AF$4)</f>
        <v>0</v>
      </c>
      <c r="AA50" s="469">
        <f>SUMIFS(JA!$Z:$Z,JA!$AE:$AE,"OK",JA!$AT:$AT,Toimenpiteet!$AB50,JA!$AU:$AU,Toimenpiteet!$X$8,JA!$AX:$AX,Toimenpiteet!$Y$6,JA!$CI:$CI,Toimenpiteet!$Y$1,JA!$BE:$BE,Toimenpiteet!$Y$5,JA!$AI:$AI,Toimenpiteet!$Y$4,JA!$AJ:$AJ,Toimenpiteet!$Y$2,JA!CT:CT,$AF$4)</f>
        <v>0</v>
      </c>
      <c r="AB50" s="86" t="s">
        <v>377</v>
      </c>
      <c r="AC50" s="469">
        <f>SUMIFS(JA!$Z:$Z,JA!$AE:$AE,"OK",JA!$AT:$AT,Toimenpiteet!$AE50,JA!$AX:$AX,Toimenpiteet!$Y$6,JA!$CI:$CI,Toimenpiteet!$Y$1,JA!$BE:$BE,Toimenpiteet!$Y$5,JA!$AI:$AI,Toimenpiteet!$Y$4,JA!$AJ:$AJ,Toimenpiteet!$Y$2,JA!CT:CT,$AF$4)</f>
        <v>0</v>
      </c>
      <c r="AD50" s="469">
        <f>SUMIFS(JA!$Z:$Z,JA!$AE:$AE,"OK",JA!$AT:$AT,Toimenpiteet!$AE50,JA!$AU:$AU,Toimenpiteet!$X$8,JA!$AX:$AX,Toimenpiteet!$Y$6,JA!$CI:$CI,Toimenpiteet!$Y$1,JA!$BE:$BE,Toimenpiteet!$Y$5,JA!$AI:$AI,Toimenpiteet!$Y$4,JA!$AJ:$AJ,Toimenpiteet!$Y$2,JA!CT:CT,$AF$4)</f>
        <v>0</v>
      </c>
      <c r="AE50" s="86" t="s">
        <v>378</v>
      </c>
      <c r="AF50" s="469">
        <f>SUMIFS(JA!$Z:$Z,JA!$AE:$AE,"OK",JA!$AT:$AT,Toimenpiteet!$AH50,JA!$AX:$AX,Toimenpiteet!$Y$6,JA!$CI:$CI,Toimenpiteet!$Y$1,JA!$BE:$BE,Toimenpiteet!$Y$5,JA!$AI:$AI,Toimenpiteet!$Y$4,JA!$AJ:$AJ,Toimenpiteet!$Y$2,JA!CT:CT,$AF$4)</f>
        <v>0</v>
      </c>
      <c r="AG50" s="469">
        <f>SUMIFS(JA!$Z:$Z,JA!$AE:$AE,"OK",JA!$AT:$AT,Toimenpiteet!$AH50,JA!$AU:$AU,Toimenpiteet!$X$8,JA!$AX:$AX,Toimenpiteet!$Y$6,JA!$CI:$CI,Toimenpiteet!$Y$1,JA!$BE:$BE,Toimenpiteet!$Y$5,JA!$AI:$AI,Toimenpiteet!$Y$4,JA!$AJ:$AJ,Toimenpiteet!$Y$2,JA!CT:CT,$AF$4)</f>
        <v>0</v>
      </c>
      <c r="AH50" s="477" t="s">
        <v>379</v>
      </c>
      <c r="AU50" s="907"/>
    </row>
    <row r="51" spans="1:47" x14ac:dyDescent="0.25">
      <c r="A51" s="1043" t="s">
        <v>380</v>
      </c>
      <c r="B51" s="912" t="s">
        <v>381</v>
      </c>
      <c r="C51" s="310">
        <f>SUMIFS(JA!$Z:$Z,JA!$AE:$AE,"OK",JA!$AT:$AT,Toimenpiteet!$X51,JA!$AX:$AX,Toimenpiteet!$Y$6,JA!$CI:$CI,Toimenpiteet!$Y$1,JA!$BE:$BE,Toimenpiteet!$Y$5,JA!$AI:$AI,Toimenpiteet!$Y$4,JA!$AJ:$AJ,Toimenpiteet!$Y$2,JA!CT:CT,$AF$4)+Z51+AC51+AF51+AI51</f>
        <v>0</v>
      </c>
      <c r="D51" s="400">
        <f t="shared" si="0"/>
        <v>0</v>
      </c>
      <c r="E51" s="310">
        <f>SUMIFS(JA!$Z:$Z,JA!$AE:$AE,"OK",JA!$AT:$AT,Toimenpiteet!$X51,JA!$AU:$AU,Toimenpiteet!$X$8,JA!$AX:$AX,Toimenpiteet!$Y$6,JA!$CI:$CI,Toimenpiteet!$Y$1,JA!$BE:$BE,Toimenpiteet!$Y$5,JA!$AI:$AI,Toimenpiteet!$Y$4,JA!$AJ:$AJ,Toimenpiteet!$Y$2,JA!CT:CT,$AF$4)+AA51+AD51+AG51+AJ51</f>
        <v>0</v>
      </c>
      <c r="F51" s="400">
        <f t="shared" si="1"/>
        <v>0</v>
      </c>
      <c r="G51" s="311"/>
      <c r="H51" s="312"/>
      <c r="I51" s="312"/>
      <c r="J51" s="234"/>
      <c r="K51" s="234"/>
      <c r="L51" s="238"/>
      <c r="M51" s="52"/>
      <c r="R51" s="78"/>
      <c r="T51" s="41"/>
      <c r="X51" t="s">
        <v>382</v>
      </c>
      <c r="Z51" s="469">
        <f>SUMIFS(JA!$Z:$Z,JA!$AE:$AE,"OK",JA!$AT:$AT,Toimenpiteet!$AB51,JA!$AX:$AX,Toimenpiteet!$Y$6,JA!$CI:$CI,Toimenpiteet!$Y$1,JA!$BE:$BE,Toimenpiteet!$Y$5,JA!$AI:$AI,Toimenpiteet!$Y$4,JA!$AJ:$AJ,Toimenpiteet!$Y$2,JA!CT:CT,$AF$4)</f>
        <v>0</v>
      </c>
      <c r="AA51" s="469">
        <f>SUMIFS(JA!$Z:$Z,JA!$AE:$AE,"OK",JA!$AT:$AT,Toimenpiteet!$AB51,JA!$AU:$AU,Toimenpiteet!$X$8,JA!$AX:$AX,Toimenpiteet!$Y$6,JA!$CI:$CI,Toimenpiteet!$Y$1,JA!$BE:$BE,Toimenpiteet!$Y$5,JA!$AI:$AI,Toimenpiteet!$Y$4,JA!$AJ:$AJ,Toimenpiteet!$Y$2,JA!CT:CT,$AF$4)</f>
        <v>0</v>
      </c>
      <c r="AB51" s="86" t="s">
        <v>383</v>
      </c>
      <c r="AC51" s="469">
        <f>SUMIFS(JA!$Z:$Z,JA!$AE:$AE,"OK",JA!$AT:$AT,Toimenpiteet!$AE51,JA!$AX:$AX,Toimenpiteet!$Y$6,JA!$CI:$CI,Toimenpiteet!$Y$1,JA!$BE:$BE,Toimenpiteet!$Y$5,JA!$AI:$AI,Toimenpiteet!$Y$4,JA!$AJ:$AJ,Toimenpiteet!$Y$2,JA!CT:CT,$AF$4)</f>
        <v>0</v>
      </c>
      <c r="AD51" s="469">
        <f>SUMIFS(JA!$Z:$Z,JA!$AE:$AE,"OK",JA!$AT:$AT,Toimenpiteet!$AE51,JA!$AU:$AU,Toimenpiteet!$X$8,JA!$AX:$AX,Toimenpiteet!$Y$6,JA!$CI:$CI,Toimenpiteet!$Y$1,JA!$BE:$BE,Toimenpiteet!$Y$5,JA!$AI:$AI,Toimenpiteet!$Y$4,JA!$AJ:$AJ,Toimenpiteet!$Y$2,JA!CT:CT,$AF$4)</f>
        <v>0</v>
      </c>
      <c r="AE51" s="228"/>
      <c r="AF51" s="469">
        <f>SUMIFS(JA!$Z:$Z,JA!$AE:$AE,"OK",JA!$AT:$AT,Toimenpiteet!$AH51,JA!$AX:$AX,Toimenpiteet!$Y$6,JA!$CI:$CI,Toimenpiteet!$Y$1,JA!$BE:$BE,Toimenpiteet!$Y$5,JA!$AI:$AI,Toimenpiteet!$Y$4,JA!$AJ:$AJ,Toimenpiteet!$Y$2,JA!CT:CT,$AF$4)</f>
        <v>0</v>
      </c>
      <c r="AG51" s="469">
        <f>SUMIFS(JA!$Z:$Z,JA!$AE:$AE,"OK",JA!$AT:$AT,Toimenpiteet!$AH51,JA!$AU:$AU,Toimenpiteet!$X$8,JA!$AX:$AX,Toimenpiteet!$Y$6,JA!$CI:$CI,Toimenpiteet!$Y$1,JA!$BE:$BE,Toimenpiteet!$Y$5,JA!$AI:$AI,Toimenpiteet!$Y$4,JA!$AJ:$AJ,Toimenpiteet!$Y$2,JA!CT:CT,$AF$4)</f>
        <v>0</v>
      </c>
      <c r="AU51" s="907"/>
    </row>
    <row r="52" spans="1:47" x14ac:dyDescent="0.25">
      <c r="A52" s="1044"/>
      <c r="B52" s="913" t="s">
        <v>384</v>
      </c>
      <c r="C52" s="310">
        <f>SUMIFS(JA!$Z:$Z,JA!$AE:$AE,"OK",JA!$AT:$AT,Toimenpiteet!$X52,JA!$AX:$AX,Toimenpiteet!$Y$6,JA!$CI:$CI,Toimenpiteet!$Y$1,JA!$BE:$BE,Toimenpiteet!$Y$5,JA!$AI:$AI,Toimenpiteet!$Y$4,JA!$AJ:$AJ,Toimenpiteet!$Y$2,JA!CT:CT,$AF$4)+Z52+AC52+AF52+AI52</f>
        <v>0</v>
      </c>
      <c r="D52" s="400">
        <f t="shared" si="0"/>
        <v>0</v>
      </c>
      <c r="E52" s="310">
        <f>SUMIFS(JA!$Z:$Z,JA!$AE:$AE,"OK",JA!$AT:$AT,Toimenpiteet!$X52,JA!$AU:$AU,Toimenpiteet!$X$8,JA!$AX:$AX,Toimenpiteet!$Y$6,JA!$CI:$CI,Toimenpiteet!$Y$1,JA!$BE:$BE,Toimenpiteet!$Y$5,JA!$AI:$AI,Toimenpiteet!$Y$4,JA!$AJ:$AJ,Toimenpiteet!$Y$2,JA!CT:CT,$AF$4)+AA52+AD52+AG52+AJ52</f>
        <v>0</v>
      </c>
      <c r="F52" s="400">
        <f t="shared" si="1"/>
        <v>0</v>
      </c>
      <c r="G52" s="311"/>
      <c r="H52" s="312"/>
      <c r="I52" s="312"/>
      <c r="J52" s="234"/>
      <c r="K52" s="234"/>
      <c r="L52" s="238"/>
      <c r="M52" s="52"/>
      <c r="R52" s="78"/>
      <c r="T52" s="41"/>
      <c r="X52" t="s">
        <v>385</v>
      </c>
      <c r="Z52" s="469">
        <f>SUMIFS(JA!$Z:$Z,JA!$AE:$AE,"OK",JA!$AT:$AT,Toimenpiteet!$AB52,JA!$AX:$AX,Toimenpiteet!$Y$6,JA!$CI:$CI,Toimenpiteet!$Y$1,JA!$BE:$BE,Toimenpiteet!$Y$5,JA!$AI:$AI,Toimenpiteet!$Y$4,JA!$AJ:$AJ,Toimenpiteet!$Y$2,JA!CT:CT,$AF$4)</f>
        <v>0</v>
      </c>
      <c r="AA52" s="469">
        <f>SUMIFS(JA!$Z:$Z,JA!$AE:$AE,"OK",JA!$AT:$AT,Toimenpiteet!$AB52,JA!$AU:$AU,Toimenpiteet!$X$8,JA!$AX:$AX,Toimenpiteet!$Y$6,JA!$CI:$CI,Toimenpiteet!$Y$1,JA!$BE:$BE,Toimenpiteet!$Y$5,JA!$AI:$AI,Toimenpiteet!$Y$4,JA!$AJ:$AJ,Toimenpiteet!$Y$2,JA!CT:CT,$AF$4)</f>
        <v>0</v>
      </c>
      <c r="AC52" s="469">
        <f>SUMIFS(JA!$Z:$Z,JA!$AE:$AE,"OK",JA!$AT:$AT,Toimenpiteet!$AE52,JA!$AX:$AX,Toimenpiteet!$Y$6,JA!$CI:$CI,Toimenpiteet!$Y$1,JA!$BE:$BE,Toimenpiteet!$Y$5,JA!$AI:$AI,Toimenpiteet!$Y$4,JA!$AJ:$AJ,Toimenpiteet!$Y$2,JA!CT:CT,$AF$4)</f>
        <v>0</v>
      </c>
      <c r="AD52" s="469">
        <f>SUMIFS(JA!$Z:$Z,JA!$AE:$AE,"OK",JA!$AT:$AT,Toimenpiteet!$AE52,JA!$AU:$AU,Toimenpiteet!$X$8,JA!$AX:$AX,Toimenpiteet!$Y$6,JA!$CI:$CI,Toimenpiteet!$Y$1,JA!$BE:$BE,Toimenpiteet!$Y$5,JA!$AI:$AI,Toimenpiteet!$Y$4,JA!$AJ:$AJ,Toimenpiteet!$Y$2,JA!CT:CT,$AF$4)</f>
        <v>0</v>
      </c>
      <c r="AF52" s="469">
        <f>SUMIFS(JA!$Z:$Z,JA!$AE:$AE,"OK",JA!$AT:$AT,Toimenpiteet!$AH52,JA!$AX:$AX,Toimenpiteet!$Y$6,JA!$CI:$CI,Toimenpiteet!$Y$1,JA!$BE:$BE,Toimenpiteet!$Y$5,JA!$AI:$AI,Toimenpiteet!$Y$4,JA!$AJ:$AJ,Toimenpiteet!$Y$2,JA!CT:CT,$AF$4)</f>
        <v>0</v>
      </c>
      <c r="AG52" s="469">
        <f>SUMIFS(JA!$Z:$Z,JA!$AE:$AE,"OK",JA!$AT:$AT,Toimenpiteet!$AH52,JA!$AU:$AU,Toimenpiteet!$X$8,JA!$AX:$AX,Toimenpiteet!$Y$6,JA!$CI:$CI,Toimenpiteet!$Y$1,JA!$BE:$BE,Toimenpiteet!$Y$5,JA!$AI:$AI,Toimenpiteet!$Y$4,JA!$AJ:$AJ,Toimenpiteet!$Y$2,JA!CT:CT,$AF$4)</f>
        <v>0</v>
      </c>
      <c r="AU52" s="907"/>
    </row>
    <row r="53" spans="1:47" x14ac:dyDescent="0.25">
      <c r="A53" s="1044"/>
      <c r="B53" s="911" t="s">
        <v>1872</v>
      </c>
      <c r="C53" s="310">
        <f>SUMIFS(JA!$Z:$Z,JA!$AE:$AE,"OK",JA!$AT:$AT,Toimenpiteet!$X53,JA!$AX:$AX,Toimenpiteet!$Y$6,JA!$CI:$CI,Toimenpiteet!$Y$1,JA!$BE:$BE,Toimenpiteet!$Y$5,JA!$AI:$AI,Toimenpiteet!$Y$4,JA!$AJ:$AJ,Toimenpiteet!$Y$2,JA!CT:CT,$AF$4)+Z53+AC53+AF53+AI53</f>
        <v>0</v>
      </c>
      <c r="D53" s="400">
        <f t="shared" si="0"/>
        <v>0</v>
      </c>
      <c r="E53" s="310">
        <f>SUMIFS(JA!$Z:$Z,JA!$AE:$AE,"OK",JA!$AT:$AT,Toimenpiteet!$X53,JA!$AU:$AU,Toimenpiteet!$X$8,JA!$AX:$AX,Toimenpiteet!$Y$6,JA!$CI:$CI,Toimenpiteet!$Y$1,JA!$BE:$BE,Toimenpiteet!$Y$5,JA!$AI:$AI,Toimenpiteet!$Y$4,JA!$AJ:$AJ,Toimenpiteet!$Y$2,JA!CT:CT,$AF$4)+AA53+AD53+AG53+AJ53</f>
        <v>0</v>
      </c>
      <c r="F53" s="400">
        <f t="shared" si="1"/>
        <v>0</v>
      </c>
      <c r="G53" s="311"/>
      <c r="H53" s="312"/>
      <c r="I53" s="312"/>
      <c r="J53" s="234"/>
      <c r="K53" s="234"/>
      <c r="L53" s="238"/>
      <c r="M53" s="52"/>
      <c r="R53" s="78"/>
      <c r="T53" s="41"/>
      <c r="X53" t="s">
        <v>1871</v>
      </c>
      <c r="Z53" s="469">
        <f>SUMIFS(JA!$Z:$Z,JA!$AE:$AE,"OK",JA!$AT:$AT,Toimenpiteet!$AB53,JA!$AX:$AX,Toimenpiteet!$Y$6,JA!$CI:$CI,Toimenpiteet!$Y$1,JA!$BE:$BE,Toimenpiteet!$Y$5,JA!$AI:$AI,Toimenpiteet!$Y$4,JA!$AJ:$AJ,Toimenpiteet!$Y$2,JA!CT:CT,$AF$4)</f>
        <v>0</v>
      </c>
      <c r="AA53" s="469">
        <f>SUMIFS(JA!$Z:$Z,JA!$AE:$AE,"OK",JA!$AT:$AT,Toimenpiteet!$AB53,JA!$AU:$AU,Toimenpiteet!$X$8,JA!$AX:$AX,Toimenpiteet!$Y$6,JA!$CI:$CI,Toimenpiteet!$Y$1,JA!$BE:$BE,Toimenpiteet!$Y$5,JA!$AI:$AI,Toimenpiteet!$Y$4,JA!$AJ:$AJ,Toimenpiteet!$Y$2,JA!CT:CT,$AF$4)</f>
        <v>0</v>
      </c>
      <c r="AB53" s="86" t="s">
        <v>387</v>
      </c>
      <c r="AC53" s="469">
        <f>SUMIFS(JA!$Z:$Z,JA!$AE:$AE,"OK",JA!$AT:$AT,Toimenpiteet!$AE53,JA!$AX:$AX,Toimenpiteet!$Y$6,JA!$CI:$CI,Toimenpiteet!$Y$1,JA!$BE:$BE,Toimenpiteet!$Y$5,JA!$AI:$AI,Toimenpiteet!$Y$4,JA!$AJ:$AJ,Toimenpiteet!$Y$2,JA!CT:CT,$AF$4)</f>
        <v>0</v>
      </c>
      <c r="AD53" s="469">
        <f>SUMIFS(JA!$Z:$Z,JA!$AE:$AE,"OK",JA!$AT:$AT,Toimenpiteet!$AE53,JA!$AU:$AU,Toimenpiteet!$X$8,JA!$AX:$AX,Toimenpiteet!$Y$6,JA!$CI:$CI,Toimenpiteet!$Y$1,JA!$BE:$BE,Toimenpiteet!$Y$5,JA!$AI:$AI,Toimenpiteet!$Y$4,JA!$AJ:$AJ,Toimenpiteet!$Y$2,JA!CT:CT,$AF$4)</f>
        <v>0</v>
      </c>
      <c r="AE53" s="86" t="s">
        <v>388</v>
      </c>
      <c r="AF53" s="469">
        <f>SUMIFS(JA!$Z:$Z,JA!$AE:$AE,"OK",JA!$AT:$AT,Toimenpiteet!$AH53,JA!$AX:$AX,Toimenpiteet!$Y$6,JA!$CI:$CI,Toimenpiteet!$Y$1,JA!$BE:$BE,Toimenpiteet!$Y$5,JA!$AI:$AI,Toimenpiteet!$Y$4,JA!$AJ:$AJ,Toimenpiteet!$Y$2,JA!CT:CT,$AF$4)</f>
        <v>0</v>
      </c>
      <c r="AG53" s="469">
        <f>SUMIFS(JA!$Z:$Z,JA!$AE:$AE,"OK",JA!$AT:$AT,Toimenpiteet!$AH53,JA!$AU:$AU,Toimenpiteet!$X$8,JA!$AX:$AX,Toimenpiteet!$Y$6,JA!$CI:$CI,Toimenpiteet!$Y$1,JA!$BE:$BE,Toimenpiteet!$Y$5,JA!$AI:$AI,Toimenpiteet!$Y$4,JA!$AJ:$AJ,Toimenpiteet!$Y$2,JA!CT:CT,$AF$4)</f>
        <v>0</v>
      </c>
      <c r="AU53" s="907"/>
    </row>
    <row r="54" spans="1:47" x14ac:dyDescent="0.25">
      <c r="A54" s="1044"/>
      <c r="B54" s="911" t="s">
        <v>389</v>
      </c>
      <c r="C54" s="310">
        <f>SUMIFS(JA!$Z:$Z,JA!$AE:$AE,"OK",JA!$AT:$AT,Toimenpiteet!$X54,JA!$AX:$AX,Toimenpiteet!$Y$6,JA!$CI:$CI,Toimenpiteet!$Y$1,JA!$BE:$BE,Toimenpiteet!$Y$5,JA!$AI:$AI,Toimenpiteet!$Y$4,JA!$AJ:$AJ,Toimenpiteet!$Y$2,JA!CT:CT,$AF$4)+Z54+AC54+AF54+AI54</f>
        <v>0</v>
      </c>
      <c r="D54" s="400">
        <f t="shared" si="0"/>
        <v>0</v>
      </c>
      <c r="E54" s="310">
        <f>SUMIFS(JA!$Z:$Z,JA!$AE:$AE,"OK",JA!$AT:$AT,Toimenpiteet!$X54,JA!$AU:$AU,Toimenpiteet!$X$8,JA!$AX:$AX,Toimenpiteet!$Y$6,JA!$CI:$CI,Toimenpiteet!$Y$1,JA!$BE:$BE,Toimenpiteet!$Y$5,JA!$AI:$AI,Toimenpiteet!$Y$4,JA!$AJ:$AJ,Toimenpiteet!$Y$2,JA!CT:CT,$AF$4)+AA54+AD54+AG54+AJ54</f>
        <v>0</v>
      </c>
      <c r="F54" s="400">
        <f t="shared" si="1"/>
        <v>0</v>
      </c>
      <c r="G54" s="311"/>
      <c r="H54" s="312"/>
      <c r="I54" s="312"/>
      <c r="J54" s="234"/>
      <c r="K54" s="234"/>
      <c r="L54" s="238"/>
      <c r="M54" s="52"/>
      <c r="R54" s="78"/>
      <c r="T54" s="41"/>
      <c r="X54" s="86" t="s">
        <v>390</v>
      </c>
      <c r="Z54" s="469">
        <f>SUMIFS(JA!$Z:$Z,JA!$AE:$AE,"OK",JA!$AT:$AT,Toimenpiteet!$AB54,JA!$AX:$AX,Toimenpiteet!$Y$6,JA!$CI:$CI,Toimenpiteet!$Y$1,JA!$BE:$BE,Toimenpiteet!$Y$5,JA!$AI:$AI,Toimenpiteet!$Y$4,JA!$AJ:$AJ,Toimenpiteet!$Y$2,JA!CT:CT,$AF$4)</f>
        <v>0</v>
      </c>
      <c r="AA54" s="469">
        <f>SUMIFS(JA!$Z:$Z,JA!$AE:$AE,"OK",JA!$AT:$AT,Toimenpiteet!$AB54,JA!$AU:$AU,Toimenpiteet!$X$8,JA!$AX:$AX,Toimenpiteet!$Y$6,JA!$CI:$CI,Toimenpiteet!$Y$1,JA!$BE:$BE,Toimenpiteet!$Y$5,JA!$AI:$AI,Toimenpiteet!$Y$4,JA!$AJ:$AJ,Toimenpiteet!$Y$2,JA!CT:CT,$AF$4)</f>
        <v>0</v>
      </c>
      <c r="AB54" s="86" t="s">
        <v>391</v>
      </c>
      <c r="AC54" s="469">
        <f>SUMIFS(JA!$Z:$Z,JA!$AE:$AE,"OK",JA!$AT:$AT,Toimenpiteet!$AE54,JA!$AX:$AX,Toimenpiteet!$Y$6,JA!$CI:$CI,Toimenpiteet!$Y$1,JA!$BE:$BE,Toimenpiteet!$Y$5,JA!$AI:$AI,Toimenpiteet!$Y$4,JA!$AJ:$AJ,Toimenpiteet!$Y$2,JA!CT:CT,$AF$4)</f>
        <v>0</v>
      </c>
      <c r="AD54" s="469">
        <f>SUMIFS(JA!$Z:$Z,JA!$AE:$AE,"OK",JA!$AT:$AT,Toimenpiteet!$AE54,JA!$AU:$AU,Toimenpiteet!$X$8,JA!$AX:$AX,Toimenpiteet!$Y$6,JA!$CI:$CI,Toimenpiteet!$Y$1,JA!$BE:$BE,Toimenpiteet!$Y$5,JA!$AI:$AI,Toimenpiteet!$Y$4,JA!$AJ:$AJ,Toimenpiteet!$Y$2,JA!CT:CT,$AF$4)</f>
        <v>0</v>
      </c>
      <c r="AF54" s="469">
        <f>SUMIFS(JA!$Z:$Z,JA!$AE:$AE,"OK",JA!$AT:$AT,Toimenpiteet!$AH54,JA!$AX:$AX,Toimenpiteet!$Y$6,JA!$CI:$CI,Toimenpiteet!$Y$1,JA!$BE:$BE,Toimenpiteet!$Y$5,JA!$AI:$AI,Toimenpiteet!$Y$4,JA!$AJ:$AJ,Toimenpiteet!$Y$2,JA!CT:CT,$AF$4)</f>
        <v>0</v>
      </c>
      <c r="AG54" s="469">
        <f>SUMIFS(JA!$Z:$Z,JA!$AE:$AE,"OK",JA!$AT:$AT,Toimenpiteet!$AH54,JA!$AU:$AU,Toimenpiteet!$X$8,JA!$AX:$AX,Toimenpiteet!$Y$6,JA!$CI:$CI,Toimenpiteet!$Y$1,JA!$BE:$BE,Toimenpiteet!$Y$5,JA!$AI:$AI,Toimenpiteet!$Y$4,JA!$AJ:$AJ,Toimenpiteet!$Y$2,JA!CT:CT,$AF$4)</f>
        <v>0</v>
      </c>
      <c r="AU54" s="907"/>
    </row>
    <row r="55" spans="1:47" x14ac:dyDescent="0.25">
      <c r="A55" s="1044"/>
      <c r="B55" s="911" t="s">
        <v>392</v>
      </c>
      <c r="C55" s="310">
        <f>SUMIFS(JA!$Z:$Z,JA!$AE:$AE,"OK",JA!$AT:$AT,Toimenpiteet!$X55,JA!$AX:$AX,Toimenpiteet!$Y$6,JA!$CI:$CI,Toimenpiteet!$Y$1,JA!$BE:$BE,Toimenpiteet!$Y$5,JA!$AI:$AI,Toimenpiteet!$Y$4,JA!$AJ:$AJ,Toimenpiteet!$Y$2,JA!CT:CT,$AF$4)+Z55+AC55+AF55+AI55</f>
        <v>0</v>
      </c>
      <c r="D55" s="400">
        <f t="shared" si="0"/>
        <v>0</v>
      </c>
      <c r="E55" s="310">
        <f>SUMIFS(JA!$Z:$Z,JA!$AE:$AE,"OK",JA!$AT:$AT,Toimenpiteet!$X55,JA!$AU:$AU,Toimenpiteet!$X$8,JA!$AX:$AX,Toimenpiteet!$Y$6,JA!$CI:$CI,Toimenpiteet!$Y$1,JA!$BE:$BE,Toimenpiteet!$Y$5,JA!$AI:$AI,Toimenpiteet!$Y$4,JA!$AJ:$AJ,Toimenpiteet!$Y$2,JA!CT:CT,$AF$4)+AA55+AD55+AG55+AJ55</f>
        <v>0</v>
      </c>
      <c r="F55" s="400">
        <f t="shared" si="1"/>
        <v>0</v>
      </c>
      <c r="G55" s="311"/>
      <c r="H55" s="312"/>
      <c r="I55" s="312"/>
      <c r="J55" s="234"/>
      <c r="K55" s="234"/>
      <c r="L55" s="238"/>
      <c r="M55" s="52"/>
      <c r="R55" s="78"/>
      <c r="T55" s="41"/>
      <c r="X55" t="s">
        <v>393</v>
      </c>
      <c r="Z55" s="469">
        <f>SUMIFS(JA!$Z:$Z,JA!$AE:$AE,"OK",JA!$AT:$AT,Toimenpiteet!$AB55,JA!$AX:$AX,Toimenpiteet!$Y$6,JA!$CI:$CI,Toimenpiteet!$Y$1,JA!$BE:$BE,Toimenpiteet!$Y$5,JA!$AI:$AI,Toimenpiteet!$Y$4,JA!$AJ:$AJ,Toimenpiteet!$Y$2,JA!CT:CT,$AF$4)</f>
        <v>0</v>
      </c>
      <c r="AA55" s="469">
        <f>SUMIFS(JA!$Z:$Z,JA!$AE:$AE,"OK",JA!$AT:$AT,Toimenpiteet!$AB55,JA!$AU:$AU,Toimenpiteet!$X$8,JA!$AX:$AX,Toimenpiteet!$Y$6,JA!$CI:$CI,Toimenpiteet!$Y$1,JA!$BE:$BE,Toimenpiteet!$Y$5,JA!$AI:$AI,Toimenpiteet!$Y$4,JA!$AJ:$AJ,Toimenpiteet!$Y$2,JA!CT:CT,$AF$4)</f>
        <v>0</v>
      </c>
      <c r="AC55" s="469">
        <f>SUMIFS(JA!$Z:$Z,JA!$AE:$AE,"OK",JA!$AT:$AT,Toimenpiteet!$AE55,JA!$AX:$AX,Toimenpiteet!$Y$6,JA!$CI:$CI,Toimenpiteet!$Y$1,JA!$BE:$BE,Toimenpiteet!$Y$5,JA!$AI:$AI,Toimenpiteet!$Y$4,JA!$AJ:$AJ,Toimenpiteet!$Y$2,JA!CT:CT,$AF$4)</f>
        <v>0</v>
      </c>
      <c r="AD55" s="469">
        <f>SUMIFS(JA!$Z:$Z,JA!$AE:$AE,"OK",JA!$AT:$AT,Toimenpiteet!$AE55,JA!$AU:$AU,Toimenpiteet!$X$8,JA!$AX:$AX,Toimenpiteet!$Y$6,JA!$CI:$CI,Toimenpiteet!$Y$1,JA!$BE:$BE,Toimenpiteet!$Y$5,JA!$AI:$AI,Toimenpiteet!$Y$4,JA!$AJ:$AJ,Toimenpiteet!$Y$2,JA!CT:CT,$AF$4)</f>
        <v>0</v>
      </c>
      <c r="AF55" s="469">
        <f>SUMIFS(JA!$Z:$Z,JA!$AE:$AE,"OK",JA!$AT:$AT,Toimenpiteet!$AH55,JA!$AX:$AX,Toimenpiteet!$Y$6,JA!$CI:$CI,Toimenpiteet!$Y$1,JA!$BE:$BE,Toimenpiteet!$Y$5,JA!$AI:$AI,Toimenpiteet!$Y$4,JA!$AJ:$AJ,Toimenpiteet!$Y$2,JA!CT:CT,$AF$4)</f>
        <v>0</v>
      </c>
      <c r="AG55" s="469">
        <f>SUMIFS(JA!$Z:$Z,JA!$AE:$AE,"OK",JA!$AT:$AT,Toimenpiteet!$AH55,JA!$AU:$AU,Toimenpiteet!$X$8,JA!$AX:$AX,Toimenpiteet!$Y$6,JA!$CI:$CI,Toimenpiteet!$Y$1,JA!$BE:$BE,Toimenpiteet!$Y$5,JA!$AI:$AI,Toimenpiteet!$Y$4,JA!$AJ:$AJ,Toimenpiteet!$Y$2,JA!CT:CT,$AF$4)</f>
        <v>0</v>
      </c>
      <c r="AU55" s="907"/>
    </row>
    <row r="56" spans="1:47" x14ac:dyDescent="0.25">
      <c r="A56" s="1044"/>
      <c r="B56" s="911" t="s">
        <v>394</v>
      </c>
      <c r="C56" s="310">
        <f>SUMIFS(JA!$Z:$Z,JA!$AE:$AE,"OK",JA!$AT:$AT,Toimenpiteet!$X56,JA!$AX:$AX,Toimenpiteet!$Y$6,JA!$CI:$CI,Toimenpiteet!$Y$1,JA!$BE:$BE,Toimenpiteet!$Y$5,JA!$AI:$AI,Toimenpiteet!$Y$4,JA!$AJ:$AJ,Toimenpiteet!$Y$2,JA!CT:CT,$AF$4)+Z56+AC56+AF56+AI56</f>
        <v>0</v>
      </c>
      <c r="D56" s="400">
        <f t="shared" si="0"/>
        <v>0</v>
      </c>
      <c r="E56" s="310">
        <f>SUMIFS(JA!$Z:$Z,JA!$AE:$AE,"OK",JA!$AT:$AT,Toimenpiteet!$X56,JA!$AU:$AU,Toimenpiteet!$X$8,JA!$AX:$AX,Toimenpiteet!$Y$6,JA!$CI:$CI,Toimenpiteet!$Y$1,JA!$BE:$BE,Toimenpiteet!$Y$5,JA!$AI:$AI,Toimenpiteet!$Y$4,JA!$AJ:$AJ,Toimenpiteet!$Y$2,JA!CT:CT,$AF$4)+AA56+AD56+AG56+AJ56</f>
        <v>0</v>
      </c>
      <c r="F56" s="400">
        <f t="shared" si="1"/>
        <v>0</v>
      </c>
      <c r="G56" s="311"/>
      <c r="H56" s="312"/>
      <c r="I56" s="312"/>
      <c r="J56" s="234"/>
      <c r="K56" s="234"/>
      <c r="L56" s="238"/>
      <c r="M56" s="52"/>
      <c r="R56" s="78"/>
      <c r="T56" s="41"/>
      <c r="X56" s="86" t="s">
        <v>395</v>
      </c>
      <c r="Z56" s="469">
        <f>SUMIFS(JA!$Z:$Z,JA!$AE:$AE,"OK",JA!$AT:$AT,Toimenpiteet!$AB56,JA!$AX:$AX,Toimenpiteet!$Y$6,JA!$CI:$CI,Toimenpiteet!$Y$1,JA!$BE:$BE,Toimenpiteet!$Y$5,JA!$AI:$AI,Toimenpiteet!$Y$4,JA!$AJ:$AJ,Toimenpiteet!$Y$2,JA!CT:CT,$AF$4)</f>
        <v>0</v>
      </c>
      <c r="AA56" s="469">
        <f>SUMIFS(JA!$Z:$Z,JA!$AE:$AE,"OK",JA!$AT:$AT,Toimenpiteet!$AB56,JA!$AU:$AU,Toimenpiteet!$X$8,JA!$AX:$AX,Toimenpiteet!$Y$6,JA!$CI:$CI,Toimenpiteet!$Y$1,JA!$BE:$BE,Toimenpiteet!$Y$5,JA!$AI:$AI,Toimenpiteet!$Y$4,JA!$AJ:$AJ,Toimenpiteet!$Y$2,JA!CT:CT,$AF$4)</f>
        <v>0</v>
      </c>
      <c r="AB56" s="86" t="s">
        <v>396</v>
      </c>
      <c r="AC56" s="469">
        <f>SUMIFS(JA!$Z:$Z,JA!$AE:$AE,"OK",JA!$AT:$AT,Toimenpiteet!$AE56,JA!$AX:$AX,Toimenpiteet!$Y$6,JA!$CI:$CI,Toimenpiteet!$Y$1,JA!$BE:$BE,Toimenpiteet!$Y$5,JA!$AI:$AI,Toimenpiteet!$Y$4,JA!$AJ:$AJ,Toimenpiteet!$Y$2,JA!CT:CT,$AF$4)</f>
        <v>0</v>
      </c>
      <c r="AD56" s="469">
        <f>SUMIFS(JA!$Z:$Z,JA!$AE:$AE,"OK",JA!$AT:$AT,Toimenpiteet!$AE56,JA!$AU:$AU,Toimenpiteet!$X$8,JA!$AX:$AX,Toimenpiteet!$Y$6,JA!$CI:$CI,Toimenpiteet!$Y$1,JA!$BE:$BE,Toimenpiteet!$Y$5,JA!$AI:$AI,Toimenpiteet!$Y$4,JA!$AJ:$AJ,Toimenpiteet!$Y$2,JA!CT:CT,$AF$4)</f>
        <v>0</v>
      </c>
      <c r="AE56" s="86" t="s">
        <v>397</v>
      </c>
      <c r="AF56" s="469">
        <f>SUMIFS(JA!$Z:$Z,JA!$AE:$AE,"OK",JA!$AT:$AT,Toimenpiteet!$AH56,JA!$AX:$AX,Toimenpiteet!$Y$6,JA!$CI:$CI,Toimenpiteet!$Y$1,JA!$BE:$BE,Toimenpiteet!$Y$5,JA!$AI:$AI,Toimenpiteet!$Y$4,JA!$AJ:$AJ,Toimenpiteet!$Y$2,JA!CT:CT,$AF$4)</f>
        <v>0</v>
      </c>
      <c r="AG56" s="469">
        <f>SUMIFS(JA!$Z:$Z,JA!$AE:$AE,"OK",JA!$AT:$AT,Toimenpiteet!$AH56,JA!$AU:$AU,Toimenpiteet!$X$8,JA!$AX:$AX,Toimenpiteet!$Y$6,JA!$CI:$CI,Toimenpiteet!$Y$1,JA!$BE:$BE,Toimenpiteet!$Y$5,JA!$AI:$AI,Toimenpiteet!$Y$4,JA!$AJ:$AJ,Toimenpiteet!$Y$2,JA!CT:CT,$AF$4)</f>
        <v>0</v>
      </c>
      <c r="AU56" s="907"/>
    </row>
    <row r="57" spans="1:47" x14ac:dyDescent="0.25">
      <c r="A57" s="1044"/>
      <c r="B57" s="911" t="s">
        <v>398</v>
      </c>
      <c r="C57" s="310">
        <f>SUMIFS(JA!$Z:$Z,JA!$AE:$AE,"OK",JA!$AT:$AT,Toimenpiteet!$X57,JA!$AX:$AX,Toimenpiteet!$Y$6,JA!$CI:$CI,Toimenpiteet!$Y$1,JA!$BE:$BE,Toimenpiteet!$Y$5,JA!$AI:$AI,Toimenpiteet!$Y$4,JA!$AJ:$AJ,Toimenpiteet!$Y$2,JA!CT:CT,$AF$4)+Z57+AC57+AF57+AI57</f>
        <v>0</v>
      </c>
      <c r="D57" s="400">
        <f t="shared" si="0"/>
        <v>0</v>
      </c>
      <c r="E57" s="310">
        <f>SUMIFS(JA!$Z:$Z,JA!$AE:$AE,"OK",JA!$AT:$AT,Toimenpiteet!$X57,JA!$AU:$AU,Toimenpiteet!$X$8,JA!$AX:$AX,Toimenpiteet!$Y$6,JA!$CI:$CI,Toimenpiteet!$Y$1,JA!$BE:$BE,Toimenpiteet!$Y$5,JA!$AI:$AI,Toimenpiteet!$Y$4,JA!$AJ:$AJ,Toimenpiteet!$Y$2,JA!CT:CT,$AF$4)+AA57+AD57+AG57+AJ57</f>
        <v>0</v>
      </c>
      <c r="F57" s="400">
        <f t="shared" si="1"/>
        <v>0</v>
      </c>
      <c r="G57" s="237"/>
      <c r="H57" s="234"/>
      <c r="I57" s="234"/>
      <c r="J57" s="234"/>
      <c r="K57" s="234"/>
      <c r="L57" s="238"/>
      <c r="M57" s="52"/>
      <c r="R57" s="78"/>
      <c r="T57" s="41"/>
      <c r="X57" s="86" t="s">
        <v>399</v>
      </c>
      <c r="Z57" s="469">
        <f>SUMIFS(JA!$Z:$Z,JA!$AE:$AE,"OK",JA!$AT:$AT,Toimenpiteet!$AB57,JA!$AX:$AX,Toimenpiteet!$Y$6,JA!$CI:$CI,Toimenpiteet!$Y$1,JA!$BE:$BE,Toimenpiteet!$Y$5,JA!$AI:$AI,Toimenpiteet!$Y$4,JA!$AJ:$AJ,Toimenpiteet!$Y$2,JA!CT:CT,$AF$4)</f>
        <v>0</v>
      </c>
      <c r="AA57" s="469">
        <f>SUMIFS(JA!$Z:$Z,JA!$AE:$AE,"OK",JA!$AT:$AT,Toimenpiteet!$AB57,JA!$AU:$AU,Toimenpiteet!$X$8,JA!$AX:$AX,Toimenpiteet!$Y$6,JA!$CI:$CI,Toimenpiteet!$Y$1,JA!$BE:$BE,Toimenpiteet!$Y$5,JA!$AI:$AI,Toimenpiteet!$Y$4,JA!$AJ:$AJ,Toimenpiteet!$Y$2,JA!CT:CT,$AF$4)</f>
        <v>0</v>
      </c>
      <c r="AC57" s="469">
        <f>SUMIFS(JA!$Z:$Z,JA!$AE:$AE,"OK",JA!$AT:$AT,Toimenpiteet!$AE57,JA!$AX:$AX,Toimenpiteet!$Y$6,JA!$CI:$CI,Toimenpiteet!$Y$1,JA!$BE:$BE,Toimenpiteet!$Y$5,JA!$AI:$AI,Toimenpiteet!$Y$4,JA!$AJ:$AJ,Toimenpiteet!$Y$2,JA!CT:CT,$AF$4)</f>
        <v>0</v>
      </c>
      <c r="AD57" s="469">
        <f>SUMIFS(JA!$Z:$Z,JA!$AE:$AE,"OK",JA!$AT:$AT,Toimenpiteet!$AE57,JA!$AU:$AU,Toimenpiteet!$X$8,JA!$AX:$AX,Toimenpiteet!$Y$6,JA!$CI:$CI,Toimenpiteet!$Y$1,JA!$BE:$BE,Toimenpiteet!$Y$5,JA!$AI:$AI,Toimenpiteet!$Y$4,JA!$AJ:$AJ,Toimenpiteet!$Y$2,JA!CT:CT,$AF$4)</f>
        <v>0</v>
      </c>
      <c r="AF57" s="469">
        <f>SUMIFS(JA!$Z:$Z,JA!$AE:$AE,"OK",JA!$AT:$AT,Toimenpiteet!$AH57,JA!$AX:$AX,Toimenpiteet!$Y$6,JA!$CI:$CI,Toimenpiteet!$Y$1,JA!$BE:$BE,Toimenpiteet!$Y$5,JA!$AI:$AI,Toimenpiteet!$Y$4,JA!$AJ:$AJ,Toimenpiteet!$Y$2,JA!CT:CT,$AF$4)</f>
        <v>0</v>
      </c>
      <c r="AG57" s="469">
        <f>SUMIFS(JA!$Z:$Z,JA!$AE:$AE,"OK",JA!$AT:$AT,Toimenpiteet!$AH57,JA!$AU:$AU,Toimenpiteet!$X$8,JA!$AX:$AX,Toimenpiteet!$Y$6,JA!$CI:$CI,Toimenpiteet!$Y$1,JA!$BE:$BE,Toimenpiteet!$Y$5,JA!$AI:$AI,Toimenpiteet!$Y$4,JA!$AJ:$AJ,Toimenpiteet!$Y$2,JA!CT:CT,$AF$4)</f>
        <v>0</v>
      </c>
      <c r="AU57" s="907"/>
    </row>
    <row r="58" spans="1:47" x14ac:dyDescent="0.25">
      <c r="A58" s="1044"/>
      <c r="B58" s="911" t="s">
        <v>400</v>
      </c>
      <c r="C58" s="310">
        <f>SUMIFS(JA!$Z:$Z,JA!$AE:$AE,"OK",JA!$AT:$AT,Toimenpiteet!$X58,JA!$AX:$AX,Toimenpiteet!$Y$6,JA!$CI:$CI,Toimenpiteet!$Y$1,JA!$BE:$BE,Toimenpiteet!$Y$5,JA!$AI:$AI,Toimenpiteet!$Y$4,JA!$AJ:$AJ,Toimenpiteet!$Y$2,JA!CT:CT,$AF$4)+Z58+AC58+AF58+AI58</f>
        <v>0</v>
      </c>
      <c r="D58" s="400">
        <f t="shared" si="0"/>
        <v>0</v>
      </c>
      <c r="E58" s="310">
        <f>SUMIFS(JA!$Z:$Z,JA!$AE:$AE,"OK",JA!$AT:$AT,Toimenpiteet!$X58,JA!$AU:$AU,Toimenpiteet!$X$8,JA!$AX:$AX,Toimenpiteet!$Y$6,JA!$CI:$CI,Toimenpiteet!$Y$1,JA!$BE:$BE,Toimenpiteet!$Y$5,JA!$AI:$AI,Toimenpiteet!$Y$4,JA!$AJ:$AJ,Toimenpiteet!$Y$2,JA!CT:CT,$AF$4)+AA58+AD58+AG58+AJ58</f>
        <v>0</v>
      </c>
      <c r="F58" s="400">
        <f t="shared" si="1"/>
        <v>0</v>
      </c>
      <c r="G58" s="237"/>
      <c r="H58" s="234"/>
      <c r="I58" s="234"/>
      <c r="J58" s="234"/>
      <c r="K58" s="234"/>
      <c r="L58" s="238"/>
      <c r="M58" s="52"/>
      <c r="T58" s="41"/>
      <c r="X58" s="86" t="s">
        <v>401</v>
      </c>
      <c r="Z58" s="469">
        <f>SUMIFS(JA!$Z:$Z,JA!$AE:$AE,"OK",JA!$AT:$AT,Toimenpiteet!$AB58,JA!$AX:$AX,Toimenpiteet!$Y$6,JA!$CI:$CI,Toimenpiteet!$Y$1,JA!$BE:$BE,Toimenpiteet!$Y$5,JA!$AI:$AI,Toimenpiteet!$Y$4,JA!$AJ:$AJ,Toimenpiteet!$Y$2,JA!CT:CT,$AF$4)</f>
        <v>0</v>
      </c>
      <c r="AA58" s="469">
        <f>SUMIFS(JA!$Z:$Z,JA!$AE:$AE,"OK",JA!$AT:$AT,Toimenpiteet!$AB58,JA!$AU:$AU,Toimenpiteet!$X$8,JA!$AX:$AX,Toimenpiteet!$Y$6,JA!$CI:$CI,Toimenpiteet!$Y$1,JA!$BE:$BE,Toimenpiteet!$Y$5,JA!$AI:$AI,Toimenpiteet!$Y$4,JA!$AJ:$AJ,Toimenpiteet!$Y$2,JA!CT:CT,$AF$4)</f>
        <v>0</v>
      </c>
      <c r="AB58" s="909" t="s">
        <v>402</v>
      </c>
      <c r="AC58" s="469">
        <f>SUMIFS(JA!$Z:$Z,JA!$AE:$AE,"OK",JA!$AT:$AT,Toimenpiteet!$AE58,JA!$AX:$AX,Toimenpiteet!$Y$6,JA!$CI:$CI,Toimenpiteet!$Y$1,JA!$BE:$BE,Toimenpiteet!$Y$5,JA!$AI:$AI,Toimenpiteet!$Y$4,JA!$AJ:$AJ,Toimenpiteet!$Y$2,JA!CT:CT,$AF$4)</f>
        <v>0</v>
      </c>
      <c r="AD58" s="469">
        <f>SUMIFS(JA!$Z:$Z,JA!$AE:$AE,"OK",JA!$AT:$AT,Toimenpiteet!$AE58,JA!$AU:$AU,Toimenpiteet!$X$8,JA!$AX:$AX,Toimenpiteet!$Y$6,JA!$CI:$CI,Toimenpiteet!$Y$1,JA!$BE:$BE,Toimenpiteet!$Y$5,JA!$AI:$AI,Toimenpiteet!$Y$4,JA!$AJ:$AJ,Toimenpiteet!$Y$2,JA!CT:CT,$AF$4)</f>
        <v>0</v>
      </c>
      <c r="AF58" s="469">
        <f>SUMIFS(JA!$Z:$Z,JA!$AE:$AE,"OK",JA!$AT:$AT,Toimenpiteet!$AH58,JA!$AX:$AX,Toimenpiteet!$Y$6,JA!$CI:$CI,Toimenpiteet!$Y$1,JA!$BE:$BE,Toimenpiteet!$Y$5,JA!$AI:$AI,Toimenpiteet!$Y$4,JA!$AJ:$AJ,Toimenpiteet!$Y$2,JA!CT:CT,$AF$4)</f>
        <v>0</v>
      </c>
      <c r="AG58" s="469">
        <f>SUMIFS(JA!$Z:$Z,JA!$AE:$AE,"OK",JA!$AT:$AT,Toimenpiteet!$AH58,JA!$AU:$AU,Toimenpiteet!$X$8,JA!$AX:$AX,Toimenpiteet!$Y$6,JA!$CI:$CI,Toimenpiteet!$Y$1,JA!$BE:$BE,Toimenpiteet!$Y$5,JA!$AI:$AI,Toimenpiteet!$Y$4,JA!$AJ:$AJ,Toimenpiteet!$Y$2,JA!CT:CT,$AF$4)</f>
        <v>0</v>
      </c>
      <c r="AU58" s="907"/>
    </row>
    <row r="59" spans="1:47" x14ac:dyDescent="0.25">
      <c r="A59" s="1045"/>
      <c r="B59" s="911" t="s">
        <v>403</v>
      </c>
      <c r="C59" s="310">
        <f>SUMIFS(JA!$Z:$Z,JA!$AE:$AE,"OK",JA!$AT:$AT,Toimenpiteet!$X59,JA!$AX:$AX,Toimenpiteet!$Y$6,JA!$CI:$CI,Toimenpiteet!$Y$1,JA!$BE:$BE,Toimenpiteet!$Y$5,JA!$AI:$AI,Toimenpiteet!$Y$4,JA!$AJ:$AJ,Toimenpiteet!$Y$2,JA!CT:CT,$AF$4)+Z59+AC59+AF59+AI59</f>
        <v>0</v>
      </c>
      <c r="D59" s="400">
        <f t="shared" si="0"/>
        <v>0</v>
      </c>
      <c r="E59" s="310">
        <f>SUMIFS(JA!$Z:$Z,JA!$AE:$AE,"OK",JA!$AT:$AT,Toimenpiteet!$X59,JA!$AU:$AU,Toimenpiteet!$X$8,JA!$AX:$AX,Toimenpiteet!$Y$6,JA!$CI:$CI,Toimenpiteet!$Y$1,JA!$BE:$BE,Toimenpiteet!$Y$5,JA!$AI:$AI,Toimenpiteet!$Y$4,JA!$AJ:$AJ,Toimenpiteet!$Y$2,JA!CT:CT,$AF$4)+AA59+AD59+AG59+AJ59</f>
        <v>0</v>
      </c>
      <c r="F59" s="400">
        <f t="shared" si="1"/>
        <v>0</v>
      </c>
      <c r="G59" s="316"/>
      <c r="H59" s="315"/>
      <c r="I59" s="315"/>
      <c r="J59" s="315"/>
      <c r="K59" s="315"/>
      <c r="L59" s="317"/>
      <c r="M59" s="52"/>
      <c r="T59" s="41"/>
      <c r="X59" t="s">
        <v>404</v>
      </c>
      <c r="Z59" s="469">
        <f>SUMIFS(JA!$Z:$Z,JA!$AE:$AE,"OK",JA!$AT:$AT,Toimenpiteet!$AB59,JA!$AX:$AX,Toimenpiteet!$Y$6,JA!$CI:$CI,Toimenpiteet!$Y$1,JA!$BE:$BE,Toimenpiteet!$Y$5,JA!$AI:$AI,Toimenpiteet!$Y$4,JA!$AJ:$AJ,Toimenpiteet!$Y$2,JA!CT:CT,$AF$4)</f>
        <v>0</v>
      </c>
      <c r="AA59" s="469">
        <f>SUMIFS(JA!$Z:$Z,JA!$AE:$AE,"OK",JA!$AT:$AT,Toimenpiteet!$AB59,JA!$AU:$AU,Toimenpiteet!$X$8,JA!$AX:$AX,Toimenpiteet!$Y$6,JA!$CI:$CI,Toimenpiteet!$Y$1,JA!$BE:$BE,Toimenpiteet!$Y$5,JA!$AI:$AI,Toimenpiteet!$Y$4,JA!$AJ:$AJ,Toimenpiteet!$Y$2,JA!CT:CT,$AF$4)</f>
        <v>0</v>
      </c>
      <c r="AB59" s="86" t="s">
        <v>405</v>
      </c>
      <c r="AC59" s="469">
        <f>SUMIFS(JA!$Z:$Z,JA!$AE:$AE,"OK",JA!$AT:$AT,Toimenpiteet!$AE59,JA!$AX:$AX,Toimenpiteet!$Y$6,JA!$CI:$CI,Toimenpiteet!$Y$1,JA!$BE:$BE,Toimenpiteet!$Y$5,JA!$AI:$AI,Toimenpiteet!$Y$4,JA!$AJ:$AJ,Toimenpiteet!$Y$2,JA!CT:CT,$AF$4)</f>
        <v>0</v>
      </c>
      <c r="AD59" s="469">
        <f>SUMIFS(JA!$Z:$Z,JA!$AE:$AE,"OK",JA!$AT:$AT,Toimenpiteet!$AE59,JA!$AU:$AU,Toimenpiteet!$X$8,JA!$AX:$AX,Toimenpiteet!$Y$6,JA!$CI:$CI,Toimenpiteet!$Y$1,JA!$BE:$BE,Toimenpiteet!$Y$5,JA!$AI:$AI,Toimenpiteet!$Y$4,JA!$AJ:$AJ,Toimenpiteet!$Y$2,JA!CT:CT,$AF$4)</f>
        <v>0</v>
      </c>
      <c r="AE59" s="86" t="s">
        <v>406</v>
      </c>
      <c r="AF59" s="469">
        <f>SUMIFS(JA!$Z:$Z,JA!$AE:$AE,"OK",JA!$AT:$AT,Toimenpiteet!$AH59,JA!$AX:$AX,Toimenpiteet!$Y$6,JA!$CI:$CI,Toimenpiteet!$Y$1,JA!$BE:$BE,Toimenpiteet!$Y$5,JA!$AI:$AI,Toimenpiteet!$Y$4,JA!$AJ:$AJ,Toimenpiteet!$Y$2,JA!CT:CT,$AF$4)</f>
        <v>0</v>
      </c>
      <c r="AG59" s="469">
        <f>SUMIFS(JA!$Z:$Z,JA!$AE:$AE,"OK",JA!$AT:$AT,Toimenpiteet!$AH59,JA!$AU:$AU,Toimenpiteet!$X$8,JA!$AX:$AX,Toimenpiteet!$Y$6,JA!$CI:$CI,Toimenpiteet!$Y$1,JA!$BE:$BE,Toimenpiteet!$Y$5,JA!$AI:$AI,Toimenpiteet!$Y$4,JA!$AJ:$AJ,Toimenpiteet!$Y$2,JA!CT:CT,$AF$4)</f>
        <v>0</v>
      </c>
      <c r="AU59" s="907"/>
    </row>
    <row r="60" spans="1:47" x14ac:dyDescent="0.25">
      <c r="A60" s="1043" t="s">
        <v>407</v>
      </c>
      <c r="B60" s="911" t="s">
        <v>408</v>
      </c>
      <c r="C60" s="310">
        <f>SUMIFS(JA!$Z:$Z,JA!$AE:$AE,"OK",JA!$AT:$AT,Toimenpiteet!$X60,JA!$AX:$AX,Toimenpiteet!$Y$6,JA!$CI:$CI,Toimenpiteet!$Y$1,JA!$BE:$BE,Toimenpiteet!$Y$5,JA!$AI:$AI,Toimenpiteet!$Y$4,JA!$AJ:$AJ,Toimenpiteet!$Y$2,JA!CT:CT,$AF$4)+Z60+AC60+AF60+AI60</f>
        <v>0</v>
      </c>
      <c r="D60" s="400">
        <f t="shared" si="0"/>
        <v>0</v>
      </c>
      <c r="E60" s="310">
        <f>SUMIFS(JA!$Z:$Z,JA!$AE:$AE,"OK",JA!$AT:$AT,Toimenpiteet!$X60,JA!$AU:$AU,Toimenpiteet!$X$8,JA!$AX:$AX,Toimenpiteet!$Y$6,JA!$CI:$CI,Toimenpiteet!$Y$1,JA!$BE:$BE,Toimenpiteet!$Y$5,JA!$AI:$AI,Toimenpiteet!$Y$4,JA!$AJ:$AJ,Toimenpiteet!$Y$2,JA!CT:CT,$AF$4)+AA60+AD60+AG60+AJ60</f>
        <v>0</v>
      </c>
      <c r="F60" s="400">
        <f t="shared" si="1"/>
        <v>0</v>
      </c>
      <c r="G60" s="316"/>
      <c r="H60" s="315"/>
      <c r="I60" s="315"/>
      <c r="J60" s="315"/>
      <c r="K60" s="315"/>
      <c r="L60" s="317"/>
      <c r="M60" s="52"/>
      <c r="R60" s="78"/>
      <c r="T60" s="41"/>
      <c r="X60" s="86" t="s">
        <v>409</v>
      </c>
      <c r="Z60" s="469">
        <f>SUMIFS(JA!$Z:$Z,JA!$AE:$AE,"OK",JA!$AT:$AT,Toimenpiteet!$AB60,JA!$AX:$AX,Toimenpiteet!$Y$6,JA!$CI:$CI,Toimenpiteet!$Y$1,JA!$BE:$BE,Toimenpiteet!$Y$5,JA!$AI:$AI,Toimenpiteet!$Y$4,JA!$AJ:$AJ,Toimenpiteet!$Y$2,JA!CT:CT,$AF$4)</f>
        <v>0</v>
      </c>
      <c r="AA60" s="469">
        <f>SUMIFS(JA!$Z:$Z,JA!$AE:$AE,"OK",JA!$AT:$AT,Toimenpiteet!$AB60,JA!$AU:$AU,Toimenpiteet!$X$8,JA!$AX:$AX,Toimenpiteet!$Y$6,JA!$CI:$CI,Toimenpiteet!$Y$1,JA!$BE:$BE,Toimenpiteet!$Y$5,JA!$AI:$AI,Toimenpiteet!$Y$4,JA!$AJ:$AJ,Toimenpiteet!$Y$2,JA!CT:CT,$AF$4)</f>
        <v>0</v>
      </c>
      <c r="AB60" s="86" t="s">
        <v>410</v>
      </c>
      <c r="AC60" s="469">
        <f>SUMIFS(JA!$Z:$Z,JA!$AE:$AE,"OK",JA!$AT:$AT,Toimenpiteet!$AE60,JA!$AX:$AX,Toimenpiteet!$Y$6,JA!$CI:$CI,Toimenpiteet!$Y$1,JA!$BE:$BE,Toimenpiteet!$Y$5,JA!$AI:$AI,Toimenpiteet!$Y$4,JA!$AJ:$AJ,Toimenpiteet!$Y$2,JA!CT:CT,$AF$4)</f>
        <v>0</v>
      </c>
      <c r="AD60" s="469">
        <f>SUMIFS(JA!$Z:$Z,JA!$AE:$AE,"OK",JA!$AT:$AT,Toimenpiteet!$AE60,JA!$AU:$AU,Toimenpiteet!$X$8,JA!$AX:$AX,Toimenpiteet!$Y$6,JA!$CI:$CI,Toimenpiteet!$Y$1,JA!$BE:$BE,Toimenpiteet!$Y$5,JA!$AI:$AI,Toimenpiteet!$Y$4,JA!$AJ:$AJ,Toimenpiteet!$Y$2,JA!CT:CT,$AF$4)</f>
        <v>0</v>
      </c>
      <c r="AE60" s="477" t="s">
        <v>411</v>
      </c>
      <c r="AF60" s="469">
        <f>SUMIFS(JA!$Z:$Z,JA!$AE:$AE,"OK",JA!$AT:$AT,Toimenpiteet!$AH60,JA!$AX:$AX,Toimenpiteet!$Y$6,JA!$CI:$CI,Toimenpiteet!$Y$1,JA!$BE:$BE,Toimenpiteet!$Y$5,JA!$AI:$AI,Toimenpiteet!$Y$4,JA!$AJ:$AJ,Toimenpiteet!$Y$2,JA!CT:CT,$AF$4)</f>
        <v>0</v>
      </c>
      <c r="AG60" s="469">
        <f>SUMIFS(JA!$Z:$Z,JA!$AE:$AE,"OK",JA!$AT:$AT,Toimenpiteet!$AH60,JA!$AU:$AU,Toimenpiteet!$X$8,JA!$AX:$AX,Toimenpiteet!$Y$6,JA!$CI:$CI,Toimenpiteet!$Y$1,JA!$BE:$BE,Toimenpiteet!$Y$5,JA!$AI:$AI,Toimenpiteet!$Y$4,JA!$AJ:$AJ,Toimenpiteet!$Y$2,JA!CT:CT,$AF$4)</f>
        <v>0</v>
      </c>
      <c r="AH60" s="86" t="s">
        <v>412</v>
      </c>
      <c r="AU60" s="906"/>
    </row>
    <row r="61" spans="1:47" x14ac:dyDescent="0.25">
      <c r="A61" s="1044"/>
      <c r="B61" s="911" t="s">
        <v>413</v>
      </c>
      <c r="C61" s="310">
        <f>SUMIFS(JA!$Z:$Z,JA!$AE:$AE,"OK",JA!$AT:$AT,Toimenpiteet!$X61,JA!$AX:$AX,Toimenpiteet!$Y$6,JA!$CI:$CI,Toimenpiteet!$Y$1,JA!$BE:$BE,Toimenpiteet!$Y$5,JA!$AI:$AI,Toimenpiteet!$Y$4,JA!$AJ:$AJ,Toimenpiteet!$Y$2,JA!CT:CT,$AF$4)+Z61+AC61+AF61+AI61</f>
        <v>0</v>
      </c>
      <c r="D61" s="400">
        <f t="shared" si="0"/>
        <v>0</v>
      </c>
      <c r="E61" s="310">
        <f>SUMIFS(JA!$Z:$Z,JA!$AE:$AE,"OK",JA!$AT:$AT,Toimenpiteet!$X61,JA!$AU:$AU,Toimenpiteet!$X$8,JA!$AX:$AX,Toimenpiteet!$Y$6,JA!$CI:$CI,Toimenpiteet!$Y$1,JA!$BE:$BE,Toimenpiteet!$Y$5,JA!$AI:$AI,Toimenpiteet!$Y$4,JA!$AJ:$AJ,Toimenpiteet!$Y$2,JA!CT:CT,$AF$4)+AA61+AD61+AG61+AJ61</f>
        <v>0</v>
      </c>
      <c r="F61" s="400">
        <f t="shared" si="1"/>
        <v>0</v>
      </c>
      <c r="G61" s="316"/>
      <c r="H61" s="315"/>
      <c r="I61" s="315"/>
      <c r="J61" s="315"/>
      <c r="K61" s="315"/>
      <c r="L61" s="317"/>
      <c r="M61" s="52"/>
      <c r="R61" s="78"/>
      <c r="T61" s="41"/>
      <c r="X61" s="86" t="s">
        <v>414</v>
      </c>
      <c r="Z61" s="469">
        <f>SUMIFS(JA!$Z:$Z,JA!$AE:$AE,"OK",JA!$AT:$AT,Toimenpiteet!$AB61,JA!$AX:$AX,Toimenpiteet!$Y$6,JA!$CI:$CI,Toimenpiteet!$Y$1,JA!$BE:$BE,Toimenpiteet!$Y$5,JA!$AI:$AI,Toimenpiteet!$Y$4,JA!$AJ:$AJ,Toimenpiteet!$Y$2,JA!CT:CT,$AF$4)</f>
        <v>0</v>
      </c>
      <c r="AA61" s="469">
        <f>SUMIFS(JA!$Z:$Z,JA!$AE:$AE,"OK",JA!$AT:$AT,Toimenpiteet!$AB61,JA!$AU:$AU,Toimenpiteet!$X$8,JA!$AX:$AX,Toimenpiteet!$Y$6,JA!$CI:$CI,Toimenpiteet!$Y$1,JA!$BE:$BE,Toimenpiteet!$Y$5,JA!$AI:$AI,Toimenpiteet!$Y$4,JA!$AJ:$AJ,Toimenpiteet!$Y$2,JA!CT:CT,$AF$4)</f>
        <v>0</v>
      </c>
      <c r="AC61" s="469">
        <f>SUMIFS(JA!$Z:$Z,JA!$AE:$AE,"OK",JA!$AT:$AT,Toimenpiteet!$AE61,JA!$AX:$AX,Toimenpiteet!$Y$6,JA!$CI:$CI,Toimenpiteet!$Y$1,JA!$BE:$BE,Toimenpiteet!$Y$5,JA!$AI:$AI,Toimenpiteet!$Y$4,JA!$AJ:$AJ,Toimenpiteet!$Y$2,JA!CT:CT,$AF$4)</f>
        <v>0</v>
      </c>
      <c r="AD61" s="469">
        <f>SUMIFS(JA!$Z:$Z,JA!$AE:$AE,"OK",JA!$AT:$AT,Toimenpiteet!$AE61,JA!$AU:$AU,Toimenpiteet!$X$8,JA!$AX:$AX,Toimenpiteet!$Y$6,JA!$CI:$CI,Toimenpiteet!$Y$1,JA!$BE:$BE,Toimenpiteet!$Y$5,JA!$AI:$AI,Toimenpiteet!$Y$4,JA!$AJ:$AJ,Toimenpiteet!$Y$2,JA!CT:CT,$AF$4)</f>
        <v>0</v>
      </c>
      <c r="AF61" s="469">
        <f>SUMIFS(JA!$Z:$Z,JA!$AE:$AE,"OK",JA!$AT:$AT,Toimenpiteet!$AH61,JA!$AX:$AX,Toimenpiteet!$Y$6,JA!$CI:$CI,Toimenpiteet!$Y$1,JA!$BE:$BE,Toimenpiteet!$Y$5,JA!$AI:$AI,Toimenpiteet!$Y$4,JA!$AJ:$AJ,Toimenpiteet!$Y$2,JA!CT:CT,$AF$4)</f>
        <v>0</v>
      </c>
      <c r="AG61" s="469">
        <f>SUMIFS(JA!$Z:$Z,JA!$AE:$AE,"OK",JA!$AT:$AT,Toimenpiteet!$AH61,JA!$AU:$AU,Toimenpiteet!$X$8,JA!$AX:$AX,Toimenpiteet!$Y$6,JA!$CI:$CI,Toimenpiteet!$Y$1,JA!$BE:$BE,Toimenpiteet!$Y$5,JA!$AI:$AI,Toimenpiteet!$Y$4,JA!$AJ:$AJ,Toimenpiteet!$Y$2,JA!CT:CT,$AF$4)</f>
        <v>0</v>
      </c>
      <c r="AU61" s="906"/>
    </row>
    <row r="62" spans="1:47" x14ac:dyDescent="0.25">
      <c r="A62" s="1044"/>
      <c r="B62" s="911" t="s">
        <v>415</v>
      </c>
      <c r="C62" s="310">
        <f>SUMIFS(JA!$Z:$Z,JA!$AE:$AE,"OK",JA!$AT:$AT,Toimenpiteet!$X62,JA!$AX:$AX,Toimenpiteet!$Y$6,JA!$CI:$CI,Toimenpiteet!$Y$1,JA!$BE:$BE,Toimenpiteet!$Y$5,JA!$AI:$AI,Toimenpiteet!$Y$4,JA!$AJ:$AJ,Toimenpiteet!$Y$2,JA!CT:CT,$AF$4)+Z62+AC62+AF62+AI62</f>
        <v>0</v>
      </c>
      <c r="D62" s="400">
        <f t="shared" si="0"/>
        <v>0</v>
      </c>
      <c r="E62" s="310">
        <f>SUMIFS(JA!$Z:$Z,JA!$AE:$AE,"OK",JA!$AT:$AT,Toimenpiteet!$X62,JA!$AU:$AU,Toimenpiteet!$X$8,JA!$AX:$AX,Toimenpiteet!$Y$6,JA!$CI:$CI,Toimenpiteet!$Y$1,JA!$BE:$BE,Toimenpiteet!$Y$5,JA!$AI:$AI,Toimenpiteet!$Y$4,JA!$AJ:$AJ,Toimenpiteet!$Y$2,JA!CT:CT,$AF$4)+AA62+AD62+AG62+AJ62</f>
        <v>0</v>
      </c>
      <c r="F62" s="400">
        <f t="shared" si="1"/>
        <v>0</v>
      </c>
      <c r="G62" s="316"/>
      <c r="H62" s="315"/>
      <c r="I62" s="315"/>
      <c r="J62" s="315"/>
      <c r="K62" s="315"/>
      <c r="L62" s="317"/>
      <c r="M62" s="52"/>
      <c r="R62" s="78"/>
      <c r="T62" s="41"/>
      <c r="X62" s="86" t="s">
        <v>416</v>
      </c>
      <c r="Z62" s="469">
        <f>SUMIFS(JA!$Z:$Z,JA!$AE:$AE,"OK",JA!$AT:$AT,Toimenpiteet!$AB62,JA!$AX:$AX,Toimenpiteet!$Y$6,JA!$CI:$CI,Toimenpiteet!$Y$1,JA!$BE:$BE,Toimenpiteet!$Y$5,JA!$AI:$AI,Toimenpiteet!$Y$4,JA!$AJ:$AJ,Toimenpiteet!$Y$2,JA!CT:CT,$AF$4)</f>
        <v>0</v>
      </c>
      <c r="AA62" s="469">
        <f>SUMIFS(JA!$Z:$Z,JA!$AE:$AE,"OK",JA!$AT:$AT,Toimenpiteet!$AB62,JA!$AU:$AU,Toimenpiteet!$X$8,JA!$AX:$AX,Toimenpiteet!$Y$6,JA!$CI:$CI,Toimenpiteet!$Y$1,JA!$BE:$BE,Toimenpiteet!$Y$5,JA!$AI:$AI,Toimenpiteet!$Y$4,JA!$AJ:$AJ,Toimenpiteet!$Y$2,JA!CT:CT,$AF$4)</f>
        <v>0</v>
      </c>
      <c r="AB62" s="86" t="s">
        <v>417</v>
      </c>
      <c r="AC62" s="469">
        <f>SUMIFS(JA!$Z:$Z,JA!$AE:$AE,"OK",JA!$AT:$AT,Toimenpiteet!$AE62,JA!$AX:$AX,Toimenpiteet!$Y$6,JA!$CI:$CI,Toimenpiteet!$Y$1,JA!$BE:$BE,Toimenpiteet!$Y$5,JA!$AI:$AI,Toimenpiteet!$Y$4,JA!$AJ:$AJ,Toimenpiteet!$Y$2,JA!CT:CT,$AF$4)</f>
        <v>0</v>
      </c>
      <c r="AD62" s="469">
        <f>SUMIFS(JA!$Z:$Z,JA!$AE:$AE,"OK",JA!$AT:$AT,Toimenpiteet!$AE62,JA!$AU:$AU,Toimenpiteet!$X$8,JA!$AX:$AX,Toimenpiteet!$Y$6,JA!$CI:$CI,Toimenpiteet!$Y$1,JA!$BE:$BE,Toimenpiteet!$Y$5,JA!$AI:$AI,Toimenpiteet!$Y$4,JA!$AJ:$AJ,Toimenpiteet!$Y$2,JA!CT:CT,$AF$4)</f>
        <v>0</v>
      </c>
      <c r="AE62" s="86" t="s">
        <v>418</v>
      </c>
      <c r="AF62" s="469">
        <f>SUMIFS(JA!$Z:$Z,JA!$AE:$AE,"OK",JA!$AT:$AT,Toimenpiteet!$AH62,JA!$AX:$AX,Toimenpiteet!$Y$6,JA!$CI:$CI,Toimenpiteet!$Y$1,JA!$BE:$BE,Toimenpiteet!$Y$5,JA!$AI:$AI,Toimenpiteet!$Y$4,JA!$AJ:$AJ,Toimenpiteet!$Y$2,JA!CT:CT,$AF$4)</f>
        <v>0</v>
      </c>
      <c r="AG62" s="469">
        <f>SUMIFS(JA!$Z:$Z,JA!$AE:$AE,"OK",JA!$AT:$AT,Toimenpiteet!$AH62,JA!$AU:$AU,Toimenpiteet!$X$8,JA!$AX:$AX,Toimenpiteet!$Y$6,JA!$CI:$CI,Toimenpiteet!$Y$1,JA!$BE:$BE,Toimenpiteet!$Y$5,JA!$AI:$AI,Toimenpiteet!$Y$4,JA!$AJ:$AJ,Toimenpiteet!$Y$2,JA!CT:CT,$AF$4)</f>
        <v>0</v>
      </c>
      <c r="AH62" s="909" t="s">
        <v>419</v>
      </c>
      <c r="AU62" s="907"/>
    </row>
    <row r="63" spans="1:47" x14ac:dyDescent="0.25">
      <c r="A63" s="1044"/>
      <c r="B63" s="911" t="s">
        <v>420</v>
      </c>
      <c r="C63" s="310">
        <f>SUMIFS(JA!$Z:$Z,JA!$AE:$AE,"OK",JA!$AT:$AT,Toimenpiteet!$X63,JA!$AX:$AX,Toimenpiteet!$Y$6,JA!$CI:$CI,Toimenpiteet!$Y$1,JA!$BE:$BE,Toimenpiteet!$Y$5,JA!$AI:$AI,Toimenpiteet!$Y$4,JA!$AJ:$AJ,Toimenpiteet!$Y$2,JA!CT:CT,$AF$4)+Z63+AC63+AF63+AI63</f>
        <v>0</v>
      </c>
      <c r="D63" s="400">
        <f t="shared" si="0"/>
        <v>0</v>
      </c>
      <c r="E63" s="310">
        <f>SUMIFS(JA!$Z:$Z,JA!$AE:$AE,"OK",JA!$AT:$AT,Toimenpiteet!$X63,JA!$AU:$AU,Toimenpiteet!$X$8,JA!$AX:$AX,Toimenpiteet!$Y$6,JA!$CI:$CI,Toimenpiteet!$Y$1,JA!$BE:$BE,Toimenpiteet!$Y$5,JA!$AI:$AI,Toimenpiteet!$Y$4,JA!$AJ:$AJ,Toimenpiteet!$Y$2,JA!CT:CT,$AF$4)+AA63+AD63+AG63+AJ63</f>
        <v>0</v>
      </c>
      <c r="F63" s="400">
        <f t="shared" si="1"/>
        <v>0</v>
      </c>
      <c r="G63" s="316"/>
      <c r="H63" s="315"/>
      <c r="I63" s="315"/>
      <c r="J63" s="315"/>
      <c r="K63" s="315"/>
      <c r="L63" s="317"/>
      <c r="M63" s="52"/>
      <c r="T63" s="41"/>
      <c r="X63" t="s">
        <v>421</v>
      </c>
      <c r="Z63" s="469">
        <f>SUMIFS(JA!$Z:$Z,JA!$AE:$AE,"OK",JA!$AT:$AT,Toimenpiteet!$AB63,JA!$AX:$AX,Toimenpiteet!$Y$6,JA!$CI:$CI,Toimenpiteet!$Y$1,JA!$BE:$BE,Toimenpiteet!$Y$5,JA!$AI:$AI,Toimenpiteet!$Y$4,JA!$AJ:$AJ,Toimenpiteet!$Y$2,JA!CT:CT,$AF$4)</f>
        <v>0</v>
      </c>
      <c r="AA63" s="469">
        <f>SUMIFS(JA!$Z:$Z,JA!$AE:$AE,"OK",JA!$AT:$AT,Toimenpiteet!$AB63,JA!$AU:$AU,Toimenpiteet!$X$8,JA!$AX:$AX,Toimenpiteet!$Y$6,JA!$CI:$CI,Toimenpiteet!$Y$1,JA!$BE:$BE,Toimenpiteet!$Y$5,JA!$AI:$AI,Toimenpiteet!$Y$4,JA!$AJ:$AJ,Toimenpiteet!$Y$2,JA!CT:CT,$AF$4)</f>
        <v>0</v>
      </c>
      <c r="AB63" s="86" t="s">
        <v>422</v>
      </c>
      <c r="AC63" s="469">
        <f>SUMIFS(JA!$Z:$Z,JA!$AE:$AE,"OK",JA!$AT:$AT,Toimenpiteet!$AE63,JA!$AX:$AX,Toimenpiteet!$Y$6,JA!$CI:$CI,Toimenpiteet!$Y$1,JA!$BE:$BE,Toimenpiteet!$Y$5,JA!$AI:$AI,Toimenpiteet!$Y$4,JA!$AJ:$AJ,Toimenpiteet!$Y$2,JA!CT:CT,$AF$4)</f>
        <v>0</v>
      </c>
      <c r="AD63" s="469">
        <f>SUMIFS(JA!$Z:$Z,JA!$AE:$AE,"OK",JA!$AT:$AT,Toimenpiteet!$AE63,JA!$AU:$AU,Toimenpiteet!$X$8,JA!$AX:$AX,Toimenpiteet!$Y$6,JA!$CI:$CI,Toimenpiteet!$Y$1,JA!$BE:$BE,Toimenpiteet!$Y$5,JA!$AI:$AI,Toimenpiteet!$Y$4,JA!$AJ:$AJ,Toimenpiteet!$Y$2,JA!CT:CT,$AF$4)</f>
        <v>0</v>
      </c>
      <c r="AE63" s="86" t="s">
        <v>423</v>
      </c>
      <c r="AF63" s="469">
        <f>SUMIFS(JA!$Z:$Z,JA!$AE:$AE,"OK",JA!$AT:$AT,Toimenpiteet!$AH63,JA!$AX:$AX,Toimenpiteet!$Y$6,JA!$CI:$CI,Toimenpiteet!$Y$1,JA!$BE:$BE,Toimenpiteet!$Y$5,JA!$AI:$AI,Toimenpiteet!$Y$4,JA!$AJ:$AJ,Toimenpiteet!$Y$2,JA!CT:CT,$AF$4)</f>
        <v>0</v>
      </c>
      <c r="AG63" s="469">
        <f>SUMIFS(JA!$Z:$Z,JA!$AE:$AE,"OK",JA!$AT:$AT,Toimenpiteet!$AH63,JA!$AU:$AU,Toimenpiteet!$X$8,JA!$AX:$AX,Toimenpiteet!$Y$6,JA!$CI:$CI,Toimenpiteet!$Y$1,JA!$BE:$BE,Toimenpiteet!$Y$5,JA!$AI:$AI,Toimenpiteet!$Y$4,JA!$AJ:$AJ,Toimenpiteet!$Y$2,JA!CT:CT,$AF$4)</f>
        <v>0</v>
      </c>
      <c r="AH63" s="86" t="s">
        <v>424</v>
      </c>
      <c r="AI63" s="469">
        <f>SUMIFS(JA!$Z:$Z,JA!$AE:$AE,"OK",JA!$AT:$AT,Toimenpiteet!$AK63,JA!$AX:$AX,Toimenpiteet!$Y$6,JA!$CI:$CI,Toimenpiteet!$Y$1,JA!$BE:$BE,Toimenpiteet!$Y$5,JA!$AI:$AI,Toimenpiteet!$Y$4,JA!$AJ:$AJ,Toimenpiteet!$Y$2,JA!CT:CT,$AF$4)</f>
        <v>0</v>
      </c>
      <c r="AJ63" s="469">
        <f>SUMIFS(JA!$Z:$Z,JA!$AE:$AE,"OK",JA!$AT:$AT,Toimenpiteet!$AK63,JA!$AU:$AU,Toimenpiteet!$X$8,JA!$AX:$AX,Toimenpiteet!$Y$6,JA!$CI:$CI,Toimenpiteet!$Y$1,JA!$BE:$BE,Toimenpiteet!$Y$5,JA!$AI:$AI,Toimenpiteet!$Y$4,JA!$AJ:$AJ,Toimenpiteet!$Y$2,JA!CT:CT,$AF$4)</f>
        <v>0</v>
      </c>
      <c r="AK63" s="86" t="s">
        <v>425</v>
      </c>
      <c r="AU63" s="907"/>
    </row>
    <row r="64" spans="1:47" x14ac:dyDescent="0.25">
      <c r="A64" s="1044"/>
      <c r="B64" s="911" t="s">
        <v>426</v>
      </c>
      <c r="C64" s="310">
        <f>SUMIFS(JA!$Z:$Z,JA!$AE:$AE,"OK",JA!$AT:$AT,Toimenpiteet!$X64,JA!$AX:$AX,Toimenpiteet!$Y$6,JA!$CI:$CI,Toimenpiteet!$Y$1,JA!$BE:$BE,Toimenpiteet!$Y$5,JA!$AI:$AI,Toimenpiteet!$Y$4,JA!$AJ:$AJ,Toimenpiteet!$Y$2,JA!CT:CT,$AF$4)+Z64+AC64+AF64+AI64</f>
        <v>0</v>
      </c>
      <c r="D64" s="400">
        <f t="shared" si="0"/>
        <v>0</v>
      </c>
      <c r="E64" s="310">
        <f>SUMIFS(JA!$Z:$Z,JA!$AE:$AE,"OK",JA!$AT:$AT,Toimenpiteet!$X64,JA!$AU:$AU,Toimenpiteet!$X$8,JA!$AX:$AX,Toimenpiteet!$Y$6,JA!$CI:$CI,Toimenpiteet!$Y$1,JA!$BE:$BE,Toimenpiteet!$Y$5,JA!$AI:$AI,Toimenpiteet!$Y$4,JA!$AJ:$AJ,Toimenpiteet!$Y$2,JA!CT:CT,$AF$4)+AA64+AD64+AG64+AJ64</f>
        <v>0</v>
      </c>
      <c r="F64" s="400">
        <f t="shared" si="1"/>
        <v>0</v>
      </c>
      <c r="G64" s="316"/>
      <c r="H64" s="315"/>
      <c r="I64" s="315"/>
      <c r="J64" s="315"/>
      <c r="K64" s="315"/>
      <c r="L64" s="317"/>
      <c r="M64" s="52"/>
      <c r="T64" s="41"/>
      <c r="X64" t="s">
        <v>427</v>
      </c>
      <c r="Z64" s="469">
        <f>SUMIFS(JA!$Z:$Z,JA!$AE:$AE,"OK",JA!$AT:$AT,Toimenpiteet!$AB64,JA!$AX:$AX,Toimenpiteet!$Y$6,JA!$CI:$CI,Toimenpiteet!$Y$1,JA!$BE:$BE,Toimenpiteet!$Y$5,JA!$AI:$AI,Toimenpiteet!$Y$4,JA!$AJ:$AJ,Toimenpiteet!$Y$2,JA!CT:CT,$AF$4)</f>
        <v>0</v>
      </c>
      <c r="AA64" s="469">
        <f>SUMIFS(JA!$Z:$Z,JA!$AE:$AE,"OK",JA!$AT:$AT,Toimenpiteet!$AB64,JA!$AU:$AU,Toimenpiteet!$X$8,JA!$AX:$AX,Toimenpiteet!$Y$6,JA!$CI:$CI,Toimenpiteet!$Y$1,JA!$BE:$BE,Toimenpiteet!$Y$5,JA!$AI:$AI,Toimenpiteet!$Y$4,JA!$AJ:$AJ,Toimenpiteet!$Y$2,JA!CT:CT,$AF$4)</f>
        <v>0</v>
      </c>
      <c r="AC64" s="469">
        <f>SUMIFS(JA!$Z:$Z,JA!$AE:$AE,"OK",JA!$AT:$AT,Toimenpiteet!$AE64,JA!$AX:$AX,Toimenpiteet!$Y$6,JA!$CI:$CI,Toimenpiteet!$Y$1,JA!$BE:$BE,Toimenpiteet!$Y$5,JA!$AI:$AI,Toimenpiteet!$Y$4,JA!$AJ:$AJ,Toimenpiteet!$Y$2,JA!CT:CT,$AF$4)</f>
        <v>0</v>
      </c>
      <c r="AD64" s="469">
        <f>SUMIFS(JA!$Z:$Z,JA!$AE:$AE,"OK",JA!$AT:$AT,Toimenpiteet!$AE64,JA!$AU:$AU,Toimenpiteet!$X$8,JA!$AX:$AX,Toimenpiteet!$Y$6,JA!$CI:$CI,Toimenpiteet!$Y$1,JA!$BE:$BE,Toimenpiteet!$Y$5,JA!$AI:$AI,Toimenpiteet!$Y$4,JA!$AJ:$AJ,Toimenpiteet!$Y$2,JA!CT:CT,$AF$4)</f>
        <v>0</v>
      </c>
      <c r="AF64" s="469">
        <f>SUMIFS(JA!$Z:$Z,JA!$AE:$AE,"OK",JA!$AT:$AT,Toimenpiteet!$AH64,JA!$AX:$AX,Toimenpiteet!$Y$6,JA!$CI:$CI,Toimenpiteet!$Y$1,JA!$BE:$BE,Toimenpiteet!$Y$5,JA!$AI:$AI,Toimenpiteet!$Y$4,JA!$AJ:$AJ,Toimenpiteet!$Y$2,JA!CT:CT,$AF$4)</f>
        <v>0</v>
      </c>
      <c r="AG64" s="469">
        <f>SUMIFS(JA!$Z:$Z,JA!$AE:$AE,"OK",JA!$AT:$AT,Toimenpiteet!$AH64,JA!$AU:$AU,Toimenpiteet!$X$8,JA!$AX:$AX,Toimenpiteet!$Y$6,JA!$CI:$CI,Toimenpiteet!$Y$1,JA!$BE:$BE,Toimenpiteet!$Y$5,JA!$AI:$AI,Toimenpiteet!$Y$4,JA!$AJ:$AJ,Toimenpiteet!$Y$2,JA!CT:CT,$AF$4)</f>
        <v>0</v>
      </c>
      <c r="AU64" s="907"/>
    </row>
    <row r="65" spans="1:47" x14ac:dyDescent="0.25">
      <c r="A65" s="1045"/>
      <c r="B65" s="911" t="s">
        <v>428</v>
      </c>
      <c r="C65" s="310">
        <f>SUMIFS(JA!$Z:$Z,JA!$AE:$AE,"OK",JA!$AT:$AT,Toimenpiteet!$X65,JA!$AX:$AX,Toimenpiteet!$Y$6,JA!$CI:$CI,Toimenpiteet!$Y$1,JA!$BE:$BE,Toimenpiteet!$Y$5,JA!$AI:$AI,Toimenpiteet!$Y$4,JA!$AJ:$AJ,Toimenpiteet!$Y$2,JA!CT:CT,$AF$4)+Z65+AC65+AF65+AI65</f>
        <v>0</v>
      </c>
      <c r="D65" s="400">
        <f t="shared" si="0"/>
        <v>0</v>
      </c>
      <c r="E65" s="310">
        <f>SUMIFS(JA!$Z:$Z,JA!$AE:$AE,"OK",JA!$AT:$AT,Toimenpiteet!$X65,JA!$AU:$AU,Toimenpiteet!$X$8,JA!$AX:$AX,Toimenpiteet!$Y$6,JA!$CI:$CI,Toimenpiteet!$Y$1,JA!$BE:$BE,Toimenpiteet!$Y$5,JA!$AI:$AI,Toimenpiteet!$Y$4,JA!$AJ:$AJ,Toimenpiteet!$Y$2,JA!CT:CT,$AF$4)+AA65+AD65+AG65+AJ65</f>
        <v>0</v>
      </c>
      <c r="F65" s="400">
        <f t="shared" si="1"/>
        <v>0</v>
      </c>
      <c r="G65" s="316"/>
      <c r="H65" s="315"/>
      <c r="I65" s="315"/>
      <c r="J65" s="315"/>
      <c r="K65" s="315"/>
      <c r="L65" s="317"/>
      <c r="M65" s="52"/>
      <c r="O65" s="177"/>
      <c r="P65" s="177"/>
      <c r="T65" s="41"/>
      <c r="X65" t="s">
        <v>429</v>
      </c>
      <c r="Z65" s="469">
        <f>SUMIFS(JA!$Z:$Z,JA!$AE:$AE,"OK",JA!$AT:$AT,Toimenpiteet!$AB65,JA!$AX:$AX,Toimenpiteet!$Y$6,JA!$CI:$CI,Toimenpiteet!$Y$1,JA!$BE:$BE,Toimenpiteet!$Y$5,JA!$AI:$AI,Toimenpiteet!$Y$4,JA!$AJ:$AJ,Toimenpiteet!$Y$2,JA!CT:CT,$AF$4)</f>
        <v>0</v>
      </c>
      <c r="AA65" s="469">
        <f>SUMIFS(JA!$Z:$Z,JA!$AE:$AE,"OK",JA!$AT:$AT,Toimenpiteet!$AB65,JA!$AU:$AU,Toimenpiteet!$X$8,JA!$AX:$AX,Toimenpiteet!$Y$6,JA!$CI:$CI,Toimenpiteet!$Y$1,JA!$BE:$BE,Toimenpiteet!$Y$5,JA!$AI:$AI,Toimenpiteet!$Y$4,JA!$AJ:$AJ,Toimenpiteet!$Y$2,JA!CT:CT,$AF$4)</f>
        <v>0</v>
      </c>
      <c r="AB65" s="477" t="s">
        <v>430</v>
      </c>
      <c r="AC65" s="469">
        <f>SUMIFS(JA!$Z:$Z,JA!$AE:$AE,"OK",JA!$AT:$AT,Toimenpiteet!$AE65,JA!$AX:$AX,Toimenpiteet!$Y$6,JA!$CI:$CI,Toimenpiteet!$Y$1,JA!$BE:$BE,Toimenpiteet!$Y$5,JA!$AI:$AI,Toimenpiteet!$Y$4,JA!$AJ:$AJ,Toimenpiteet!$Y$2,JA!CT:CT,$AF$4)</f>
        <v>0</v>
      </c>
      <c r="AD65" s="469">
        <f>SUMIFS(JA!$Z:$Z,JA!$AE:$AE,"OK",JA!$AT:$AT,Toimenpiteet!$AE65,JA!$AU:$AU,Toimenpiteet!$X$8,JA!$AX:$AX,Toimenpiteet!$Y$6,JA!$CI:$CI,Toimenpiteet!$Y$1,JA!$BE:$BE,Toimenpiteet!$Y$5,JA!$AI:$AI,Toimenpiteet!$Y$4,JA!$AJ:$AJ,Toimenpiteet!$Y$2,JA!CT:CT,$AF$4)</f>
        <v>0</v>
      </c>
      <c r="AE65" s="86" t="s">
        <v>431</v>
      </c>
      <c r="AF65" s="469">
        <f>SUMIFS(JA!$Z:$Z,JA!$AE:$AE,"OK",JA!$AT:$AT,Toimenpiteet!$AH65,JA!$AX:$AX,Toimenpiteet!$Y$6,JA!$CI:$CI,Toimenpiteet!$Y$1,JA!$BE:$BE,Toimenpiteet!$Y$5,JA!$AI:$AI,Toimenpiteet!$Y$4,JA!$AJ:$AJ,Toimenpiteet!$Y$2,JA!CT:CT,$AF$4)</f>
        <v>0</v>
      </c>
      <c r="AG65" s="469">
        <f>SUMIFS(JA!$Z:$Z,JA!$AE:$AE,"OK",JA!$AT:$AT,Toimenpiteet!$AH65,JA!$AU:$AU,Toimenpiteet!$X$8,JA!$AX:$AX,Toimenpiteet!$Y$6,JA!$CI:$CI,Toimenpiteet!$Y$1,JA!$BE:$BE,Toimenpiteet!$Y$5,JA!$AI:$AI,Toimenpiteet!$Y$4,JA!$AJ:$AJ,Toimenpiteet!$Y$2,JA!CT:CT,$AF$4)</f>
        <v>0</v>
      </c>
      <c r="AH65" s="86" t="s">
        <v>432</v>
      </c>
      <c r="AU65" s="907"/>
    </row>
    <row r="66" spans="1:47" x14ac:dyDescent="0.25">
      <c r="A66" s="1043" t="s">
        <v>433</v>
      </c>
      <c r="B66" s="583" t="s">
        <v>434</v>
      </c>
      <c r="C66" s="310">
        <f>SUMIFS(JA!$Z:$Z,JA!$AE:$AE,"OK",JA!$AT:$AT,Toimenpiteet!$X66,JA!$AX:$AX,Toimenpiteet!$Y$6,JA!$CI:$CI,Toimenpiteet!$Y$1,JA!$BE:$BE,Toimenpiteet!$Y$5,JA!$AI:$AI,Toimenpiteet!$Y$4,JA!$AJ:$AJ,Toimenpiteet!$Y$2,JA!CT:CT,$AF$4)+Z66+AC66+AF66+AI66</f>
        <v>0</v>
      </c>
      <c r="D66" s="400">
        <f t="shared" si="0"/>
        <v>0</v>
      </c>
      <c r="E66" s="310">
        <f>SUMIFS(JA!$Z:$Z,JA!$AE:$AE,"OK",JA!$AT:$AT,Toimenpiteet!$X66,JA!$AU:$AU,Toimenpiteet!$X$8,JA!$AX:$AX,Toimenpiteet!$Y$6,JA!$CI:$CI,Toimenpiteet!$Y$1,JA!$BE:$BE,Toimenpiteet!$Y$5,JA!$AI:$AI,Toimenpiteet!$Y$4,JA!$AJ:$AJ,Toimenpiteet!$Y$2,JA!CT:CT,$AF$4)+AA66+AD66+AG66+AJ66</f>
        <v>0</v>
      </c>
      <c r="F66" s="400">
        <f t="shared" si="1"/>
        <v>0</v>
      </c>
      <c r="G66" s="316"/>
      <c r="H66" s="315"/>
      <c r="I66" s="315"/>
      <c r="J66" s="315"/>
      <c r="K66" s="315"/>
      <c r="L66" s="317"/>
      <c r="M66" s="52"/>
      <c r="T66" s="41"/>
      <c r="X66" s="86" t="s">
        <v>435</v>
      </c>
      <c r="Z66" s="469">
        <f>SUMIFS(JA!$Z:$Z,JA!$AE:$AE,"OK",JA!$AT:$AT,Toimenpiteet!$AB66,JA!$AX:$AX,Toimenpiteet!$Y$6,JA!$CI:$CI,Toimenpiteet!$Y$1,JA!$BE:$BE,Toimenpiteet!$Y$5,JA!$AI:$AI,Toimenpiteet!$Y$4,JA!$AJ:$AJ,Toimenpiteet!$Y$2,JA!CT:CT,$AF$4)</f>
        <v>0</v>
      </c>
      <c r="AA66" s="469">
        <f>SUMIFS(JA!$Z:$Z,JA!$AE:$AE,"OK",JA!$AT:$AT,Toimenpiteet!$AB66,JA!$AU:$AU,Toimenpiteet!$X$8,JA!$AX:$AX,Toimenpiteet!$Y$6,JA!$CI:$CI,Toimenpiteet!$Y$1,JA!$BE:$BE,Toimenpiteet!$Y$5,JA!$AI:$AI,Toimenpiteet!$Y$4,JA!$AJ:$AJ,Toimenpiteet!$Y$2,JA!CT:CT,$AF$4)</f>
        <v>0</v>
      </c>
      <c r="AB66" s="909" t="s">
        <v>436</v>
      </c>
      <c r="AC66" s="469">
        <f>SUMIFS(JA!$Z:$Z,JA!$AE:$AE,"OK",JA!$AT:$AT,Toimenpiteet!$AE66,JA!$AX:$AX,Toimenpiteet!$Y$6,JA!$CI:$CI,Toimenpiteet!$Y$1,JA!$BE:$BE,Toimenpiteet!$Y$5,JA!$AI:$AI,Toimenpiteet!$Y$4,JA!$AJ:$AJ,Toimenpiteet!$Y$2,JA!CT:CT,$AF$4)</f>
        <v>0</v>
      </c>
      <c r="AD66" s="469">
        <f>SUMIFS(JA!$Z:$Z,JA!$AE:$AE,"OK",JA!$AT:$AT,Toimenpiteet!$AE66,JA!$AU:$AU,Toimenpiteet!$X$8,JA!$AX:$AX,Toimenpiteet!$Y$6,JA!$CI:$CI,Toimenpiteet!$Y$1,JA!$BE:$BE,Toimenpiteet!$Y$5,JA!$AI:$AI,Toimenpiteet!$Y$4,JA!$AJ:$AJ,Toimenpiteet!$Y$2,JA!CT:CT,$AF$4)</f>
        <v>0</v>
      </c>
      <c r="AE66" s="86" t="s">
        <v>370</v>
      </c>
      <c r="AU66" s="907"/>
    </row>
    <row r="67" spans="1:47" x14ac:dyDescent="0.25">
      <c r="A67" s="1044"/>
      <c r="B67" s="583" t="s">
        <v>437</v>
      </c>
      <c r="C67" s="310">
        <f>SUMIFS(JA!$Z:$Z,JA!$AE:$AE,"OK",JA!$AT:$AT,Toimenpiteet!$X67,JA!$AX:$AX,Toimenpiteet!$Y$6,JA!$CI:$CI,Toimenpiteet!$Y$1,JA!$BE:$BE,Toimenpiteet!$Y$5,JA!$AI:$AI,Toimenpiteet!$Y$4,JA!$AJ:$AJ,Toimenpiteet!$Y$2,JA!CT:CT,$AF$4)+Z67+AC67+AF67+AI67</f>
        <v>0</v>
      </c>
      <c r="D67" s="400">
        <f t="shared" si="0"/>
        <v>0</v>
      </c>
      <c r="E67" s="310">
        <f>SUMIFS(JA!$Z:$Z,JA!$AE:$AE,"OK",JA!$AT:$AT,Toimenpiteet!$X67,JA!$AU:$AU,Toimenpiteet!$X$8,JA!$AX:$AX,Toimenpiteet!$Y$6,JA!$CI:$CI,Toimenpiteet!$Y$1,JA!$BE:$BE,Toimenpiteet!$Y$5,JA!$AI:$AI,Toimenpiteet!$Y$4,JA!$AJ:$AJ,Toimenpiteet!$Y$2,JA!CT:CT,$AF$4)+AA67+AD67+AG67+AJ67</f>
        <v>0</v>
      </c>
      <c r="F67" s="400">
        <f t="shared" si="1"/>
        <v>0</v>
      </c>
      <c r="G67" s="316"/>
      <c r="H67" s="315"/>
      <c r="I67" s="315"/>
      <c r="J67" s="315"/>
      <c r="K67" s="315"/>
      <c r="L67" s="317"/>
      <c r="M67" s="52"/>
      <c r="T67" s="41"/>
      <c r="X67" s="86" t="s">
        <v>438</v>
      </c>
      <c r="Z67" s="469">
        <f>SUMIFS(JA!$Z:$Z,JA!$AE:$AE,"OK",JA!$AT:$AT,Toimenpiteet!$AB67,JA!$AX:$AX,Toimenpiteet!$Y$6,JA!$CI:$CI,Toimenpiteet!$Y$1,JA!$BE:$BE,Toimenpiteet!$Y$5,JA!$AI:$AI,Toimenpiteet!$Y$4,JA!$AJ:$AJ,Toimenpiteet!$Y$2,JA!CT:CT,$AF$4)</f>
        <v>0</v>
      </c>
      <c r="AA67" s="469">
        <f>SUMIFS(JA!$Z:$Z,JA!$AE:$AE,"OK",JA!$AT:$AT,Toimenpiteet!$AB67,JA!$AU:$AU,Toimenpiteet!$X$8,JA!$AX:$AX,Toimenpiteet!$Y$6,JA!$CI:$CI,Toimenpiteet!$Y$1,JA!$BE:$BE,Toimenpiteet!$Y$5,JA!$AI:$AI,Toimenpiteet!$Y$4,JA!$AJ:$AJ,Toimenpiteet!$Y$2,JA!CT:CT,$AF$4)</f>
        <v>0</v>
      </c>
      <c r="AB67" s="908"/>
      <c r="AC67" s="469">
        <f>SUMIFS(JA!$Z:$Z,JA!$AE:$AE,"OK",JA!$AT:$AT,Toimenpiteet!$AE67,JA!$AX:$AX,Toimenpiteet!$Y$6,JA!$CI:$CI,Toimenpiteet!$Y$1,JA!$BE:$BE,Toimenpiteet!$Y$5,JA!$AI:$AI,Toimenpiteet!$Y$4,JA!$AJ:$AJ,Toimenpiteet!$Y$2,JA!CT:CT,$AF$4)</f>
        <v>0</v>
      </c>
      <c r="AD67" s="469">
        <f>SUMIFS(JA!$Z:$Z,JA!$AE:$AE,"OK",JA!$AT:$AT,Toimenpiteet!$AE67,JA!$AU:$AU,Toimenpiteet!$X$8,JA!$AX:$AX,Toimenpiteet!$Y$6,JA!$CI:$CI,Toimenpiteet!$Y$1,JA!$BE:$BE,Toimenpiteet!$Y$5,JA!$AI:$AI,Toimenpiteet!$Y$4,JA!$AJ:$AJ,Toimenpiteet!$Y$2,JA!CT:CT,$AF$4)</f>
        <v>0</v>
      </c>
      <c r="AU67" s="907"/>
    </row>
    <row r="68" spans="1:47" x14ac:dyDescent="0.25">
      <c r="A68" s="1044"/>
      <c r="B68" s="583" t="s">
        <v>439</v>
      </c>
      <c r="C68" s="310">
        <f>SUMIFS(JA!$Z:$Z,JA!$AE:$AE,"OK",JA!$AT:$AT,Toimenpiteet!$X68,JA!$AX:$AX,Toimenpiteet!$Y$6,JA!$CI:$CI,Toimenpiteet!$Y$1,JA!$BE:$BE,Toimenpiteet!$Y$5,JA!$AI:$AI,Toimenpiteet!$Y$4,JA!$AJ:$AJ,Toimenpiteet!$Y$2,JA!CT:CT,$AF$4)+Z68+AC68+AF68+AI68</f>
        <v>0</v>
      </c>
      <c r="D68" s="400">
        <f t="shared" si="0"/>
        <v>0</v>
      </c>
      <c r="E68" s="310">
        <f>SUMIFS(JA!$Z:$Z,JA!$AE:$AE,"OK",JA!$AT:$AT,Toimenpiteet!$X68,JA!$AU:$AU,Toimenpiteet!$X$8,JA!$AX:$AX,Toimenpiteet!$Y$6,JA!$CI:$CI,Toimenpiteet!$Y$1,JA!$BE:$BE,Toimenpiteet!$Y$5,JA!$AI:$AI,Toimenpiteet!$Y$4,JA!$AJ:$AJ,Toimenpiteet!$Y$2,JA!CT:CT,$AF$4)+AA68+AD68+AG68+AJ68</f>
        <v>0</v>
      </c>
      <c r="F68" s="400">
        <f t="shared" si="1"/>
        <v>0</v>
      </c>
      <c r="G68" s="316"/>
      <c r="H68" s="315"/>
      <c r="I68" s="315"/>
      <c r="J68" s="315"/>
      <c r="K68" s="315"/>
      <c r="L68" s="317"/>
      <c r="M68" s="52"/>
      <c r="T68" s="41"/>
      <c r="X68" t="s">
        <v>440</v>
      </c>
      <c r="Z68" s="469">
        <f>SUMIFS(JA!$Z:$Z,JA!$AE:$AE,"OK",JA!$AT:$AT,Toimenpiteet!$AB68,JA!$AX:$AX,Toimenpiteet!$Y$6,JA!$CI:$CI,Toimenpiteet!$Y$1,JA!$BE:$BE,Toimenpiteet!$Y$5,JA!$AI:$AI,Toimenpiteet!$Y$4,JA!$AJ:$AJ,Toimenpiteet!$Y$2,JA!CT:CT,$AF$4)</f>
        <v>0</v>
      </c>
      <c r="AA68" s="469">
        <f>SUMIFS(JA!$Z:$Z,JA!$AE:$AE,"OK",JA!$AT:$AT,Toimenpiteet!$AB68,JA!$AU:$AU,Toimenpiteet!$X$8,JA!$AX:$AX,Toimenpiteet!$Y$6,JA!$CI:$CI,Toimenpiteet!$Y$1,JA!$BE:$BE,Toimenpiteet!$Y$5,JA!$AI:$AI,Toimenpiteet!$Y$4,JA!$AJ:$AJ,Toimenpiteet!$Y$2,JA!CT:CT,$AF$4)</f>
        <v>0</v>
      </c>
      <c r="AB68" s="908"/>
      <c r="AC68" s="469">
        <f>SUMIFS(JA!$Z:$Z,JA!$AE:$AE,"OK",JA!$AT:$AT,Toimenpiteet!$AE68,JA!$AX:$AX,Toimenpiteet!$Y$6,JA!$CI:$CI,Toimenpiteet!$Y$1,JA!$BE:$BE,Toimenpiteet!$Y$5,JA!$AI:$AI,Toimenpiteet!$Y$4,JA!$AJ:$AJ,Toimenpiteet!$Y$2,JA!CT:CT,$AF$4)</f>
        <v>0</v>
      </c>
      <c r="AD68" s="469">
        <f>SUMIFS(JA!$Z:$Z,JA!$AE:$AE,"OK",JA!$AT:$AT,Toimenpiteet!$AE68,JA!$AU:$AU,Toimenpiteet!$X$8,JA!$AX:$AX,Toimenpiteet!$Y$6,JA!$CI:$CI,Toimenpiteet!$Y$1,JA!$BE:$BE,Toimenpiteet!$Y$5,JA!$AI:$AI,Toimenpiteet!$Y$4,JA!$AJ:$AJ,Toimenpiteet!$Y$2,JA!CT:CT,$AF$4)</f>
        <v>0</v>
      </c>
      <c r="AU68" s="907"/>
    </row>
    <row r="69" spans="1:47" x14ac:dyDescent="0.25">
      <c r="A69" s="1044"/>
      <c r="B69" s="583" t="s">
        <v>441</v>
      </c>
      <c r="C69" s="310">
        <f>SUMIFS(JA!$Z:$Z,JA!$AE:$AE,"OK",JA!$AT:$AT,Toimenpiteet!$X69,JA!$AX:$AX,Toimenpiteet!$Y$6,JA!$CI:$CI,Toimenpiteet!$Y$1,JA!$BE:$BE,Toimenpiteet!$Y$5,JA!$AI:$AI,Toimenpiteet!$Y$4,JA!$AJ:$AJ,Toimenpiteet!$Y$2,JA!CT:CT,$AF$4)+Z69+AC69+AF69+AI69</f>
        <v>0</v>
      </c>
      <c r="D69" s="400">
        <f t="shared" si="0"/>
        <v>0</v>
      </c>
      <c r="E69" s="310">
        <f>SUMIFS(JA!$Z:$Z,JA!$AE:$AE,"OK",JA!$AT:$AT,Toimenpiteet!$X69,JA!$AU:$AU,Toimenpiteet!$X$8,JA!$AX:$AX,Toimenpiteet!$Y$6,JA!$CI:$CI,Toimenpiteet!$Y$1,JA!$BE:$BE,Toimenpiteet!$Y$5,JA!$AI:$AI,Toimenpiteet!$Y$4,JA!$AJ:$AJ,Toimenpiteet!$Y$2,JA!CT:CT,$AF$4)+AA69+AD69+AG69+AJ69</f>
        <v>0</v>
      </c>
      <c r="F69" s="400">
        <f t="shared" si="1"/>
        <v>0</v>
      </c>
      <c r="G69" s="316"/>
      <c r="H69" s="315"/>
      <c r="I69" s="315"/>
      <c r="J69" s="315"/>
      <c r="K69" s="315"/>
      <c r="L69" s="317"/>
      <c r="M69" s="52"/>
      <c r="T69" s="41"/>
      <c r="X69" s="86" t="s">
        <v>442</v>
      </c>
      <c r="Z69" s="469">
        <f>SUMIFS(JA!$Z:$Z,JA!$AE:$AE,"OK",JA!$AT:$AT,Toimenpiteet!$AB69,JA!$AX:$AX,Toimenpiteet!$Y$6,JA!$CI:$CI,Toimenpiteet!$Y$1,JA!$BE:$BE,Toimenpiteet!$Y$5,JA!$AI:$AI,Toimenpiteet!$Y$4,JA!$AJ:$AJ,Toimenpiteet!$Y$2,JA!CT:CT,$AF$4)</f>
        <v>0</v>
      </c>
      <c r="AA69" s="469">
        <f>SUMIFS(JA!$Z:$Z,JA!$AE:$AE,"OK",JA!$AT:$AT,Toimenpiteet!$AB69,JA!$AU:$AU,Toimenpiteet!$X$8,JA!$AX:$AX,Toimenpiteet!$Y$6,JA!$CI:$CI,Toimenpiteet!$Y$1,JA!$BE:$BE,Toimenpiteet!$Y$5,JA!$AI:$AI,Toimenpiteet!$Y$4,JA!$AJ:$AJ,Toimenpiteet!$Y$2,JA!CT:CT,$AF$4)</f>
        <v>0</v>
      </c>
      <c r="AB69" s="909" t="s">
        <v>443</v>
      </c>
      <c r="AC69" s="469">
        <f>SUMIFS(JA!$Z:$Z,JA!$AE:$AE,"OK",JA!$AT:$AT,Toimenpiteet!$AE69,JA!$AX:$AX,Toimenpiteet!$Y$6,JA!$CI:$CI,Toimenpiteet!$Y$1,JA!$BE:$BE,Toimenpiteet!$Y$5,JA!$AI:$AI,Toimenpiteet!$Y$4,JA!$AJ:$AJ,Toimenpiteet!$Y$2,JA!CT:CT,$AF$4)</f>
        <v>0</v>
      </c>
      <c r="AD69" s="469">
        <f>SUMIFS(JA!$Z:$Z,JA!$AE:$AE,"OK",JA!$AT:$AT,Toimenpiteet!$AE69,JA!$AU:$AU,Toimenpiteet!$X$8,JA!$AX:$AX,Toimenpiteet!$Y$6,JA!$CI:$CI,Toimenpiteet!$Y$1,JA!$BE:$BE,Toimenpiteet!$Y$5,JA!$AI:$AI,Toimenpiteet!$Y$4,JA!$AJ:$AJ,Toimenpiteet!$Y$2,JA!CT:CT,$AF$4)</f>
        <v>0</v>
      </c>
      <c r="AE69" s="86" t="s">
        <v>444</v>
      </c>
      <c r="AU69" s="907"/>
    </row>
    <row r="70" spans="1:47" x14ac:dyDescent="0.25">
      <c r="A70" s="1044"/>
      <c r="B70" s="583" t="s">
        <v>445</v>
      </c>
      <c r="C70" s="310">
        <f>SUMIFS(JA!$Z:$Z,JA!$AE:$AE,"OK",JA!$AT:$AT,Toimenpiteet!$X70,JA!$AX:$AX,Toimenpiteet!$Y$6,JA!$CI:$CI,Toimenpiteet!$Y$1,JA!$BE:$BE,Toimenpiteet!$Y$5,JA!$AI:$AI,Toimenpiteet!$Y$4,JA!$AJ:$AJ,Toimenpiteet!$Y$2,JA!CT:CT,$AF$4)+Z70+AC70+AF70+AI70</f>
        <v>0</v>
      </c>
      <c r="D70" s="400">
        <f t="shared" si="0"/>
        <v>0</v>
      </c>
      <c r="E70" s="310">
        <f>SUMIFS(JA!$Z:$Z,JA!$AE:$AE,"OK",JA!$AT:$AT,Toimenpiteet!$X70,JA!$AU:$AU,Toimenpiteet!$X$8,JA!$AX:$AX,Toimenpiteet!$Y$6,JA!$CI:$CI,Toimenpiteet!$Y$1,JA!$BE:$BE,Toimenpiteet!$Y$5,JA!$AI:$AI,Toimenpiteet!$Y$4,JA!$AJ:$AJ,Toimenpiteet!$Y$2,JA!CT:CT,$AF$4)+AA70+AD70+AG70+AJ70</f>
        <v>0</v>
      </c>
      <c r="F70" s="400">
        <f t="shared" si="1"/>
        <v>0</v>
      </c>
      <c r="G70" s="316"/>
      <c r="H70" s="315"/>
      <c r="I70" s="315"/>
      <c r="J70" s="315"/>
      <c r="K70" s="315"/>
      <c r="L70" s="317"/>
      <c r="M70" s="52"/>
      <c r="T70" s="41"/>
      <c r="X70" s="86" t="s">
        <v>446</v>
      </c>
      <c r="Z70" s="469">
        <f>SUMIFS(JA!$Z:$Z,JA!$AE:$AE,"OK",JA!$AT:$AT,Toimenpiteet!$AB70,JA!$AX:$AX,Toimenpiteet!$Y$6,JA!$CI:$CI,Toimenpiteet!$Y$1,JA!$BE:$BE,Toimenpiteet!$Y$5,JA!$AI:$AI,Toimenpiteet!$Y$4,JA!$AJ:$AJ,Toimenpiteet!$Y$2,JA!CT:CT,$AF$4)</f>
        <v>0</v>
      </c>
      <c r="AA70" s="469">
        <f>SUMIFS(JA!$Z:$Z,JA!$AE:$AE,"OK",JA!$AT:$AT,Toimenpiteet!$AB70,JA!$AU:$AU,Toimenpiteet!$X$8,JA!$AX:$AX,Toimenpiteet!$Y$6,JA!$CI:$CI,Toimenpiteet!$Y$1,JA!$BE:$BE,Toimenpiteet!$Y$5,JA!$AI:$AI,Toimenpiteet!$Y$4,JA!$AJ:$AJ,Toimenpiteet!$Y$2,JA!CT:CT,$AF$4)</f>
        <v>0</v>
      </c>
      <c r="AB70" s="909" t="s">
        <v>447</v>
      </c>
      <c r="AC70" s="469">
        <f>SUMIFS(JA!$Z:$Z,JA!$AE:$AE,"OK",JA!$AT:$AT,Toimenpiteet!$AE70,JA!$AX:$AX,Toimenpiteet!$Y$6,JA!$CI:$CI,Toimenpiteet!$Y$1,JA!$BE:$BE,Toimenpiteet!$Y$5,JA!$AI:$AI,Toimenpiteet!$Y$4,JA!$AJ:$AJ,Toimenpiteet!$Y$2,JA!CT:CT,$AF$4)</f>
        <v>0</v>
      </c>
      <c r="AD70" s="469">
        <f>SUMIFS(JA!$Z:$Z,JA!$AE:$AE,"OK",JA!$AT:$AT,Toimenpiteet!$AE70,JA!$AU:$AU,Toimenpiteet!$X$8,JA!$AX:$AX,Toimenpiteet!$Y$6,JA!$CI:$CI,Toimenpiteet!$Y$1,JA!$BE:$BE,Toimenpiteet!$Y$5,JA!$AI:$AI,Toimenpiteet!$Y$4,JA!$AJ:$AJ,Toimenpiteet!$Y$2,JA!CT:CT,$AF$4)</f>
        <v>0</v>
      </c>
      <c r="AU70" s="906"/>
    </row>
    <row r="71" spans="1:47" x14ac:dyDescent="0.25">
      <c r="A71" s="1044"/>
      <c r="B71" s="583" t="s">
        <v>448</v>
      </c>
      <c r="C71" s="310">
        <f>SUMIFS(JA!$Z:$Z,JA!$AE:$AE,"OK",JA!$AT:$AT,Toimenpiteet!$X71,JA!$AX:$AX,Toimenpiteet!$Y$6,JA!$CI:$CI,Toimenpiteet!$Y$1,JA!$BE:$BE,Toimenpiteet!$Y$5,JA!$AI:$AI,Toimenpiteet!$Y$4,JA!$AJ:$AJ,Toimenpiteet!$Y$2,JA!CT:CT,$AF$4)+Z71+AC71+AF71+AI71</f>
        <v>0</v>
      </c>
      <c r="D71" s="400">
        <f t="shared" si="0"/>
        <v>0</v>
      </c>
      <c r="E71" s="310">
        <f>SUMIFS(JA!$Z:$Z,JA!$AE:$AE,"OK",JA!$AT:$AT,Toimenpiteet!$X71,JA!$AU:$AU,Toimenpiteet!$X$8,JA!$AX:$AX,Toimenpiteet!$Y$6,JA!$CI:$CI,Toimenpiteet!$Y$1,JA!$BE:$BE,Toimenpiteet!$Y$5,JA!$AI:$AI,Toimenpiteet!$Y$4,JA!$AJ:$AJ,Toimenpiteet!$Y$2,JA!CT:CT,$AF$4)+AA71+AD71+AG71+AJ71</f>
        <v>0</v>
      </c>
      <c r="F71" s="400">
        <f t="shared" si="1"/>
        <v>0</v>
      </c>
      <c r="G71" s="316"/>
      <c r="H71" s="315"/>
      <c r="I71" s="315"/>
      <c r="J71" s="315"/>
      <c r="K71" s="315"/>
      <c r="L71" s="317"/>
      <c r="M71" s="52"/>
      <c r="T71" s="41"/>
      <c r="X71" s="86" t="s">
        <v>449</v>
      </c>
      <c r="Z71" s="469">
        <f>SUMIFS(JA!$Z:$Z,JA!$AE:$AE,"OK",JA!$AT:$AT,Toimenpiteet!$AB71,JA!$AX:$AX,Toimenpiteet!$Y$6,JA!$CI:$CI,Toimenpiteet!$Y$1,JA!$BE:$BE,Toimenpiteet!$Y$5,JA!$AI:$AI,Toimenpiteet!$Y$4,JA!$AJ:$AJ,Toimenpiteet!$Y$2,JA!CT:CT,$AF$4)</f>
        <v>0</v>
      </c>
      <c r="AA71" s="469">
        <f>SUMIFS(JA!$Z:$Z,JA!$AE:$AE,"OK",JA!$AT:$AT,Toimenpiteet!$AB71,JA!$AU:$AU,Toimenpiteet!$X$8,JA!$AX:$AX,Toimenpiteet!$Y$6,JA!$CI:$CI,Toimenpiteet!$Y$1,JA!$BE:$BE,Toimenpiteet!$Y$5,JA!$AI:$AI,Toimenpiteet!$Y$4,JA!$AJ:$AJ,Toimenpiteet!$Y$2,JA!CT:CT,$AF$4)</f>
        <v>0</v>
      </c>
      <c r="AC71" s="469">
        <f>SUMIFS(JA!$Z:$Z,JA!$AE:$AE,"OK",JA!$AT:$AT,Toimenpiteet!$AE71,JA!$AX:$AX,Toimenpiteet!$Y$6,JA!$CI:$CI,Toimenpiteet!$Y$1,JA!$BE:$BE,Toimenpiteet!$Y$5,JA!$AI:$AI,Toimenpiteet!$Y$4,JA!$AJ:$AJ,Toimenpiteet!$Y$2,JA!CT:CT,$AF$4)</f>
        <v>0</v>
      </c>
      <c r="AD71" s="469">
        <f>SUMIFS(JA!$Z:$Z,JA!$AE:$AE,"OK",JA!$AT:$AT,Toimenpiteet!$AE71,JA!$AU:$AU,Toimenpiteet!$X$8,JA!$AX:$AX,Toimenpiteet!$Y$6,JA!$CI:$CI,Toimenpiteet!$Y$1,JA!$BE:$BE,Toimenpiteet!$Y$5,JA!$AI:$AI,Toimenpiteet!$Y$4,JA!$AJ:$AJ,Toimenpiteet!$Y$2,JA!CT:CT,$AF$4)</f>
        <v>0</v>
      </c>
      <c r="AU71" s="907"/>
    </row>
    <row r="72" spans="1:47" x14ac:dyDescent="0.25">
      <c r="A72" s="1045"/>
      <c r="B72" s="583" t="s">
        <v>450</v>
      </c>
      <c r="C72" s="310">
        <f>SUMIFS(JA!$Z:$Z,JA!$AE:$AE,"OK",JA!$AT:$AT,Toimenpiteet!$X72,JA!$AX:$AX,Toimenpiteet!$Y$6,JA!$CI:$CI,Toimenpiteet!$Y$1,JA!$BE:$BE,Toimenpiteet!$Y$5,JA!$AI:$AI,Toimenpiteet!$Y$4,JA!$AJ:$AJ,Toimenpiteet!$Y$2,JA!CT:CT,$AF$4)+Z72+AC72+AF72+AI72</f>
        <v>0</v>
      </c>
      <c r="D72" s="400">
        <f t="shared" si="0"/>
        <v>0</v>
      </c>
      <c r="E72" s="310">
        <f>SUMIFS(JA!$Z:$Z,JA!$AE:$AE,"OK",JA!$AT:$AT,Toimenpiteet!$X72,JA!$AU:$AU,Toimenpiteet!$X$8,JA!$AX:$AX,Toimenpiteet!$Y$6,JA!$CI:$CI,Toimenpiteet!$Y$1,JA!$BE:$BE,Toimenpiteet!$Y$5,JA!$AI:$AI,Toimenpiteet!$Y$4,JA!$AJ:$AJ,Toimenpiteet!$Y$2,JA!CT:CT,$AF$4)+AA72+AD72+AG72+AJ72</f>
        <v>0</v>
      </c>
      <c r="F72" s="400">
        <f t="shared" si="1"/>
        <v>0</v>
      </c>
      <c r="G72" s="316"/>
      <c r="H72" s="315"/>
      <c r="I72" s="315"/>
      <c r="J72" s="315"/>
      <c r="K72" s="315"/>
      <c r="L72" s="317"/>
      <c r="M72" s="52"/>
      <c r="T72" s="41"/>
      <c r="X72" s="86" t="s">
        <v>451</v>
      </c>
      <c r="Z72" s="469">
        <f>SUMIFS(JA!$Z:$Z,JA!$AE:$AE,"OK",JA!$AT:$AT,Toimenpiteet!$AB72,JA!$AX:$AX,Toimenpiteet!$Y$6,JA!$CI:$CI,Toimenpiteet!$Y$1,JA!$BE:$BE,Toimenpiteet!$Y$5,JA!$AI:$AI,Toimenpiteet!$Y$4,JA!$AJ:$AJ,Toimenpiteet!$Y$2,JA!CT:CT,$AF$4)</f>
        <v>0</v>
      </c>
      <c r="AA72" s="469">
        <f>SUMIFS(JA!$Z:$Z,JA!$AE:$AE,"OK",JA!$AT:$AT,Toimenpiteet!$AB72,JA!$AU:$AU,Toimenpiteet!$X$8,JA!$AX:$AX,Toimenpiteet!$Y$6,JA!$CI:$CI,Toimenpiteet!$Y$1,JA!$BE:$BE,Toimenpiteet!$Y$5,JA!$AI:$AI,Toimenpiteet!$Y$4,JA!$AJ:$AJ,Toimenpiteet!$Y$2,JA!CT:CT,$AF$4)</f>
        <v>0</v>
      </c>
      <c r="AC72" s="469">
        <f>SUMIFS(JA!$Z:$Z,JA!$AE:$AE,"OK",JA!$AT:$AT,Toimenpiteet!$AE72,JA!$AX:$AX,Toimenpiteet!$Y$6,JA!$CI:$CI,Toimenpiteet!$Y$1,JA!$BE:$BE,Toimenpiteet!$Y$5,JA!$AI:$AI,Toimenpiteet!$Y$4,JA!$AJ:$AJ,Toimenpiteet!$Y$2,JA!CT:CT,$AF$4)</f>
        <v>0</v>
      </c>
      <c r="AD72" s="469">
        <f>SUMIFS(JA!$Z:$Z,JA!$AE:$AE,"OK",JA!$AT:$AT,Toimenpiteet!$AE72,JA!$AU:$AU,Toimenpiteet!$X$8,JA!$AX:$AX,Toimenpiteet!$Y$6,JA!$CI:$CI,Toimenpiteet!$Y$1,JA!$BE:$BE,Toimenpiteet!$Y$5,JA!$AI:$AI,Toimenpiteet!$Y$4,JA!$AJ:$AJ,Toimenpiteet!$Y$2,JA!CT:CT,$AF$4)</f>
        <v>0</v>
      </c>
      <c r="AU72" s="907"/>
    </row>
    <row r="73" spans="1:47" ht="15" customHeight="1" x14ac:dyDescent="0.25">
      <c r="A73" s="1046" t="s">
        <v>452</v>
      </c>
      <c r="B73" s="583" t="s">
        <v>453</v>
      </c>
      <c r="C73" s="310">
        <f>SUMIFS(JA!$Z:$Z,JA!$AE:$AE,"OK",JA!$AT:$AT,Toimenpiteet!$X73,JA!$AX:$AX,Toimenpiteet!$Y$6,JA!$CI:$CI,Toimenpiteet!$Y$1,JA!$BE:$BE,Toimenpiteet!$Y$5,JA!$AI:$AI,Toimenpiteet!$Y$4,JA!$AJ:$AJ,Toimenpiteet!$Y$2,JA!CT:CT,$AF$4)+Z73+AC73+AF73+AI73</f>
        <v>0</v>
      </c>
      <c r="D73" s="400">
        <f t="shared" si="0"/>
        <v>0</v>
      </c>
      <c r="E73" s="310">
        <f>SUMIFS(JA!$Z:$Z,JA!$AE:$AE,"OK",JA!$AT:$AT,Toimenpiteet!$X73,JA!$AU:$AU,Toimenpiteet!$X$8,JA!$AX:$AX,Toimenpiteet!$Y$6,JA!$CI:$CI,Toimenpiteet!$Y$1,JA!$BE:$BE,Toimenpiteet!$Y$5,JA!$AI:$AI,Toimenpiteet!$Y$4,JA!$AJ:$AJ,Toimenpiteet!$Y$2,JA!CT:CT,$AF$4)+AA73+AD73+AG73+AJ73</f>
        <v>0</v>
      </c>
      <c r="F73" s="400">
        <f t="shared" si="1"/>
        <v>0</v>
      </c>
      <c r="G73" s="316"/>
      <c r="H73" s="315"/>
      <c r="I73" s="315"/>
      <c r="J73" s="315"/>
      <c r="K73" s="315"/>
      <c r="L73" s="317"/>
      <c r="M73" s="1049" t="str">
        <f>"NUORET VALMENTAUTUJAT: "&amp; A41</f>
        <v>NUORET VALMENTAUTUJAT: Valmentautujien toimenpiteet sopimusjaksottain - 01.01.2026-31.12.2026 (Kaikki kunnat, Kaikki yksiköt, Kaikki asiakkuudet, Kaikki toimenpiteet, Vain yksi esiintymä)</v>
      </c>
      <c r="N73" s="1050"/>
      <c r="O73" s="1050"/>
      <c r="P73" s="1050"/>
      <c r="Q73" s="1050"/>
      <c r="R73" s="1050"/>
      <c r="S73" s="1050"/>
      <c r="T73" s="1051"/>
      <c r="X73" t="s">
        <v>454</v>
      </c>
      <c r="Z73" s="469">
        <f>SUMIFS(JA!$Z:$Z,JA!$AE:$AE,"OK",JA!$AT:$AT,Toimenpiteet!$AB73,JA!$AX:$AX,Toimenpiteet!$Y$6,JA!$CI:$CI,Toimenpiteet!$Y$1,JA!$BE:$BE,Toimenpiteet!$Y$5,JA!$AI:$AI,Toimenpiteet!$Y$4,JA!$AJ:$AJ,Toimenpiteet!$Y$2,JA!CT:CT,$AF$4)</f>
        <v>0</v>
      </c>
      <c r="AA73" s="469">
        <f>SUMIFS(JA!$Z:$Z,JA!$AE:$AE,"OK",JA!$AT:$AT,Toimenpiteet!$AB73,JA!$AU:$AU,Toimenpiteet!$X$8,JA!$AX:$AX,Toimenpiteet!$Y$6,JA!$CI:$CI,Toimenpiteet!$Y$1,JA!$BE:$BE,Toimenpiteet!$Y$5,JA!$AI:$AI,Toimenpiteet!$Y$4,JA!$AJ:$AJ,Toimenpiteet!$Y$2,JA!CT:CT,$AF$4)</f>
        <v>0</v>
      </c>
      <c r="AB73" s="86" t="s">
        <v>455</v>
      </c>
      <c r="AC73" s="469">
        <f>SUMIFS(JA!$Z:$Z,JA!$AE:$AE,"OK",JA!$AT:$AT,Toimenpiteet!$AE73,JA!$AX:$AX,Toimenpiteet!$Y$6,JA!$CI:$CI,Toimenpiteet!$Y$1,JA!$BE:$BE,Toimenpiteet!$Y$5,JA!$AI:$AI,Toimenpiteet!$Y$4,JA!$AJ:$AJ,Toimenpiteet!$Y$2,JA!CT:CT,$AF$4)</f>
        <v>0</v>
      </c>
      <c r="AD73" s="469">
        <f>SUMIFS(JA!$Z:$Z,JA!$AE:$AE,"OK",JA!$AT:$AT,Toimenpiteet!$AE73,JA!$AU:$AU,Toimenpiteet!$X$8,JA!$AX:$AX,Toimenpiteet!$Y$6,JA!$CI:$CI,Toimenpiteet!$Y$1,JA!$BE:$BE,Toimenpiteet!$Y$5,JA!$AI:$AI,Toimenpiteet!$Y$4,JA!$AJ:$AJ,Toimenpiteet!$Y$2,JA!CT:CT,$AF$4)</f>
        <v>0</v>
      </c>
      <c r="AU73" s="907"/>
    </row>
    <row r="74" spans="1:47" x14ac:dyDescent="0.25">
      <c r="A74" s="1047"/>
      <c r="B74" s="583" t="s">
        <v>456</v>
      </c>
      <c r="C74" s="310">
        <f>SUMIFS(JA!$Z:$Z,JA!$AE:$AE,"OK",JA!$AT:$AT,Toimenpiteet!$X74,JA!$AX:$AX,Toimenpiteet!$Y$6,JA!$CI:$CI,Toimenpiteet!$Y$1,JA!$BE:$BE,Toimenpiteet!$Y$5,JA!$AI:$AI,Toimenpiteet!$Y$4,JA!$AJ:$AJ,Toimenpiteet!$Y$2,JA!CT:CT,$AF$4)+Z74+AC74+AF74+AI74</f>
        <v>0</v>
      </c>
      <c r="D74" s="400">
        <f t="shared" si="0"/>
        <v>0</v>
      </c>
      <c r="E74" s="310">
        <f>SUMIFS(JA!$Z:$Z,JA!$AE:$AE,"OK",JA!$AT:$AT,Toimenpiteet!$X74,JA!$AU:$AU,Toimenpiteet!$X$8,JA!$AX:$AX,Toimenpiteet!$Y$6,JA!$CI:$CI,Toimenpiteet!$Y$1,JA!$BE:$BE,Toimenpiteet!$Y$5,JA!$AI:$AI,Toimenpiteet!$Y$4,JA!$AJ:$AJ,Toimenpiteet!$Y$2,JA!CT:CT,$AF$4)+AA74+AD74+AG74+AJ74</f>
        <v>0</v>
      </c>
      <c r="F74" s="400">
        <f t="shared" si="1"/>
        <v>0</v>
      </c>
      <c r="G74" s="316"/>
      <c r="H74" s="315"/>
      <c r="I74" s="315"/>
      <c r="J74" s="315"/>
      <c r="K74" s="315"/>
      <c r="L74" s="317"/>
      <c r="M74" s="1052"/>
      <c r="N74" s="1053"/>
      <c r="O74" s="1053"/>
      <c r="P74" s="1053"/>
      <c r="Q74" s="1053"/>
      <c r="R74" s="1053"/>
      <c r="S74" s="1053"/>
      <c r="T74" s="1054"/>
      <c r="X74" t="s">
        <v>457</v>
      </c>
      <c r="Z74" s="469">
        <f>SUMIFS(JA!$Z:$Z,JA!$AE:$AE,"OK",JA!$AT:$AT,Toimenpiteet!$AB74,JA!$AX:$AX,Toimenpiteet!$Y$6,JA!$CI:$CI,Toimenpiteet!$Y$1,JA!$BE:$BE,Toimenpiteet!$Y$5,JA!$AI:$AI,Toimenpiteet!$Y$4,JA!$AJ:$AJ,Toimenpiteet!$Y$2,JA!CT:CT,$AF$4)</f>
        <v>0</v>
      </c>
      <c r="AA74" s="469">
        <f>SUMIFS(JA!$Z:$Z,JA!$AE:$AE,"OK",JA!$AT:$AT,Toimenpiteet!$AB74,JA!$AU:$AU,Toimenpiteet!$X$8,JA!$AX:$AX,Toimenpiteet!$Y$6,JA!$CI:$CI,Toimenpiteet!$Y$1,JA!$BE:$BE,Toimenpiteet!$Y$5,JA!$AI:$AI,Toimenpiteet!$Y$4,JA!$AJ:$AJ,Toimenpiteet!$Y$2,JA!CT:CT,$AF$4)</f>
        <v>0</v>
      </c>
      <c r="AB74" s="86" t="s">
        <v>458</v>
      </c>
      <c r="AC74" s="469">
        <f>SUMIFS(JA!$Z:$Z,JA!$AE:$AE,"OK",JA!$AT:$AT,Toimenpiteet!$AE74,JA!$AX:$AX,Toimenpiteet!$Y$6,JA!$CI:$CI,Toimenpiteet!$Y$1,JA!$BE:$BE,Toimenpiteet!$Y$5,JA!$AI:$AI,Toimenpiteet!$Y$4,JA!$AJ:$AJ,Toimenpiteet!$Y$2,JA!CT:CT,$AF$4)</f>
        <v>0</v>
      </c>
      <c r="AD74" s="469">
        <f>SUMIFS(JA!$Z:$Z,JA!$AE:$AE,"OK",JA!$AT:$AT,Toimenpiteet!$AE74,JA!$AU:$AU,Toimenpiteet!$X$8,JA!$AX:$AX,Toimenpiteet!$Y$6,JA!$CI:$CI,Toimenpiteet!$Y$1,JA!$BE:$BE,Toimenpiteet!$Y$5,JA!$AI:$AI,Toimenpiteet!$Y$4,JA!$AJ:$AJ,Toimenpiteet!$Y$2,JA!CT:CT,$AF$4)</f>
        <v>0</v>
      </c>
      <c r="AU74" s="907"/>
    </row>
    <row r="75" spans="1:47" x14ac:dyDescent="0.25">
      <c r="A75" s="1047"/>
      <c r="B75" s="583" t="s">
        <v>459</v>
      </c>
      <c r="C75" s="310">
        <f>SUMIFS(JA!$Z:$Z,JA!$AE:$AE,"OK",JA!$AT:$AT,Toimenpiteet!$X75,JA!$AX:$AX,Toimenpiteet!$Y$6,JA!$CI:$CI,Toimenpiteet!$Y$1,JA!$BE:$BE,Toimenpiteet!$Y$5,JA!$AI:$AI,Toimenpiteet!$Y$4,JA!$AJ:$AJ,Toimenpiteet!$Y$2,JA!CT:CT,$AF$4)+Z75+AC75+AF75+AI75</f>
        <v>0</v>
      </c>
      <c r="D75" s="400">
        <f t="shared" si="0"/>
        <v>0</v>
      </c>
      <c r="E75" s="310">
        <f>SUMIFS(JA!$Z:$Z,JA!$AE:$AE,"OK",JA!$AT:$AT,Toimenpiteet!$X75,JA!$AU:$AU,Toimenpiteet!$X$8,JA!$AX:$AX,Toimenpiteet!$Y$6,JA!$CI:$CI,Toimenpiteet!$Y$1,JA!$BE:$BE,Toimenpiteet!$Y$5,JA!$AI:$AI,Toimenpiteet!$Y$4,JA!$AJ:$AJ,Toimenpiteet!$Y$2,JA!CT:CT,$AF$4)+AA75+AD75+AG75+AJ75</f>
        <v>0</v>
      </c>
      <c r="F75" s="400">
        <f t="shared" si="1"/>
        <v>0</v>
      </c>
      <c r="G75" s="316"/>
      <c r="H75" s="315"/>
      <c r="I75" s="315"/>
      <c r="J75" s="315"/>
      <c r="K75" s="315"/>
      <c r="L75" s="317"/>
      <c r="M75" s="1052"/>
      <c r="N75" s="1053"/>
      <c r="O75" s="1053"/>
      <c r="P75" s="1053"/>
      <c r="Q75" s="1053"/>
      <c r="R75" s="1053"/>
      <c r="S75" s="1053"/>
      <c r="T75" s="1054"/>
      <c r="X75" t="s">
        <v>460</v>
      </c>
      <c r="Z75" s="469">
        <f>SUMIFS(JA!$Z:$Z,JA!$AE:$AE,"OK",JA!$AT:$AT,Toimenpiteet!$AB75,JA!$AX:$AX,Toimenpiteet!$Y$6,JA!$CI:$CI,Toimenpiteet!$Y$1,JA!$BE:$BE,Toimenpiteet!$Y$5,JA!$AI:$AI,Toimenpiteet!$Y$4,JA!$AJ:$AJ,Toimenpiteet!$Y$2,JA!CT:CT,$AF$4)</f>
        <v>0</v>
      </c>
      <c r="AA75" s="469">
        <f>SUMIFS(JA!$Z:$Z,JA!$AE:$AE,"OK",JA!$AT:$AT,Toimenpiteet!$AB75,JA!$AU:$AU,Toimenpiteet!$X$8,JA!$AX:$AX,Toimenpiteet!$Y$6,JA!$CI:$CI,Toimenpiteet!$Y$1,JA!$BE:$BE,Toimenpiteet!$Y$5,JA!$AI:$AI,Toimenpiteet!$Y$4,JA!$AJ:$AJ,Toimenpiteet!$Y$2,JA!CT:CT,$AF$4)</f>
        <v>0</v>
      </c>
      <c r="AB75" s="86" t="s">
        <v>461</v>
      </c>
      <c r="AC75" s="469">
        <f>SUMIFS(JA!$Z:$Z,JA!$AE:$AE,"OK",JA!$AT:$AT,Toimenpiteet!$AE75,JA!$AX:$AX,Toimenpiteet!$Y$6,JA!$CI:$CI,Toimenpiteet!$Y$1,JA!$BE:$BE,Toimenpiteet!$Y$5,JA!$AI:$AI,Toimenpiteet!$Y$4,JA!$AJ:$AJ,Toimenpiteet!$Y$2,JA!CT:CT,$AF$4)</f>
        <v>0</v>
      </c>
      <c r="AD75" s="469">
        <f>SUMIFS(JA!$Z:$Z,JA!$AE:$AE,"OK",JA!$AT:$AT,Toimenpiteet!$AE75,JA!$AU:$AU,Toimenpiteet!$X$8,JA!$AX:$AX,Toimenpiteet!$Y$6,JA!$CI:$CI,Toimenpiteet!$Y$1,JA!$BE:$BE,Toimenpiteet!$Y$5,JA!$AI:$AI,Toimenpiteet!$Y$4,JA!$AJ:$AJ,Toimenpiteet!$Y$2,JA!CT:CT,$AF$4)</f>
        <v>0</v>
      </c>
      <c r="AE75" s="86" t="s">
        <v>462</v>
      </c>
      <c r="AU75" s="907"/>
    </row>
    <row r="76" spans="1:47" x14ac:dyDescent="0.25">
      <c r="A76" s="1048"/>
      <c r="B76" s="583" t="s">
        <v>463</v>
      </c>
      <c r="C76" s="310">
        <f>SUMIFS(JA!$Z:$Z,JA!$AE:$AE,"OK",JA!$AT:$AT,Toimenpiteet!$X76,JA!$AX:$AX,Toimenpiteet!$Y$6,JA!$CI:$CI,Toimenpiteet!$Y$1,JA!$BE:$BE,Toimenpiteet!$Y$5,JA!$AI:$AI,Toimenpiteet!$Y$4,JA!$AJ:$AJ,Toimenpiteet!$Y$2,JA!CT:CT,$AF$4)+Z76+AC76+AF76+AI76</f>
        <v>0</v>
      </c>
      <c r="D76" s="400">
        <f t="shared" si="0"/>
        <v>0</v>
      </c>
      <c r="E76" s="310">
        <f>SUMIFS(JA!$Z:$Z,JA!$AE:$AE,"OK",JA!$AT:$AT,Toimenpiteet!$X76,JA!$AU:$AU,Toimenpiteet!$X$8,JA!$AX:$AX,Toimenpiteet!$Y$6,JA!$CI:$CI,Toimenpiteet!$Y$1,JA!$BE:$BE,Toimenpiteet!$Y$5,JA!$AI:$AI,Toimenpiteet!$Y$4,JA!$AJ:$AJ,Toimenpiteet!$Y$2,JA!CT:CT,$AF$4)+AA76+AD76+AG76+AJ76</f>
        <v>0</v>
      </c>
      <c r="F76" s="400">
        <f t="shared" si="1"/>
        <v>0</v>
      </c>
      <c r="G76" s="316"/>
      <c r="H76" s="315"/>
      <c r="I76" s="315"/>
      <c r="J76" s="315"/>
      <c r="K76" s="315"/>
      <c r="L76" s="317"/>
      <c r="X76" t="s">
        <v>464</v>
      </c>
      <c r="Z76" s="469">
        <f>SUMIFS(JA!$Z:$Z,JA!$AE:$AE,"OK",JA!$AT:$AT,Toimenpiteet!$AB76,JA!$AX:$AX,Toimenpiteet!$Y$6,JA!$CI:$CI,Toimenpiteet!$Y$1,JA!$BE:$BE,Toimenpiteet!$Y$5,JA!$AI:$AI,Toimenpiteet!$Y$4,JA!$AJ:$AJ,Toimenpiteet!$Y$2,JA!CT:CT,$AF$4)</f>
        <v>0</v>
      </c>
      <c r="AA76" s="469">
        <f>SUMIFS(JA!$Z:$Z,JA!$AE:$AE,"OK",JA!$AT:$AT,Toimenpiteet!$AB76,JA!$AU:$AU,Toimenpiteet!$X$8,JA!$AX:$AX,Toimenpiteet!$Y$6,JA!$CI:$CI,Toimenpiteet!$Y$1,JA!$BE:$BE,Toimenpiteet!$Y$5,JA!$AI:$AI,Toimenpiteet!$Y$4,JA!$AJ:$AJ,Toimenpiteet!$Y$2,JA!CT:CT,$AF$4)</f>
        <v>0</v>
      </c>
      <c r="AB76" s="86" t="s">
        <v>465</v>
      </c>
      <c r="AC76" s="469">
        <f>SUMIFS(JA!$Z:$Z,JA!$AE:$AE,"OK",JA!$AT:$AT,Toimenpiteet!$AE76,JA!$AX:$AX,Toimenpiteet!$Y$6,JA!$CI:$CI,Toimenpiteet!$Y$1,JA!$BE:$BE,Toimenpiteet!$Y$5,JA!$AI:$AI,Toimenpiteet!$Y$4,JA!$AJ:$AJ,Toimenpiteet!$Y$2,JA!CT:CT,$AF$4)</f>
        <v>0</v>
      </c>
      <c r="AD76" s="469">
        <f>SUMIFS(JA!$Z:$Z,JA!$AE:$AE,"OK",JA!$AT:$AT,Toimenpiteet!$AE76,JA!$AU:$AU,Toimenpiteet!$X$8,JA!$AX:$AX,Toimenpiteet!$Y$6,JA!$CI:$CI,Toimenpiteet!$Y$1,JA!$BE:$BE,Toimenpiteet!$Y$5,JA!$AI:$AI,Toimenpiteet!$Y$4,JA!$AJ:$AJ,Toimenpiteet!$Y$2,JA!CT:CT,$AF$4)</f>
        <v>0</v>
      </c>
      <c r="AE76" s="86" t="s">
        <v>466</v>
      </c>
      <c r="AU76" s="907"/>
    </row>
    <row r="77" spans="1:47" x14ac:dyDescent="0.25">
      <c r="A77" s="1043" t="s">
        <v>287</v>
      </c>
      <c r="B77" s="583" t="s">
        <v>467</v>
      </c>
      <c r="C77" s="310">
        <f>SUMIFS(JA!$Z:$Z,JA!$AE:$AE,"OK",JA!$AT:$AT,Toimenpiteet!$X77,JA!$AX:$AX,Toimenpiteet!$Y$6,JA!$CI:$CI,Toimenpiteet!$Y$1,JA!$BE:$BE,Toimenpiteet!$Y$5,JA!$AI:$AI,Toimenpiteet!$Y$4,JA!$AJ:$AJ,Toimenpiteet!$Y$2,JA!CT:CT,$AF$4)+Z77+AC77+AF77+AI77</f>
        <v>0</v>
      </c>
      <c r="D77" s="400">
        <f t="shared" ref="D77:D85" si="2">IFERROR(C77/C$44,0)</f>
        <v>0</v>
      </c>
      <c r="E77" s="310">
        <f>SUMIFS(JA!$Z:$Z,JA!$AE:$AE,"OK",JA!$AT:$AT,Toimenpiteet!$X77,JA!$AU:$AU,Toimenpiteet!$X$8,JA!$AX:$AX,Toimenpiteet!$Y$6,JA!$CI:$CI,Toimenpiteet!$Y$1,JA!$BE:$BE,Toimenpiteet!$Y$5,JA!$AI:$AI,Toimenpiteet!$Y$4,JA!$AJ:$AJ,Toimenpiteet!$Y$2,JA!CT:CT,$AF$4)+AA77+AD77+AG77+AJ77</f>
        <v>0</v>
      </c>
      <c r="F77" s="400">
        <f t="shared" ref="F77:F85" si="3">IFERROR(E77/E$44,0)</f>
        <v>0</v>
      </c>
      <c r="G77" s="316"/>
      <c r="H77" s="315"/>
      <c r="I77" s="315"/>
      <c r="J77" s="315"/>
      <c r="K77" s="315"/>
      <c r="L77" s="317"/>
      <c r="X77" s="86" t="s">
        <v>468</v>
      </c>
      <c r="Z77" s="469"/>
      <c r="AA77" s="469"/>
      <c r="AB77" s="86"/>
      <c r="AC77" s="618"/>
      <c r="AD77" s="618"/>
      <c r="AE77" s="86"/>
      <c r="AU77" s="907"/>
    </row>
    <row r="78" spans="1:47" ht="15" customHeight="1" x14ac:dyDescent="0.25">
      <c r="A78" s="1044"/>
      <c r="B78" s="583" t="s">
        <v>469</v>
      </c>
      <c r="C78" s="310">
        <f>SUMIFS(JA!$Z:$Z,JA!$AE:$AE,"OK",JA!$AT:$AT,Toimenpiteet!$X78,JA!$AX:$AX,Toimenpiteet!$Y$6,JA!$CI:$CI,Toimenpiteet!$Y$1,JA!$BE:$BE,Toimenpiteet!$Y$5,JA!$AI:$AI,Toimenpiteet!$Y$4,JA!$AJ:$AJ,Toimenpiteet!$Y$2,JA!CT:CT,$AF$4)+Z78+AC78+AF78+AI78</f>
        <v>0</v>
      </c>
      <c r="D78" s="400">
        <f t="shared" si="2"/>
        <v>0</v>
      </c>
      <c r="E78" s="310">
        <f>SUMIFS(JA!$Z:$Z,JA!$AE:$AE,"OK",JA!$AT:$AT,Toimenpiteet!$X78,JA!$AU:$AU,Toimenpiteet!$X$8,JA!$AX:$AX,Toimenpiteet!$Y$6,JA!$CI:$CI,Toimenpiteet!$Y$1,JA!$BE:$BE,Toimenpiteet!$Y$5,JA!$AI:$AI,Toimenpiteet!$Y$4,JA!$AJ:$AJ,Toimenpiteet!$Y$2,JA!CT:CT,$AF$4)+AA78+AD78+AG78+AJ78</f>
        <v>0</v>
      </c>
      <c r="F78" s="400">
        <f t="shared" si="3"/>
        <v>0</v>
      </c>
      <c r="G78" s="316"/>
      <c r="H78" s="315"/>
      <c r="I78" s="315"/>
      <c r="J78" s="315"/>
      <c r="K78" s="315"/>
      <c r="L78" s="317"/>
      <c r="M78" s="52"/>
      <c r="T78" s="41"/>
      <c r="X78" t="s">
        <v>470</v>
      </c>
      <c r="Z78" s="469">
        <f>SUMIFS(JA!$Z:$Z,JA!$AE:$AE,"OK",JA!$AT:$AT,Toimenpiteet!$AB78,JA!$AX:$AX,Toimenpiteet!$Y$6,JA!$CI:$CI,Toimenpiteet!$Y$1,JA!$BE:$BE,Toimenpiteet!$Y$5,JA!$AI:$AI,Toimenpiteet!$Y$4,JA!$AJ:$AJ,Toimenpiteet!$Y$2,JA!CT:CT,$AF$4)</f>
        <v>0</v>
      </c>
      <c r="AA78" s="469">
        <f>SUMIFS(JA!$Z:$Z,JA!$AE:$AE,"OK",JA!$AT:$AT,Toimenpiteet!$AB78,JA!$AU:$AU,Toimenpiteet!$X$8,JA!$AX:$AX,Toimenpiteet!$Y$6,JA!$CI:$CI,Toimenpiteet!$Y$1,JA!$BE:$BE,Toimenpiteet!$Y$5,JA!$AI:$AI,Toimenpiteet!$Y$4,JA!$AJ:$AJ,Toimenpiteet!$Y$2,JA!CT:CT,$AF$4)</f>
        <v>0</v>
      </c>
      <c r="AU78" s="906"/>
    </row>
    <row r="79" spans="1:47" x14ac:dyDescent="0.25">
      <c r="A79" s="1044"/>
      <c r="B79" s="583" t="s">
        <v>471</v>
      </c>
      <c r="C79" s="310">
        <f>SUMIFS(JA!$Z:$Z,JA!$AE:$AE,"OK",JA!$AT:$AT,Toimenpiteet!$X79,JA!$AX:$AX,Toimenpiteet!$Y$6,JA!$CI:$CI,Toimenpiteet!$Y$1,JA!$BE:$BE,Toimenpiteet!$Y$5,JA!$AI:$AI,Toimenpiteet!$Y$4,JA!$AJ:$AJ,Toimenpiteet!$Y$2,JA!CT:CT,$AF$4)+Z79+AC79+AF79+AI79</f>
        <v>0</v>
      </c>
      <c r="D79" s="400">
        <f t="shared" si="2"/>
        <v>0</v>
      </c>
      <c r="E79" s="310">
        <f>SUMIFS(JA!$Z:$Z,JA!$AE:$AE,"OK",JA!$AT:$AT,Toimenpiteet!$X79,JA!$AU:$AU,Toimenpiteet!$X$8,JA!$AX:$AX,Toimenpiteet!$Y$6,JA!$CI:$CI,Toimenpiteet!$Y$1,JA!$BE:$BE,Toimenpiteet!$Y$5,JA!$AI:$AI,Toimenpiteet!$Y$4,JA!$AJ:$AJ,Toimenpiteet!$Y$2,JA!CT:CT,$AF$4)+AA79+AD79+AG79+AJ79</f>
        <v>0</v>
      </c>
      <c r="F79" s="400">
        <f t="shared" si="3"/>
        <v>0</v>
      </c>
      <c r="G79" s="316"/>
      <c r="H79" s="315"/>
      <c r="I79" s="315"/>
      <c r="J79" s="315"/>
      <c r="K79" s="315"/>
      <c r="L79" s="317"/>
      <c r="M79" s="52"/>
      <c r="T79" s="41"/>
      <c r="W79" s="228"/>
      <c r="X79" t="s">
        <v>472</v>
      </c>
      <c r="Z79" s="469">
        <f>SUMIFS(JA!$Z:$Z,JA!$AE:$AE,"OK",JA!$AT:$AT,Toimenpiteet!$AB79,JA!$AX:$AX,Toimenpiteet!$Y$6,JA!$CI:$CI,Toimenpiteet!$Y$1,JA!$BE:$BE,Toimenpiteet!$Y$5,JA!$AI:$AI,Toimenpiteet!$Y$4,JA!$AJ:$AJ,Toimenpiteet!$Y$2,JA!CT:CT,$AF$4)</f>
        <v>0</v>
      </c>
      <c r="AA79" s="469">
        <f>SUMIFS(JA!$Z:$Z,JA!$AE:$AE,"OK",JA!$AT:$AT,Toimenpiteet!$AB79,JA!$AU:$AU,Toimenpiteet!$X$8,JA!$AX:$AX,Toimenpiteet!$Y$6,JA!$CI:$CI,Toimenpiteet!$Y$1,JA!$BE:$BE,Toimenpiteet!$Y$5,JA!$AI:$AI,Toimenpiteet!$Y$4,JA!$AJ:$AJ,Toimenpiteet!$Y$2,JA!CT:CT,$AF$4)</f>
        <v>0</v>
      </c>
      <c r="AU79" s="907"/>
    </row>
    <row r="80" spans="1:47" x14ac:dyDescent="0.25">
      <c r="A80" s="1044"/>
      <c r="B80" s="583" t="s">
        <v>473</v>
      </c>
      <c r="C80" s="310">
        <f>SUMIFS(JA!$Z:$Z,JA!$AE:$AE,"OK",JA!$AT:$AT,Toimenpiteet!$X80,JA!$AX:$AX,Toimenpiteet!$Y$6,JA!$CI:$CI,Toimenpiteet!$Y$1,JA!$BE:$BE,Toimenpiteet!$Y$5,JA!$AI:$AI,Toimenpiteet!$Y$4,JA!$AJ:$AJ,Toimenpiteet!$Y$2,JA!CT:CT,$AF$4)+Z80+AC80+AF80+AI80</f>
        <v>0</v>
      </c>
      <c r="D80" s="400">
        <f t="shared" si="2"/>
        <v>0</v>
      </c>
      <c r="E80" s="310">
        <f>SUMIFS(JA!$Z:$Z,JA!$AE:$AE,"OK",JA!$AT:$AT,Toimenpiteet!$X80,JA!$AU:$AU,Toimenpiteet!$X$8,JA!$AX:$AX,Toimenpiteet!$Y$6,JA!$CI:$CI,Toimenpiteet!$Y$1,JA!$BE:$BE,Toimenpiteet!$Y$5,JA!$AI:$AI,Toimenpiteet!$Y$4,JA!$AJ:$AJ,Toimenpiteet!$Y$2,JA!CT:CT,$AF$4)+AA80+AD80+AG80+AJ80</f>
        <v>0</v>
      </c>
      <c r="F80" s="400">
        <f t="shared" si="3"/>
        <v>0</v>
      </c>
      <c r="G80" s="316"/>
      <c r="H80" s="315"/>
      <c r="I80" s="315"/>
      <c r="J80" s="315"/>
      <c r="K80" s="315"/>
      <c r="L80" s="317"/>
      <c r="M80" s="52"/>
      <c r="T80" s="41"/>
      <c r="W80" s="228"/>
      <c r="X80" s="86" t="s">
        <v>474</v>
      </c>
      <c r="Z80" s="469">
        <f>SUMIFS(JA!$Z:$Z,JA!$AE:$AE,"OK",JA!$AT:$AT,Toimenpiteet!$AB80,JA!$AX:$AX,Toimenpiteet!$Y$6,JA!$CI:$CI,Toimenpiteet!$Y$1,JA!$BE:$BE,Toimenpiteet!$Y$5,JA!$AI:$AI,Toimenpiteet!$Y$4,JA!$AJ:$AJ,Toimenpiteet!$Y$2,JA!CT:CT,$AF$4)</f>
        <v>0</v>
      </c>
      <c r="AA80" s="469">
        <f>SUMIFS(JA!$Z:$Z,JA!$AE:$AE,"OK",JA!$AT:$AT,Toimenpiteet!$AB80,JA!$AU:$AU,Toimenpiteet!$X$8,JA!$AX:$AX,Toimenpiteet!$Y$6,JA!$CI:$CI,Toimenpiteet!$Y$1,JA!$BE:$BE,Toimenpiteet!$Y$5,JA!$AI:$AI,Toimenpiteet!$Y$4,JA!$AJ:$AJ,Toimenpiteet!$Y$2,JA!CT:CT,$AF$4)</f>
        <v>0</v>
      </c>
      <c r="AU80" s="907"/>
    </row>
    <row r="81" spans="1:47" x14ac:dyDescent="0.25">
      <c r="A81" s="1045"/>
      <c r="B81" s="583" t="s">
        <v>475</v>
      </c>
      <c r="C81" s="310">
        <f>SUMIFS(JA!$Z:$Z,JA!$AE:$AE,"OK",JA!$AT:$AT,Toimenpiteet!$X81,JA!$AX:$AX,Toimenpiteet!$Y$6,JA!$CI:$CI,Toimenpiteet!$Y$1,JA!$BE:$BE,Toimenpiteet!$Y$5,JA!$AI:$AI,Toimenpiteet!$Y$4,JA!$AJ:$AJ,Toimenpiteet!$Y$2,JA!CT:CT,$AF$4)+Z81+AC81+AF81+AI81</f>
        <v>0</v>
      </c>
      <c r="D81" s="400">
        <f t="shared" si="2"/>
        <v>0</v>
      </c>
      <c r="E81" s="310">
        <f>SUMIFS(JA!$Z:$Z,JA!$AE:$AE,"OK",JA!$AT:$AT,Toimenpiteet!$X81,JA!$AU:$AU,Toimenpiteet!$X$8,JA!$AX:$AX,Toimenpiteet!$Y$6,JA!$CI:$CI,Toimenpiteet!$Y$1,JA!$BE:$BE,Toimenpiteet!$Y$5,JA!$AI:$AI,Toimenpiteet!$Y$4,JA!$AJ:$AJ,Toimenpiteet!$Y$2,JA!CT:CT,$AF$4)+AA81+AD81+AG81+AJ81</f>
        <v>0</v>
      </c>
      <c r="F81" s="400">
        <f t="shared" si="3"/>
        <v>0</v>
      </c>
      <c r="G81" s="316"/>
      <c r="H81" s="315"/>
      <c r="I81" s="315"/>
      <c r="J81" s="315"/>
      <c r="K81" s="315"/>
      <c r="L81" s="317"/>
      <c r="M81" s="52"/>
      <c r="T81" s="41"/>
      <c r="X81" s="627" t="s">
        <v>476</v>
      </c>
      <c r="Z81" s="469">
        <f>SUMIFS(JA!$Z:$Z,JA!$AE:$AE,"OK",JA!$AT:$AT,Toimenpiteet!$AB81,JA!$AX:$AX,Toimenpiteet!$Y$6,JA!$CI:$CI,Toimenpiteet!$Y$1,JA!$BE:$BE,Toimenpiteet!$Y$5,JA!$AI:$AI,Toimenpiteet!$Y$4,JA!$AJ:$AJ,Toimenpiteet!$Y$2,JA!CT:CT,$AF$4)</f>
        <v>0</v>
      </c>
      <c r="AA81" s="469">
        <f>SUMIFS(JA!$Z:$Z,JA!$AE:$AE,"OK",JA!$AT:$AT,Toimenpiteet!$AB81,JA!$AU:$AU,Toimenpiteet!$X$8,JA!$AX:$AX,Toimenpiteet!$Y$6,JA!$CI:$CI,Toimenpiteet!$Y$1,JA!$BE:$BE,Toimenpiteet!$Y$5,JA!$AI:$AI,Toimenpiteet!$Y$4,JA!$AJ:$AJ,Toimenpiteet!$Y$2,JA!CT:CT,$AF$4)</f>
        <v>0</v>
      </c>
      <c r="AB81" s="627" t="s">
        <v>477</v>
      </c>
      <c r="AC81" s="916">
        <f>AJ30</f>
        <v>0</v>
      </c>
      <c r="AD81" s="916">
        <f>AK30</f>
        <v>0</v>
      </c>
      <c r="AE81" s="917" t="s">
        <v>478</v>
      </c>
      <c r="AF81" s="469">
        <f>SUMIFS(JA!$Z:$Z,JA!$AE:$AE,"OK",JA!$AT:$AT,Toimenpiteet!$AH81,JA!$AX:$AX,Toimenpiteet!$Y$6,JA!$CI:$CI,Toimenpiteet!$Y$1,JA!$BE:$BE,Toimenpiteet!$Y$5,JA!$AI:$AI,Toimenpiteet!$Y$4,JA!$AJ:$AJ,Toimenpiteet!$Y$2,JA!CT:CT,$AF$4)</f>
        <v>0</v>
      </c>
      <c r="AG81" s="469">
        <f>SUMIFS(JA!$Z:$Z,JA!$AE:$AE,"OK",JA!$AT:$AT,Toimenpiteet!$AH81,JA!$AU:$AU,Toimenpiteet!$X$8,JA!$AX:$AX,Toimenpiteet!$Y$6,JA!$CI:$CI,Toimenpiteet!$Y$1,JA!$BE:$BE,Toimenpiteet!$Y$5,JA!$AI:$AI,Toimenpiteet!$Y$4,JA!$AJ:$AJ,Toimenpiteet!$Y$2,JA!CT:CT,$AF$4)</f>
        <v>0</v>
      </c>
      <c r="AH81" s="86" t="s">
        <v>479</v>
      </c>
      <c r="AU81" s="907"/>
    </row>
    <row r="82" spans="1:47" x14ac:dyDescent="0.25">
      <c r="A82" s="1043" t="s">
        <v>480</v>
      </c>
      <c r="B82" s="337" t="s">
        <v>481</v>
      </c>
      <c r="C82" s="310">
        <f>SUMIFS(JA!$Z:$Z,JA!$AE:$AE,"OK",JA!$AT:$AT,Toimenpiteet!$X82,JA!$AX:$AX,Toimenpiteet!$Y$6,JA!$CI:$CI,Toimenpiteet!$Y$1,JA!$BE:$BE,Toimenpiteet!$Y$5,JA!$AI:$AI,Toimenpiteet!$Y$4,JA!$AJ:$AJ,Toimenpiteet!$Y$2,JA!CT:CT,$AF$4)+Z82+AC82+AF82+AI82</f>
        <v>0</v>
      </c>
      <c r="D82" s="400">
        <f t="shared" si="2"/>
        <v>0</v>
      </c>
      <c r="E82" s="310">
        <f>SUMIFS(JA!$Z:$Z,JA!$AE:$AE,"OK",JA!$AT:$AT,Toimenpiteet!$X82,JA!$AU:$AU,Toimenpiteet!$X$8,JA!$AX:$AX,Toimenpiteet!$Y$6,JA!$CI:$CI,Toimenpiteet!$Y$1,JA!$BE:$BE,Toimenpiteet!$Y$5,JA!$AI:$AI,Toimenpiteet!$Y$4,JA!$AJ:$AJ,Toimenpiteet!$Y$2,JA!CT:CT,$AF$4)+AA82+AD82+AG82+AJ82</f>
        <v>0</v>
      </c>
      <c r="F82" s="400">
        <f t="shared" si="3"/>
        <v>0</v>
      </c>
      <c r="G82" s="316"/>
      <c r="H82" s="315"/>
      <c r="I82" s="315"/>
      <c r="J82" s="315"/>
      <c r="K82" s="315"/>
      <c r="L82" s="317"/>
      <c r="M82" s="52"/>
      <c r="T82" s="41"/>
      <c r="X82" s="86" t="s">
        <v>482</v>
      </c>
      <c r="Z82" s="469">
        <f>SUMIFS(JA!$Z:$Z,JA!$AE:$AE,"OK",JA!$AT:$AT,Toimenpiteet!$AB82,JA!$AX:$AX,Toimenpiteet!$Y$6,JA!$CI:$CI,Toimenpiteet!$Y$1,JA!$BE:$BE,Toimenpiteet!$Y$5,JA!$AI:$AI,Toimenpiteet!$Y$4,JA!$AJ:$AJ,Toimenpiteet!$Y$2,JA!CT:CT,$AF$4)</f>
        <v>0</v>
      </c>
      <c r="AA82" s="469">
        <f>SUMIFS(JA!$Z:$Z,JA!$AE:$AE,"OK",JA!$AT:$AT,Toimenpiteet!$AB82,JA!$AU:$AU,Toimenpiteet!$X$8,JA!$AX:$AX,Toimenpiteet!$Y$6,JA!$CI:$CI,Toimenpiteet!$Y$1,JA!$BE:$BE,Toimenpiteet!$Y$5,JA!$AI:$AI,Toimenpiteet!$Y$4,JA!$AJ:$AJ,Toimenpiteet!$Y$2,JA!CT:CT,$AF$4)</f>
        <v>0</v>
      </c>
      <c r="AU82" s="906"/>
    </row>
    <row r="83" spans="1:47" x14ac:dyDescent="0.25">
      <c r="A83" s="1044"/>
      <c r="B83" s="337" t="s">
        <v>483</v>
      </c>
      <c r="C83" s="310">
        <f>SUMIFS(JA!$Z:$Z,JA!$AE:$AE,"OK",JA!$AT:$AT,Toimenpiteet!$X83,JA!$AX:$AX,Toimenpiteet!$Y$6,JA!$CI:$CI,Toimenpiteet!$Y$1,JA!$BE:$BE,Toimenpiteet!$Y$5,JA!$AI:$AI,Toimenpiteet!$Y$4,JA!$AJ:$AJ,Toimenpiteet!$Y$2,JA!CT:CT,$AF$4)+Z83+AC83+AF83+AI83</f>
        <v>0</v>
      </c>
      <c r="D83" s="400">
        <f t="shared" si="2"/>
        <v>0</v>
      </c>
      <c r="E83" s="310">
        <f>SUMIFS(JA!$Z:$Z,JA!$AE:$AE,"OK",JA!$AT:$AT,Toimenpiteet!$X83,JA!$AU:$AU,Toimenpiteet!$X$8,JA!$AX:$AX,Toimenpiteet!$Y$6,JA!$CI:$CI,Toimenpiteet!$Y$1,JA!$BE:$BE,Toimenpiteet!$Y$5,JA!$AI:$AI,Toimenpiteet!$Y$4,JA!$AJ:$AJ,Toimenpiteet!$Y$2,JA!CT:CT,$AF$4)+AA83+AD83+AG83+AJ83</f>
        <v>0</v>
      </c>
      <c r="F83" s="400">
        <f t="shared" si="3"/>
        <v>0</v>
      </c>
      <c r="G83" s="316"/>
      <c r="H83" s="315"/>
      <c r="I83" s="315"/>
      <c r="J83" s="315"/>
      <c r="K83" s="315"/>
      <c r="L83" s="317"/>
      <c r="M83" s="52"/>
      <c r="T83" s="41"/>
      <c r="X83" s="86" t="s">
        <v>484</v>
      </c>
      <c r="Z83" s="469">
        <f>SUMIFS(JA!$Z:$Z,JA!$AE:$AE,"OK",JA!$AT:$AT,Toimenpiteet!$AB83,JA!$AX:$AX,Toimenpiteet!$Y$6,JA!$CI:$CI,Toimenpiteet!$Y$1,JA!$BE:$BE,Toimenpiteet!$Y$5,JA!$AI:$AI,Toimenpiteet!$Y$4,JA!$AJ:$AJ,Toimenpiteet!$Y$2,JA!CT:CT,$AF$4)</f>
        <v>0</v>
      </c>
      <c r="AA83" s="469">
        <f>SUMIFS(JA!$Z:$Z,JA!$AE:$AE,"OK",JA!$AT:$AT,Toimenpiteet!$AB83,JA!$AU:$AU,Toimenpiteet!$X$8,JA!$AX:$AX,Toimenpiteet!$Y$6,JA!$CI:$CI,Toimenpiteet!$Y$1,JA!$BE:$BE,Toimenpiteet!$Y$5,JA!$AI:$AI,Toimenpiteet!$Y$4,JA!$AJ:$AJ,Toimenpiteet!$Y$2,JA!CT:CT,$AF$4)</f>
        <v>0</v>
      </c>
      <c r="AU83" s="907"/>
    </row>
    <row r="84" spans="1:47" x14ac:dyDescent="0.25">
      <c r="A84" s="1045"/>
      <c r="B84" s="339" t="s">
        <v>485</v>
      </c>
      <c r="C84" s="310">
        <f>SUMIFS(JA!$Z:$Z,JA!$AE:$AE,"OK",JA!$AT:$AT,Toimenpiteet!$X84,JA!$AX:$AX,Toimenpiteet!$Y$6,JA!$CI:$CI,Toimenpiteet!$Y$1,JA!$BE:$BE,Toimenpiteet!$Y$5,JA!$AI:$AI,Toimenpiteet!$Y$4,JA!$AJ:$AJ,Toimenpiteet!$Y$2,JA!CT:CT,$AF$4)+Z84+AC84+AF84+AI84</f>
        <v>0</v>
      </c>
      <c r="D84" s="400">
        <f t="shared" si="2"/>
        <v>0</v>
      </c>
      <c r="E84" s="310">
        <f>SUMIFS(JA!$Z:$Z,JA!$AE:$AE,"OK",JA!$AT:$AT,Toimenpiteet!$X84,JA!$AU:$AU,Toimenpiteet!$X$8,JA!$AX:$AX,Toimenpiteet!$Y$6,JA!$CI:$CI,Toimenpiteet!$Y$1,JA!$BE:$BE,Toimenpiteet!$Y$5,JA!$AI:$AI,Toimenpiteet!$Y$4,JA!$AJ:$AJ,Toimenpiteet!$Y$2,JA!CT:CT,$AF$4)+AA84+AD84+AG84+AJ84</f>
        <v>0</v>
      </c>
      <c r="F84" s="400">
        <f t="shared" si="3"/>
        <v>0</v>
      </c>
      <c r="G84" s="316"/>
      <c r="H84" s="315"/>
      <c r="I84" s="315"/>
      <c r="J84" s="315"/>
      <c r="K84" s="315"/>
      <c r="L84" s="317"/>
      <c r="M84" s="52"/>
      <c r="O84" s="177"/>
      <c r="P84" s="177"/>
      <c r="T84" s="41"/>
      <c r="X84" s="86" t="s">
        <v>486</v>
      </c>
      <c r="Z84" s="469">
        <f>SUMIFS(JA!$Z:$Z,JA!$AE:$AE,"OK",JA!$AT:$AT,Toimenpiteet!$AB84,JA!$AX:$AX,Toimenpiteet!$Y$6,JA!$CI:$CI,Toimenpiteet!$Y$1,JA!$BE:$BE,Toimenpiteet!$Y$5,JA!$AI:$AI,Toimenpiteet!$Y$4,JA!$AJ:$AJ,Toimenpiteet!$Y$2,JA!CT:CT,$AF$4)</f>
        <v>0</v>
      </c>
      <c r="AA84" s="469">
        <f>SUMIFS(JA!$Z:$Z,JA!$AE:$AE,"OK",JA!$AT:$AT,Toimenpiteet!$AB84,JA!$AU:$AU,Toimenpiteet!$X$8,JA!$AX:$AX,Toimenpiteet!$Y$6,JA!$CI:$CI,Toimenpiteet!$Y$1,JA!$BE:$BE,Toimenpiteet!$Y$5,JA!$AI:$AI,Toimenpiteet!$Y$4,JA!$AJ:$AJ,Toimenpiteet!$Y$2,JA!CT:CT,$AF$4)</f>
        <v>0</v>
      </c>
      <c r="AB84" s="477" t="s">
        <v>487</v>
      </c>
      <c r="AC84" s="469">
        <f>SUMIFS(JA!$Z:$Z,JA!$AE:$AE,"OK",JA!$AT:$AT,Toimenpiteet!$AE84,JA!$AX:$AX,Toimenpiteet!$Y$6,JA!$CI:$CI,Toimenpiteet!$Y$1,JA!$BE:$BE,Toimenpiteet!$Y$5,JA!$AI:$AI,Toimenpiteet!$Y$4,JA!$AJ:$AJ,Toimenpiteet!$Y$2,JA!CT:CT,$AF$4)</f>
        <v>0</v>
      </c>
      <c r="AD84" s="469">
        <f>SUMIFS(JA!$Z:$Z,JA!$AE:$AE,"OK",JA!$AT:$AT,Toimenpiteet!$AE84,JA!$AU:$AU,Toimenpiteet!$X$8,JA!$AX:$AX,Toimenpiteet!$Y$6,JA!$CI:$CI,Toimenpiteet!$Y$1,JA!$BE:$BE,Toimenpiteet!$Y$5,JA!$AI:$AI,Toimenpiteet!$Y$4,JA!$AJ:$AJ,Toimenpiteet!$Y$2,JA!CT:CT,$AF$4)</f>
        <v>0</v>
      </c>
      <c r="AE84" s="918" t="s">
        <v>488</v>
      </c>
      <c r="AF84" s="469">
        <f>SUMIFS(JA!$Z:$Z,JA!$AE:$AE,"OK",JA!$AT:$AT,Toimenpiteet!$AH84,JA!$AX:$AX,Toimenpiteet!$Y$6,JA!$CI:$CI,Toimenpiteet!$Y$1,JA!$BE:$BE,Toimenpiteet!$Y$5,JA!$AI:$AI,Toimenpiteet!$Y$4,JA!$AJ:$AJ,Toimenpiteet!$Y$2,JA!CT:CT,$AF$4)</f>
        <v>0</v>
      </c>
      <c r="AG84" s="469">
        <f>SUMIFS(JA!$Z:$Z,JA!$AE:$AE,"OK",JA!$AT:$AT,Toimenpiteet!$AH84,JA!$AU:$AU,Toimenpiteet!$X$8,JA!$AX:$AX,Toimenpiteet!$Y$6,JA!$CI:$CI,Toimenpiteet!$Y$1,JA!$BE:$BE,Toimenpiteet!$Y$5,JA!$AI:$AI,Toimenpiteet!$Y$4,JA!$AJ:$AJ,Toimenpiteet!$Y$2,JA!CT:CT,$AF$4)</f>
        <v>0</v>
      </c>
      <c r="AH84" s="918" t="s">
        <v>489</v>
      </c>
      <c r="AU84" s="907"/>
    </row>
    <row r="85" spans="1:47" x14ac:dyDescent="0.25">
      <c r="A85" s="356" t="s">
        <v>490</v>
      </c>
      <c r="B85" s="337" t="s">
        <v>491</v>
      </c>
      <c r="C85" s="310">
        <f>SUMIFS(JA!$Z:$Z,JA!$AE:$AE,"OK",JA!$AT:$AT,Toimenpiteet!$X85,JA!$AX:$AX,Toimenpiteet!$Y$6,JA!$CI:$CI,Toimenpiteet!$Y$1,JA!$BE:$BE,Toimenpiteet!$Y$5,JA!$AI:$AI,Toimenpiteet!$Y$4,JA!$AJ:$AJ,Toimenpiteet!$Y$2,JA!CT:CT,$AF$4)+Z85+AC85+AF85+AI85</f>
        <v>0</v>
      </c>
      <c r="D85" s="400">
        <f t="shared" si="2"/>
        <v>0</v>
      </c>
      <c r="E85" s="310">
        <f>SUMIFS(JA!$Z:$Z,JA!$AE:$AE,"OK",JA!$AT:$AT,Toimenpiteet!$X85,JA!$AU:$AU,Toimenpiteet!$X$8,JA!$AX:$AX,Toimenpiteet!$Y$6,JA!$CI:$CI,Toimenpiteet!$Y$1,JA!$BE:$BE,Toimenpiteet!$Y$5,JA!$AI:$AI,Toimenpiteet!$Y$4,JA!$AJ:$AJ,Toimenpiteet!$Y$2,JA!CT:CT,$AF$4)+AA85+AD85+AG85+AJ85</f>
        <v>0</v>
      </c>
      <c r="F85" s="400">
        <f t="shared" si="3"/>
        <v>0</v>
      </c>
      <c r="G85" s="316"/>
      <c r="H85" s="315"/>
      <c r="I85" s="315"/>
      <c r="J85" s="315"/>
      <c r="K85" s="315"/>
      <c r="L85" s="317"/>
      <c r="M85" s="52"/>
      <c r="O85" s="177"/>
      <c r="P85" s="177"/>
      <c r="T85" s="41"/>
      <c r="X85" s="85" t="s">
        <v>492</v>
      </c>
      <c r="Z85" s="469">
        <f>SUMIFS(JA!$Z:$Z,JA!$AE:$AE,"OK",JA!$AT:$AT,Toimenpiteet!$AB85,JA!$AX:$AX,Toimenpiteet!$Y$6,JA!$CI:$CI,Toimenpiteet!$Y$1,JA!$BE:$BE,Toimenpiteet!$Y$5,JA!$AI:$AI,Toimenpiteet!$Y$4,JA!$AJ:$AJ,Toimenpiteet!$Y$2,JA!CT:CT,$AF$4)</f>
        <v>0</v>
      </c>
      <c r="AA85" s="469">
        <f>SUMIFS(JA!$Z:$Z,JA!$AE:$AE,"OK",JA!$AT:$AT,Toimenpiteet!$AB85,JA!$AU:$AU,Toimenpiteet!$X$8,JA!$AX:$AX,Toimenpiteet!$Y$6,JA!$CI:$CI,Toimenpiteet!$Y$1,JA!$BE:$BE,Toimenpiteet!$Y$5,JA!$AI:$AI,Toimenpiteet!$Y$4,JA!$AJ:$AJ,Toimenpiteet!$Y$2,JA!CT:CT,$AF$4)</f>
        <v>0</v>
      </c>
      <c r="AU85" s="907"/>
    </row>
    <row r="86" spans="1:47" x14ac:dyDescent="0.25">
      <c r="A86" s="379"/>
      <c r="B86" s="337" t="s">
        <v>493</v>
      </c>
      <c r="C86" s="315">
        <f>SUMIFS(AS!$W:$W,AS!$AB:$AB,"OK",AS!$AW:$AW,Toimenpiteet!$Y$6,AS!$BF:$BF,"EI",JA!$BE:$BE,Toimenpiteet!$Y$5,JA!$AI:$AI,Toimenpiteet!$Y$4,JA!$AJ:$AJ,Toimenpiteet!$Y$2)</f>
        <v>0</v>
      </c>
      <c r="D86" s="401">
        <f>IFERROR(C86/C$44,0)</f>
        <v>0</v>
      </c>
      <c r="E86" s="315">
        <f>SUMIFS(AS!$W:$W,AS!$AB:$AB,"OK",AS!$AH:$AH,Toimenpiteet!$X$8,AS!$AW:$AW,Toimenpiteet!$Y$6,AS!$BF:$BF,"EI",JA!$BE:$BE,Toimenpiteet!$Y$5,JA!$AI:$AI,Toimenpiteet!$Y$4,JA!$AJ:$AJ,Toimenpiteet!$Y$2)</f>
        <v>0</v>
      </c>
      <c r="F86" s="400">
        <f>IFERROR(E86/E$44,0)</f>
        <v>0</v>
      </c>
      <c r="G86" s="316"/>
      <c r="H86" s="315"/>
      <c r="I86" s="315"/>
      <c r="J86" s="315"/>
      <c r="K86" s="315"/>
      <c r="L86" s="317"/>
      <c r="M86" s="52"/>
      <c r="O86" s="177"/>
      <c r="P86" s="177"/>
      <c r="T86" s="41"/>
      <c r="X86" s="477" t="s">
        <v>494</v>
      </c>
      <c r="AU86" s="907"/>
    </row>
    <row r="87" spans="1:47" x14ac:dyDescent="0.25">
      <c r="A87"/>
      <c r="B87" s="340" t="s">
        <v>817</v>
      </c>
      <c r="C87" s="76">
        <f>SUM(C46:C86)</f>
        <v>0</v>
      </c>
      <c r="D87" s="77"/>
      <c r="E87" s="76">
        <f>SUM(E46:E86)</f>
        <v>0</v>
      </c>
      <c r="F87" s="324"/>
      <c r="G87" s="72"/>
      <c r="H87" s="73"/>
      <c r="I87" s="73"/>
      <c r="J87" s="73"/>
      <c r="K87" s="73"/>
      <c r="L87" s="74"/>
      <c r="M87" s="52"/>
      <c r="O87" s="177"/>
      <c r="P87" s="177"/>
      <c r="T87" s="41"/>
      <c r="AU87" s="906"/>
    </row>
    <row r="88" spans="1:47" x14ac:dyDescent="0.25">
      <c r="A88" s="344"/>
      <c r="B88" s="341"/>
      <c r="C88" s="320"/>
      <c r="D88" s="321"/>
      <c r="E88" s="322"/>
      <c r="F88" s="323"/>
      <c r="G88" s="318"/>
      <c r="H88" s="307"/>
      <c r="I88" s="307"/>
      <c r="J88" s="307"/>
      <c r="K88" s="307"/>
      <c r="L88" s="319"/>
      <c r="M88" s="52"/>
      <c r="T88" s="41"/>
      <c r="AU88" s="907"/>
    </row>
    <row r="89" spans="1:47" x14ac:dyDescent="0.25">
      <c r="A89" s="1061" t="s">
        <v>817</v>
      </c>
      <c r="B89" s="1062"/>
      <c r="C89" s="1063" t="s">
        <v>818</v>
      </c>
      <c r="D89" s="1064"/>
      <c r="E89" s="1063" t="s">
        <v>819</v>
      </c>
      <c r="F89" s="1065"/>
      <c r="G89" s="14"/>
      <c r="H89" s="6"/>
      <c r="I89" s="6"/>
      <c r="J89" s="6"/>
      <c r="K89" s="6"/>
      <c r="L89" s="24"/>
      <c r="M89" s="52"/>
      <c r="T89" s="41"/>
      <c r="AU89" s="907"/>
    </row>
    <row r="90" spans="1:47" ht="15" customHeight="1" x14ac:dyDescent="0.25">
      <c r="A90" s="1055" t="s">
        <v>820</v>
      </c>
      <c r="B90" s="1056"/>
      <c r="C90" s="1057">
        <f>SUM(C46:C86)</f>
        <v>0</v>
      </c>
      <c r="D90" s="1058"/>
      <c r="E90" s="1057">
        <f>SUM(E46:E86)</f>
        <v>0</v>
      </c>
      <c r="F90" s="1058"/>
      <c r="G90" s="14"/>
      <c r="H90" s="6"/>
      <c r="I90" s="6"/>
      <c r="J90" s="6"/>
      <c r="K90" s="6"/>
      <c r="L90" s="24"/>
      <c r="M90" s="52"/>
      <c r="T90" s="41"/>
      <c r="AU90" s="907"/>
    </row>
    <row r="91" spans="1:47" ht="15" customHeight="1" x14ac:dyDescent="0.25">
      <c r="A91" s="1055" t="s">
        <v>821</v>
      </c>
      <c r="B91" s="1056"/>
      <c r="C91" s="1059">
        <f>IFERROR(C90/C44,0)</f>
        <v>0</v>
      </c>
      <c r="D91" s="1060"/>
      <c r="E91" s="1059">
        <f>IFERROR(E90/E44,0)</f>
        <v>0</v>
      </c>
      <c r="F91" s="1060"/>
      <c r="G91" s="15"/>
      <c r="H91" s="20"/>
      <c r="I91" s="20"/>
      <c r="J91" s="20"/>
      <c r="K91" s="20"/>
      <c r="L91" s="23"/>
      <c r="M91" s="55"/>
      <c r="N91" s="18"/>
      <c r="O91" s="18"/>
      <c r="P91" s="18"/>
      <c r="Q91" s="18"/>
      <c r="R91" s="18"/>
      <c r="S91" s="18"/>
      <c r="T91" s="45"/>
    </row>
    <row r="94" spans="1:47" x14ac:dyDescent="0.25">
      <c r="V94" s="1049" t="str">
        <f>"NUORET VALMENTAUTUJAT: "&amp;A41</f>
        <v>NUORET VALMENTAUTUJAT: Valmentautujien toimenpiteet sopimusjaksottain - 01.01.2026-31.12.2026 (Kaikki kunnat, Kaikki yksiköt, Kaikki asiakkuudet, Kaikki toimenpiteet, Vain yksi esiintymä)</v>
      </c>
      <c r="W94" s="1050"/>
      <c r="X94" s="1050"/>
      <c r="Y94" s="1050"/>
      <c r="Z94" s="1050"/>
      <c r="AA94" s="1050"/>
      <c r="AB94" s="1050"/>
      <c r="AC94" s="1051"/>
    </row>
    <row r="95" spans="1:47" hidden="1" x14ac:dyDescent="0.25">
      <c r="A95" s="335"/>
      <c r="V95" s="1052"/>
      <c r="W95" s="1053"/>
      <c r="X95" s="1053"/>
      <c r="Y95" s="1053"/>
      <c r="Z95" s="1053"/>
      <c r="AA95" s="1053"/>
      <c r="AB95" s="1053"/>
      <c r="AC95" s="1054"/>
    </row>
    <row r="96" spans="1:47" hidden="1" x14ac:dyDescent="0.25">
      <c r="A96" s="205" t="str">
        <f>X98&amp;W2&amp;" " &amp;X12</f>
        <v>KAIKKIEN Valmentautujien toimenpiteet vuonna 2026 (Kaikki kunnat, Kaikki yksiköt, Kaikki asiakkuudet, Kaikki toimenpiteet, Vain yksi esiintymä)</v>
      </c>
      <c r="V96" s="1052"/>
      <c r="W96" s="1053"/>
      <c r="X96" s="1053"/>
      <c r="Y96" s="1053"/>
      <c r="Z96" s="1053"/>
      <c r="AA96" s="1053"/>
      <c r="AB96" s="1053"/>
      <c r="AC96" s="1054"/>
    </row>
    <row r="97" spans="1:24" hidden="1" x14ac:dyDescent="0.25">
      <c r="A97" s="978" t="s">
        <v>813</v>
      </c>
      <c r="B97" s="979"/>
      <c r="C97" s="812" t="s">
        <v>822</v>
      </c>
      <c r="D97" s="910"/>
      <c r="E97" s="910"/>
      <c r="F97" s="910"/>
      <c r="G97" s="910"/>
      <c r="H97" s="910"/>
      <c r="I97" s="910"/>
      <c r="J97" s="910"/>
      <c r="K97" s="910"/>
      <c r="L97" s="910"/>
      <c r="M97" s="910"/>
      <c r="N97" s="910"/>
      <c r="O97" s="503" t="s">
        <v>11</v>
      </c>
      <c r="P97" s="533" t="str">
        <f>W2-1&amp;"-"</f>
        <v>2025-</v>
      </c>
      <c r="Q97" s="505" t="s">
        <v>243</v>
      </c>
    </row>
    <row r="98" spans="1:24" hidden="1" x14ac:dyDescent="0.25">
      <c r="A98" s="980"/>
      <c r="B98" s="981"/>
      <c r="C98" s="342" t="s">
        <v>694</v>
      </c>
      <c r="D98" s="342" t="s">
        <v>695</v>
      </c>
      <c r="E98" s="342" t="s">
        <v>696</v>
      </c>
      <c r="F98" s="342" t="s">
        <v>697</v>
      </c>
      <c r="G98" s="342" t="s">
        <v>698</v>
      </c>
      <c r="H98" s="342" t="s">
        <v>699</v>
      </c>
      <c r="I98" s="342" t="s">
        <v>700</v>
      </c>
      <c r="J98" s="342" t="s">
        <v>701</v>
      </c>
      <c r="K98" s="342" t="s">
        <v>702</v>
      </c>
      <c r="L98" s="342" t="s">
        <v>703</v>
      </c>
      <c r="M98" s="342" t="s">
        <v>704</v>
      </c>
      <c r="N98" s="287" t="s">
        <v>705</v>
      </c>
      <c r="O98" s="504" t="s">
        <v>186</v>
      </c>
      <c r="P98" s="534" t="s">
        <v>709</v>
      </c>
      <c r="Q98" s="506" t="str">
        <f>W2</f>
        <v>2026</v>
      </c>
      <c r="X98" s="395" t="s">
        <v>823</v>
      </c>
    </row>
    <row r="99" spans="1:24" hidden="1" x14ac:dyDescent="0.25">
      <c r="A99" s="286"/>
      <c r="B99" s="435" t="s">
        <v>824</v>
      </c>
      <c r="C99" s="430">
        <f t="shared" ref="C99:N99" si="4">SUM(C101:C140)</f>
        <v>0</v>
      </c>
      <c r="D99" s="430">
        <f t="shared" si="4"/>
        <v>0</v>
      </c>
      <c r="E99" s="430">
        <f t="shared" si="4"/>
        <v>0</v>
      </c>
      <c r="F99" s="430">
        <f t="shared" si="4"/>
        <v>0</v>
      </c>
      <c r="G99" s="430">
        <f t="shared" si="4"/>
        <v>0</v>
      </c>
      <c r="H99" s="430">
        <f t="shared" si="4"/>
        <v>0</v>
      </c>
      <c r="I99" s="430">
        <f t="shared" si="4"/>
        <v>0</v>
      </c>
      <c r="J99" s="430">
        <f t="shared" si="4"/>
        <v>0</v>
      </c>
      <c r="K99" s="430">
        <f t="shared" si="4"/>
        <v>0</v>
      </c>
      <c r="L99" s="430">
        <f t="shared" si="4"/>
        <v>0</v>
      </c>
      <c r="M99" s="430">
        <f t="shared" si="4"/>
        <v>0</v>
      </c>
      <c r="N99" s="430">
        <f t="shared" si="4"/>
        <v>0</v>
      </c>
      <c r="O99" s="432">
        <f>SUM(C99:N99)</f>
        <v>0</v>
      </c>
      <c r="P99" s="629">
        <f>Q99-O99</f>
        <v>0</v>
      </c>
      <c r="Q99" s="432">
        <f>SUM(Q101:Q140)</f>
        <v>0</v>
      </c>
    </row>
    <row r="100" spans="1:24" hidden="1" x14ac:dyDescent="0.25">
      <c r="A100" s="291"/>
      <c r="B100" s="336"/>
      <c r="C100" s="309"/>
      <c r="D100" s="309"/>
      <c r="E100" s="309"/>
      <c r="F100" s="309"/>
      <c r="G100" s="309"/>
      <c r="H100" s="309"/>
      <c r="I100" s="309"/>
      <c r="J100" s="309"/>
      <c r="K100" s="309"/>
      <c r="L100" s="309"/>
      <c r="M100" s="309"/>
      <c r="N100" s="309"/>
      <c r="O100" s="494"/>
      <c r="P100" s="628"/>
      <c r="Q100" s="515"/>
    </row>
    <row r="101" spans="1:24" ht="15" hidden="1" customHeight="1" x14ac:dyDescent="0.25">
      <c r="A101" s="1043" t="s">
        <v>366</v>
      </c>
      <c r="B101" s="911" t="s">
        <v>367</v>
      </c>
      <c r="C101" s="429">
        <f>SUMIFS(JA!$Z:$Z,JA!$AX:$AX,Toimenpiteet!$Y$6,JA!$AT:$AT,Toimenpiteet!$X101,JA!$CI:$CI,Toimenpiteet!$Y$1,JA!BV:BV,"OK",JA!CT:CT,$AF$4)</f>
        <v>0</v>
      </c>
      <c r="D101" s="429">
        <f>SUMIFS(JA!$Z:$Z,JA!$AX:$AX,Toimenpiteet!$Y$6,JA!$AT:$AT,Toimenpiteet!$X101,JA!$CI:$CI,Toimenpiteet!$Y$1,JA!BW:BW,"OK",JA!CT:CT,$AF$4)</f>
        <v>0</v>
      </c>
      <c r="E101" s="429">
        <f>SUMIFS(JA!$Z:$Z,JA!$AX:$AX,Toimenpiteet!$Y$6,JA!$AT:$AT,Toimenpiteet!$X101,JA!$CI:$CI,Toimenpiteet!$Y$1,JA!BX:BX,"OK",JA!CT:CT,$AF$4)</f>
        <v>0</v>
      </c>
      <c r="F101" s="429">
        <f>SUMIFS(JA!$Z:$Z,JA!$AX:$AX,Toimenpiteet!$Y$6,JA!$AT:$AT,Toimenpiteet!$X101,JA!$CI:$CI,Toimenpiteet!$Y$1,JA!BY:BY,"OK",JA!CT:CT,$AF$4)</f>
        <v>0</v>
      </c>
      <c r="G101" s="429">
        <f>SUMIFS(JA!$Z:$Z,JA!$AX:$AX,Toimenpiteet!$Y$6,JA!$AT:$AT,Toimenpiteet!$X101,JA!$CI:$CI,Toimenpiteet!$Y$1,JA!BZ:BZ,"OK",JA!CT:CT,$AF$4)</f>
        <v>0</v>
      </c>
      <c r="H101" s="429">
        <f>SUMIFS(JA!$Z:$Z,JA!$AX:$AX,Toimenpiteet!$Y$6,JA!$AT:$AT,Toimenpiteet!$X101,JA!$CI:$CI,Toimenpiteet!$Y$1,JA!CA:CA,"OK",JA!CT:CT,$AF$4)</f>
        <v>0</v>
      </c>
      <c r="I101" s="429">
        <f>SUMIFS(JA!$Z:$Z,JA!$AX:$AX,Toimenpiteet!$Y$6,JA!$AT:$AT,Toimenpiteet!$X101,JA!$CI:$CI,Toimenpiteet!$Y$1,JA!CB:CB,"OK",JA!CT:CT,$AF$4)</f>
        <v>0</v>
      </c>
      <c r="J101" s="429">
        <f>SUMIFS(JA!$Z:$Z,JA!$AX:$AX,Toimenpiteet!$Y$6,JA!$AT:$AT,Toimenpiteet!$X101,JA!$CI:$CI,Toimenpiteet!$Y$1,JA!CC:CC,"OK",JA!CT:CT,$AF$4)</f>
        <v>0</v>
      </c>
      <c r="K101" s="429">
        <f>SUMIFS(JA!$Z:$Z,JA!$AX:$AX,Toimenpiteet!$Y$6,JA!$AT:$AT,Toimenpiteet!$X101,JA!$CI:$CI,Toimenpiteet!$Y$1,JA!CD:CD,"OK",JA!CT:CT,$AF$4)</f>
        <v>0</v>
      </c>
      <c r="L101" s="429">
        <f>SUMIFS(JA!$Z:$Z,JA!$AX:$AX,Toimenpiteet!$Y$6,JA!$AT:$AT,Toimenpiteet!$X101,JA!$CI:$CI,Toimenpiteet!$Y$1,JA!CE:CE,"OK",JA!CT:CT,$AF$4)</f>
        <v>0</v>
      </c>
      <c r="M101" s="429">
        <f>SUMIFS(JA!$Z:$Z,JA!$AX:$AX,Toimenpiteet!$Y$6,JA!$AT:$AT,Toimenpiteet!$X101,JA!$CI:$CI,Toimenpiteet!$Y$1,JA!CF:CF,"OK",JA!CT:CT,$AF$4)</f>
        <v>0</v>
      </c>
      <c r="N101" s="429">
        <f>SUMIFS(JA!$Z:$Z,JA!$AX:$AX,Toimenpiteet!$Y$6,JA!$AT:$AT,Toimenpiteet!$X101,JA!$CI:$CI,Toimenpiteet!$Y$1,JA!CG:CG,"OK",JA!CT:CT,$AF$4)</f>
        <v>0</v>
      </c>
      <c r="O101" s="429">
        <f t="shared" ref="O101" si="5">SUM(C101:N101)</f>
        <v>0</v>
      </c>
      <c r="P101" s="548">
        <f t="shared" ref="P101" si="6">IFERROR(Q101-O101,0)</f>
        <v>0</v>
      </c>
      <c r="Q101" s="431">
        <f>IF($W$3="12",SUMIFS(JA!$Z:$Z,JA!$AX:$AX,Toimenpiteet!$Y$6,JA!$AE:$AE,"OK",JA!$AT:$AT,Toimenpiteet!$X101,JA!$CI:$CI,Toimenpiteet!$Y$1,JA!CT:CT,$AF$4),0)</f>
        <v>0</v>
      </c>
      <c r="R101" t="s">
        <v>825</v>
      </c>
      <c r="X101" t="s">
        <v>368</v>
      </c>
    </row>
    <row r="102" spans="1:24" hidden="1" x14ac:dyDescent="0.25">
      <c r="A102" s="1044"/>
      <c r="B102" s="911" t="s">
        <v>369</v>
      </c>
      <c r="C102" s="429">
        <f>SUMIFS(JA!$Z:$Z,JA!$AX:$AX,Toimenpiteet!$Y$6,JA!$AT:$AT,Toimenpiteet!$X102,JA!$CI:$CI,Toimenpiteet!$Y$1,JA!BV:BV,"OK",JA!CT:CT,$AF$4)</f>
        <v>0</v>
      </c>
      <c r="D102" s="429">
        <f>SUMIFS(JA!$Z:$Z,JA!$AX:$AX,Toimenpiteet!$Y$6,JA!$AT:$AT,Toimenpiteet!$X102,JA!$CI:$CI,Toimenpiteet!$Y$1,JA!BW:BW,"OK",JA!CT:CT,$AF$4)</f>
        <v>0</v>
      </c>
      <c r="E102" s="429">
        <f>SUMIFS(JA!$Z:$Z,JA!$AX:$AX,Toimenpiteet!$Y$6,JA!$AT:$AT,Toimenpiteet!$X102,JA!$CI:$CI,Toimenpiteet!$Y$1,JA!BX:BX,"OK",JA!CT:CT,$AF$4)</f>
        <v>0</v>
      </c>
      <c r="F102" s="429">
        <f>SUMIFS(JA!$Z:$Z,JA!$AX:$AX,Toimenpiteet!$Y$6,JA!$AT:$AT,Toimenpiteet!$X102,JA!$CI:$CI,Toimenpiteet!$Y$1,JA!BY:BY,"OK",JA!CT:CT,$AF$4)</f>
        <v>0</v>
      </c>
      <c r="G102" s="429">
        <f>SUMIFS(JA!$Z:$Z,JA!$AX:$AX,Toimenpiteet!$Y$6,JA!$AT:$AT,Toimenpiteet!$X102,JA!$CI:$CI,Toimenpiteet!$Y$1,JA!BZ:BZ,"OK",JA!CT:CT,$AF$4)</f>
        <v>0</v>
      </c>
      <c r="H102" s="429">
        <f>SUMIFS(JA!$Z:$Z,JA!$AX:$AX,Toimenpiteet!$Y$6,JA!$AT:$AT,Toimenpiteet!$X102,JA!$CI:$CI,Toimenpiteet!$Y$1,JA!CA:CA,"OK",JA!CT:CT,$AF$4)</f>
        <v>0</v>
      </c>
      <c r="I102" s="429">
        <f>SUMIFS(JA!$Z:$Z,JA!$AX:$AX,Toimenpiteet!$Y$6,JA!$AT:$AT,Toimenpiteet!$X102,JA!$CI:$CI,Toimenpiteet!$Y$1,JA!CB:CB,"OK",JA!CT:CT,$AF$4)</f>
        <v>0</v>
      </c>
      <c r="J102" s="429">
        <f>SUMIFS(JA!$Z:$Z,JA!$AX:$AX,Toimenpiteet!$Y$6,JA!$AT:$AT,Toimenpiteet!$X102,JA!$CI:$CI,Toimenpiteet!$Y$1,JA!CC:CC,"OK",JA!CT:CT,$AF$4)</f>
        <v>0</v>
      </c>
      <c r="K102" s="429">
        <f>SUMIFS(JA!$Z:$Z,JA!$AX:$AX,Toimenpiteet!$Y$6,JA!$AT:$AT,Toimenpiteet!$X102,JA!$CI:$CI,Toimenpiteet!$Y$1,JA!CD:CD,"OK",JA!CT:CT,$AF$4)</f>
        <v>0</v>
      </c>
      <c r="L102" s="429">
        <f>SUMIFS(JA!$Z:$Z,JA!$AX:$AX,Toimenpiteet!$Y$6,JA!$AT:$AT,Toimenpiteet!$X102,JA!$CI:$CI,Toimenpiteet!$Y$1,JA!CE:CE,"OK",JA!CT:CT,$AF$4)</f>
        <v>0</v>
      </c>
      <c r="M102" s="429">
        <f>SUMIFS(JA!$Z:$Z,JA!$AX:$AX,Toimenpiteet!$Y$6,JA!$AT:$AT,Toimenpiteet!$X102,JA!$CI:$CI,Toimenpiteet!$Y$1,JA!CF:CF,"OK",JA!CT:CT,$AF$4)</f>
        <v>0</v>
      </c>
      <c r="N102" s="429">
        <f>SUMIFS(JA!$Z:$Z,JA!$AX:$AX,Toimenpiteet!$Y$6,JA!$AT:$AT,Toimenpiteet!$X102,JA!$CI:$CI,Toimenpiteet!$Y$1,JA!CG:CG,"OK",JA!CT:CT,$AF$4)</f>
        <v>0</v>
      </c>
      <c r="O102" s="429">
        <f t="shared" ref="O102:O140" si="7">SUM(C102:N102)</f>
        <v>0</v>
      </c>
      <c r="P102" s="548">
        <f t="shared" ref="P102:P140" si="8">IFERROR(Q102-O102,0)</f>
        <v>0</v>
      </c>
      <c r="Q102" s="431">
        <f>IF($W$3="12",SUMIFS(JA!$Z:$Z,JA!$AX:$AX,Toimenpiteet!$Y$6,JA!$AE:$AE,"OK",JA!$AT:$AT,Toimenpiteet!$X102,JA!$CI:$CI,Toimenpiteet!$Y$1,JA!CT:CT,$AF$4),0)</f>
        <v>0</v>
      </c>
      <c r="X102" t="s">
        <v>370</v>
      </c>
    </row>
    <row r="103" spans="1:24" hidden="1" x14ac:dyDescent="0.25">
      <c r="A103" s="1044"/>
      <c r="B103" s="911" t="s">
        <v>371</v>
      </c>
      <c r="C103" s="429">
        <f>SUMIFS(JA!$Z:$Z,JA!$AX:$AX,Toimenpiteet!$Y$6,JA!$AT:$AT,Toimenpiteet!$X103,JA!$CI:$CI,Toimenpiteet!$Y$1,JA!BV:BV,"OK",JA!CT:CT,$AF$4)</f>
        <v>0</v>
      </c>
      <c r="D103" s="429">
        <f>SUMIFS(JA!$Z:$Z,JA!$AX:$AX,Toimenpiteet!$Y$6,JA!$AT:$AT,Toimenpiteet!$X103,JA!$CI:$CI,Toimenpiteet!$Y$1,JA!BW:BW,"OK",JA!CT:CT,$AF$4)</f>
        <v>0</v>
      </c>
      <c r="E103" s="429">
        <f>SUMIFS(JA!$Z:$Z,JA!$AX:$AX,Toimenpiteet!$Y$6,JA!$AT:$AT,Toimenpiteet!$X103,JA!$CI:$CI,Toimenpiteet!$Y$1,JA!BX:BX,"OK",JA!CT:CT,$AF$4)</f>
        <v>0</v>
      </c>
      <c r="F103" s="429">
        <f>SUMIFS(JA!$Z:$Z,JA!$AX:$AX,Toimenpiteet!$Y$6,JA!$AT:$AT,Toimenpiteet!$X103,JA!$CI:$CI,Toimenpiteet!$Y$1,JA!BY:BY,"OK",JA!CT:CT,$AF$4)</f>
        <v>0</v>
      </c>
      <c r="G103" s="429">
        <f>SUMIFS(JA!$Z:$Z,JA!$AX:$AX,Toimenpiteet!$Y$6,JA!$AT:$AT,Toimenpiteet!$X103,JA!$CI:$CI,Toimenpiteet!$Y$1,JA!BZ:BZ,"OK",JA!CT:CT,$AF$4)</f>
        <v>0</v>
      </c>
      <c r="H103" s="429">
        <f>SUMIFS(JA!$Z:$Z,JA!$AX:$AX,Toimenpiteet!$Y$6,JA!$AT:$AT,Toimenpiteet!$X103,JA!$CI:$CI,Toimenpiteet!$Y$1,JA!CA:CA,"OK",JA!CT:CT,$AF$4)</f>
        <v>0</v>
      </c>
      <c r="I103" s="429">
        <f>SUMIFS(JA!$Z:$Z,JA!$AX:$AX,Toimenpiteet!$Y$6,JA!$AT:$AT,Toimenpiteet!$X103,JA!$CI:$CI,Toimenpiteet!$Y$1,JA!CB:CB,"OK",JA!CT:CT,$AF$4)</f>
        <v>0</v>
      </c>
      <c r="J103" s="429">
        <f>SUMIFS(JA!$Z:$Z,JA!$AX:$AX,Toimenpiteet!$Y$6,JA!$AT:$AT,Toimenpiteet!$X103,JA!$CI:$CI,Toimenpiteet!$Y$1,JA!CC:CC,"OK",JA!CT:CT,$AF$4)</f>
        <v>0</v>
      </c>
      <c r="K103" s="429">
        <f>SUMIFS(JA!$Z:$Z,JA!$AX:$AX,Toimenpiteet!$Y$6,JA!$AT:$AT,Toimenpiteet!$X103,JA!$CI:$CI,Toimenpiteet!$Y$1,JA!CD:CD,"OK",JA!CT:CT,$AF$4)</f>
        <v>0</v>
      </c>
      <c r="L103" s="429">
        <f>SUMIFS(JA!$Z:$Z,JA!$AX:$AX,Toimenpiteet!$Y$6,JA!$AT:$AT,Toimenpiteet!$X103,JA!$CI:$CI,Toimenpiteet!$Y$1,JA!CE:CE,"OK",JA!CT:CT,$AF$4)</f>
        <v>0</v>
      </c>
      <c r="M103" s="429">
        <f>SUMIFS(JA!$Z:$Z,JA!$AX:$AX,Toimenpiteet!$Y$6,JA!$AT:$AT,Toimenpiteet!$X103,JA!$CI:$CI,Toimenpiteet!$Y$1,JA!CF:CF,"OK",JA!CT:CT,$AF$4)</f>
        <v>0</v>
      </c>
      <c r="N103" s="429">
        <f>SUMIFS(JA!$Z:$Z,JA!$AX:$AX,Toimenpiteet!$Y$6,JA!$AT:$AT,Toimenpiteet!$X103,JA!$CI:$CI,Toimenpiteet!$Y$1,JA!CG:CG,"OK",JA!CT:CT,$AF$4)</f>
        <v>0</v>
      </c>
      <c r="O103" s="429">
        <f t="shared" si="7"/>
        <v>0</v>
      </c>
      <c r="P103" s="548">
        <f t="shared" si="8"/>
        <v>0</v>
      </c>
      <c r="Q103" s="431">
        <f>IF($W$3="12",SUMIFS(JA!$Z:$Z,JA!$AX:$AX,Toimenpiteet!$Y$6,JA!$AE:$AE,"OK",JA!$AT:$AT,Toimenpiteet!$X103,JA!$CI:$CI,Toimenpiteet!$Y$1,JA!CT:CT,$AF$4),0)</f>
        <v>0</v>
      </c>
      <c r="R103" s="78"/>
      <c r="X103" t="s">
        <v>372</v>
      </c>
    </row>
    <row r="104" spans="1:24" hidden="1" x14ac:dyDescent="0.25">
      <c r="A104" s="1044"/>
      <c r="B104" s="911" t="s">
        <v>373</v>
      </c>
      <c r="C104" s="429">
        <f>SUMIFS(JA!$Z:$Z,JA!$AX:$AX,Toimenpiteet!$Y$6,JA!$AT:$AT,Toimenpiteet!$X104,JA!$CI:$CI,Toimenpiteet!$Y$1,JA!BV:BV,"OK",JA!CT:CT,$AF$4)</f>
        <v>0</v>
      </c>
      <c r="D104" s="429">
        <f>SUMIFS(JA!$Z:$Z,JA!$AX:$AX,Toimenpiteet!$Y$6,JA!$AT:$AT,Toimenpiteet!$X104,JA!$CI:$CI,Toimenpiteet!$Y$1,JA!BW:BW,"OK",JA!CT:CT,$AF$4)</f>
        <v>0</v>
      </c>
      <c r="E104" s="429">
        <f>SUMIFS(JA!$Z:$Z,JA!$AX:$AX,Toimenpiteet!$Y$6,JA!$AT:$AT,Toimenpiteet!$X104,JA!$CI:$CI,Toimenpiteet!$Y$1,JA!BX:BX,"OK",JA!CT:CT,$AF$4)</f>
        <v>0</v>
      </c>
      <c r="F104" s="429">
        <f>SUMIFS(JA!$Z:$Z,JA!$AX:$AX,Toimenpiteet!$Y$6,JA!$AT:$AT,Toimenpiteet!$X104,JA!$CI:$CI,Toimenpiteet!$Y$1,JA!BY:BY,"OK",JA!CT:CT,$AF$4)</f>
        <v>0</v>
      </c>
      <c r="G104" s="429">
        <f>SUMIFS(JA!$Z:$Z,JA!$AX:$AX,Toimenpiteet!$Y$6,JA!$AT:$AT,Toimenpiteet!$X104,JA!$CI:$CI,Toimenpiteet!$Y$1,JA!BZ:BZ,"OK",JA!CT:CT,$AF$4)</f>
        <v>0</v>
      </c>
      <c r="H104" s="429">
        <f>SUMIFS(JA!$Z:$Z,JA!$AX:$AX,Toimenpiteet!$Y$6,JA!$AT:$AT,Toimenpiteet!$X104,JA!$CI:$CI,Toimenpiteet!$Y$1,JA!CA:CA,"OK",JA!CT:CT,$AF$4)</f>
        <v>0</v>
      </c>
      <c r="I104" s="429">
        <f>SUMIFS(JA!$Z:$Z,JA!$AX:$AX,Toimenpiteet!$Y$6,JA!$AT:$AT,Toimenpiteet!$X104,JA!$CI:$CI,Toimenpiteet!$Y$1,JA!CB:CB,"OK",JA!CT:CT,$AF$4)</f>
        <v>0</v>
      </c>
      <c r="J104" s="429">
        <f>SUMIFS(JA!$Z:$Z,JA!$AX:$AX,Toimenpiteet!$Y$6,JA!$AT:$AT,Toimenpiteet!$X104,JA!$CI:$CI,Toimenpiteet!$Y$1,JA!CC:CC,"OK",JA!CT:CT,$AF$4)</f>
        <v>0</v>
      </c>
      <c r="K104" s="429">
        <f>SUMIFS(JA!$Z:$Z,JA!$AX:$AX,Toimenpiteet!$Y$6,JA!$AT:$AT,Toimenpiteet!$X104,JA!$CI:$CI,Toimenpiteet!$Y$1,JA!CD:CD,"OK",JA!CT:CT,$AF$4)</f>
        <v>0</v>
      </c>
      <c r="L104" s="429">
        <f>SUMIFS(JA!$Z:$Z,JA!$AX:$AX,Toimenpiteet!$Y$6,JA!$AT:$AT,Toimenpiteet!$X104,JA!$CI:$CI,Toimenpiteet!$Y$1,JA!CE:CE,"OK",JA!CT:CT,$AF$4)</f>
        <v>0</v>
      </c>
      <c r="M104" s="429">
        <f>SUMIFS(JA!$Z:$Z,JA!$AX:$AX,Toimenpiteet!$Y$6,JA!$AT:$AT,Toimenpiteet!$X104,JA!$CI:$CI,Toimenpiteet!$Y$1,JA!CF:CF,"OK",JA!CT:CT,$AF$4)</f>
        <v>0</v>
      </c>
      <c r="N104" s="429">
        <f>SUMIFS(JA!$Z:$Z,JA!$AX:$AX,Toimenpiteet!$Y$6,JA!$AT:$AT,Toimenpiteet!$X104,JA!$CI:$CI,Toimenpiteet!$Y$1,JA!CG:CG,"OK",JA!CT:CT,$AF$4)</f>
        <v>0</v>
      </c>
      <c r="O104" s="429">
        <f t="shared" si="7"/>
        <v>0</v>
      </c>
      <c r="P104" s="548">
        <f t="shared" si="8"/>
        <v>0</v>
      </c>
      <c r="Q104" s="431">
        <f>IF($W$3="12",SUMIFS(JA!$Z:$Z,JA!$AX:$AX,Toimenpiteet!$Y$6,JA!$AE:$AE,"OK",JA!$AT:$AT,Toimenpiteet!$X104,JA!$CI:$CI,Toimenpiteet!$Y$1,JA!CT:CT,$AF$4),0)</f>
        <v>0</v>
      </c>
      <c r="R104" s="78"/>
      <c r="X104" t="s">
        <v>374</v>
      </c>
    </row>
    <row r="105" spans="1:24" hidden="1" x14ac:dyDescent="0.25">
      <c r="A105" s="1044"/>
      <c r="B105" s="914" t="s">
        <v>375</v>
      </c>
      <c r="C105" s="429">
        <f>SUMIFS(JA!$Z:$Z,JA!$AX:$AX,Toimenpiteet!$Y$6,JA!$AT:$AT,Toimenpiteet!$X105,JA!$CI:$CI,Toimenpiteet!$Y$1,JA!BV:BV,"OK",JA!CT:CT,$AF$4)</f>
        <v>0</v>
      </c>
      <c r="D105" s="429">
        <f>SUMIFS(JA!$Z:$Z,JA!$AX:$AX,Toimenpiteet!$Y$6,JA!$AT:$AT,Toimenpiteet!$X105,JA!$CI:$CI,Toimenpiteet!$Y$1,JA!BW:BW,"OK",JA!CT:CT,$AF$4)</f>
        <v>0</v>
      </c>
      <c r="E105" s="429">
        <f>SUMIFS(JA!$Z:$Z,JA!$AX:$AX,Toimenpiteet!$Y$6,JA!$AT:$AT,Toimenpiteet!$X105,JA!$CI:$CI,Toimenpiteet!$Y$1,JA!BX:BX,"OK",JA!CT:CT,$AF$4)</f>
        <v>0</v>
      </c>
      <c r="F105" s="429">
        <f>SUMIFS(JA!$Z:$Z,JA!$AX:$AX,Toimenpiteet!$Y$6,JA!$AT:$AT,Toimenpiteet!$X105,JA!$CI:$CI,Toimenpiteet!$Y$1,JA!BY:BY,"OK",JA!CT:CT,$AF$4)</f>
        <v>0</v>
      </c>
      <c r="G105" s="429">
        <f>SUMIFS(JA!$Z:$Z,JA!$AX:$AX,Toimenpiteet!$Y$6,JA!$AT:$AT,Toimenpiteet!$X105,JA!$CI:$CI,Toimenpiteet!$Y$1,JA!BZ:BZ,"OK",JA!CT:CT,$AF$4)</f>
        <v>0</v>
      </c>
      <c r="H105" s="429">
        <f>SUMIFS(JA!$Z:$Z,JA!$AX:$AX,Toimenpiteet!$Y$6,JA!$AT:$AT,Toimenpiteet!$X105,JA!$CI:$CI,Toimenpiteet!$Y$1,JA!CA:CA,"OK",JA!CT:CT,$AF$4)</f>
        <v>0</v>
      </c>
      <c r="I105" s="429">
        <f>SUMIFS(JA!$Z:$Z,JA!$AX:$AX,Toimenpiteet!$Y$6,JA!$AT:$AT,Toimenpiteet!$X105,JA!$CI:$CI,Toimenpiteet!$Y$1,JA!CB:CB,"OK",JA!CT:CT,$AF$4)</f>
        <v>0</v>
      </c>
      <c r="J105" s="429">
        <f>SUMIFS(JA!$Z:$Z,JA!$AX:$AX,Toimenpiteet!$Y$6,JA!$AT:$AT,Toimenpiteet!$X105,JA!$CI:$CI,Toimenpiteet!$Y$1,JA!CC:CC,"OK",JA!CT:CT,$AF$4)</f>
        <v>0</v>
      </c>
      <c r="K105" s="429">
        <f>SUMIFS(JA!$Z:$Z,JA!$AX:$AX,Toimenpiteet!$Y$6,JA!$AT:$AT,Toimenpiteet!$X105,JA!$CI:$CI,Toimenpiteet!$Y$1,JA!CD:CD,"OK",JA!CT:CT,$AF$4)</f>
        <v>0</v>
      </c>
      <c r="L105" s="429">
        <f>SUMIFS(JA!$Z:$Z,JA!$AX:$AX,Toimenpiteet!$Y$6,JA!$AT:$AT,Toimenpiteet!$X105,JA!$CI:$CI,Toimenpiteet!$Y$1,JA!CE:CE,"OK",JA!CT:CT,$AF$4)</f>
        <v>0</v>
      </c>
      <c r="M105" s="429">
        <f>SUMIFS(JA!$Z:$Z,JA!$AX:$AX,Toimenpiteet!$Y$6,JA!$AT:$AT,Toimenpiteet!$X105,JA!$CI:$CI,Toimenpiteet!$Y$1,JA!CF:CF,"OK",JA!CT:CT,$AF$4)</f>
        <v>0</v>
      </c>
      <c r="N105" s="429">
        <f>SUMIFS(JA!$Z:$Z,JA!$AX:$AX,Toimenpiteet!$Y$6,JA!$AT:$AT,Toimenpiteet!$X105,JA!$CI:$CI,Toimenpiteet!$Y$1,JA!CG:CG,"OK",JA!CT:CT,$AF$4)</f>
        <v>0</v>
      </c>
      <c r="O105" s="429">
        <f t="shared" si="7"/>
        <v>0</v>
      </c>
      <c r="P105" s="548">
        <f t="shared" si="8"/>
        <v>0</v>
      </c>
      <c r="Q105" s="431">
        <f>IF($W$3="12",SUMIFS(JA!$Z:$Z,JA!$AX:$AX,Toimenpiteet!$Y$6,JA!$AE:$AE,"OK",JA!$AT:$AT,Toimenpiteet!$X105,JA!$CI:$CI,Toimenpiteet!$Y$1,JA!CT:CT,$AF$4),0)</f>
        <v>0</v>
      </c>
      <c r="R105" s="78"/>
      <c r="X105" t="s">
        <v>376</v>
      </c>
    </row>
    <row r="106" spans="1:24" ht="15" hidden="1" customHeight="1" x14ac:dyDescent="0.25">
      <c r="A106" s="1043" t="s">
        <v>380</v>
      </c>
      <c r="B106" s="912" t="s">
        <v>381</v>
      </c>
      <c r="C106" s="429">
        <f>SUMIFS(JA!$Z:$Z,JA!$AX:$AX,Toimenpiteet!$Y$6,JA!$AT:$AT,Toimenpiteet!$X106,JA!$CI:$CI,Toimenpiteet!$Y$1,JA!BV:BV,"OK",JA!CT:CT,$AF$4)</f>
        <v>0</v>
      </c>
      <c r="D106" s="429">
        <f>SUMIFS(JA!$Z:$Z,JA!$AX:$AX,Toimenpiteet!$Y$6,JA!$AT:$AT,Toimenpiteet!$X106,JA!$CI:$CI,Toimenpiteet!$Y$1,JA!BW:BW,"OK",JA!CT:CT,$AF$4)</f>
        <v>0</v>
      </c>
      <c r="E106" s="429">
        <f>SUMIFS(JA!$Z:$Z,JA!$AX:$AX,Toimenpiteet!$Y$6,JA!$AT:$AT,Toimenpiteet!$X106,JA!$CI:$CI,Toimenpiteet!$Y$1,JA!BX:BX,"OK",JA!CT:CT,$AF$4)</f>
        <v>0</v>
      </c>
      <c r="F106" s="429">
        <f>SUMIFS(JA!$Z:$Z,JA!$AX:$AX,Toimenpiteet!$Y$6,JA!$AT:$AT,Toimenpiteet!$X106,JA!$CI:$CI,Toimenpiteet!$Y$1,JA!BY:BY,"OK",JA!CT:CT,$AF$4)</f>
        <v>0</v>
      </c>
      <c r="G106" s="429">
        <f>SUMIFS(JA!$Z:$Z,JA!$AX:$AX,Toimenpiteet!$Y$6,JA!$AT:$AT,Toimenpiteet!$X106,JA!$CI:$CI,Toimenpiteet!$Y$1,JA!BZ:BZ,"OK",JA!CT:CT,$AF$4)</f>
        <v>0</v>
      </c>
      <c r="H106" s="429">
        <f>SUMIFS(JA!$Z:$Z,JA!$AX:$AX,Toimenpiteet!$Y$6,JA!$AT:$AT,Toimenpiteet!$X106,JA!$CI:$CI,Toimenpiteet!$Y$1,JA!CA:CA,"OK",JA!CT:CT,$AF$4)</f>
        <v>0</v>
      </c>
      <c r="I106" s="429">
        <f>SUMIFS(JA!$Z:$Z,JA!$AX:$AX,Toimenpiteet!$Y$6,JA!$AT:$AT,Toimenpiteet!$X106,JA!$CI:$CI,Toimenpiteet!$Y$1,JA!CB:CB,"OK",JA!CT:CT,$AF$4)</f>
        <v>0</v>
      </c>
      <c r="J106" s="429">
        <f>SUMIFS(JA!$Z:$Z,JA!$AX:$AX,Toimenpiteet!$Y$6,JA!$AT:$AT,Toimenpiteet!$X106,JA!$CI:$CI,Toimenpiteet!$Y$1,JA!CC:CC,"OK",JA!CT:CT,$AF$4)</f>
        <v>0</v>
      </c>
      <c r="K106" s="429">
        <f>SUMIFS(JA!$Z:$Z,JA!$AX:$AX,Toimenpiteet!$Y$6,JA!$AT:$AT,Toimenpiteet!$X106,JA!$CI:$CI,Toimenpiteet!$Y$1,JA!CD:CD,"OK",JA!CT:CT,$AF$4)</f>
        <v>0</v>
      </c>
      <c r="L106" s="429">
        <f>SUMIFS(JA!$Z:$Z,JA!$AX:$AX,Toimenpiteet!$Y$6,JA!$AT:$AT,Toimenpiteet!$X106,JA!$CI:$CI,Toimenpiteet!$Y$1,JA!CE:CE,"OK",JA!CT:CT,$AF$4)</f>
        <v>0</v>
      </c>
      <c r="M106" s="429">
        <f>SUMIFS(JA!$Z:$Z,JA!$AX:$AX,Toimenpiteet!$Y$6,JA!$AT:$AT,Toimenpiteet!$X106,JA!$CI:$CI,Toimenpiteet!$Y$1,JA!CF:CF,"OK",JA!CT:CT,$AF$4)</f>
        <v>0</v>
      </c>
      <c r="N106" s="429">
        <f>SUMIFS(JA!$Z:$Z,JA!$AX:$AX,Toimenpiteet!$Y$6,JA!$AT:$AT,Toimenpiteet!$X106,JA!$CI:$CI,Toimenpiteet!$Y$1,JA!CG:CG,"OK",JA!CT:CT,$AF$4)</f>
        <v>0</v>
      </c>
      <c r="O106" s="429">
        <f t="shared" si="7"/>
        <v>0</v>
      </c>
      <c r="P106" s="548">
        <f t="shared" si="8"/>
        <v>0</v>
      </c>
      <c r="Q106" s="431">
        <f>IF($W$3="12",SUMIFS(JA!$Z:$Z,JA!$AX:$AX,Toimenpiteet!$Y$6,JA!$AE:$AE,"OK",JA!$AT:$AT,Toimenpiteet!$X106,JA!$CI:$CI,Toimenpiteet!$Y$1,JA!CT:CT,$AF$4),0)</f>
        <v>0</v>
      </c>
      <c r="X106" t="s">
        <v>382</v>
      </c>
    </row>
    <row r="107" spans="1:24" hidden="1" x14ac:dyDescent="0.25">
      <c r="A107" s="1044"/>
      <c r="B107" s="913" t="s">
        <v>384</v>
      </c>
      <c r="C107" s="429">
        <f>SUMIFS(JA!$Z:$Z,JA!$AX:$AX,Toimenpiteet!$Y$6,JA!$AT:$AT,Toimenpiteet!$X107,JA!$CI:$CI,Toimenpiteet!$Y$1,JA!BV:BV,"OK",JA!CT:CT,$AF$4)</f>
        <v>0</v>
      </c>
      <c r="D107" s="429">
        <f>SUMIFS(JA!$Z:$Z,JA!$AX:$AX,Toimenpiteet!$Y$6,JA!$AT:$AT,Toimenpiteet!$X107,JA!$CI:$CI,Toimenpiteet!$Y$1,JA!BW:BW,"OK",JA!CT:CT,$AF$4)</f>
        <v>0</v>
      </c>
      <c r="E107" s="429">
        <f>SUMIFS(JA!$Z:$Z,JA!$AX:$AX,Toimenpiteet!$Y$6,JA!$AT:$AT,Toimenpiteet!$X107,JA!$CI:$CI,Toimenpiteet!$Y$1,JA!BX:BX,"OK",JA!CT:CT,$AF$4)</f>
        <v>0</v>
      </c>
      <c r="F107" s="429">
        <f>SUMIFS(JA!$Z:$Z,JA!$AX:$AX,Toimenpiteet!$Y$6,JA!$AT:$AT,Toimenpiteet!$X107,JA!$CI:$CI,Toimenpiteet!$Y$1,JA!BY:BY,"OK",JA!CT:CT,$AF$4)</f>
        <v>0</v>
      </c>
      <c r="G107" s="429">
        <f>SUMIFS(JA!$Z:$Z,JA!$AX:$AX,Toimenpiteet!$Y$6,JA!$AT:$AT,Toimenpiteet!$X107,JA!$CI:$CI,Toimenpiteet!$Y$1,JA!BZ:BZ,"OK",JA!CT:CT,$AF$4)</f>
        <v>0</v>
      </c>
      <c r="H107" s="429">
        <f>SUMIFS(JA!$Z:$Z,JA!$AX:$AX,Toimenpiteet!$Y$6,JA!$AT:$AT,Toimenpiteet!$X107,JA!$CI:$CI,Toimenpiteet!$Y$1,JA!CA:CA,"OK",JA!CT:CT,$AF$4)</f>
        <v>0</v>
      </c>
      <c r="I107" s="429">
        <f>SUMIFS(JA!$Z:$Z,JA!$AX:$AX,Toimenpiteet!$Y$6,JA!$AT:$AT,Toimenpiteet!$X107,JA!$CI:$CI,Toimenpiteet!$Y$1,JA!CB:CB,"OK",JA!CT:CT,$AF$4)</f>
        <v>0</v>
      </c>
      <c r="J107" s="429">
        <f>SUMIFS(JA!$Z:$Z,JA!$AX:$AX,Toimenpiteet!$Y$6,JA!$AT:$AT,Toimenpiteet!$X107,JA!$CI:$CI,Toimenpiteet!$Y$1,JA!CC:CC,"OK",JA!CT:CT,$AF$4)</f>
        <v>0</v>
      </c>
      <c r="K107" s="429">
        <f>SUMIFS(JA!$Z:$Z,JA!$AX:$AX,Toimenpiteet!$Y$6,JA!$AT:$AT,Toimenpiteet!$X107,JA!$CI:$CI,Toimenpiteet!$Y$1,JA!CD:CD,"OK",JA!CT:CT,$AF$4)</f>
        <v>0</v>
      </c>
      <c r="L107" s="429">
        <f>SUMIFS(JA!$Z:$Z,JA!$AX:$AX,Toimenpiteet!$Y$6,JA!$AT:$AT,Toimenpiteet!$X107,JA!$CI:$CI,Toimenpiteet!$Y$1,JA!CE:CE,"OK",JA!CT:CT,$AF$4)</f>
        <v>0</v>
      </c>
      <c r="M107" s="429">
        <f>SUMIFS(JA!$Z:$Z,JA!$AX:$AX,Toimenpiteet!$Y$6,JA!$AT:$AT,Toimenpiteet!$X107,JA!$CI:$CI,Toimenpiteet!$Y$1,JA!CF:CF,"OK",JA!CT:CT,$AF$4)</f>
        <v>0</v>
      </c>
      <c r="N107" s="429">
        <f>SUMIFS(JA!$Z:$Z,JA!$AX:$AX,Toimenpiteet!$Y$6,JA!$AT:$AT,Toimenpiteet!$X107,JA!$CI:$CI,Toimenpiteet!$Y$1,JA!CG:CG,"OK",JA!CT:CT,$AF$4)</f>
        <v>0</v>
      </c>
      <c r="O107" s="429">
        <f t="shared" si="7"/>
        <v>0</v>
      </c>
      <c r="P107" s="548">
        <f t="shared" si="8"/>
        <v>0</v>
      </c>
      <c r="Q107" s="431">
        <f>IF($W$3="12",SUMIFS(JA!$Z:$Z,JA!$AX:$AX,Toimenpiteet!$Y$6,JA!$AE:$AE,"OK",JA!$AT:$AT,Toimenpiteet!$X107,JA!$CI:$CI,Toimenpiteet!$Y$1,JA!CT:CT,$AF$4),0)</f>
        <v>0</v>
      </c>
      <c r="R107" s="78"/>
      <c r="X107" t="s">
        <v>385</v>
      </c>
    </row>
    <row r="108" spans="1:24" hidden="1" x14ac:dyDescent="0.25">
      <c r="A108" s="1044"/>
      <c r="B108" s="911" t="s">
        <v>1872</v>
      </c>
      <c r="C108" s="429">
        <f>SUMIFS(JA!$Z:$Z,JA!$AX:$AX,Toimenpiteet!$Y$6,JA!$AT:$AT,Toimenpiteet!$X108,JA!$CI:$CI,Toimenpiteet!$Y$1,JA!BV:BV,"OK",JA!CT:CT,$AF$4)</f>
        <v>0</v>
      </c>
      <c r="D108" s="429">
        <f>SUMIFS(JA!$Z:$Z,JA!$AX:$AX,Toimenpiteet!$Y$6,JA!$AT:$AT,Toimenpiteet!$X108,JA!$CI:$CI,Toimenpiteet!$Y$1,JA!BW:BW,"OK",JA!CT:CT,$AF$4)</f>
        <v>0</v>
      </c>
      <c r="E108" s="429">
        <f>SUMIFS(JA!$Z:$Z,JA!$AX:$AX,Toimenpiteet!$Y$6,JA!$AT:$AT,Toimenpiteet!$X108,JA!$CI:$CI,Toimenpiteet!$Y$1,JA!BX:BX,"OK",JA!CT:CT,$AF$4)</f>
        <v>0</v>
      </c>
      <c r="F108" s="429">
        <f>SUMIFS(JA!$Z:$Z,JA!$AX:$AX,Toimenpiteet!$Y$6,JA!$AT:$AT,Toimenpiteet!$X108,JA!$CI:$CI,Toimenpiteet!$Y$1,JA!BY:BY,"OK",JA!CT:CT,$AF$4)</f>
        <v>0</v>
      </c>
      <c r="G108" s="429">
        <f>SUMIFS(JA!$Z:$Z,JA!$AX:$AX,Toimenpiteet!$Y$6,JA!$AT:$AT,Toimenpiteet!$X108,JA!$CI:$CI,Toimenpiteet!$Y$1,JA!BZ:BZ,"OK",JA!CT:CT,$AF$4)</f>
        <v>0</v>
      </c>
      <c r="H108" s="429">
        <f>SUMIFS(JA!$Z:$Z,JA!$AX:$AX,Toimenpiteet!$Y$6,JA!$AT:$AT,Toimenpiteet!$X108,JA!$CI:$CI,Toimenpiteet!$Y$1,JA!CA:CA,"OK",JA!CT:CT,$AF$4)</f>
        <v>0</v>
      </c>
      <c r="I108" s="429">
        <f>SUMIFS(JA!$Z:$Z,JA!$AX:$AX,Toimenpiteet!$Y$6,JA!$AT:$AT,Toimenpiteet!$X108,JA!$CI:$CI,Toimenpiteet!$Y$1,JA!CB:CB,"OK",JA!CT:CT,$AF$4)</f>
        <v>0</v>
      </c>
      <c r="J108" s="429">
        <f>SUMIFS(JA!$Z:$Z,JA!$AX:$AX,Toimenpiteet!$Y$6,JA!$AT:$AT,Toimenpiteet!$X108,JA!$CI:$CI,Toimenpiteet!$Y$1,JA!CC:CC,"OK",JA!CT:CT,$AF$4)</f>
        <v>0</v>
      </c>
      <c r="K108" s="429">
        <f>SUMIFS(JA!$Z:$Z,JA!$AX:$AX,Toimenpiteet!$Y$6,JA!$AT:$AT,Toimenpiteet!$X108,JA!$CI:$CI,Toimenpiteet!$Y$1,JA!CD:CD,"OK",JA!CT:CT,$AF$4)</f>
        <v>0</v>
      </c>
      <c r="L108" s="429">
        <f>SUMIFS(JA!$Z:$Z,JA!$AX:$AX,Toimenpiteet!$Y$6,JA!$AT:$AT,Toimenpiteet!$X108,JA!$CI:$CI,Toimenpiteet!$Y$1,JA!CE:CE,"OK",JA!CT:CT,$AF$4)</f>
        <v>0</v>
      </c>
      <c r="M108" s="429">
        <f>SUMIFS(JA!$Z:$Z,JA!$AX:$AX,Toimenpiteet!$Y$6,JA!$AT:$AT,Toimenpiteet!$X108,JA!$CI:$CI,Toimenpiteet!$Y$1,JA!CF:CF,"OK",JA!CT:CT,$AF$4)</f>
        <v>0</v>
      </c>
      <c r="N108" s="429">
        <f>SUMIFS(JA!$Z:$Z,JA!$AX:$AX,Toimenpiteet!$Y$6,JA!$AT:$AT,Toimenpiteet!$X108,JA!$CI:$CI,Toimenpiteet!$Y$1,JA!CG:CG,"OK",JA!CT:CT,$AF$4)</f>
        <v>0</v>
      </c>
      <c r="O108" s="429">
        <f t="shared" si="7"/>
        <v>0</v>
      </c>
      <c r="P108" s="548">
        <f t="shared" si="8"/>
        <v>0</v>
      </c>
      <c r="Q108" s="431">
        <f>IF($W$3="12",SUMIFS(JA!$Z:$Z,JA!$AX:$AX,Toimenpiteet!$Y$6,JA!$AE:$AE,"OK",JA!$AT:$AT,Toimenpiteet!$X108,JA!$CI:$CI,Toimenpiteet!$Y$1,JA!CT:CT,$AF$4),0)</f>
        <v>0</v>
      </c>
      <c r="R108" s="78"/>
      <c r="X108" t="s">
        <v>1871</v>
      </c>
    </row>
    <row r="109" spans="1:24" hidden="1" x14ac:dyDescent="0.25">
      <c r="A109" s="1044"/>
      <c r="B109" s="911" t="s">
        <v>389</v>
      </c>
      <c r="C109" s="429">
        <f>SUMIFS(JA!$Z:$Z,JA!$AX:$AX,Toimenpiteet!$Y$6,JA!$AT:$AT,Toimenpiteet!$X109,JA!$CI:$CI,Toimenpiteet!$Y$1,JA!BV:BV,"OK",JA!CT:CT,$AF$4)</f>
        <v>0</v>
      </c>
      <c r="D109" s="429">
        <f>SUMIFS(JA!$Z:$Z,JA!$AX:$AX,Toimenpiteet!$Y$6,JA!$AT:$AT,Toimenpiteet!$X109,JA!$CI:$CI,Toimenpiteet!$Y$1,JA!BW:BW,"OK",JA!CT:CT,$AF$4)</f>
        <v>0</v>
      </c>
      <c r="E109" s="429">
        <f>SUMIFS(JA!$Z:$Z,JA!$AX:$AX,Toimenpiteet!$Y$6,JA!$AT:$AT,Toimenpiteet!$X109,JA!$CI:$CI,Toimenpiteet!$Y$1,JA!BX:BX,"OK",JA!CT:CT,$AF$4)</f>
        <v>0</v>
      </c>
      <c r="F109" s="429">
        <f>SUMIFS(JA!$Z:$Z,JA!$AX:$AX,Toimenpiteet!$Y$6,JA!$AT:$AT,Toimenpiteet!$X109,JA!$CI:$CI,Toimenpiteet!$Y$1,JA!BY:BY,"OK",JA!CT:CT,$AF$4)</f>
        <v>0</v>
      </c>
      <c r="G109" s="429">
        <f>SUMIFS(JA!$Z:$Z,JA!$AX:$AX,Toimenpiteet!$Y$6,JA!$AT:$AT,Toimenpiteet!$X109,JA!$CI:$CI,Toimenpiteet!$Y$1,JA!BZ:BZ,"OK",JA!CT:CT,$AF$4)</f>
        <v>0</v>
      </c>
      <c r="H109" s="429">
        <f>SUMIFS(JA!$Z:$Z,JA!$AX:$AX,Toimenpiteet!$Y$6,JA!$AT:$AT,Toimenpiteet!$X109,JA!$CI:$CI,Toimenpiteet!$Y$1,JA!CA:CA,"OK",JA!CT:CT,$AF$4)</f>
        <v>0</v>
      </c>
      <c r="I109" s="429">
        <f>SUMIFS(JA!$Z:$Z,JA!$AX:$AX,Toimenpiteet!$Y$6,JA!$AT:$AT,Toimenpiteet!$X109,JA!$CI:$CI,Toimenpiteet!$Y$1,JA!CB:CB,"OK",JA!CT:CT,$AF$4)</f>
        <v>0</v>
      </c>
      <c r="J109" s="429">
        <f>SUMIFS(JA!$Z:$Z,JA!$AX:$AX,Toimenpiteet!$Y$6,JA!$AT:$AT,Toimenpiteet!$X109,JA!$CI:$CI,Toimenpiteet!$Y$1,JA!CC:CC,"OK",JA!CT:CT,$AF$4)</f>
        <v>0</v>
      </c>
      <c r="K109" s="429">
        <f>SUMIFS(JA!$Z:$Z,JA!$AX:$AX,Toimenpiteet!$Y$6,JA!$AT:$AT,Toimenpiteet!$X109,JA!$CI:$CI,Toimenpiteet!$Y$1,JA!CD:CD,"OK",JA!CT:CT,$AF$4)</f>
        <v>0</v>
      </c>
      <c r="L109" s="429">
        <f>SUMIFS(JA!$Z:$Z,JA!$AX:$AX,Toimenpiteet!$Y$6,JA!$AT:$AT,Toimenpiteet!$X109,JA!$CI:$CI,Toimenpiteet!$Y$1,JA!CE:CE,"OK",JA!CT:CT,$AF$4)</f>
        <v>0</v>
      </c>
      <c r="M109" s="429">
        <f>SUMIFS(JA!$Z:$Z,JA!$AX:$AX,Toimenpiteet!$Y$6,JA!$AT:$AT,Toimenpiteet!$X109,JA!$CI:$CI,Toimenpiteet!$Y$1,JA!CF:CF,"OK",JA!CT:CT,$AF$4)</f>
        <v>0</v>
      </c>
      <c r="N109" s="429">
        <f>SUMIFS(JA!$Z:$Z,JA!$AX:$AX,Toimenpiteet!$Y$6,JA!$AT:$AT,Toimenpiteet!$X109,JA!$CI:$CI,Toimenpiteet!$Y$1,JA!CG:CG,"OK",JA!CT:CT,$AF$4)</f>
        <v>0</v>
      </c>
      <c r="O109" s="429">
        <f t="shared" si="7"/>
        <v>0</v>
      </c>
      <c r="P109" s="548">
        <f t="shared" si="8"/>
        <v>0</v>
      </c>
      <c r="Q109" s="431">
        <f>IF($W$3="12",SUMIFS(JA!$Z:$Z,JA!$AX:$AX,Toimenpiteet!$Y$6,JA!$AE:$AE,"OK",JA!$AT:$AT,Toimenpiteet!$X109,JA!$CI:$CI,Toimenpiteet!$Y$1,JA!CT:CT,$AF$4),0)</f>
        <v>0</v>
      </c>
      <c r="R109" s="78"/>
      <c r="X109" s="86" t="s">
        <v>390</v>
      </c>
    </row>
    <row r="110" spans="1:24" hidden="1" x14ac:dyDescent="0.25">
      <c r="A110" s="1044"/>
      <c r="B110" s="911" t="s">
        <v>392</v>
      </c>
      <c r="C110" s="429">
        <f>SUMIFS(JA!$Z:$Z,JA!$AX:$AX,Toimenpiteet!$Y$6,JA!$AT:$AT,Toimenpiteet!$X110,JA!$CI:$CI,Toimenpiteet!$Y$1,JA!BV:BV,"OK",JA!CT:CT,$AF$4)</f>
        <v>0</v>
      </c>
      <c r="D110" s="429">
        <f>SUMIFS(JA!$Z:$Z,JA!$AX:$AX,Toimenpiteet!$Y$6,JA!$AT:$AT,Toimenpiteet!$X110,JA!$CI:$CI,Toimenpiteet!$Y$1,JA!BW:BW,"OK",JA!CT:CT,$AF$4)</f>
        <v>0</v>
      </c>
      <c r="E110" s="429">
        <f>SUMIFS(JA!$Z:$Z,JA!$AX:$AX,Toimenpiteet!$Y$6,JA!$AT:$AT,Toimenpiteet!$X110,JA!$CI:$CI,Toimenpiteet!$Y$1,JA!BX:BX,"OK",JA!CT:CT,$AF$4)</f>
        <v>0</v>
      </c>
      <c r="F110" s="429">
        <f>SUMIFS(JA!$Z:$Z,JA!$AX:$AX,Toimenpiteet!$Y$6,JA!$AT:$AT,Toimenpiteet!$X110,JA!$CI:$CI,Toimenpiteet!$Y$1,JA!BY:BY,"OK",JA!CT:CT,$AF$4)</f>
        <v>0</v>
      </c>
      <c r="G110" s="429">
        <f>SUMIFS(JA!$Z:$Z,JA!$AX:$AX,Toimenpiteet!$Y$6,JA!$AT:$AT,Toimenpiteet!$X110,JA!$CI:$CI,Toimenpiteet!$Y$1,JA!BZ:BZ,"OK",JA!CT:CT,$AF$4)</f>
        <v>0</v>
      </c>
      <c r="H110" s="429">
        <f>SUMIFS(JA!$Z:$Z,JA!$AX:$AX,Toimenpiteet!$Y$6,JA!$AT:$AT,Toimenpiteet!$X110,JA!$CI:$CI,Toimenpiteet!$Y$1,JA!CA:CA,"OK",JA!CT:CT,$AF$4)</f>
        <v>0</v>
      </c>
      <c r="I110" s="429">
        <f>SUMIFS(JA!$Z:$Z,JA!$AX:$AX,Toimenpiteet!$Y$6,JA!$AT:$AT,Toimenpiteet!$X110,JA!$CI:$CI,Toimenpiteet!$Y$1,JA!CB:CB,"OK",JA!CT:CT,$AF$4)</f>
        <v>0</v>
      </c>
      <c r="J110" s="429">
        <f>SUMIFS(JA!$Z:$Z,JA!$AX:$AX,Toimenpiteet!$Y$6,JA!$AT:$AT,Toimenpiteet!$X110,JA!$CI:$CI,Toimenpiteet!$Y$1,JA!CC:CC,"OK",JA!CT:CT,$AF$4)</f>
        <v>0</v>
      </c>
      <c r="K110" s="429">
        <f>SUMIFS(JA!$Z:$Z,JA!$AX:$AX,Toimenpiteet!$Y$6,JA!$AT:$AT,Toimenpiteet!$X110,JA!$CI:$CI,Toimenpiteet!$Y$1,JA!CD:CD,"OK",JA!CT:CT,$AF$4)</f>
        <v>0</v>
      </c>
      <c r="L110" s="429">
        <f>SUMIFS(JA!$Z:$Z,JA!$AX:$AX,Toimenpiteet!$Y$6,JA!$AT:$AT,Toimenpiteet!$X110,JA!$CI:$CI,Toimenpiteet!$Y$1,JA!CE:CE,"OK",JA!CT:CT,$AF$4)</f>
        <v>0</v>
      </c>
      <c r="M110" s="429">
        <f>SUMIFS(JA!$Z:$Z,JA!$AX:$AX,Toimenpiteet!$Y$6,JA!$AT:$AT,Toimenpiteet!$X110,JA!$CI:$CI,Toimenpiteet!$Y$1,JA!CF:CF,"OK",JA!CT:CT,$AF$4)</f>
        <v>0</v>
      </c>
      <c r="N110" s="429">
        <f>SUMIFS(JA!$Z:$Z,JA!$AX:$AX,Toimenpiteet!$Y$6,JA!$AT:$AT,Toimenpiteet!$X110,JA!$CI:$CI,Toimenpiteet!$Y$1,JA!CG:CG,"OK",JA!CT:CT,$AF$4)</f>
        <v>0</v>
      </c>
      <c r="O110" s="429">
        <f t="shared" si="7"/>
        <v>0</v>
      </c>
      <c r="P110" s="548">
        <f t="shared" si="8"/>
        <v>0</v>
      </c>
      <c r="Q110" s="431">
        <f>IF($W$3="12",SUMIFS(JA!$Z:$Z,JA!$AX:$AX,Toimenpiteet!$Y$6,JA!$AE:$AE,"OK",JA!$AT:$AT,Toimenpiteet!$X110,JA!$CI:$CI,Toimenpiteet!$Y$1,JA!CT:CT,$AF$4),0)</f>
        <v>0</v>
      </c>
      <c r="R110" s="78"/>
      <c r="X110" t="s">
        <v>393</v>
      </c>
    </row>
    <row r="111" spans="1:24" hidden="1" x14ac:dyDescent="0.25">
      <c r="A111" s="1044"/>
      <c r="B111" s="911" t="s">
        <v>394</v>
      </c>
      <c r="C111" s="429">
        <f>SUMIFS(JA!$Z:$Z,JA!$AX:$AX,Toimenpiteet!$Y$6,JA!$AT:$AT,Toimenpiteet!$X111,JA!$CI:$CI,Toimenpiteet!$Y$1,JA!BV:BV,"OK",JA!CT:CT,$AF$4)</f>
        <v>0</v>
      </c>
      <c r="D111" s="429">
        <f>SUMIFS(JA!$Z:$Z,JA!$AX:$AX,Toimenpiteet!$Y$6,JA!$AT:$AT,Toimenpiteet!$X111,JA!$CI:$CI,Toimenpiteet!$Y$1,JA!BW:BW,"OK",JA!CT:CT,$AF$4)</f>
        <v>0</v>
      </c>
      <c r="E111" s="429">
        <f>SUMIFS(JA!$Z:$Z,JA!$AX:$AX,Toimenpiteet!$Y$6,JA!$AT:$AT,Toimenpiteet!$X111,JA!$CI:$CI,Toimenpiteet!$Y$1,JA!BX:BX,"OK",JA!CT:CT,$AF$4)</f>
        <v>0</v>
      </c>
      <c r="F111" s="429">
        <f>SUMIFS(JA!$Z:$Z,JA!$AX:$AX,Toimenpiteet!$Y$6,JA!$AT:$AT,Toimenpiteet!$X111,JA!$CI:$CI,Toimenpiteet!$Y$1,JA!BY:BY,"OK",JA!CT:CT,$AF$4)</f>
        <v>0</v>
      </c>
      <c r="G111" s="429">
        <f>SUMIFS(JA!$Z:$Z,JA!$AX:$AX,Toimenpiteet!$Y$6,JA!$AT:$AT,Toimenpiteet!$X111,JA!$CI:$CI,Toimenpiteet!$Y$1,JA!BZ:BZ,"OK",JA!CT:CT,$AF$4)</f>
        <v>0</v>
      </c>
      <c r="H111" s="429">
        <f>SUMIFS(JA!$Z:$Z,JA!$AX:$AX,Toimenpiteet!$Y$6,JA!$AT:$AT,Toimenpiteet!$X111,JA!$CI:$CI,Toimenpiteet!$Y$1,JA!CA:CA,"OK",JA!CT:CT,$AF$4)</f>
        <v>0</v>
      </c>
      <c r="I111" s="429">
        <f>SUMIFS(JA!$Z:$Z,JA!$AX:$AX,Toimenpiteet!$Y$6,JA!$AT:$AT,Toimenpiteet!$X111,JA!$CI:$CI,Toimenpiteet!$Y$1,JA!CB:CB,"OK",JA!CT:CT,$AF$4)</f>
        <v>0</v>
      </c>
      <c r="J111" s="429">
        <f>SUMIFS(JA!$Z:$Z,JA!$AX:$AX,Toimenpiteet!$Y$6,JA!$AT:$AT,Toimenpiteet!$X111,JA!$CI:$CI,Toimenpiteet!$Y$1,JA!CC:CC,"OK",JA!CT:CT,$AF$4)</f>
        <v>0</v>
      </c>
      <c r="K111" s="429">
        <f>SUMIFS(JA!$Z:$Z,JA!$AX:$AX,Toimenpiteet!$Y$6,JA!$AT:$AT,Toimenpiteet!$X111,JA!$CI:$CI,Toimenpiteet!$Y$1,JA!CD:CD,"OK",JA!CT:CT,$AF$4)</f>
        <v>0</v>
      </c>
      <c r="L111" s="429">
        <f>SUMIFS(JA!$Z:$Z,JA!$AX:$AX,Toimenpiteet!$Y$6,JA!$AT:$AT,Toimenpiteet!$X111,JA!$CI:$CI,Toimenpiteet!$Y$1,JA!CE:CE,"OK",JA!CT:CT,$AF$4)</f>
        <v>0</v>
      </c>
      <c r="M111" s="429">
        <f>SUMIFS(JA!$Z:$Z,JA!$AX:$AX,Toimenpiteet!$Y$6,JA!$AT:$AT,Toimenpiteet!$X111,JA!$CI:$CI,Toimenpiteet!$Y$1,JA!CF:CF,"OK",JA!CT:CT,$AF$4)</f>
        <v>0</v>
      </c>
      <c r="N111" s="429">
        <f>SUMIFS(JA!$Z:$Z,JA!$AX:$AX,Toimenpiteet!$Y$6,JA!$AT:$AT,Toimenpiteet!$X111,JA!$CI:$CI,Toimenpiteet!$Y$1,JA!CG:CG,"OK",JA!CT:CT,$AF$4)</f>
        <v>0</v>
      </c>
      <c r="O111" s="429">
        <f t="shared" si="7"/>
        <v>0</v>
      </c>
      <c r="P111" s="548">
        <f t="shared" si="8"/>
        <v>0</v>
      </c>
      <c r="Q111" s="431">
        <f>IF($W$3="12",SUMIFS(JA!$Z:$Z,JA!$AX:$AX,Toimenpiteet!$Y$6,JA!$AE:$AE,"OK",JA!$AT:$AT,Toimenpiteet!$X111,JA!$CI:$CI,Toimenpiteet!$Y$1,JA!CT:CT,$AF$4),0)</f>
        <v>0</v>
      </c>
      <c r="R111" s="78"/>
      <c r="X111" s="86" t="s">
        <v>395</v>
      </c>
    </row>
    <row r="112" spans="1:24" hidden="1" x14ac:dyDescent="0.25">
      <c r="A112" s="1044"/>
      <c r="B112" s="911" t="s">
        <v>398</v>
      </c>
      <c r="C112" s="429">
        <f>SUMIFS(JA!$Z:$Z,JA!$AX:$AX,Toimenpiteet!$Y$6,JA!$AT:$AT,Toimenpiteet!$X112,JA!$CI:$CI,Toimenpiteet!$Y$1,JA!BV:BV,"OK",JA!CT:CT,$AF$4)</f>
        <v>0</v>
      </c>
      <c r="D112" s="429">
        <f>SUMIFS(JA!$Z:$Z,JA!$AX:$AX,Toimenpiteet!$Y$6,JA!$AT:$AT,Toimenpiteet!$X112,JA!$CI:$CI,Toimenpiteet!$Y$1,JA!BW:BW,"OK",JA!CT:CT,$AF$4)</f>
        <v>0</v>
      </c>
      <c r="E112" s="429">
        <f>SUMIFS(JA!$Z:$Z,JA!$AX:$AX,Toimenpiteet!$Y$6,JA!$AT:$AT,Toimenpiteet!$X112,JA!$CI:$CI,Toimenpiteet!$Y$1,JA!BX:BX,"OK",JA!CT:CT,$AF$4)</f>
        <v>0</v>
      </c>
      <c r="F112" s="429">
        <f>SUMIFS(JA!$Z:$Z,JA!$AX:$AX,Toimenpiteet!$Y$6,JA!$AT:$AT,Toimenpiteet!$X112,JA!$CI:$CI,Toimenpiteet!$Y$1,JA!BY:BY,"OK",JA!CT:CT,$AF$4)</f>
        <v>0</v>
      </c>
      <c r="G112" s="429">
        <f>SUMIFS(JA!$Z:$Z,JA!$AX:$AX,Toimenpiteet!$Y$6,JA!$AT:$AT,Toimenpiteet!$X112,JA!$CI:$CI,Toimenpiteet!$Y$1,JA!BZ:BZ,"OK",JA!CT:CT,$AF$4)</f>
        <v>0</v>
      </c>
      <c r="H112" s="429">
        <f>SUMIFS(JA!$Z:$Z,JA!$AX:$AX,Toimenpiteet!$Y$6,JA!$AT:$AT,Toimenpiteet!$X112,JA!$CI:$CI,Toimenpiteet!$Y$1,JA!CA:CA,"OK",JA!CT:CT,$AF$4)</f>
        <v>0</v>
      </c>
      <c r="I112" s="429">
        <f>SUMIFS(JA!$Z:$Z,JA!$AX:$AX,Toimenpiteet!$Y$6,JA!$AT:$AT,Toimenpiteet!$X112,JA!$CI:$CI,Toimenpiteet!$Y$1,JA!CB:CB,"OK",JA!CT:CT,$AF$4)</f>
        <v>0</v>
      </c>
      <c r="J112" s="429">
        <f>SUMIFS(JA!$Z:$Z,JA!$AX:$AX,Toimenpiteet!$Y$6,JA!$AT:$AT,Toimenpiteet!$X112,JA!$CI:$CI,Toimenpiteet!$Y$1,JA!CC:CC,"OK",JA!CT:CT,$AF$4)</f>
        <v>0</v>
      </c>
      <c r="K112" s="429">
        <f>SUMIFS(JA!$Z:$Z,JA!$AX:$AX,Toimenpiteet!$Y$6,JA!$AT:$AT,Toimenpiteet!$X112,JA!$CI:$CI,Toimenpiteet!$Y$1,JA!CD:CD,"OK",JA!CT:CT,$AF$4)</f>
        <v>0</v>
      </c>
      <c r="L112" s="429">
        <f>SUMIFS(JA!$Z:$Z,JA!$AX:$AX,Toimenpiteet!$Y$6,JA!$AT:$AT,Toimenpiteet!$X112,JA!$CI:$CI,Toimenpiteet!$Y$1,JA!CE:CE,"OK",JA!CT:CT,$AF$4)</f>
        <v>0</v>
      </c>
      <c r="M112" s="429">
        <f>SUMIFS(JA!$Z:$Z,JA!$AX:$AX,Toimenpiteet!$Y$6,JA!$AT:$AT,Toimenpiteet!$X112,JA!$CI:$CI,Toimenpiteet!$Y$1,JA!CF:CF,"OK",JA!CT:CT,$AF$4)</f>
        <v>0</v>
      </c>
      <c r="N112" s="429">
        <f>SUMIFS(JA!$Z:$Z,JA!$AX:$AX,Toimenpiteet!$Y$6,JA!$AT:$AT,Toimenpiteet!$X112,JA!$CI:$CI,Toimenpiteet!$Y$1,JA!CG:CG,"OK",JA!CT:CT,$AF$4)</f>
        <v>0</v>
      </c>
      <c r="O112" s="429">
        <f t="shared" si="7"/>
        <v>0</v>
      </c>
      <c r="P112" s="548">
        <f t="shared" si="8"/>
        <v>0</v>
      </c>
      <c r="Q112" s="431">
        <f>IF($W$3="12",SUMIFS(JA!$Z:$Z,JA!$AX:$AX,Toimenpiteet!$Y$6,JA!$AE:$AE,"OK",JA!$AT:$AT,Toimenpiteet!$X112,JA!$CI:$CI,Toimenpiteet!$Y$1,JA!CT:CT,$AF$4),0)</f>
        <v>0</v>
      </c>
      <c r="R112" s="78"/>
      <c r="X112" s="86" t="s">
        <v>399</v>
      </c>
    </row>
    <row r="113" spans="1:24" hidden="1" x14ac:dyDescent="0.25">
      <c r="A113" s="1044"/>
      <c r="B113" s="911" t="s">
        <v>400</v>
      </c>
      <c r="C113" s="429">
        <f>SUMIFS(JA!$Z:$Z,JA!$AX:$AX,Toimenpiteet!$Y$6,JA!$AT:$AT,Toimenpiteet!$X113,JA!$CI:$CI,Toimenpiteet!$Y$1,JA!BV:BV,"OK",JA!CT:CT,$AF$4)</f>
        <v>0</v>
      </c>
      <c r="D113" s="429">
        <f>SUMIFS(JA!$Z:$Z,JA!$AX:$AX,Toimenpiteet!$Y$6,JA!$AT:$AT,Toimenpiteet!$X113,JA!$CI:$CI,Toimenpiteet!$Y$1,JA!BW:BW,"OK",JA!CT:CT,$AF$4)</f>
        <v>0</v>
      </c>
      <c r="E113" s="429">
        <f>SUMIFS(JA!$Z:$Z,JA!$AX:$AX,Toimenpiteet!$Y$6,JA!$AT:$AT,Toimenpiteet!$X113,JA!$CI:$CI,Toimenpiteet!$Y$1,JA!BX:BX,"OK",JA!CT:CT,$AF$4)</f>
        <v>0</v>
      </c>
      <c r="F113" s="429">
        <f>SUMIFS(JA!$Z:$Z,JA!$AX:$AX,Toimenpiteet!$Y$6,JA!$AT:$AT,Toimenpiteet!$X113,JA!$CI:$CI,Toimenpiteet!$Y$1,JA!BY:BY,"OK",JA!CT:CT,$AF$4)</f>
        <v>0</v>
      </c>
      <c r="G113" s="429">
        <f>SUMIFS(JA!$Z:$Z,JA!$AX:$AX,Toimenpiteet!$Y$6,JA!$AT:$AT,Toimenpiteet!$X113,JA!$CI:$CI,Toimenpiteet!$Y$1,JA!BZ:BZ,"OK",JA!CT:CT,$AF$4)</f>
        <v>0</v>
      </c>
      <c r="H113" s="429">
        <f>SUMIFS(JA!$Z:$Z,JA!$AX:$AX,Toimenpiteet!$Y$6,JA!$AT:$AT,Toimenpiteet!$X113,JA!$CI:$CI,Toimenpiteet!$Y$1,JA!CA:CA,"OK",JA!CT:CT,$AF$4)</f>
        <v>0</v>
      </c>
      <c r="I113" s="429">
        <f>SUMIFS(JA!$Z:$Z,JA!$AX:$AX,Toimenpiteet!$Y$6,JA!$AT:$AT,Toimenpiteet!$X113,JA!$CI:$CI,Toimenpiteet!$Y$1,JA!CB:CB,"OK",JA!CT:CT,$AF$4)</f>
        <v>0</v>
      </c>
      <c r="J113" s="429">
        <f>SUMIFS(JA!$Z:$Z,JA!$AX:$AX,Toimenpiteet!$Y$6,JA!$AT:$AT,Toimenpiteet!$X113,JA!$CI:$CI,Toimenpiteet!$Y$1,JA!CC:CC,"OK",JA!CT:CT,$AF$4)</f>
        <v>0</v>
      </c>
      <c r="K113" s="429">
        <f>SUMIFS(JA!$Z:$Z,JA!$AX:$AX,Toimenpiteet!$Y$6,JA!$AT:$AT,Toimenpiteet!$X113,JA!$CI:$CI,Toimenpiteet!$Y$1,JA!CD:CD,"OK",JA!CT:CT,$AF$4)</f>
        <v>0</v>
      </c>
      <c r="L113" s="429">
        <f>SUMIFS(JA!$Z:$Z,JA!$AX:$AX,Toimenpiteet!$Y$6,JA!$AT:$AT,Toimenpiteet!$X113,JA!$CI:$CI,Toimenpiteet!$Y$1,JA!CE:CE,"OK",JA!CT:CT,$AF$4)</f>
        <v>0</v>
      </c>
      <c r="M113" s="429">
        <f>SUMIFS(JA!$Z:$Z,JA!$AX:$AX,Toimenpiteet!$Y$6,JA!$AT:$AT,Toimenpiteet!$X113,JA!$CI:$CI,Toimenpiteet!$Y$1,JA!CF:CF,"OK",JA!CT:CT,$AF$4)</f>
        <v>0</v>
      </c>
      <c r="N113" s="429">
        <f>SUMIFS(JA!$Z:$Z,JA!$AX:$AX,Toimenpiteet!$Y$6,JA!$AT:$AT,Toimenpiteet!$X113,JA!$CI:$CI,Toimenpiteet!$Y$1,JA!CG:CG,"OK",JA!CT:CT,$AF$4)</f>
        <v>0</v>
      </c>
      <c r="O113" s="429">
        <f t="shared" si="7"/>
        <v>0</v>
      </c>
      <c r="P113" s="548">
        <f t="shared" si="8"/>
        <v>0</v>
      </c>
      <c r="Q113" s="431">
        <f>IF($W$3="12",SUMIFS(JA!$Z:$Z,JA!$AX:$AX,Toimenpiteet!$Y$6,JA!$AE:$AE,"OK",JA!$AT:$AT,Toimenpiteet!$X113,JA!$CI:$CI,Toimenpiteet!$Y$1,JA!CT:CT,$AF$4),0)</f>
        <v>0</v>
      </c>
      <c r="X113" s="86" t="s">
        <v>401</v>
      </c>
    </row>
    <row r="114" spans="1:24" hidden="1" x14ac:dyDescent="0.25">
      <c r="A114" s="1045"/>
      <c r="B114" s="911" t="s">
        <v>403</v>
      </c>
      <c r="C114" s="429">
        <f>SUMIFS(JA!$Z:$Z,JA!$AX:$AX,Toimenpiteet!$Y$6,JA!$AT:$AT,Toimenpiteet!$X114,JA!$CI:$CI,Toimenpiteet!$Y$1,JA!BV:BV,"OK",JA!CT:CT,$AF$4)</f>
        <v>0</v>
      </c>
      <c r="D114" s="429">
        <f>SUMIFS(JA!$Z:$Z,JA!$AX:$AX,Toimenpiteet!$Y$6,JA!$AT:$AT,Toimenpiteet!$X114,JA!$CI:$CI,Toimenpiteet!$Y$1,JA!BW:BW,"OK",JA!CT:CT,$AF$4)</f>
        <v>0</v>
      </c>
      <c r="E114" s="429">
        <f>SUMIFS(JA!$Z:$Z,JA!$AX:$AX,Toimenpiteet!$Y$6,JA!$AT:$AT,Toimenpiteet!$X114,JA!$CI:$CI,Toimenpiteet!$Y$1,JA!BX:BX,"OK",JA!CT:CT,$AF$4)</f>
        <v>0</v>
      </c>
      <c r="F114" s="429">
        <f>SUMIFS(JA!$Z:$Z,JA!$AX:$AX,Toimenpiteet!$Y$6,JA!$AT:$AT,Toimenpiteet!$X114,JA!$CI:$CI,Toimenpiteet!$Y$1,JA!BY:BY,"OK",JA!CT:CT,$AF$4)</f>
        <v>0</v>
      </c>
      <c r="G114" s="429">
        <f>SUMIFS(JA!$Z:$Z,JA!$AX:$AX,Toimenpiteet!$Y$6,JA!$AT:$AT,Toimenpiteet!$X114,JA!$CI:$CI,Toimenpiteet!$Y$1,JA!BZ:BZ,"OK",JA!CT:CT,$AF$4)</f>
        <v>0</v>
      </c>
      <c r="H114" s="429">
        <f>SUMIFS(JA!$Z:$Z,JA!$AX:$AX,Toimenpiteet!$Y$6,JA!$AT:$AT,Toimenpiteet!$X114,JA!$CI:$CI,Toimenpiteet!$Y$1,JA!CA:CA,"OK",JA!CT:CT,$AF$4)</f>
        <v>0</v>
      </c>
      <c r="I114" s="429">
        <f>SUMIFS(JA!$Z:$Z,JA!$AX:$AX,Toimenpiteet!$Y$6,JA!$AT:$AT,Toimenpiteet!$X114,JA!$CI:$CI,Toimenpiteet!$Y$1,JA!CB:CB,"OK",JA!CT:CT,$AF$4)</f>
        <v>0</v>
      </c>
      <c r="J114" s="429">
        <f>SUMIFS(JA!$Z:$Z,JA!$AX:$AX,Toimenpiteet!$Y$6,JA!$AT:$AT,Toimenpiteet!$X114,JA!$CI:$CI,Toimenpiteet!$Y$1,JA!CC:CC,"OK",JA!CT:CT,$AF$4)</f>
        <v>0</v>
      </c>
      <c r="K114" s="429">
        <f>SUMIFS(JA!$Z:$Z,JA!$AX:$AX,Toimenpiteet!$Y$6,JA!$AT:$AT,Toimenpiteet!$X114,JA!$CI:$CI,Toimenpiteet!$Y$1,JA!CD:CD,"OK",JA!CT:CT,$AF$4)</f>
        <v>0</v>
      </c>
      <c r="L114" s="429">
        <f>SUMIFS(JA!$Z:$Z,JA!$AX:$AX,Toimenpiteet!$Y$6,JA!$AT:$AT,Toimenpiteet!$X114,JA!$CI:$CI,Toimenpiteet!$Y$1,JA!CE:CE,"OK",JA!CT:CT,$AF$4)</f>
        <v>0</v>
      </c>
      <c r="M114" s="429">
        <f>SUMIFS(JA!$Z:$Z,JA!$AX:$AX,Toimenpiteet!$Y$6,JA!$AT:$AT,Toimenpiteet!$X114,JA!$CI:$CI,Toimenpiteet!$Y$1,JA!CF:CF,"OK",JA!CT:CT,$AF$4)</f>
        <v>0</v>
      </c>
      <c r="N114" s="429">
        <f>SUMIFS(JA!$Z:$Z,JA!$AX:$AX,Toimenpiteet!$Y$6,JA!$AT:$AT,Toimenpiteet!$X114,JA!$CI:$CI,Toimenpiteet!$Y$1,JA!CG:CG,"OK",JA!CT:CT,$AF$4)</f>
        <v>0</v>
      </c>
      <c r="O114" s="429">
        <f t="shared" si="7"/>
        <v>0</v>
      </c>
      <c r="P114" s="548">
        <f t="shared" si="8"/>
        <v>0</v>
      </c>
      <c r="Q114" s="431">
        <f>IF($W$3="12",SUMIFS(JA!$Z:$Z,JA!$AX:$AX,Toimenpiteet!$Y$6,JA!$AE:$AE,"OK",JA!$AT:$AT,Toimenpiteet!$X114,JA!$CI:$CI,Toimenpiteet!$Y$1,JA!CT:CT,$AF$4),0)</f>
        <v>0</v>
      </c>
      <c r="X114" t="s">
        <v>404</v>
      </c>
    </row>
    <row r="115" spans="1:24" hidden="1" x14ac:dyDescent="0.25">
      <c r="A115" s="1043" t="s">
        <v>407</v>
      </c>
      <c r="B115" s="911" t="s">
        <v>408</v>
      </c>
      <c r="C115" s="429">
        <f>SUMIFS(JA!$Z:$Z,JA!$AX:$AX,Toimenpiteet!$Y$6,JA!$AT:$AT,Toimenpiteet!$X115,JA!$CI:$CI,Toimenpiteet!$Y$1,JA!BV:BV,"OK",JA!CT:CT,$AF$4)</f>
        <v>0</v>
      </c>
      <c r="D115" s="429">
        <f>SUMIFS(JA!$Z:$Z,JA!$AX:$AX,Toimenpiteet!$Y$6,JA!$AT:$AT,Toimenpiteet!$X115,JA!$CI:$CI,Toimenpiteet!$Y$1,JA!BW:BW,"OK",JA!CT:CT,$AF$4)</f>
        <v>0</v>
      </c>
      <c r="E115" s="429">
        <f>SUMIFS(JA!$Z:$Z,JA!$AX:$AX,Toimenpiteet!$Y$6,JA!$AT:$AT,Toimenpiteet!$X115,JA!$CI:$CI,Toimenpiteet!$Y$1,JA!BX:BX,"OK",JA!CT:CT,$AF$4)</f>
        <v>0</v>
      </c>
      <c r="F115" s="429">
        <f>SUMIFS(JA!$Z:$Z,JA!$AX:$AX,Toimenpiteet!$Y$6,JA!$AT:$AT,Toimenpiteet!$X115,JA!$CI:$CI,Toimenpiteet!$Y$1,JA!BY:BY,"OK",JA!CT:CT,$AF$4)</f>
        <v>0</v>
      </c>
      <c r="G115" s="429">
        <f>SUMIFS(JA!$Z:$Z,JA!$AX:$AX,Toimenpiteet!$Y$6,JA!$AT:$AT,Toimenpiteet!$X115,JA!$CI:$CI,Toimenpiteet!$Y$1,JA!BZ:BZ,"OK",JA!CT:CT,$AF$4)</f>
        <v>0</v>
      </c>
      <c r="H115" s="429">
        <f>SUMIFS(JA!$Z:$Z,JA!$AX:$AX,Toimenpiteet!$Y$6,JA!$AT:$AT,Toimenpiteet!$X115,JA!$CI:$CI,Toimenpiteet!$Y$1,JA!CA:CA,"OK",JA!CT:CT,$AF$4)</f>
        <v>0</v>
      </c>
      <c r="I115" s="429">
        <f>SUMIFS(JA!$Z:$Z,JA!$AX:$AX,Toimenpiteet!$Y$6,JA!$AT:$AT,Toimenpiteet!$X115,JA!$CI:$CI,Toimenpiteet!$Y$1,JA!CB:CB,"OK",JA!CT:CT,$AF$4)</f>
        <v>0</v>
      </c>
      <c r="J115" s="429">
        <f>SUMIFS(JA!$Z:$Z,JA!$AX:$AX,Toimenpiteet!$Y$6,JA!$AT:$AT,Toimenpiteet!$X115,JA!$CI:$CI,Toimenpiteet!$Y$1,JA!CC:CC,"OK",JA!CT:CT,$AF$4)</f>
        <v>0</v>
      </c>
      <c r="K115" s="429">
        <f>SUMIFS(JA!$Z:$Z,JA!$AX:$AX,Toimenpiteet!$Y$6,JA!$AT:$AT,Toimenpiteet!$X115,JA!$CI:$CI,Toimenpiteet!$Y$1,JA!CD:CD,"OK",JA!CT:CT,$AF$4)</f>
        <v>0</v>
      </c>
      <c r="L115" s="429">
        <f>SUMIFS(JA!$Z:$Z,JA!$AX:$AX,Toimenpiteet!$Y$6,JA!$AT:$AT,Toimenpiteet!$X115,JA!$CI:$CI,Toimenpiteet!$Y$1,JA!CE:CE,"OK",JA!CT:CT,$AF$4)</f>
        <v>0</v>
      </c>
      <c r="M115" s="429">
        <f>SUMIFS(JA!$Z:$Z,JA!$AX:$AX,Toimenpiteet!$Y$6,JA!$AT:$AT,Toimenpiteet!$X115,JA!$CI:$CI,Toimenpiteet!$Y$1,JA!CF:CF,"OK",JA!CT:CT,$AF$4)</f>
        <v>0</v>
      </c>
      <c r="N115" s="429">
        <f>SUMIFS(JA!$Z:$Z,JA!$AX:$AX,Toimenpiteet!$Y$6,JA!$AT:$AT,Toimenpiteet!$X115,JA!$CI:$CI,Toimenpiteet!$Y$1,JA!CG:CG,"OK",JA!CT:CT,$AF$4)</f>
        <v>0</v>
      </c>
      <c r="O115" s="429">
        <f t="shared" si="7"/>
        <v>0</v>
      </c>
      <c r="P115" s="548">
        <f t="shared" si="8"/>
        <v>0</v>
      </c>
      <c r="Q115" s="431">
        <f>IF($W$3="12",SUMIFS(JA!$Z:$Z,JA!$AX:$AX,Toimenpiteet!$Y$6,JA!$AE:$AE,"OK",JA!$AT:$AT,Toimenpiteet!$X115,JA!$CI:$CI,Toimenpiteet!$Y$1,JA!CT:CT,$AF$4),0)</f>
        <v>0</v>
      </c>
      <c r="X115" s="86" t="s">
        <v>409</v>
      </c>
    </row>
    <row r="116" spans="1:24" hidden="1" x14ac:dyDescent="0.25">
      <c r="A116" s="1044"/>
      <c r="B116" s="911" t="s">
        <v>413</v>
      </c>
      <c r="C116" s="429">
        <f>SUMIFS(JA!$Z:$Z,JA!$AX:$AX,Toimenpiteet!$Y$6,JA!$AT:$AT,Toimenpiteet!$X116,JA!$CI:$CI,Toimenpiteet!$Y$1,JA!BV:BV,"OK",JA!CT:CT,$AF$4)</f>
        <v>0</v>
      </c>
      <c r="D116" s="429">
        <f>SUMIFS(JA!$Z:$Z,JA!$AX:$AX,Toimenpiteet!$Y$6,JA!$AT:$AT,Toimenpiteet!$X116,JA!$CI:$CI,Toimenpiteet!$Y$1,JA!BW:BW,"OK",JA!CT:CT,$AF$4)</f>
        <v>0</v>
      </c>
      <c r="E116" s="429">
        <f>SUMIFS(JA!$Z:$Z,JA!$AX:$AX,Toimenpiteet!$Y$6,JA!$AT:$AT,Toimenpiteet!$X116,JA!$CI:$CI,Toimenpiteet!$Y$1,JA!BX:BX,"OK",JA!CT:CT,$AF$4)</f>
        <v>0</v>
      </c>
      <c r="F116" s="429">
        <f>SUMIFS(JA!$Z:$Z,JA!$AX:$AX,Toimenpiteet!$Y$6,JA!$AT:$AT,Toimenpiteet!$X116,JA!$CI:$CI,Toimenpiteet!$Y$1,JA!BY:BY,"OK",JA!CT:CT,$AF$4)</f>
        <v>0</v>
      </c>
      <c r="G116" s="429">
        <f>SUMIFS(JA!$Z:$Z,JA!$AX:$AX,Toimenpiteet!$Y$6,JA!$AT:$AT,Toimenpiteet!$X116,JA!$CI:$CI,Toimenpiteet!$Y$1,JA!BZ:BZ,"OK",JA!CT:CT,$AF$4)</f>
        <v>0</v>
      </c>
      <c r="H116" s="429">
        <f>SUMIFS(JA!$Z:$Z,JA!$AX:$AX,Toimenpiteet!$Y$6,JA!$AT:$AT,Toimenpiteet!$X116,JA!$CI:$CI,Toimenpiteet!$Y$1,JA!CA:CA,"OK",JA!CT:CT,$AF$4)</f>
        <v>0</v>
      </c>
      <c r="I116" s="429">
        <f>SUMIFS(JA!$Z:$Z,JA!$AX:$AX,Toimenpiteet!$Y$6,JA!$AT:$AT,Toimenpiteet!$X116,JA!$CI:$CI,Toimenpiteet!$Y$1,JA!CB:CB,"OK",JA!CT:CT,$AF$4)</f>
        <v>0</v>
      </c>
      <c r="J116" s="429">
        <f>SUMIFS(JA!$Z:$Z,JA!$AX:$AX,Toimenpiteet!$Y$6,JA!$AT:$AT,Toimenpiteet!$X116,JA!$CI:$CI,Toimenpiteet!$Y$1,JA!CC:CC,"OK",JA!CT:CT,$AF$4)</f>
        <v>0</v>
      </c>
      <c r="K116" s="429">
        <f>SUMIFS(JA!$Z:$Z,JA!$AX:$AX,Toimenpiteet!$Y$6,JA!$AT:$AT,Toimenpiteet!$X116,JA!$CI:$CI,Toimenpiteet!$Y$1,JA!CD:CD,"OK",JA!CT:CT,$AF$4)</f>
        <v>0</v>
      </c>
      <c r="L116" s="429">
        <f>SUMIFS(JA!$Z:$Z,JA!$AX:$AX,Toimenpiteet!$Y$6,JA!$AT:$AT,Toimenpiteet!$X116,JA!$CI:$CI,Toimenpiteet!$Y$1,JA!CE:CE,"OK",JA!CT:CT,$AF$4)</f>
        <v>0</v>
      </c>
      <c r="M116" s="429">
        <f>SUMIFS(JA!$Z:$Z,JA!$AX:$AX,Toimenpiteet!$Y$6,JA!$AT:$AT,Toimenpiteet!$X116,JA!$CI:$CI,Toimenpiteet!$Y$1,JA!CF:CF,"OK",JA!CT:CT,$AF$4)</f>
        <v>0</v>
      </c>
      <c r="N116" s="429">
        <f>SUMIFS(JA!$Z:$Z,JA!$AX:$AX,Toimenpiteet!$Y$6,JA!$AT:$AT,Toimenpiteet!$X116,JA!$CI:$CI,Toimenpiteet!$Y$1,JA!CG:CG,"OK",JA!CT:CT,$AF$4)</f>
        <v>0</v>
      </c>
      <c r="O116" s="429">
        <f t="shared" si="7"/>
        <v>0</v>
      </c>
      <c r="P116" s="548">
        <f t="shared" si="8"/>
        <v>0</v>
      </c>
      <c r="Q116" s="431">
        <f>IF($W$3="12",SUMIFS(JA!$Z:$Z,JA!$AX:$AX,Toimenpiteet!$Y$6,JA!$AE:$AE,"OK",JA!$AT:$AT,Toimenpiteet!$X116,JA!$CI:$CI,Toimenpiteet!$Y$1,JA!CT:CT,$AF$4),0)</f>
        <v>0</v>
      </c>
      <c r="X116" s="86" t="s">
        <v>414</v>
      </c>
    </row>
    <row r="117" spans="1:24" hidden="1" x14ac:dyDescent="0.25">
      <c r="A117" s="1044"/>
      <c r="B117" s="911" t="s">
        <v>415</v>
      </c>
      <c r="C117" s="429">
        <f>SUMIFS(JA!$Z:$Z,JA!$AX:$AX,Toimenpiteet!$Y$6,JA!$AT:$AT,Toimenpiteet!$X117,JA!$CI:$CI,Toimenpiteet!$Y$1,JA!BV:BV,"OK",JA!CT:CT,$AF$4)</f>
        <v>0</v>
      </c>
      <c r="D117" s="429">
        <f>SUMIFS(JA!$Z:$Z,JA!$AX:$AX,Toimenpiteet!$Y$6,JA!$AT:$AT,Toimenpiteet!$X117,JA!$CI:$CI,Toimenpiteet!$Y$1,JA!BW:BW,"OK",JA!CT:CT,$AF$4)</f>
        <v>0</v>
      </c>
      <c r="E117" s="429">
        <f>SUMIFS(JA!$Z:$Z,JA!$AX:$AX,Toimenpiteet!$Y$6,JA!$AT:$AT,Toimenpiteet!$X117,JA!$CI:$CI,Toimenpiteet!$Y$1,JA!BX:BX,"OK",JA!CT:CT,$AF$4)</f>
        <v>0</v>
      </c>
      <c r="F117" s="429">
        <f>SUMIFS(JA!$Z:$Z,JA!$AX:$AX,Toimenpiteet!$Y$6,JA!$AT:$AT,Toimenpiteet!$X117,JA!$CI:$CI,Toimenpiteet!$Y$1,JA!BY:BY,"OK",JA!CT:CT,$AF$4)</f>
        <v>0</v>
      </c>
      <c r="G117" s="429">
        <f>SUMIFS(JA!$Z:$Z,JA!$AX:$AX,Toimenpiteet!$Y$6,JA!$AT:$AT,Toimenpiteet!$X117,JA!$CI:$CI,Toimenpiteet!$Y$1,JA!BZ:BZ,"OK",JA!CT:CT,$AF$4)</f>
        <v>0</v>
      </c>
      <c r="H117" s="429">
        <f>SUMIFS(JA!$Z:$Z,JA!$AX:$AX,Toimenpiteet!$Y$6,JA!$AT:$AT,Toimenpiteet!$X117,JA!$CI:$CI,Toimenpiteet!$Y$1,JA!CA:CA,"OK",JA!CT:CT,$AF$4)</f>
        <v>0</v>
      </c>
      <c r="I117" s="429">
        <f>SUMIFS(JA!$Z:$Z,JA!$AX:$AX,Toimenpiteet!$Y$6,JA!$AT:$AT,Toimenpiteet!$X117,JA!$CI:$CI,Toimenpiteet!$Y$1,JA!CB:CB,"OK",JA!CT:CT,$AF$4)</f>
        <v>0</v>
      </c>
      <c r="J117" s="429">
        <f>SUMIFS(JA!$Z:$Z,JA!$AX:$AX,Toimenpiteet!$Y$6,JA!$AT:$AT,Toimenpiteet!$X117,JA!$CI:$CI,Toimenpiteet!$Y$1,JA!CC:CC,"OK",JA!CT:CT,$AF$4)</f>
        <v>0</v>
      </c>
      <c r="K117" s="429">
        <f>SUMIFS(JA!$Z:$Z,JA!$AX:$AX,Toimenpiteet!$Y$6,JA!$AT:$AT,Toimenpiteet!$X117,JA!$CI:$CI,Toimenpiteet!$Y$1,JA!CD:CD,"OK",JA!CT:CT,$AF$4)</f>
        <v>0</v>
      </c>
      <c r="L117" s="429">
        <f>SUMIFS(JA!$Z:$Z,JA!$AX:$AX,Toimenpiteet!$Y$6,JA!$AT:$AT,Toimenpiteet!$X117,JA!$CI:$CI,Toimenpiteet!$Y$1,JA!CE:CE,"OK",JA!CT:CT,$AF$4)</f>
        <v>0</v>
      </c>
      <c r="M117" s="429">
        <f>SUMIFS(JA!$Z:$Z,JA!$AX:$AX,Toimenpiteet!$Y$6,JA!$AT:$AT,Toimenpiteet!$X117,JA!$CI:$CI,Toimenpiteet!$Y$1,JA!CF:CF,"OK",JA!CT:CT,$AF$4)</f>
        <v>0</v>
      </c>
      <c r="N117" s="429">
        <f>SUMIFS(JA!$Z:$Z,JA!$AX:$AX,Toimenpiteet!$Y$6,JA!$AT:$AT,Toimenpiteet!$X117,JA!$CI:$CI,Toimenpiteet!$Y$1,JA!CG:CG,"OK",JA!CT:CT,$AF$4)</f>
        <v>0</v>
      </c>
      <c r="O117" s="429">
        <f t="shared" si="7"/>
        <v>0</v>
      </c>
      <c r="P117" s="548">
        <f t="shared" si="8"/>
        <v>0</v>
      </c>
      <c r="Q117" s="431">
        <f>IF($W$3="12",SUMIFS(JA!$Z:$Z,JA!$AX:$AX,Toimenpiteet!$Y$6,JA!$AE:$AE,"OK",JA!$AT:$AT,Toimenpiteet!$X117,JA!$CI:$CI,Toimenpiteet!$Y$1,JA!CT:CT,$AF$4),0)</f>
        <v>0</v>
      </c>
      <c r="X117" s="86" t="s">
        <v>416</v>
      </c>
    </row>
    <row r="118" spans="1:24" hidden="1" x14ac:dyDescent="0.25">
      <c r="A118" s="1044"/>
      <c r="B118" s="911" t="s">
        <v>420</v>
      </c>
      <c r="C118" s="429">
        <f>SUMIFS(JA!$Z:$Z,JA!$AX:$AX,Toimenpiteet!$Y$6,JA!$AT:$AT,Toimenpiteet!$X118,JA!$CI:$CI,Toimenpiteet!$Y$1,JA!BV:BV,"OK",JA!CT:CT,$AF$4)</f>
        <v>0</v>
      </c>
      <c r="D118" s="429">
        <f>SUMIFS(JA!$Z:$Z,JA!$AX:$AX,Toimenpiteet!$Y$6,JA!$AT:$AT,Toimenpiteet!$X118,JA!$CI:$CI,Toimenpiteet!$Y$1,JA!BW:BW,"OK",JA!CT:CT,$AF$4)</f>
        <v>0</v>
      </c>
      <c r="E118" s="429">
        <f>SUMIFS(JA!$Z:$Z,JA!$AX:$AX,Toimenpiteet!$Y$6,JA!$AT:$AT,Toimenpiteet!$X118,JA!$CI:$CI,Toimenpiteet!$Y$1,JA!BX:BX,"OK",JA!CT:CT,$AF$4)</f>
        <v>0</v>
      </c>
      <c r="F118" s="429">
        <f>SUMIFS(JA!$Z:$Z,JA!$AX:$AX,Toimenpiteet!$Y$6,JA!$AT:$AT,Toimenpiteet!$X118,JA!$CI:$CI,Toimenpiteet!$Y$1,JA!BY:BY,"OK",JA!CT:CT,$AF$4)</f>
        <v>0</v>
      </c>
      <c r="G118" s="429">
        <f>SUMIFS(JA!$Z:$Z,JA!$AX:$AX,Toimenpiteet!$Y$6,JA!$AT:$AT,Toimenpiteet!$X118,JA!$CI:$CI,Toimenpiteet!$Y$1,JA!BZ:BZ,"OK",JA!CT:CT,$AF$4)</f>
        <v>0</v>
      </c>
      <c r="H118" s="429">
        <f>SUMIFS(JA!$Z:$Z,JA!$AX:$AX,Toimenpiteet!$Y$6,JA!$AT:$AT,Toimenpiteet!$X118,JA!$CI:$CI,Toimenpiteet!$Y$1,JA!CA:CA,"OK",JA!CT:CT,$AF$4)</f>
        <v>0</v>
      </c>
      <c r="I118" s="429">
        <f>SUMIFS(JA!$Z:$Z,JA!$AX:$AX,Toimenpiteet!$Y$6,JA!$AT:$AT,Toimenpiteet!$X118,JA!$CI:$CI,Toimenpiteet!$Y$1,JA!CB:CB,"OK",JA!CT:CT,$AF$4)</f>
        <v>0</v>
      </c>
      <c r="J118" s="429">
        <f>SUMIFS(JA!$Z:$Z,JA!$AX:$AX,Toimenpiteet!$Y$6,JA!$AT:$AT,Toimenpiteet!$X118,JA!$CI:$CI,Toimenpiteet!$Y$1,JA!CC:CC,"OK",JA!CT:CT,$AF$4)</f>
        <v>0</v>
      </c>
      <c r="K118" s="429">
        <f>SUMIFS(JA!$Z:$Z,JA!$AX:$AX,Toimenpiteet!$Y$6,JA!$AT:$AT,Toimenpiteet!$X118,JA!$CI:$CI,Toimenpiteet!$Y$1,JA!CD:CD,"OK",JA!CT:CT,$AF$4)</f>
        <v>0</v>
      </c>
      <c r="L118" s="429">
        <f>SUMIFS(JA!$Z:$Z,JA!$AX:$AX,Toimenpiteet!$Y$6,JA!$AT:$AT,Toimenpiteet!$X118,JA!$CI:$CI,Toimenpiteet!$Y$1,JA!CE:CE,"OK",JA!CT:CT,$AF$4)</f>
        <v>0</v>
      </c>
      <c r="M118" s="429">
        <f>SUMIFS(JA!$Z:$Z,JA!$AX:$AX,Toimenpiteet!$Y$6,JA!$AT:$AT,Toimenpiteet!$X118,JA!$CI:$CI,Toimenpiteet!$Y$1,JA!CF:CF,"OK",JA!CT:CT,$AF$4)</f>
        <v>0</v>
      </c>
      <c r="N118" s="429">
        <f>SUMIFS(JA!$Z:$Z,JA!$AX:$AX,Toimenpiteet!$Y$6,JA!$AT:$AT,Toimenpiteet!$X118,JA!$CI:$CI,Toimenpiteet!$Y$1,JA!CG:CG,"OK",JA!CT:CT,$AF$4)</f>
        <v>0</v>
      </c>
      <c r="O118" s="429">
        <f t="shared" si="7"/>
        <v>0</v>
      </c>
      <c r="P118" s="548">
        <f t="shared" si="8"/>
        <v>0</v>
      </c>
      <c r="Q118" s="431">
        <f>IF($W$3="12",SUMIFS(JA!$Z:$Z,JA!$AX:$AX,Toimenpiteet!$Y$6,JA!$AE:$AE,"OK",JA!$AT:$AT,Toimenpiteet!$X118,JA!$CI:$CI,Toimenpiteet!$Y$1,JA!CT:CT,$AF$4),0)</f>
        <v>0</v>
      </c>
      <c r="X118" t="s">
        <v>421</v>
      </c>
    </row>
    <row r="119" spans="1:24" hidden="1" x14ac:dyDescent="0.25">
      <c r="A119" s="1044"/>
      <c r="B119" s="911" t="s">
        <v>426</v>
      </c>
      <c r="C119" s="429">
        <f>SUMIFS(JA!$Z:$Z,JA!$AX:$AX,Toimenpiteet!$Y$6,JA!$AT:$AT,Toimenpiteet!$X119,JA!$CI:$CI,Toimenpiteet!$Y$1,JA!BV:BV,"OK",JA!CT:CT,$AF$4)</f>
        <v>0</v>
      </c>
      <c r="D119" s="429">
        <f>SUMIFS(JA!$Z:$Z,JA!$AX:$AX,Toimenpiteet!$Y$6,JA!$AT:$AT,Toimenpiteet!$X119,JA!$CI:$CI,Toimenpiteet!$Y$1,JA!BW:BW,"OK",JA!CT:CT,$AF$4)</f>
        <v>0</v>
      </c>
      <c r="E119" s="429">
        <f>SUMIFS(JA!$Z:$Z,JA!$AX:$AX,Toimenpiteet!$Y$6,JA!$AT:$AT,Toimenpiteet!$X119,JA!$CI:$CI,Toimenpiteet!$Y$1,JA!BX:BX,"OK",JA!CT:CT,$AF$4)</f>
        <v>0</v>
      </c>
      <c r="F119" s="429">
        <f>SUMIFS(JA!$Z:$Z,JA!$AX:$AX,Toimenpiteet!$Y$6,JA!$AT:$AT,Toimenpiteet!$X119,JA!$CI:$CI,Toimenpiteet!$Y$1,JA!BY:BY,"OK",JA!CT:CT,$AF$4)</f>
        <v>0</v>
      </c>
      <c r="G119" s="429">
        <f>SUMIFS(JA!$Z:$Z,JA!$AX:$AX,Toimenpiteet!$Y$6,JA!$AT:$AT,Toimenpiteet!$X119,JA!$CI:$CI,Toimenpiteet!$Y$1,JA!BZ:BZ,"OK",JA!CT:CT,$AF$4)</f>
        <v>0</v>
      </c>
      <c r="H119" s="429">
        <f>SUMIFS(JA!$Z:$Z,JA!$AX:$AX,Toimenpiteet!$Y$6,JA!$AT:$AT,Toimenpiteet!$X119,JA!$CI:$CI,Toimenpiteet!$Y$1,JA!CA:CA,"OK",JA!CT:CT,$AF$4)</f>
        <v>0</v>
      </c>
      <c r="I119" s="429">
        <f>SUMIFS(JA!$Z:$Z,JA!$AX:$AX,Toimenpiteet!$Y$6,JA!$AT:$AT,Toimenpiteet!$X119,JA!$CI:$CI,Toimenpiteet!$Y$1,JA!CB:CB,"OK",JA!CT:CT,$AF$4)</f>
        <v>0</v>
      </c>
      <c r="J119" s="429">
        <f>SUMIFS(JA!$Z:$Z,JA!$AX:$AX,Toimenpiteet!$Y$6,JA!$AT:$AT,Toimenpiteet!$X119,JA!$CI:$CI,Toimenpiteet!$Y$1,JA!CC:CC,"OK",JA!CT:CT,$AF$4)</f>
        <v>0</v>
      </c>
      <c r="K119" s="429">
        <f>SUMIFS(JA!$Z:$Z,JA!$AX:$AX,Toimenpiteet!$Y$6,JA!$AT:$AT,Toimenpiteet!$X119,JA!$CI:$CI,Toimenpiteet!$Y$1,JA!CD:CD,"OK",JA!CT:CT,$AF$4)</f>
        <v>0</v>
      </c>
      <c r="L119" s="429">
        <f>SUMIFS(JA!$Z:$Z,JA!$AX:$AX,Toimenpiteet!$Y$6,JA!$AT:$AT,Toimenpiteet!$X119,JA!$CI:$CI,Toimenpiteet!$Y$1,JA!CE:CE,"OK",JA!CT:CT,$AF$4)</f>
        <v>0</v>
      </c>
      <c r="M119" s="429">
        <f>SUMIFS(JA!$Z:$Z,JA!$AX:$AX,Toimenpiteet!$Y$6,JA!$AT:$AT,Toimenpiteet!$X119,JA!$CI:$CI,Toimenpiteet!$Y$1,JA!CF:CF,"OK",JA!CT:CT,$AF$4)</f>
        <v>0</v>
      </c>
      <c r="N119" s="429">
        <f>SUMIFS(JA!$Z:$Z,JA!$AX:$AX,Toimenpiteet!$Y$6,JA!$AT:$AT,Toimenpiteet!$X119,JA!$CI:$CI,Toimenpiteet!$Y$1,JA!CG:CG,"OK",JA!CT:CT,$AF$4)</f>
        <v>0</v>
      </c>
      <c r="O119" s="429">
        <f t="shared" si="7"/>
        <v>0</v>
      </c>
      <c r="P119" s="548">
        <f t="shared" si="8"/>
        <v>0</v>
      </c>
      <c r="Q119" s="431">
        <f>IF($W$3="12",SUMIFS(JA!$Z:$Z,JA!$AX:$AX,Toimenpiteet!$Y$6,JA!$AE:$AE,"OK",JA!$AT:$AT,Toimenpiteet!$X119,JA!$CI:$CI,Toimenpiteet!$Y$1,JA!CT:CT,$AF$4),0)</f>
        <v>0</v>
      </c>
      <c r="X119" t="s">
        <v>427</v>
      </c>
    </row>
    <row r="120" spans="1:24" hidden="1" x14ac:dyDescent="0.25">
      <c r="A120" s="1045"/>
      <c r="B120" s="911" t="s">
        <v>428</v>
      </c>
      <c r="C120" s="429">
        <f>SUMIFS(JA!$Z:$Z,JA!$AX:$AX,Toimenpiteet!$Y$6,JA!$AT:$AT,Toimenpiteet!$X120,JA!$CI:$CI,Toimenpiteet!$Y$1,JA!BV:BV,"OK",JA!CT:CT,$AF$4)</f>
        <v>0</v>
      </c>
      <c r="D120" s="429">
        <f>SUMIFS(JA!$Z:$Z,JA!$AX:$AX,Toimenpiteet!$Y$6,JA!$AT:$AT,Toimenpiteet!$X120,JA!$CI:$CI,Toimenpiteet!$Y$1,JA!BW:BW,"OK",JA!CT:CT,$AF$4)</f>
        <v>0</v>
      </c>
      <c r="E120" s="429">
        <f>SUMIFS(JA!$Z:$Z,JA!$AX:$AX,Toimenpiteet!$Y$6,JA!$AT:$AT,Toimenpiteet!$X120,JA!$CI:$CI,Toimenpiteet!$Y$1,JA!BX:BX,"OK",JA!CT:CT,$AF$4)</f>
        <v>0</v>
      </c>
      <c r="F120" s="429">
        <f>SUMIFS(JA!$Z:$Z,JA!$AX:$AX,Toimenpiteet!$Y$6,JA!$AT:$AT,Toimenpiteet!$X120,JA!$CI:$CI,Toimenpiteet!$Y$1,JA!BY:BY,"OK",JA!CT:CT,$AF$4)</f>
        <v>0</v>
      </c>
      <c r="G120" s="429">
        <f>SUMIFS(JA!$Z:$Z,JA!$AX:$AX,Toimenpiteet!$Y$6,JA!$AT:$AT,Toimenpiteet!$X120,JA!$CI:$CI,Toimenpiteet!$Y$1,JA!BZ:BZ,"OK",JA!CT:CT,$AF$4)</f>
        <v>0</v>
      </c>
      <c r="H120" s="429">
        <f>SUMIFS(JA!$Z:$Z,JA!$AX:$AX,Toimenpiteet!$Y$6,JA!$AT:$AT,Toimenpiteet!$X120,JA!$CI:$CI,Toimenpiteet!$Y$1,JA!CA:CA,"OK",JA!CT:CT,$AF$4)</f>
        <v>0</v>
      </c>
      <c r="I120" s="429">
        <f>SUMIFS(JA!$Z:$Z,JA!$AX:$AX,Toimenpiteet!$Y$6,JA!$AT:$AT,Toimenpiteet!$X120,JA!$CI:$CI,Toimenpiteet!$Y$1,JA!CB:CB,"OK",JA!CT:CT,$AF$4)</f>
        <v>0</v>
      </c>
      <c r="J120" s="429">
        <f>SUMIFS(JA!$Z:$Z,JA!$AX:$AX,Toimenpiteet!$Y$6,JA!$AT:$AT,Toimenpiteet!$X120,JA!$CI:$CI,Toimenpiteet!$Y$1,JA!CC:CC,"OK",JA!CT:CT,$AF$4)</f>
        <v>0</v>
      </c>
      <c r="K120" s="429">
        <f>SUMIFS(JA!$Z:$Z,JA!$AX:$AX,Toimenpiteet!$Y$6,JA!$AT:$AT,Toimenpiteet!$X120,JA!$CI:$CI,Toimenpiteet!$Y$1,JA!CD:CD,"OK",JA!CT:CT,$AF$4)</f>
        <v>0</v>
      </c>
      <c r="L120" s="429">
        <f>SUMIFS(JA!$Z:$Z,JA!$AX:$AX,Toimenpiteet!$Y$6,JA!$AT:$AT,Toimenpiteet!$X120,JA!$CI:$CI,Toimenpiteet!$Y$1,JA!CE:CE,"OK",JA!CT:CT,$AF$4)</f>
        <v>0</v>
      </c>
      <c r="M120" s="429">
        <f>SUMIFS(JA!$Z:$Z,JA!$AX:$AX,Toimenpiteet!$Y$6,JA!$AT:$AT,Toimenpiteet!$X120,JA!$CI:$CI,Toimenpiteet!$Y$1,JA!CF:CF,"OK",JA!CT:CT,$AF$4)</f>
        <v>0</v>
      </c>
      <c r="N120" s="429">
        <f>SUMIFS(JA!$Z:$Z,JA!$AX:$AX,Toimenpiteet!$Y$6,JA!$AT:$AT,Toimenpiteet!$X120,JA!$CI:$CI,Toimenpiteet!$Y$1,JA!CG:CG,"OK",JA!CT:CT,$AF$4)</f>
        <v>0</v>
      </c>
      <c r="O120" s="429">
        <f t="shared" si="7"/>
        <v>0</v>
      </c>
      <c r="P120" s="548">
        <f t="shared" si="8"/>
        <v>0</v>
      </c>
      <c r="Q120" s="431">
        <f>IF($W$3="12",SUMIFS(JA!$Z:$Z,JA!$AX:$AX,Toimenpiteet!$Y$6,JA!$AE:$AE,"OK",JA!$AT:$AT,Toimenpiteet!$X120,JA!$CI:$CI,Toimenpiteet!$Y$1,JA!CT:CT,$AF$4),0)</f>
        <v>0</v>
      </c>
      <c r="R120" s="78"/>
      <c r="X120" t="s">
        <v>429</v>
      </c>
    </row>
    <row r="121" spans="1:24" ht="15" hidden="1" customHeight="1" x14ac:dyDescent="0.25">
      <c r="A121" s="1043" t="s">
        <v>433</v>
      </c>
      <c r="B121" s="583" t="s">
        <v>434</v>
      </c>
      <c r="C121" s="429">
        <f>SUMIFS(JA!$Z:$Z,JA!$AX:$AX,Toimenpiteet!$Y$6,JA!$AT:$AT,Toimenpiteet!$X121,JA!$CI:$CI,Toimenpiteet!$Y$1,JA!BV:BV,"OK",JA!CT:CT,$AF$4)</f>
        <v>0</v>
      </c>
      <c r="D121" s="429">
        <f>SUMIFS(JA!$Z:$Z,JA!$AX:$AX,Toimenpiteet!$Y$6,JA!$AT:$AT,Toimenpiteet!$X121,JA!$CI:$CI,Toimenpiteet!$Y$1,JA!BW:BW,"OK",JA!CT:CT,$AF$4)</f>
        <v>0</v>
      </c>
      <c r="E121" s="429">
        <f>SUMIFS(JA!$Z:$Z,JA!$AX:$AX,Toimenpiteet!$Y$6,JA!$AT:$AT,Toimenpiteet!$X121,JA!$CI:$CI,Toimenpiteet!$Y$1,JA!BX:BX,"OK",JA!CT:CT,$AF$4)</f>
        <v>0</v>
      </c>
      <c r="F121" s="429">
        <f>SUMIFS(JA!$Z:$Z,JA!$AX:$AX,Toimenpiteet!$Y$6,JA!$AT:$AT,Toimenpiteet!$X121,JA!$CI:$CI,Toimenpiteet!$Y$1,JA!BY:BY,"OK",JA!CT:CT,$AF$4)</f>
        <v>0</v>
      </c>
      <c r="G121" s="429">
        <f>SUMIFS(JA!$Z:$Z,JA!$AX:$AX,Toimenpiteet!$Y$6,JA!$AT:$AT,Toimenpiteet!$X121,JA!$CI:$CI,Toimenpiteet!$Y$1,JA!BZ:BZ,"OK",JA!CT:CT,$AF$4)</f>
        <v>0</v>
      </c>
      <c r="H121" s="429">
        <f>SUMIFS(JA!$Z:$Z,JA!$AX:$AX,Toimenpiteet!$Y$6,JA!$AT:$AT,Toimenpiteet!$X121,JA!$CI:$CI,Toimenpiteet!$Y$1,JA!CA:CA,"OK",JA!CT:CT,$AF$4)</f>
        <v>0</v>
      </c>
      <c r="I121" s="429">
        <f>SUMIFS(JA!$Z:$Z,JA!$AX:$AX,Toimenpiteet!$Y$6,JA!$AT:$AT,Toimenpiteet!$X121,JA!$CI:$CI,Toimenpiteet!$Y$1,JA!CB:CB,"OK",JA!CT:CT,$AF$4)</f>
        <v>0</v>
      </c>
      <c r="J121" s="429">
        <f>SUMIFS(JA!$Z:$Z,JA!$AX:$AX,Toimenpiteet!$Y$6,JA!$AT:$AT,Toimenpiteet!$X121,JA!$CI:$CI,Toimenpiteet!$Y$1,JA!CC:CC,"OK",JA!CT:CT,$AF$4)</f>
        <v>0</v>
      </c>
      <c r="K121" s="429">
        <f>SUMIFS(JA!$Z:$Z,JA!$AX:$AX,Toimenpiteet!$Y$6,JA!$AT:$AT,Toimenpiteet!$X121,JA!$CI:$CI,Toimenpiteet!$Y$1,JA!CD:CD,"OK",JA!CT:CT,$AF$4)</f>
        <v>0</v>
      </c>
      <c r="L121" s="429">
        <f>SUMIFS(JA!$Z:$Z,JA!$AX:$AX,Toimenpiteet!$Y$6,JA!$AT:$AT,Toimenpiteet!$X121,JA!$CI:$CI,Toimenpiteet!$Y$1,JA!CE:CE,"OK",JA!CT:CT,$AF$4)</f>
        <v>0</v>
      </c>
      <c r="M121" s="429">
        <f>SUMIFS(JA!$Z:$Z,JA!$AX:$AX,Toimenpiteet!$Y$6,JA!$AT:$AT,Toimenpiteet!$X121,JA!$CI:$CI,Toimenpiteet!$Y$1,JA!CF:CF,"OK",JA!CT:CT,$AF$4)</f>
        <v>0</v>
      </c>
      <c r="N121" s="429">
        <f>SUMIFS(JA!$Z:$Z,JA!$AX:$AX,Toimenpiteet!$Y$6,JA!$AT:$AT,Toimenpiteet!$X121,JA!$CI:$CI,Toimenpiteet!$Y$1,JA!CG:CG,"OK",JA!CT:CT,$AF$4)</f>
        <v>0</v>
      </c>
      <c r="O121" s="429">
        <f t="shared" si="7"/>
        <v>0</v>
      </c>
      <c r="P121" s="548">
        <f t="shared" si="8"/>
        <v>0</v>
      </c>
      <c r="Q121" s="431">
        <f>IF($W$3="12",SUMIFS(JA!$Z:$Z,JA!$AX:$AX,Toimenpiteet!$Y$6,JA!$AE:$AE,"OK",JA!$AT:$AT,Toimenpiteet!$X121,JA!$CI:$CI,Toimenpiteet!$Y$1,JA!CT:CT,$AF$4),0)</f>
        <v>0</v>
      </c>
      <c r="X121" s="86" t="s">
        <v>435</v>
      </c>
    </row>
    <row r="122" spans="1:24" hidden="1" x14ac:dyDescent="0.25">
      <c r="A122" s="1044"/>
      <c r="B122" s="583" t="s">
        <v>437</v>
      </c>
      <c r="C122" s="429">
        <f>SUMIFS(JA!$Z:$Z,JA!$AX:$AX,Toimenpiteet!$Y$6,JA!$AT:$AT,Toimenpiteet!$X122,JA!$CI:$CI,Toimenpiteet!$Y$1,JA!BV:BV,"OK",JA!CT:CT,$AF$4)</f>
        <v>0</v>
      </c>
      <c r="D122" s="429">
        <f>SUMIFS(JA!$Z:$Z,JA!$AX:$AX,Toimenpiteet!$Y$6,JA!$AT:$AT,Toimenpiteet!$X122,JA!$CI:$CI,Toimenpiteet!$Y$1,JA!BW:BW,"OK",JA!CT:CT,$AF$4)</f>
        <v>0</v>
      </c>
      <c r="E122" s="429">
        <f>SUMIFS(JA!$Z:$Z,JA!$AX:$AX,Toimenpiteet!$Y$6,JA!$AT:$AT,Toimenpiteet!$X122,JA!$CI:$CI,Toimenpiteet!$Y$1,JA!BX:BX,"OK",JA!CT:CT,$AF$4)</f>
        <v>0</v>
      </c>
      <c r="F122" s="429">
        <f>SUMIFS(JA!$Z:$Z,JA!$AX:$AX,Toimenpiteet!$Y$6,JA!$AT:$AT,Toimenpiteet!$X122,JA!$CI:$CI,Toimenpiteet!$Y$1,JA!BY:BY,"OK",JA!CT:CT,$AF$4)</f>
        <v>0</v>
      </c>
      <c r="G122" s="429">
        <f>SUMIFS(JA!$Z:$Z,JA!$AX:$AX,Toimenpiteet!$Y$6,JA!$AT:$AT,Toimenpiteet!$X122,JA!$CI:$CI,Toimenpiteet!$Y$1,JA!BZ:BZ,"OK",JA!CT:CT,$AF$4)</f>
        <v>0</v>
      </c>
      <c r="H122" s="429">
        <f>SUMIFS(JA!$Z:$Z,JA!$AX:$AX,Toimenpiteet!$Y$6,JA!$AT:$AT,Toimenpiteet!$X122,JA!$CI:$CI,Toimenpiteet!$Y$1,JA!CA:CA,"OK",JA!CT:CT,$AF$4)</f>
        <v>0</v>
      </c>
      <c r="I122" s="429">
        <f>SUMIFS(JA!$Z:$Z,JA!$AX:$AX,Toimenpiteet!$Y$6,JA!$AT:$AT,Toimenpiteet!$X122,JA!$CI:$CI,Toimenpiteet!$Y$1,JA!CB:CB,"OK",JA!CT:CT,$AF$4)</f>
        <v>0</v>
      </c>
      <c r="J122" s="429">
        <f>SUMIFS(JA!$Z:$Z,JA!$AX:$AX,Toimenpiteet!$Y$6,JA!$AT:$AT,Toimenpiteet!$X122,JA!$CI:$CI,Toimenpiteet!$Y$1,JA!CC:CC,"OK",JA!CT:CT,$AF$4)</f>
        <v>0</v>
      </c>
      <c r="K122" s="429">
        <f>SUMIFS(JA!$Z:$Z,JA!$AX:$AX,Toimenpiteet!$Y$6,JA!$AT:$AT,Toimenpiteet!$X122,JA!$CI:$CI,Toimenpiteet!$Y$1,JA!CD:CD,"OK",JA!CT:CT,$AF$4)</f>
        <v>0</v>
      </c>
      <c r="L122" s="429">
        <f>SUMIFS(JA!$Z:$Z,JA!$AX:$AX,Toimenpiteet!$Y$6,JA!$AT:$AT,Toimenpiteet!$X122,JA!$CI:$CI,Toimenpiteet!$Y$1,JA!CE:CE,"OK",JA!CT:CT,$AF$4)</f>
        <v>0</v>
      </c>
      <c r="M122" s="429">
        <f>SUMIFS(JA!$Z:$Z,JA!$AX:$AX,Toimenpiteet!$Y$6,JA!$AT:$AT,Toimenpiteet!$X122,JA!$CI:$CI,Toimenpiteet!$Y$1,JA!CF:CF,"OK",JA!CT:CT,$AF$4)</f>
        <v>0</v>
      </c>
      <c r="N122" s="429">
        <f>SUMIFS(JA!$Z:$Z,JA!$AX:$AX,Toimenpiteet!$Y$6,JA!$AT:$AT,Toimenpiteet!$X122,JA!$CI:$CI,Toimenpiteet!$Y$1,JA!CG:CG,"OK",JA!CT:CT,$AF$4)</f>
        <v>0</v>
      </c>
      <c r="O122" s="429">
        <f t="shared" si="7"/>
        <v>0</v>
      </c>
      <c r="P122" s="548">
        <f t="shared" si="8"/>
        <v>0</v>
      </c>
      <c r="Q122" s="431">
        <f>IF($W$3="12",SUMIFS(JA!$Z:$Z,JA!$AX:$AX,Toimenpiteet!$Y$6,JA!$AE:$AE,"OK",JA!$AT:$AT,Toimenpiteet!$X122,JA!$CI:$CI,Toimenpiteet!$Y$1,JA!CT:CT,$AF$4),0)</f>
        <v>0</v>
      </c>
      <c r="X122" s="86" t="s">
        <v>438</v>
      </c>
    </row>
    <row r="123" spans="1:24" hidden="1" x14ac:dyDescent="0.25">
      <c r="A123" s="1044"/>
      <c r="B123" s="583" t="s">
        <v>439</v>
      </c>
      <c r="C123" s="429">
        <f>SUMIFS(JA!$Z:$Z,JA!$AX:$AX,Toimenpiteet!$Y$6,JA!$AT:$AT,Toimenpiteet!$X123,JA!$CI:$CI,Toimenpiteet!$Y$1,JA!BV:BV,"OK",JA!CT:CT,$AF$4)</f>
        <v>0</v>
      </c>
      <c r="D123" s="429">
        <f>SUMIFS(JA!$Z:$Z,JA!$AX:$AX,Toimenpiteet!$Y$6,JA!$AT:$AT,Toimenpiteet!$X123,JA!$CI:$CI,Toimenpiteet!$Y$1,JA!BW:BW,"OK",JA!CT:CT,$AF$4)</f>
        <v>0</v>
      </c>
      <c r="E123" s="429">
        <f>SUMIFS(JA!$Z:$Z,JA!$AX:$AX,Toimenpiteet!$Y$6,JA!$AT:$AT,Toimenpiteet!$X123,JA!$CI:$CI,Toimenpiteet!$Y$1,JA!BX:BX,"OK",JA!CT:CT,$AF$4)</f>
        <v>0</v>
      </c>
      <c r="F123" s="429">
        <f>SUMIFS(JA!$Z:$Z,JA!$AX:$AX,Toimenpiteet!$Y$6,JA!$AT:$AT,Toimenpiteet!$X123,JA!$CI:$CI,Toimenpiteet!$Y$1,JA!BY:BY,"OK",JA!CT:CT,$AF$4)</f>
        <v>0</v>
      </c>
      <c r="G123" s="429">
        <f>SUMIFS(JA!$Z:$Z,JA!$AX:$AX,Toimenpiteet!$Y$6,JA!$AT:$AT,Toimenpiteet!$X123,JA!$CI:$CI,Toimenpiteet!$Y$1,JA!BZ:BZ,"OK",JA!CT:CT,$AF$4)</f>
        <v>0</v>
      </c>
      <c r="H123" s="429">
        <f>SUMIFS(JA!$Z:$Z,JA!$AX:$AX,Toimenpiteet!$Y$6,JA!$AT:$AT,Toimenpiteet!$X123,JA!$CI:$CI,Toimenpiteet!$Y$1,JA!CA:CA,"OK",JA!CT:CT,$AF$4)</f>
        <v>0</v>
      </c>
      <c r="I123" s="429">
        <f>SUMIFS(JA!$Z:$Z,JA!$AX:$AX,Toimenpiteet!$Y$6,JA!$AT:$AT,Toimenpiteet!$X123,JA!$CI:$CI,Toimenpiteet!$Y$1,JA!CB:CB,"OK",JA!CT:CT,$AF$4)</f>
        <v>0</v>
      </c>
      <c r="J123" s="429">
        <f>SUMIFS(JA!$Z:$Z,JA!$AX:$AX,Toimenpiteet!$Y$6,JA!$AT:$AT,Toimenpiteet!$X123,JA!$CI:$CI,Toimenpiteet!$Y$1,JA!CC:CC,"OK",JA!CT:CT,$AF$4)</f>
        <v>0</v>
      </c>
      <c r="K123" s="429">
        <f>SUMIFS(JA!$Z:$Z,JA!$AX:$AX,Toimenpiteet!$Y$6,JA!$AT:$AT,Toimenpiteet!$X123,JA!$CI:$CI,Toimenpiteet!$Y$1,JA!CD:CD,"OK",JA!CT:CT,$AF$4)</f>
        <v>0</v>
      </c>
      <c r="L123" s="429">
        <f>SUMIFS(JA!$Z:$Z,JA!$AX:$AX,Toimenpiteet!$Y$6,JA!$AT:$AT,Toimenpiteet!$X123,JA!$CI:$CI,Toimenpiteet!$Y$1,JA!CE:CE,"OK",JA!CT:CT,$AF$4)</f>
        <v>0</v>
      </c>
      <c r="M123" s="429">
        <f>SUMIFS(JA!$Z:$Z,JA!$AX:$AX,Toimenpiteet!$Y$6,JA!$AT:$AT,Toimenpiteet!$X123,JA!$CI:$CI,Toimenpiteet!$Y$1,JA!CF:CF,"OK",JA!CT:CT,$AF$4)</f>
        <v>0</v>
      </c>
      <c r="N123" s="429">
        <f>SUMIFS(JA!$Z:$Z,JA!$AX:$AX,Toimenpiteet!$Y$6,JA!$AT:$AT,Toimenpiteet!$X123,JA!$CI:$CI,Toimenpiteet!$Y$1,JA!CG:CG,"OK",JA!CT:CT,$AF$4)</f>
        <v>0</v>
      </c>
      <c r="O123" s="429">
        <f t="shared" si="7"/>
        <v>0</v>
      </c>
      <c r="P123" s="548">
        <f t="shared" si="8"/>
        <v>0</v>
      </c>
      <c r="Q123" s="431">
        <f>IF($W$3="12",SUMIFS(JA!$Z:$Z,JA!$AX:$AX,Toimenpiteet!$Y$6,JA!$AE:$AE,"OK",JA!$AT:$AT,Toimenpiteet!$X123,JA!$CI:$CI,Toimenpiteet!$Y$1,JA!CT:CT,$AF$4),0)</f>
        <v>0</v>
      </c>
      <c r="X123" t="s">
        <v>440</v>
      </c>
    </row>
    <row r="124" spans="1:24" hidden="1" x14ac:dyDescent="0.25">
      <c r="A124" s="1044"/>
      <c r="B124" s="583" t="s">
        <v>441</v>
      </c>
      <c r="C124" s="429">
        <f>SUMIFS(JA!$Z:$Z,JA!$AX:$AX,Toimenpiteet!$Y$6,JA!$AT:$AT,Toimenpiteet!$X124,JA!$CI:$CI,Toimenpiteet!$Y$1,JA!BV:BV,"OK",JA!CT:CT,$AF$4)</f>
        <v>0</v>
      </c>
      <c r="D124" s="429">
        <f>SUMIFS(JA!$Z:$Z,JA!$AX:$AX,Toimenpiteet!$Y$6,JA!$AT:$AT,Toimenpiteet!$X124,JA!$CI:$CI,Toimenpiteet!$Y$1,JA!BW:BW,"OK",JA!CT:CT,$AF$4)</f>
        <v>0</v>
      </c>
      <c r="E124" s="429">
        <f>SUMIFS(JA!$Z:$Z,JA!$AX:$AX,Toimenpiteet!$Y$6,JA!$AT:$AT,Toimenpiteet!$X124,JA!$CI:$CI,Toimenpiteet!$Y$1,JA!BX:BX,"OK",JA!CT:CT,$AF$4)</f>
        <v>0</v>
      </c>
      <c r="F124" s="429">
        <f>SUMIFS(JA!$Z:$Z,JA!$AX:$AX,Toimenpiteet!$Y$6,JA!$AT:$AT,Toimenpiteet!$X124,JA!$CI:$CI,Toimenpiteet!$Y$1,JA!BY:BY,"OK",JA!CT:CT,$AF$4)</f>
        <v>0</v>
      </c>
      <c r="G124" s="429">
        <f>SUMIFS(JA!$Z:$Z,JA!$AX:$AX,Toimenpiteet!$Y$6,JA!$AT:$AT,Toimenpiteet!$X124,JA!$CI:$CI,Toimenpiteet!$Y$1,JA!BZ:BZ,"OK",JA!CT:CT,$AF$4)</f>
        <v>0</v>
      </c>
      <c r="H124" s="429">
        <f>SUMIFS(JA!$Z:$Z,JA!$AX:$AX,Toimenpiteet!$Y$6,JA!$AT:$AT,Toimenpiteet!$X124,JA!$CI:$CI,Toimenpiteet!$Y$1,JA!CA:CA,"OK",JA!CT:CT,$AF$4)</f>
        <v>0</v>
      </c>
      <c r="I124" s="429">
        <f>SUMIFS(JA!$Z:$Z,JA!$AX:$AX,Toimenpiteet!$Y$6,JA!$AT:$AT,Toimenpiteet!$X124,JA!$CI:$CI,Toimenpiteet!$Y$1,JA!CB:CB,"OK",JA!CT:CT,$AF$4)</f>
        <v>0</v>
      </c>
      <c r="J124" s="429">
        <f>SUMIFS(JA!$Z:$Z,JA!$AX:$AX,Toimenpiteet!$Y$6,JA!$AT:$AT,Toimenpiteet!$X124,JA!$CI:$CI,Toimenpiteet!$Y$1,JA!CC:CC,"OK",JA!CT:CT,$AF$4)</f>
        <v>0</v>
      </c>
      <c r="K124" s="429">
        <f>SUMIFS(JA!$Z:$Z,JA!$AX:$AX,Toimenpiteet!$Y$6,JA!$AT:$AT,Toimenpiteet!$X124,JA!$CI:$CI,Toimenpiteet!$Y$1,JA!CD:CD,"OK",JA!CT:CT,$AF$4)</f>
        <v>0</v>
      </c>
      <c r="L124" s="429">
        <f>SUMIFS(JA!$Z:$Z,JA!$AX:$AX,Toimenpiteet!$Y$6,JA!$AT:$AT,Toimenpiteet!$X124,JA!$CI:$CI,Toimenpiteet!$Y$1,JA!CE:CE,"OK",JA!CT:CT,$AF$4)</f>
        <v>0</v>
      </c>
      <c r="M124" s="429">
        <f>SUMIFS(JA!$Z:$Z,JA!$AX:$AX,Toimenpiteet!$Y$6,JA!$AT:$AT,Toimenpiteet!$X124,JA!$CI:$CI,Toimenpiteet!$Y$1,JA!CF:CF,"OK",JA!CT:CT,$AF$4)</f>
        <v>0</v>
      </c>
      <c r="N124" s="429">
        <f>SUMIFS(JA!$Z:$Z,JA!$AX:$AX,Toimenpiteet!$Y$6,JA!$AT:$AT,Toimenpiteet!$X124,JA!$CI:$CI,Toimenpiteet!$Y$1,JA!CG:CG,"OK",JA!CT:CT,$AF$4)</f>
        <v>0</v>
      </c>
      <c r="O124" s="429">
        <f t="shared" si="7"/>
        <v>0</v>
      </c>
      <c r="P124" s="548">
        <f t="shared" si="8"/>
        <v>0</v>
      </c>
      <c r="Q124" s="431">
        <f>IF($W$3="12",SUMIFS(JA!$Z:$Z,JA!$AX:$AX,Toimenpiteet!$Y$6,JA!$AE:$AE,"OK",JA!$AT:$AT,Toimenpiteet!$X124,JA!$CI:$CI,Toimenpiteet!$Y$1,JA!CT:CT,$AF$4),0)</f>
        <v>0</v>
      </c>
      <c r="X124" s="86" t="s">
        <v>442</v>
      </c>
    </row>
    <row r="125" spans="1:24" hidden="1" x14ac:dyDescent="0.25">
      <c r="A125" s="1044"/>
      <c r="B125" s="583" t="s">
        <v>445</v>
      </c>
      <c r="C125" s="429">
        <f>SUMIFS(JA!$Z:$Z,JA!$AX:$AX,Toimenpiteet!$Y$6,JA!$AT:$AT,Toimenpiteet!$X125,JA!$CI:$CI,Toimenpiteet!$Y$1,JA!BV:BV,"OK",JA!CT:CT,$AF$4)</f>
        <v>0</v>
      </c>
      <c r="D125" s="429">
        <f>SUMIFS(JA!$Z:$Z,JA!$AX:$AX,Toimenpiteet!$Y$6,JA!$AT:$AT,Toimenpiteet!$X125,JA!$CI:$CI,Toimenpiteet!$Y$1,JA!BW:BW,"OK",JA!CT:CT,$AF$4)</f>
        <v>0</v>
      </c>
      <c r="E125" s="429">
        <f>SUMIFS(JA!$Z:$Z,JA!$AX:$AX,Toimenpiteet!$Y$6,JA!$AT:$AT,Toimenpiteet!$X125,JA!$CI:$CI,Toimenpiteet!$Y$1,JA!BX:BX,"OK",JA!CT:CT,$AF$4)</f>
        <v>0</v>
      </c>
      <c r="F125" s="429">
        <f>SUMIFS(JA!$Z:$Z,JA!$AX:$AX,Toimenpiteet!$Y$6,JA!$AT:$AT,Toimenpiteet!$X125,JA!$CI:$CI,Toimenpiteet!$Y$1,JA!BY:BY,"OK",JA!CT:CT,$AF$4)</f>
        <v>0</v>
      </c>
      <c r="G125" s="429">
        <f>SUMIFS(JA!$Z:$Z,JA!$AX:$AX,Toimenpiteet!$Y$6,JA!$AT:$AT,Toimenpiteet!$X125,JA!$CI:$CI,Toimenpiteet!$Y$1,JA!BZ:BZ,"OK",JA!CT:CT,$AF$4)</f>
        <v>0</v>
      </c>
      <c r="H125" s="429">
        <f>SUMIFS(JA!$Z:$Z,JA!$AX:$AX,Toimenpiteet!$Y$6,JA!$AT:$AT,Toimenpiteet!$X125,JA!$CI:$CI,Toimenpiteet!$Y$1,JA!CA:CA,"OK",JA!CT:CT,$AF$4)</f>
        <v>0</v>
      </c>
      <c r="I125" s="429">
        <f>SUMIFS(JA!$Z:$Z,JA!$AX:$AX,Toimenpiteet!$Y$6,JA!$AT:$AT,Toimenpiteet!$X125,JA!$CI:$CI,Toimenpiteet!$Y$1,JA!CB:CB,"OK",JA!CT:CT,$AF$4)</f>
        <v>0</v>
      </c>
      <c r="J125" s="429">
        <f>SUMIFS(JA!$Z:$Z,JA!$AX:$AX,Toimenpiteet!$Y$6,JA!$AT:$AT,Toimenpiteet!$X125,JA!$CI:$CI,Toimenpiteet!$Y$1,JA!CC:CC,"OK",JA!CT:CT,$AF$4)</f>
        <v>0</v>
      </c>
      <c r="K125" s="429">
        <f>SUMIFS(JA!$Z:$Z,JA!$AX:$AX,Toimenpiteet!$Y$6,JA!$AT:$AT,Toimenpiteet!$X125,JA!$CI:$CI,Toimenpiteet!$Y$1,JA!CD:CD,"OK",JA!CT:CT,$AF$4)</f>
        <v>0</v>
      </c>
      <c r="L125" s="429">
        <f>SUMIFS(JA!$Z:$Z,JA!$AX:$AX,Toimenpiteet!$Y$6,JA!$AT:$AT,Toimenpiteet!$X125,JA!$CI:$CI,Toimenpiteet!$Y$1,JA!CE:CE,"OK",JA!CT:CT,$AF$4)</f>
        <v>0</v>
      </c>
      <c r="M125" s="429">
        <f>SUMIFS(JA!$Z:$Z,JA!$AX:$AX,Toimenpiteet!$Y$6,JA!$AT:$AT,Toimenpiteet!$X125,JA!$CI:$CI,Toimenpiteet!$Y$1,JA!CF:CF,"OK",JA!CT:CT,$AF$4)</f>
        <v>0</v>
      </c>
      <c r="N125" s="429">
        <f>SUMIFS(JA!$Z:$Z,JA!$AX:$AX,Toimenpiteet!$Y$6,JA!$AT:$AT,Toimenpiteet!$X125,JA!$CI:$CI,Toimenpiteet!$Y$1,JA!CG:CG,"OK",JA!CT:CT,$AF$4)</f>
        <v>0</v>
      </c>
      <c r="O125" s="429">
        <f t="shared" si="7"/>
        <v>0</v>
      </c>
      <c r="P125" s="548">
        <f t="shared" si="8"/>
        <v>0</v>
      </c>
      <c r="Q125" s="431">
        <f>IF($W$3="12",SUMIFS(JA!$Z:$Z,JA!$AX:$AX,Toimenpiteet!$Y$6,JA!$AE:$AE,"OK",JA!$AT:$AT,Toimenpiteet!$X125,JA!$CI:$CI,Toimenpiteet!$Y$1,JA!CT:CT,$AF$4),0)</f>
        <v>0</v>
      </c>
      <c r="X125" s="86" t="s">
        <v>446</v>
      </c>
    </row>
    <row r="126" spans="1:24" hidden="1" x14ac:dyDescent="0.25">
      <c r="A126" s="1044"/>
      <c r="B126" s="583" t="s">
        <v>448</v>
      </c>
      <c r="C126" s="429">
        <f>SUMIFS(JA!$Z:$Z,JA!$AX:$AX,Toimenpiteet!$Y$6,JA!$AT:$AT,Toimenpiteet!$X126,JA!$CI:$CI,Toimenpiteet!$Y$1,JA!BV:BV,"OK",JA!CT:CT,$AF$4)</f>
        <v>0</v>
      </c>
      <c r="D126" s="429">
        <f>SUMIFS(JA!$Z:$Z,JA!$AX:$AX,Toimenpiteet!$Y$6,JA!$AT:$AT,Toimenpiteet!$X126,JA!$CI:$CI,Toimenpiteet!$Y$1,JA!BW:BW,"OK",JA!CT:CT,$AF$4)</f>
        <v>0</v>
      </c>
      <c r="E126" s="429">
        <f>SUMIFS(JA!$Z:$Z,JA!$AX:$AX,Toimenpiteet!$Y$6,JA!$AT:$AT,Toimenpiteet!$X126,JA!$CI:$CI,Toimenpiteet!$Y$1,JA!BX:BX,"OK",JA!CT:CT,$AF$4)</f>
        <v>0</v>
      </c>
      <c r="F126" s="429">
        <f>SUMIFS(JA!$Z:$Z,JA!$AX:$AX,Toimenpiteet!$Y$6,JA!$AT:$AT,Toimenpiteet!$X126,JA!$CI:$CI,Toimenpiteet!$Y$1,JA!BY:BY,"OK",JA!CT:CT,$AF$4)</f>
        <v>0</v>
      </c>
      <c r="G126" s="429">
        <f>SUMIFS(JA!$Z:$Z,JA!$AX:$AX,Toimenpiteet!$Y$6,JA!$AT:$AT,Toimenpiteet!$X126,JA!$CI:$CI,Toimenpiteet!$Y$1,JA!BZ:BZ,"OK",JA!CT:CT,$AF$4)</f>
        <v>0</v>
      </c>
      <c r="H126" s="429">
        <f>SUMIFS(JA!$Z:$Z,JA!$AX:$AX,Toimenpiteet!$Y$6,JA!$AT:$AT,Toimenpiteet!$X126,JA!$CI:$CI,Toimenpiteet!$Y$1,JA!CA:CA,"OK",JA!CT:CT,$AF$4)</f>
        <v>0</v>
      </c>
      <c r="I126" s="429">
        <f>SUMIFS(JA!$Z:$Z,JA!$AX:$AX,Toimenpiteet!$Y$6,JA!$AT:$AT,Toimenpiteet!$X126,JA!$CI:$CI,Toimenpiteet!$Y$1,JA!CB:CB,"OK",JA!CT:CT,$AF$4)</f>
        <v>0</v>
      </c>
      <c r="J126" s="429">
        <f>SUMIFS(JA!$Z:$Z,JA!$AX:$AX,Toimenpiteet!$Y$6,JA!$AT:$AT,Toimenpiteet!$X126,JA!$CI:$CI,Toimenpiteet!$Y$1,JA!CC:CC,"OK",JA!CT:CT,$AF$4)</f>
        <v>0</v>
      </c>
      <c r="K126" s="429">
        <f>SUMIFS(JA!$Z:$Z,JA!$AX:$AX,Toimenpiteet!$Y$6,JA!$AT:$AT,Toimenpiteet!$X126,JA!$CI:$CI,Toimenpiteet!$Y$1,JA!CD:CD,"OK",JA!CT:CT,$AF$4)</f>
        <v>0</v>
      </c>
      <c r="L126" s="429">
        <f>SUMIFS(JA!$Z:$Z,JA!$AX:$AX,Toimenpiteet!$Y$6,JA!$AT:$AT,Toimenpiteet!$X126,JA!$CI:$CI,Toimenpiteet!$Y$1,JA!CE:CE,"OK",JA!CT:CT,$AF$4)</f>
        <v>0</v>
      </c>
      <c r="M126" s="429">
        <f>SUMIFS(JA!$Z:$Z,JA!$AX:$AX,Toimenpiteet!$Y$6,JA!$AT:$AT,Toimenpiteet!$X126,JA!$CI:$CI,Toimenpiteet!$Y$1,JA!CF:CF,"OK",JA!CT:CT,$AF$4)</f>
        <v>0</v>
      </c>
      <c r="N126" s="429">
        <f>SUMIFS(JA!$Z:$Z,JA!$AX:$AX,Toimenpiteet!$Y$6,JA!$AT:$AT,Toimenpiteet!$X126,JA!$CI:$CI,Toimenpiteet!$Y$1,JA!CG:CG,"OK",JA!CT:CT,$AF$4)</f>
        <v>0</v>
      </c>
      <c r="O126" s="429">
        <f t="shared" si="7"/>
        <v>0</v>
      </c>
      <c r="P126" s="548">
        <f t="shared" si="8"/>
        <v>0</v>
      </c>
      <c r="Q126" s="431">
        <f>IF($W$3="12",SUMIFS(JA!$Z:$Z,JA!$AX:$AX,Toimenpiteet!$Y$6,JA!$AE:$AE,"OK",JA!$AT:$AT,Toimenpiteet!$X126,JA!$CI:$CI,Toimenpiteet!$Y$1,JA!CT:CT,$AF$4),0)</f>
        <v>0</v>
      </c>
      <c r="X126" s="86" t="s">
        <v>449</v>
      </c>
    </row>
    <row r="127" spans="1:24" hidden="1" x14ac:dyDescent="0.25">
      <c r="A127" s="1045"/>
      <c r="B127" s="583" t="s">
        <v>450</v>
      </c>
      <c r="C127" s="429">
        <f>SUMIFS(JA!$Z:$Z,JA!$AX:$AX,Toimenpiteet!$Y$6,JA!$AT:$AT,Toimenpiteet!$X127,JA!$CI:$CI,Toimenpiteet!$Y$1,JA!BV:BV,"OK",JA!CT:CT,$AF$4)</f>
        <v>0</v>
      </c>
      <c r="D127" s="429">
        <f>SUMIFS(JA!$Z:$Z,JA!$AX:$AX,Toimenpiteet!$Y$6,JA!$AT:$AT,Toimenpiteet!$X127,JA!$CI:$CI,Toimenpiteet!$Y$1,JA!BW:BW,"OK",JA!CT:CT,$AF$4)</f>
        <v>0</v>
      </c>
      <c r="E127" s="429">
        <f>SUMIFS(JA!$Z:$Z,JA!$AX:$AX,Toimenpiteet!$Y$6,JA!$AT:$AT,Toimenpiteet!$X127,JA!$CI:$CI,Toimenpiteet!$Y$1,JA!BX:BX,"OK",JA!CT:CT,$AF$4)</f>
        <v>0</v>
      </c>
      <c r="F127" s="429">
        <f>SUMIFS(JA!$Z:$Z,JA!$AX:$AX,Toimenpiteet!$Y$6,JA!$AT:$AT,Toimenpiteet!$X127,JA!$CI:$CI,Toimenpiteet!$Y$1,JA!BY:BY,"OK",JA!CT:CT,$AF$4)</f>
        <v>0</v>
      </c>
      <c r="G127" s="429">
        <f>SUMIFS(JA!$Z:$Z,JA!$AX:$AX,Toimenpiteet!$Y$6,JA!$AT:$AT,Toimenpiteet!$X127,JA!$CI:$CI,Toimenpiteet!$Y$1,JA!BZ:BZ,"OK",JA!CT:CT,$AF$4)</f>
        <v>0</v>
      </c>
      <c r="H127" s="429">
        <f>SUMIFS(JA!$Z:$Z,JA!$AX:$AX,Toimenpiteet!$Y$6,JA!$AT:$AT,Toimenpiteet!$X127,JA!$CI:$CI,Toimenpiteet!$Y$1,JA!CA:CA,"OK",JA!CT:CT,$AF$4)</f>
        <v>0</v>
      </c>
      <c r="I127" s="429">
        <f>SUMIFS(JA!$Z:$Z,JA!$AX:$AX,Toimenpiteet!$Y$6,JA!$AT:$AT,Toimenpiteet!$X127,JA!$CI:$CI,Toimenpiteet!$Y$1,JA!CB:CB,"OK",JA!CT:CT,$AF$4)</f>
        <v>0</v>
      </c>
      <c r="J127" s="429">
        <f>SUMIFS(JA!$Z:$Z,JA!$AX:$AX,Toimenpiteet!$Y$6,JA!$AT:$AT,Toimenpiteet!$X127,JA!$CI:$CI,Toimenpiteet!$Y$1,JA!CC:CC,"OK",JA!CT:CT,$AF$4)</f>
        <v>0</v>
      </c>
      <c r="K127" s="429">
        <f>SUMIFS(JA!$Z:$Z,JA!$AX:$AX,Toimenpiteet!$Y$6,JA!$AT:$AT,Toimenpiteet!$X127,JA!$CI:$CI,Toimenpiteet!$Y$1,JA!CD:CD,"OK",JA!CT:CT,$AF$4)</f>
        <v>0</v>
      </c>
      <c r="L127" s="429">
        <f>SUMIFS(JA!$Z:$Z,JA!$AX:$AX,Toimenpiteet!$Y$6,JA!$AT:$AT,Toimenpiteet!$X127,JA!$CI:$CI,Toimenpiteet!$Y$1,JA!CE:CE,"OK",JA!CT:CT,$AF$4)</f>
        <v>0</v>
      </c>
      <c r="M127" s="429">
        <f>SUMIFS(JA!$Z:$Z,JA!$AX:$AX,Toimenpiteet!$Y$6,JA!$AT:$AT,Toimenpiteet!$X127,JA!$CI:$CI,Toimenpiteet!$Y$1,JA!CF:CF,"OK",JA!CT:CT,$AF$4)</f>
        <v>0</v>
      </c>
      <c r="N127" s="429">
        <f>SUMIFS(JA!$Z:$Z,JA!$AX:$AX,Toimenpiteet!$Y$6,JA!$AT:$AT,Toimenpiteet!$X127,JA!$CI:$CI,Toimenpiteet!$Y$1,JA!CG:CG,"OK",JA!CT:CT,$AF$4)</f>
        <v>0</v>
      </c>
      <c r="O127" s="429">
        <f t="shared" si="7"/>
        <v>0</v>
      </c>
      <c r="P127" s="548">
        <f t="shared" si="8"/>
        <v>0</v>
      </c>
      <c r="Q127" s="431">
        <f>IF($W$3="12",SUMIFS(JA!$Z:$Z,JA!$AX:$AX,Toimenpiteet!$Y$6,JA!$AE:$AE,"OK",JA!$AT:$AT,Toimenpiteet!$X127,JA!$CI:$CI,Toimenpiteet!$Y$1,JA!CT:CT,$AF$4),0)</f>
        <v>0</v>
      </c>
      <c r="X127" s="86" t="s">
        <v>451</v>
      </c>
    </row>
    <row r="128" spans="1:24" hidden="1" x14ac:dyDescent="0.25">
      <c r="A128" s="1046" t="s">
        <v>452</v>
      </c>
      <c r="B128" s="583" t="s">
        <v>453</v>
      </c>
      <c r="C128" s="429">
        <f>SUMIFS(JA!$Z:$Z,JA!$AX:$AX,Toimenpiteet!$Y$6,JA!$AT:$AT,Toimenpiteet!$X128,JA!$CI:$CI,Toimenpiteet!$Y$1,JA!BV:BV,"OK",JA!CT:CT,$AF$4)</f>
        <v>0</v>
      </c>
      <c r="D128" s="429">
        <f>SUMIFS(JA!$Z:$Z,JA!$AX:$AX,Toimenpiteet!$Y$6,JA!$AT:$AT,Toimenpiteet!$X128,JA!$CI:$CI,Toimenpiteet!$Y$1,JA!BW:BW,"OK",JA!CT:CT,$AF$4)</f>
        <v>0</v>
      </c>
      <c r="E128" s="429">
        <f>SUMIFS(JA!$Z:$Z,JA!$AX:$AX,Toimenpiteet!$Y$6,JA!$AT:$AT,Toimenpiteet!$X128,JA!$CI:$CI,Toimenpiteet!$Y$1,JA!BX:BX,"OK",JA!CT:CT,$AF$4)</f>
        <v>0</v>
      </c>
      <c r="F128" s="429">
        <f>SUMIFS(JA!$Z:$Z,JA!$AX:$AX,Toimenpiteet!$Y$6,JA!$AT:$AT,Toimenpiteet!$X128,JA!$CI:$CI,Toimenpiteet!$Y$1,JA!BY:BY,"OK",JA!CT:CT,$AF$4)</f>
        <v>0</v>
      </c>
      <c r="G128" s="429">
        <f>SUMIFS(JA!$Z:$Z,JA!$AX:$AX,Toimenpiteet!$Y$6,JA!$AT:$AT,Toimenpiteet!$X128,JA!$CI:$CI,Toimenpiteet!$Y$1,JA!BZ:BZ,"OK",JA!CT:CT,$AF$4)</f>
        <v>0</v>
      </c>
      <c r="H128" s="429">
        <f>SUMIFS(JA!$Z:$Z,JA!$AX:$AX,Toimenpiteet!$Y$6,JA!$AT:$AT,Toimenpiteet!$X128,JA!$CI:$CI,Toimenpiteet!$Y$1,JA!CA:CA,"OK",JA!CT:CT,$AF$4)</f>
        <v>0</v>
      </c>
      <c r="I128" s="429">
        <f>SUMIFS(JA!$Z:$Z,JA!$AX:$AX,Toimenpiteet!$Y$6,JA!$AT:$AT,Toimenpiteet!$X128,JA!$CI:$CI,Toimenpiteet!$Y$1,JA!CB:CB,"OK",JA!CT:CT,$AF$4)</f>
        <v>0</v>
      </c>
      <c r="J128" s="429">
        <f>SUMIFS(JA!$Z:$Z,JA!$AX:$AX,Toimenpiteet!$Y$6,JA!$AT:$AT,Toimenpiteet!$X128,JA!$CI:$CI,Toimenpiteet!$Y$1,JA!CC:CC,"OK",JA!CT:CT,$AF$4)</f>
        <v>0</v>
      </c>
      <c r="K128" s="429">
        <f>SUMIFS(JA!$Z:$Z,JA!$AX:$AX,Toimenpiteet!$Y$6,JA!$AT:$AT,Toimenpiteet!$X128,JA!$CI:$CI,Toimenpiteet!$Y$1,JA!CD:CD,"OK",JA!CT:CT,$AF$4)</f>
        <v>0</v>
      </c>
      <c r="L128" s="429">
        <f>SUMIFS(JA!$Z:$Z,JA!$AX:$AX,Toimenpiteet!$Y$6,JA!$AT:$AT,Toimenpiteet!$X128,JA!$CI:$CI,Toimenpiteet!$Y$1,JA!CE:CE,"OK",JA!CT:CT,$AF$4)</f>
        <v>0</v>
      </c>
      <c r="M128" s="429">
        <f>SUMIFS(JA!$Z:$Z,JA!$AX:$AX,Toimenpiteet!$Y$6,JA!$AT:$AT,Toimenpiteet!$X128,JA!$CI:$CI,Toimenpiteet!$Y$1,JA!CF:CF,"OK",JA!CT:CT,$AF$4)</f>
        <v>0</v>
      </c>
      <c r="N128" s="429">
        <f>SUMIFS(JA!$Z:$Z,JA!$AX:$AX,Toimenpiteet!$Y$6,JA!$AT:$AT,Toimenpiteet!$X128,JA!$CI:$CI,Toimenpiteet!$Y$1,JA!CG:CG,"OK",JA!CT:CT,$AF$4)</f>
        <v>0</v>
      </c>
      <c r="O128" s="429">
        <f t="shared" si="7"/>
        <v>0</v>
      </c>
      <c r="P128" s="548">
        <f t="shared" si="8"/>
        <v>0</v>
      </c>
      <c r="Q128" s="431">
        <f>IF($W$3="12",SUMIFS(JA!$Z:$Z,JA!$AX:$AX,Toimenpiteet!$Y$6,JA!$AE:$AE,"OK",JA!$AT:$AT,Toimenpiteet!$X128,JA!$CI:$CI,Toimenpiteet!$Y$1,JA!CT:CT,$AF$4),0)</f>
        <v>0</v>
      </c>
      <c r="X128" t="s">
        <v>454</v>
      </c>
    </row>
    <row r="129" spans="1:24" hidden="1" x14ac:dyDescent="0.25">
      <c r="A129" s="1047"/>
      <c r="B129" s="583" t="s">
        <v>456</v>
      </c>
      <c r="C129" s="429">
        <f>SUMIFS(JA!$Z:$Z,JA!$AX:$AX,Toimenpiteet!$Y$6,JA!$AT:$AT,Toimenpiteet!$X129,JA!$CI:$CI,Toimenpiteet!$Y$1,JA!BV:BV,"OK",JA!CT:CT,$AF$4)</f>
        <v>0</v>
      </c>
      <c r="D129" s="429">
        <f>SUMIFS(JA!$Z:$Z,JA!$AX:$AX,Toimenpiteet!$Y$6,JA!$AT:$AT,Toimenpiteet!$X129,JA!$CI:$CI,Toimenpiteet!$Y$1,JA!BW:BW,"OK",JA!CT:CT,$AF$4)</f>
        <v>0</v>
      </c>
      <c r="E129" s="429">
        <f>SUMIFS(JA!$Z:$Z,JA!$AX:$AX,Toimenpiteet!$Y$6,JA!$AT:$AT,Toimenpiteet!$X129,JA!$CI:$CI,Toimenpiteet!$Y$1,JA!BX:BX,"OK",JA!CT:CT,$AF$4)</f>
        <v>0</v>
      </c>
      <c r="F129" s="429">
        <f>SUMIFS(JA!$Z:$Z,JA!$AX:$AX,Toimenpiteet!$Y$6,JA!$AT:$AT,Toimenpiteet!$X129,JA!$CI:$CI,Toimenpiteet!$Y$1,JA!BY:BY,"OK",JA!CT:CT,$AF$4)</f>
        <v>0</v>
      </c>
      <c r="G129" s="429">
        <f>SUMIFS(JA!$Z:$Z,JA!$AX:$AX,Toimenpiteet!$Y$6,JA!$AT:$AT,Toimenpiteet!$X129,JA!$CI:$CI,Toimenpiteet!$Y$1,JA!BZ:BZ,"OK",JA!CT:CT,$AF$4)</f>
        <v>0</v>
      </c>
      <c r="H129" s="429">
        <f>SUMIFS(JA!$Z:$Z,JA!$AX:$AX,Toimenpiteet!$Y$6,JA!$AT:$AT,Toimenpiteet!$X129,JA!$CI:$CI,Toimenpiteet!$Y$1,JA!CA:CA,"OK",JA!CT:CT,$AF$4)</f>
        <v>0</v>
      </c>
      <c r="I129" s="429">
        <f>SUMIFS(JA!$Z:$Z,JA!$AX:$AX,Toimenpiteet!$Y$6,JA!$AT:$AT,Toimenpiteet!$X129,JA!$CI:$CI,Toimenpiteet!$Y$1,JA!CB:CB,"OK",JA!CT:CT,$AF$4)</f>
        <v>0</v>
      </c>
      <c r="J129" s="429">
        <f>SUMIFS(JA!$Z:$Z,JA!$AX:$AX,Toimenpiteet!$Y$6,JA!$AT:$AT,Toimenpiteet!$X129,JA!$CI:$CI,Toimenpiteet!$Y$1,JA!CC:CC,"OK",JA!CT:CT,$AF$4)</f>
        <v>0</v>
      </c>
      <c r="K129" s="429">
        <f>SUMIFS(JA!$Z:$Z,JA!$AX:$AX,Toimenpiteet!$Y$6,JA!$AT:$AT,Toimenpiteet!$X129,JA!$CI:$CI,Toimenpiteet!$Y$1,JA!CD:CD,"OK",JA!CT:CT,$AF$4)</f>
        <v>0</v>
      </c>
      <c r="L129" s="429">
        <f>SUMIFS(JA!$Z:$Z,JA!$AX:$AX,Toimenpiteet!$Y$6,JA!$AT:$AT,Toimenpiteet!$X129,JA!$CI:$CI,Toimenpiteet!$Y$1,JA!CE:CE,"OK",JA!CT:CT,$AF$4)</f>
        <v>0</v>
      </c>
      <c r="M129" s="429">
        <f>SUMIFS(JA!$Z:$Z,JA!$AX:$AX,Toimenpiteet!$Y$6,JA!$AT:$AT,Toimenpiteet!$X129,JA!$CI:$CI,Toimenpiteet!$Y$1,JA!CF:CF,"OK",JA!CT:CT,$AF$4)</f>
        <v>0</v>
      </c>
      <c r="N129" s="429">
        <f>SUMIFS(JA!$Z:$Z,JA!$AX:$AX,Toimenpiteet!$Y$6,JA!$AT:$AT,Toimenpiteet!$X129,JA!$CI:$CI,Toimenpiteet!$Y$1,JA!CG:CG,"OK",JA!CT:CT,$AF$4)</f>
        <v>0</v>
      </c>
      <c r="O129" s="429">
        <f t="shared" si="7"/>
        <v>0</v>
      </c>
      <c r="P129" s="548">
        <f t="shared" si="8"/>
        <v>0</v>
      </c>
      <c r="Q129" s="431">
        <f>IF($W$3="12",SUMIFS(JA!$Z:$Z,JA!$AX:$AX,Toimenpiteet!$Y$6,JA!$AE:$AE,"OK",JA!$AT:$AT,Toimenpiteet!$X129,JA!$CI:$CI,Toimenpiteet!$Y$1,JA!CT:CT,$AF$4),0)</f>
        <v>0</v>
      </c>
      <c r="X129" t="s">
        <v>457</v>
      </c>
    </row>
    <row r="130" spans="1:24" hidden="1" x14ac:dyDescent="0.25">
      <c r="A130" s="1047"/>
      <c r="B130" s="583" t="s">
        <v>459</v>
      </c>
      <c r="C130" s="429">
        <f>SUMIFS(JA!$Z:$Z,JA!$AX:$AX,Toimenpiteet!$Y$6,JA!$AT:$AT,Toimenpiteet!$X130,JA!$CI:$CI,Toimenpiteet!$Y$1,JA!BV:BV,"OK",JA!CT:CT,$AF$4)</f>
        <v>0</v>
      </c>
      <c r="D130" s="429">
        <f>SUMIFS(JA!$Z:$Z,JA!$AX:$AX,Toimenpiteet!$Y$6,JA!$AT:$AT,Toimenpiteet!$X130,JA!$CI:$CI,Toimenpiteet!$Y$1,JA!BW:BW,"OK",JA!CT:CT,$AF$4)</f>
        <v>0</v>
      </c>
      <c r="E130" s="429">
        <f>SUMIFS(JA!$Z:$Z,JA!$AX:$AX,Toimenpiteet!$Y$6,JA!$AT:$AT,Toimenpiteet!$X130,JA!$CI:$CI,Toimenpiteet!$Y$1,JA!BX:BX,"OK",JA!CT:CT,$AF$4)</f>
        <v>0</v>
      </c>
      <c r="F130" s="429">
        <f>SUMIFS(JA!$Z:$Z,JA!$AX:$AX,Toimenpiteet!$Y$6,JA!$AT:$AT,Toimenpiteet!$X130,JA!$CI:$CI,Toimenpiteet!$Y$1,JA!BY:BY,"OK",JA!CT:CT,$AF$4)</f>
        <v>0</v>
      </c>
      <c r="G130" s="429">
        <f>SUMIFS(JA!$Z:$Z,JA!$AX:$AX,Toimenpiteet!$Y$6,JA!$AT:$AT,Toimenpiteet!$X130,JA!$CI:$CI,Toimenpiteet!$Y$1,JA!BZ:BZ,"OK",JA!CT:CT,$AF$4)</f>
        <v>0</v>
      </c>
      <c r="H130" s="429">
        <f>SUMIFS(JA!$Z:$Z,JA!$AX:$AX,Toimenpiteet!$Y$6,JA!$AT:$AT,Toimenpiteet!$X130,JA!$CI:$CI,Toimenpiteet!$Y$1,JA!CA:CA,"OK",JA!CT:CT,$AF$4)</f>
        <v>0</v>
      </c>
      <c r="I130" s="429">
        <f>SUMIFS(JA!$Z:$Z,JA!$AX:$AX,Toimenpiteet!$Y$6,JA!$AT:$AT,Toimenpiteet!$X130,JA!$CI:$CI,Toimenpiteet!$Y$1,JA!CB:CB,"OK",JA!CT:CT,$AF$4)</f>
        <v>0</v>
      </c>
      <c r="J130" s="429">
        <f>SUMIFS(JA!$Z:$Z,JA!$AX:$AX,Toimenpiteet!$Y$6,JA!$AT:$AT,Toimenpiteet!$X130,JA!$CI:$CI,Toimenpiteet!$Y$1,JA!CC:CC,"OK",JA!CT:CT,$AF$4)</f>
        <v>0</v>
      </c>
      <c r="K130" s="429">
        <f>SUMIFS(JA!$Z:$Z,JA!$AX:$AX,Toimenpiteet!$Y$6,JA!$AT:$AT,Toimenpiteet!$X130,JA!$CI:$CI,Toimenpiteet!$Y$1,JA!CD:CD,"OK",JA!CT:CT,$AF$4)</f>
        <v>0</v>
      </c>
      <c r="L130" s="429">
        <f>SUMIFS(JA!$Z:$Z,JA!$AX:$AX,Toimenpiteet!$Y$6,JA!$AT:$AT,Toimenpiteet!$X130,JA!$CI:$CI,Toimenpiteet!$Y$1,JA!CE:CE,"OK",JA!CT:CT,$AF$4)</f>
        <v>0</v>
      </c>
      <c r="M130" s="429">
        <f>SUMIFS(JA!$Z:$Z,JA!$AX:$AX,Toimenpiteet!$Y$6,JA!$AT:$AT,Toimenpiteet!$X130,JA!$CI:$CI,Toimenpiteet!$Y$1,JA!CF:CF,"OK",JA!CT:CT,$AF$4)</f>
        <v>0</v>
      </c>
      <c r="N130" s="429">
        <f>SUMIFS(JA!$Z:$Z,JA!$AX:$AX,Toimenpiteet!$Y$6,JA!$AT:$AT,Toimenpiteet!$X130,JA!$CI:$CI,Toimenpiteet!$Y$1,JA!CG:CG,"OK",JA!CT:CT,$AF$4)</f>
        <v>0</v>
      </c>
      <c r="O130" s="429">
        <f t="shared" si="7"/>
        <v>0</v>
      </c>
      <c r="P130" s="548">
        <f t="shared" si="8"/>
        <v>0</v>
      </c>
      <c r="Q130" s="431">
        <f>IF($W$3="12",SUMIFS(JA!$Z:$Z,JA!$AX:$AX,Toimenpiteet!$Y$6,JA!$AE:$AE,"OK",JA!$AT:$AT,Toimenpiteet!$X130,JA!$CI:$CI,Toimenpiteet!$Y$1,JA!CT:CT,$AF$4),0)</f>
        <v>0</v>
      </c>
      <c r="W130" s="228"/>
      <c r="X130" t="s">
        <v>460</v>
      </c>
    </row>
    <row r="131" spans="1:24" hidden="1" x14ac:dyDescent="0.25">
      <c r="A131" s="1048"/>
      <c r="B131" s="583" t="s">
        <v>463</v>
      </c>
      <c r="C131" s="429">
        <f>SUMIFS(JA!$Z:$Z,JA!$AX:$AX,Toimenpiteet!$Y$6,JA!$AT:$AT,Toimenpiteet!$X131,JA!$CI:$CI,Toimenpiteet!$Y$1,JA!BV:BV,"OK",JA!CT:CT,$AF$4)</f>
        <v>0</v>
      </c>
      <c r="D131" s="429">
        <f>SUMIFS(JA!$Z:$Z,JA!$AX:$AX,Toimenpiteet!$Y$6,JA!$AT:$AT,Toimenpiteet!$X131,JA!$CI:$CI,Toimenpiteet!$Y$1,JA!BW:BW,"OK",JA!CT:CT,$AF$4)</f>
        <v>0</v>
      </c>
      <c r="E131" s="429">
        <f>SUMIFS(JA!$Z:$Z,JA!$AX:$AX,Toimenpiteet!$Y$6,JA!$AT:$AT,Toimenpiteet!$X131,JA!$CI:$CI,Toimenpiteet!$Y$1,JA!BX:BX,"OK",JA!CT:CT,$AF$4)</f>
        <v>0</v>
      </c>
      <c r="F131" s="429">
        <f>SUMIFS(JA!$Z:$Z,JA!$AX:$AX,Toimenpiteet!$Y$6,JA!$AT:$AT,Toimenpiteet!$X131,JA!$CI:$CI,Toimenpiteet!$Y$1,JA!BY:BY,"OK",JA!CT:CT,$AF$4)</f>
        <v>0</v>
      </c>
      <c r="G131" s="429">
        <f>SUMIFS(JA!$Z:$Z,JA!$AX:$AX,Toimenpiteet!$Y$6,JA!$AT:$AT,Toimenpiteet!$X131,JA!$CI:$CI,Toimenpiteet!$Y$1,JA!BZ:BZ,"OK",JA!CT:CT,$AF$4)</f>
        <v>0</v>
      </c>
      <c r="H131" s="429">
        <f>SUMIFS(JA!$Z:$Z,JA!$AX:$AX,Toimenpiteet!$Y$6,JA!$AT:$AT,Toimenpiteet!$X131,JA!$CI:$CI,Toimenpiteet!$Y$1,JA!CA:CA,"OK",JA!CT:CT,$AF$4)</f>
        <v>0</v>
      </c>
      <c r="I131" s="429">
        <f>SUMIFS(JA!$Z:$Z,JA!$AX:$AX,Toimenpiteet!$Y$6,JA!$AT:$AT,Toimenpiteet!$X131,JA!$CI:$CI,Toimenpiteet!$Y$1,JA!CB:CB,"OK",JA!CT:CT,$AF$4)</f>
        <v>0</v>
      </c>
      <c r="J131" s="429">
        <f>SUMIFS(JA!$Z:$Z,JA!$AX:$AX,Toimenpiteet!$Y$6,JA!$AT:$AT,Toimenpiteet!$X131,JA!$CI:$CI,Toimenpiteet!$Y$1,JA!CC:CC,"OK",JA!CT:CT,$AF$4)</f>
        <v>0</v>
      </c>
      <c r="K131" s="429">
        <f>SUMIFS(JA!$Z:$Z,JA!$AX:$AX,Toimenpiteet!$Y$6,JA!$AT:$AT,Toimenpiteet!$X131,JA!$CI:$CI,Toimenpiteet!$Y$1,JA!CD:CD,"OK",JA!CT:CT,$AF$4)</f>
        <v>0</v>
      </c>
      <c r="L131" s="429">
        <f>SUMIFS(JA!$Z:$Z,JA!$AX:$AX,Toimenpiteet!$Y$6,JA!$AT:$AT,Toimenpiteet!$X131,JA!$CI:$CI,Toimenpiteet!$Y$1,JA!CE:CE,"OK",JA!CT:CT,$AF$4)</f>
        <v>0</v>
      </c>
      <c r="M131" s="429">
        <f>SUMIFS(JA!$Z:$Z,JA!$AX:$AX,Toimenpiteet!$Y$6,JA!$AT:$AT,Toimenpiteet!$X131,JA!$CI:$CI,Toimenpiteet!$Y$1,JA!CF:CF,"OK",JA!CT:CT,$AF$4)</f>
        <v>0</v>
      </c>
      <c r="N131" s="429">
        <f>SUMIFS(JA!$Z:$Z,JA!$AX:$AX,Toimenpiteet!$Y$6,JA!$AT:$AT,Toimenpiteet!$X131,JA!$CI:$CI,Toimenpiteet!$Y$1,JA!CG:CG,"OK",JA!CT:CT,$AF$4)</f>
        <v>0</v>
      </c>
      <c r="O131" s="429">
        <f t="shared" si="7"/>
        <v>0</v>
      </c>
      <c r="P131" s="548">
        <f t="shared" si="8"/>
        <v>0</v>
      </c>
      <c r="Q131" s="431">
        <f>IF($W$3="12",SUMIFS(JA!$Z:$Z,JA!$AX:$AX,Toimenpiteet!$Y$6,JA!$AE:$AE,"OK",JA!$AT:$AT,Toimenpiteet!$X131,JA!$CI:$CI,Toimenpiteet!$Y$1,JA!CT:CT,$AF$4),0)</f>
        <v>0</v>
      </c>
      <c r="X131" t="s">
        <v>464</v>
      </c>
    </row>
    <row r="132" spans="1:24" hidden="1" x14ac:dyDescent="0.25">
      <c r="A132" s="1043" t="s">
        <v>287</v>
      </c>
      <c r="B132" s="583" t="s">
        <v>467</v>
      </c>
      <c r="C132" s="429">
        <f>SUMIFS(JA!$Z:$Z,JA!$AX:$AX,Toimenpiteet!$Y$6,JA!$AT:$AT,Toimenpiteet!$X132,JA!$CI:$CI,Toimenpiteet!$Y$1,JA!BV:BV,"OK",JA!CT:CT,$AF$4)</f>
        <v>0</v>
      </c>
      <c r="D132" s="429">
        <f>SUMIFS(JA!$Z:$Z,JA!$AX:$AX,Toimenpiteet!$Y$6,JA!$AT:$AT,Toimenpiteet!$X132,JA!$CI:$CI,Toimenpiteet!$Y$1,JA!BW:BW,"OK",JA!CT:CT,$AF$4)</f>
        <v>0</v>
      </c>
      <c r="E132" s="429">
        <f>SUMIFS(JA!$Z:$Z,JA!$AX:$AX,Toimenpiteet!$Y$6,JA!$AT:$AT,Toimenpiteet!$X132,JA!$CI:$CI,Toimenpiteet!$Y$1,JA!BX:BX,"OK",JA!CT:CT,$AF$4)</f>
        <v>0</v>
      </c>
      <c r="F132" s="429">
        <f>SUMIFS(JA!$Z:$Z,JA!$AX:$AX,Toimenpiteet!$Y$6,JA!$AT:$AT,Toimenpiteet!$X132,JA!$CI:$CI,Toimenpiteet!$Y$1,JA!BY:BY,"OK",JA!CT:CT,$AF$4)</f>
        <v>0</v>
      </c>
      <c r="G132" s="429">
        <f>SUMIFS(JA!$Z:$Z,JA!$AX:$AX,Toimenpiteet!$Y$6,JA!$AT:$AT,Toimenpiteet!$X132,JA!$CI:$CI,Toimenpiteet!$Y$1,JA!BZ:BZ,"OK",JA!CT:CT,$AF$4)</f>
        <v>0</v>
      </c>
      <c r="H132" s="429">
        <f>SUMIFS(JA!$Z:$Z,JA!$AX:$AX,Toimenpiteet!$Y$6,JA!$AT:$AT,Toimenpiteet!$X132,JA!$CI:$CI,Toimenpiteet!$Y$1,JA!CA:CA,"OK",JA!CT:CT,$AF$4)</f>
        <v>0</v>
      </c>
      <c r="I132" s="429">
        <f>SUMIFS(JA!$Z:$Z,JA!$AX:$AX,Toimenpiteet!$Y$6,JA!$AT:$AT,Toimenpiteet!$X132,JA!$CI:$CI,Toimenpiteet!$Y$1,JA!CB:CB,"OK",JA!CT:CT,$AF$4)</f>
        <v>0</v>
      </c>
      <c r="J132" s="429">
        <f>SUMIFS(JA!$Z:$Z,JA!$AX:$AX,Toimenpiteet!$Y$6,JA!$AT:$AT,Toimenpiteet!$X132,JA!$CI:$CI,Toimenpiteet!$Y$1,JA!CC:CC,"OK",JA!CT:CT,$AF$4)</f>
        <v>0</v>
      </c>
      <c r="K132" s="429">
        <f>SUMIFS(JA!$Z:$Z,JA!$AX:$AX,Toimenpiteet!$Y$6,JA!$AT:$AT,Toimenpiteet!$X132,JA!$CI:$CI,Toimenpiteet!$Y$1,JA!CD:CD,"OK",JA!CT:CT,$AF$4)</f>
        <v>0</v>
      </c>
      <c r="L132" s="429">
        <f>SUMIFS(JA!$Z:$Z,JA!$AX:$AX,Toimenpiteet!$Y$6,JA!$AT:$AT,Toimenpiteet!$X132,JA!$CI:$CI,Toimenpiteet!$Y$1,JA!CE:CE,"OK",JA!CT:CT,$AF$4)</f>
        <v>0</v>
      </c>
      <c r="M132" s="429">
        <f>SUMIFS(JA!$Z:$Z,JA!$AX:$AX,Toimenpiteet!$Y$6,JA!$AT:$AT,Toimenpiteet!$X132,JA!$CI:$CI,Toimenpiteet!$Y$1,JA!CF:CF,"OK",JA!CT:CT,$AF$4)</f>
        <v>0</v>
      </c>
      <c r="N132" s="429">
        <f>SUMIFS(JA!$Z:$Z,JA!$AX:$AX,Toimenpiteet!$Y$6,JA!$AT:$AT,Toimenpiteet!$X132,JA!$CI:$CI,Toimenpiteet!$Y$1,JA!CG:CG,"OK",JA!CT:CT,$AF$4)</f>
        <v>0</v>
      </c>
      <c r="O132" s="429">
        <f t="shared" ref="O132" si="9">SUM(C132:N132)</f>
        <v>0</v>
      </c>
      <c r="P132" s="548">
        <f t="shared" ref="P132" si="10">IFERROR(Q132-O132,0)</f>
        <v>0</v>
      </c>
      <c r="Q132" s="431">
        <f>IF($W$3="12",SUMIFS(JA!$Z:$Z,JA!$AX:$AX,Toimenpiteet!$Y$6,JA!$AE:$AE,"OK",JA!$AT:$AT,Toimenpiteet!$X132,JA!$CI:$CI,Toimenpiteet!$Y$1,JA!CT:CT,$AF$4),0)</f>
        <v>0</v>
      </c>
      <c r="X132" s="86" t="s">
        <v>468</v>
      </c>
    </row>
    <row r="133" spans="1:24" hidden="1" x14ac:dyDescent="0.25">
      <c r="A133" s="1044"/>
      <c r="B133" s="583" t="s">
        <v>469</v>
      </c>
      <c r="C133" s="429">
        <f>SUMIFS(JA!$Z:$Z,JA!$AX:$AX,Toimenpiteet!$Y$6,JA!$AT:$AT,Toimenpiteet!$X133,JA!$CI:$CI,Toimenpiteet!$Y$1,JA!BV:BV,"OK",JA!CT:CT,$AF$4)</f>
        <v>0</v>
      </c>
      <c r="D133" s="429">
        <f>SUMIFS(JA!$Z:$Z,JA!$AX:$AX,Toimenpiteet!$Y$6,JA!$AT:$AT,Toimenpiteet!$X133,JA!$CI:$CI,Toimenpiteet!$Y$1,JA!BW:BW,"OK",JA!CT:CT,$AF$4)</f>
        <v>0</v>
      </c>
      <c r="E133" s="429">
        <f>SUMIFS(JA!$Z:$Z,JA!$AX:$AX,Toimenpiteet!$Y$6,JA!$AT:$AT,Toimenpiteet!$X133,JA!$CI:$CI,Toimenpiteet!$Y$1,JA!BX:BX,"OK",JA!CT:CT,$AF$4)</f>
        <v>0</v>
      </c>
      <c r="F133" s="429">
        <f>SUMIFS(JA!$Z:$Z,JA!$AX:$AX,Toimenpiteet!$Y$6,JA!$AT:$AT,Toimenpiteet!$X133,JA!$CI:$CI,Toimenpiteet!$Y$1,JA!BY:BY,"OK",JA!CT:CT,$AF$4)</f>
        <v>0</v>
      </c>
      <c r="G133" s="429">
        <f>SUMIFS(JA!$Z:$Z,JA!$AX:$AX,Toimenpiteet!$Y$6,JA!$AT:$AT,Toimenpiteet!$X133,JA!$CI:$CI,Toimenpiteet!$Y$1,JA!BZ:BZ,"OK",JA!CT:CT,$AF$4)</f>
        <v>0</v>
      </c>
      <c r="H133" s="429">
        <f>SUMIFS(JA!$Z:$Z,JA!$AX:$AX,Toimenpiteet!$Y$6,JA!$AT:$AT,Toimenpiteet!$X133,JA!$CI:$CI,Toimenpiteet!$Y$1,JA!CA:CA,"OK",JA!CT:CT,$AF$4)</f>
        <v>0</v>
      </c>
      <c r="I133" s="429">
        <f>SUMIFS(JA!$Z:$Z,JA!$AX:$AX,Toimenpiteet!$Y$6,JA!$AT:$AT,Toimenpiteet!$X133,JA!$CI:$CI,Toimenpiteet!$Y$1,JA!CB:CB,"OK",JA!CT:CT,$AF$4)</f>
        <v>0</v>
      </c>
      <c r="J133" s="429">
        <f>SUMIFS(JA!$Z:$Z,JA!$AX:$AX,Toimenpiteet!$Y$6,JA!$AT:$AT,Toimenpiteet!$X133,JA!$CI:$CI,Toimenpiteet!$Y$1,JA!CC:CC,"OK",JA!CT:CT,$AF$4)</f>
        <v>0</v>
      </c>
      <c r="K133" s="429">
        <f>SUMIFS(JA!$Z:$Z,JA!$AX:$AX,Toimenpiteet!$Y$6,JA!$AT:$AT,Toimenpiteet!$X133,JA!$CI:$CI,Toimenpiteet!$Y$1,JA!CD:CD,"OK",JA!CT:CT,$AF$4)</f>
        <v>0</v>
      </c>
      <c r="L133" s="429">
        <f>SUMIFS(JA!$Z:$Z,JA!$AX:$AX,Toimenpiteet!$Y$6,JA!$AT:$AT,Toimenpiteet!$X133,JA!$CI:$CI,Toimenpiteet!$Y$1,JA!CE:CE,"OK",JA!CT:CT,$AF$4)</f>
        <v>0</v>
      </c>
      <c r="M133" s="429">
        <f>SUMIFS(JA!$Z:$Z,JA!$AX:$AX,Toimenpiteet!$Y$6,JA!$AT:$AT,Toimenpiteet!$X133,JA!$CI:$CI,Toimenpiteet!$Y$1,JA!CF:CF,"OK",JA!CT:CT,$AF$4)</f>
        <v>0</v>
      </c>
      <c r="N133" s="429">
        <f>SUMIFS(JA!$Z:$Z,JA!$AX:$AX,Toimenpiteet!$Y$6,JA!$AT:$AT,Toimenpiteet!$X133,JA!$CI:$CI,Toimenpiteet!$Y$1,JA!CG:CG,"OK",JA!CT:CT,$AF$4)</f>
        <v>0</v>
      </c>
      <c r="O133" s="429">
        <f t="shared" si="7"/>
        <v>0</v>
      </c>
      <c r="P133" s="548">
        <f t="shared" si="8"/>
        <v>0</v>
      </c>
      <c r="Q133" s="431">
        <f>IF($W$3="12",SUMIFS(JA!$Z:$Z,JA!$AX:$AX,Toimenpiteet!$Y$6,JA!$AE:$AE,"OK",JA!$AT:$AT,Toimenpiteet!$X133,JA!$CI:$CI,Toimenpiteet!$Y$1,JA!CT:CT,$AF$4),0)</f>
        <v>0</v>
      </c>
      <c r="W133" s="228"/>
      <c r="X133" t="s">
        <v>470</v>
      </c>
    </row>
    <row r="134" spans="1:24" hidden="1" x14ac:dyDescent="0.25">
      <c r="A134" s="1044"/>
      <c r="B134" s="583" t="s">
        <v>471</v>
      </c>
      <c r="C134" s="429">
        <f>SUMIFS(JA!$Z:$Z,JA!$AX:$AX,Toimenpiteet!$Y$6,JA!$AT:$AT,Toimenpiteet!$X134,JA!$CI:$CI,Toimenpiteet!$Y$1,JA!BV:BV,"OK",JA!CT:CT,$AF$4)</f>
        <v>0</v>
      </c>
      <c r="D134" s="429">
        <f>SUMIFS(JA!$Z:$Z,JA!$AX:$AX,Toimenpiteet!$Y$6,JA!$AT:$AT,Toimenpiteet!$X134,JA!$CI:$CI,Toimenpiteet!$Y$1,JA!BW:BW,"OK",JA!CT:CT,$AF$4)</f>
        <v>0</v>
      </c>
      <c r="E134" s="429">
        <f>SUMIFS(JA!$Z:$Z,JA!$AX:$AX,Toimenpiteet!$Y$6,JA!$AT:$AT,Toimenpiteet!$X134,JA!$CI:$CI,Toimenpiteet!$Y$1,JA!BX:BX,"OK",JA!CT:CT,$AF$4)</f>
        <v>0</v>
      </c>
      <c r="F134" s="429">
        <f>SUMIFS(JA!$Z:$Z,JA!$AX:$AX,Toimenpiteet!$Y$6,JA!$AT:$AT,Toimenpiteet!$X134,JA!$CI:$CI,Toimenpiteet!$Y$1,JA!BY:BY,"OK",JA!CT:CT,$AF$4)</f>
        <v>0</v>
      </c>
      <c r="G134" s="429">
        <f>SUMIFS(JA!$Z:$Z,JA!$AX:$AX,Toimenpiteet!$Y$6,JA!$AT:$AT,Toimenpiteet!$X134,JA!$CI:$CI,Toimenpiteet!$Y$1,JA!BZ:BZ,"OK",JA!CT:CT,$AF$4)</f>
        <v>0</v>
      </c>
      <c r="H134" s="429">
        <f>SUMIFS(JA!$Z:$Z,JA!$AX:$AX,Toimenpiteet!$Y$6,JA!$AT:$AT,Toimenpiteet!$X134,JA!$CI:$CI,Toimenpiteet!$Y$1,JA!CA:CA,"OK",JA!CT:CT,$AF$4)</f>
        <v>0</v>
      </c>
      <c r="I134" s="429">
        <f>SUMIFS(JA!$Z:$Z,JA!$AX:$AX,Toimenpiteet!$Y$6,JA!$AT:$AT,Toimenpiteet!$X134,JA!$CI:$CI,Toimenpiteet!$Y$1,JA!CB:CB,"OK",JA!CT:CT,$AF$4)</f>
        <v>0</v>
      </c>
      <c r="J134" s="429">
        <f>SUMIFS(JA!$Z:$Z,JA!$AX:$AX,Toimenpiteet!$Y$6,JA!$AT:$AT,Toimenpiteet!$X134,JA!$CI:$CI,Toimenpiteet!$Y$1,JA!CC:CC,"OK",JA!CT:CT,$AF$4)</f>
        <v>0</v>
      </c>
      <c r="K134" s="429">
        <f>SUMIFS(JA!$Z:$Z,JA!$AX:$AX,Toimenpiteet!$Y$6,JA!$AT:$AT,Toimenpiteet!$X134,JA!$CI:$CI,Toimenpiteet!$Y$1,JA!CD:CD,"OK",JA!CT:CT,$AF$4)</f>
        <v>0</v>
      </c>
      <c r="L134" s="429">
        <f>SUMIFS(JA!$Z:$Z,JA!$AX:$AX,Toimenpiteet!$Y$6,JA!$AT:$AT,Toimenpiteet!$X134,JA!$CI:$CI,Toimenpiteet!$Y$1,JA!CE:CE,"OK",JA!CT:CT,$AF$4)</f>
        <v>0</v>
      </c>
      <c r="M134" s="429">
        <f>SUMIFS(JA!$Z:$Z,JA!$AX:$AX,Toimenpiteet!$Y$6,JA!$AT:$AT,Toimenpiteet!$X134,JA!$CI:$CI,Toimenpiteet!$Y$1,JA!CF:CF,"OK",JA!CT:CT,$AF$4)</f>
        <v>0</v>
      </c>
      <c r="N134" s="429">
        <f>SUMIFS(JA!$Z:$Z,JA!$AX:$AX,Toimenpiteet!$Y$6,JA!$AT:$AT,Toimenpiteet!$X134,JA!$CI:$CI,Toimenpiteet!$Y$1,JA!CG:CG,"OK",JA!CT:CT,$AF$4)</f>
        <v>0</v>
      </c>
      <c r="O134" s="429">
        <f t="shared" si="7"/>
        <v>0</v>
      </c>
      <c r="P134" s="548">
        <f t="shared" si="8"/>
        <v>0</v>
      </c>
      <c r="Q134" s="431">
        <f>IF($W$3="12",SUMIFS(JA!$Z:$Z,JA!$AX:$AX,Toimenpiteet!$Y$6,JA!$AE:$AE,"OK",JA!$AT:$AT,Toimenpiteet!$X134,JA!$CI:$CI,Toimenpiteet!$Y$1,JA!CT:CT,$AF$4),0)</f>
        <v>0</v>
      </c>
      <c r="W134" s="228"/>
      <c r="X134" t="s">
        <v>472</v>
      </c>
    </row>
    <row r="135" spans="1:24" hidden="1" x14ac:dyDescent="0.25">
      <c r="A135" s="1044"/>
      <c r="B135" s="583" t="s">
        <v>473</v>
      </c>
      <c r="C135" s="429">
        <f>SUMIFS(JA!$Z:$Z,JA!$AX:$AX,Toimenpiteet!$Y$6,JA!$AT:$AT,Toimenpiteet!$X135,JA!$CI:$CI,Toimenpiteet!$Y$1,JA!BV:BV,"OK",JA!CT:CT,$AF$4)</f>
        <v>0</v>
      </c>
      <c r="D135" s="429">
        <f>SUMIFS(JA!$Z:$Z,JA!$AX:$AX,Toimenpiteet!$Y$6,JA!$AT:$AT,Toimenpiteet!$X135,JA!$CI:$CI,Toimenpiteet!$Y$1,JA!BW:BW,"OK",JA!CT:CT,$AF$4)</f>
        <v>0</v>
      </c>
      <c r="E135" s="429">
        <f>SUMIFS(JA!$Z:$Z,JA!$AX:$AX,Toimenpiteet!$Y$6,JA!$AT:$AT,Toimenpiteet!$X135,JA!$CI:$CI,Toimenpiteet!$Y$1,JA!BX:BX,"OK",JA!CT:CT,$AF$4)</f>
        <v>0</v>
      </c>
      <c r="F135" s="429">
        <f>SUMIFS(JA!$Z:$Z,JA!$AX:$AX,Toimenpiteet!$Y$6,JA!$AT:$AT,Toimenpiteet!$X135,JA!$CI:$CI,Toimenpiteet!$Y$1,JA!BY:BY,"OK",JA!CT:CT,$AF$4)</f>
        <v>0</v>
      </c>
      <c r="G135" s="429">
        <f>SUMIFS(JA!$Z:$Z,JA!$AX:$AX,Toimenpiteet!$Y$6,JA!$AT:$AT,Toimenpiteet!$X135,JA!$CI:$CI,Toimenpiteet!$Y$1,JA!BZ:BZ,"OK",JA!CT:CT,$AF$4)</f>
        <v>0</v>
      </c>
      <c r="H135" s="429">
        <f>SUMIFS(JA!$Z:$Z,JA!$AX:$AX,Toimenpiteet!$Y$6,JA!$AT:$AT,Toimenpiteet!$X135,JA!$CI:$CI,Toimenpiteet!$Y$1,JA!CA:CA,"OK",JA!CT:CT,$AF$4)</f>
        <v>0</v>
      </c>
      <c r="I135" s="429">
        <f>SUMIFS(JA!$Z:$Z,JA!$AX:$AX,Toimenpiteet!$Y$6,JA!$AT:$AT,Toimenpiteet!$X135,JA!$CI:$CI,Toimenpiteet!$Y$1,JA!CB:CB,"OK",JA!CT:CT,$AF$4)</f>
        <v>0</v>
      </c>
      <c r="J135" s="429">
        <f>SUMIFS(JA!$Z:$Z,JA!$AX:$AX,Toimenpiteet!$Y$6,JA!$AT:$AT,Toimenpiteet!$X135,JA!$CI:$CI,Toimenpiteet!$Y$1,JA!CC:CC,"OK",JA!CT:CT,$AF$4)</f>
        <v>0</v>
      </c>
      <c r="K135" s="429">
        <f>SUMIFS(JA!$Z:$Z,JA!$AX:$AX,Toimenpiteet!$Y$6,JA!$AT:$AT,Toimenpiteet!$X135,JA!$CI:$CI,Toimenpiteet!$Y$1,JA!CD:CD,"OK",JA!CT:CT,$AF$4)</f>
        <v>0</v>
      </c>
      <c r="L135" s="429">
        <f>SUMIFS(JA!$Z:$Z,JA!$AX:$AX,Toimenpiteet!$Y$6,JA!$AT:$AT,Toimenpiteet!$X135,JA!$CI:$CI,Toimenpiteet!$Y$1,JA!CE:CE,"OK",JA!CT:CT,$AF$4)</f>
        <v>0</v>
      </c>
      <c r="M135" s="429">
        <f>SUMIFS(JA!$Z:$Z,JA!$AX:$AX,Toimenpiteet!$Y$6,JA!$AT:$AT,Toimenpiteet!$X135,JA!$CI:$CI,Toimenpiteet!$Y$1,JA!CF:CF,"OK",JA!CT:CT,$AF$4)</f>
        <v>0</v>
      </c>
      <c r="N135" s="429">
        <f>SUMIFS(JA!$Z:$Z,JA!$AX:$AX,Toimenpiteet!$Y$6,JA!$AT:$AT,Toimenpiteet!$X135,JA!$CI:$CI,Toimenpiteet!$Y$1,JA!CG:CG,"OK",JA!CT:CT,$AF$4)</f>
        <v>0</v>
      </c>
      <c r="O135" s="429">
        <f t="shared" si="7"/>
        <v>0</v>
      </c>
      <c r="P135" s="548">
        <f t="shared" si="8"/>
        <v>0</v>
      </c>
      <c r="Q135" s="431">
        <f>IF($W$3="12",SUMIFS(JA!$Z:$Z,JA!$AX:$AX,Toimenpiteet!$Y$6,JA!$AE:$AE,"OK",JA!$AT:$AT,Toimenpiteet!$X135,JA!$CI:$CI,Toimenpiteet!$Y$1,JA!CT:CT,$AF$4),0)</f>
        <v>0</v>
      </c>
      <c r="X135" s="86" t="s">
        <v>474</v>
      </c>
    </row>
    <row r="136" spans="1:24" hidden="1" x14ac:dyDescent="0.25">
      <c r="A136" s="1045"/>
      <c r="B136" s="583" t="s">
        <v>475</v>
      </c>
      <c r="C136" s="429">
        <f>SUMIFS(JA!$Z:$Z,JA!$AX:$AX,Toimenpiteet!$Y$6,JA!$AT:$AT,Toimenpiteet!$X136,JA!$CI:$CI,Toimenpiteet!$Y$1,JA!BV:BV,"OK",JA!CT:CT,$AF$4)</f>
        <v>0</v>
      </c>
      <c r="D136" s="429">
        <f>SUMIFS(JA!$Z:$Z,JA!$AX:$AX,Toimenpiteet!$Y$6,JA!$AT:$AT,Toimenpiteet!$X136,JA!$CI:$CI,Toimenpiteet!$Y$1,JA!BW:BW,"OK",JA!CT:CT,$AF$4)</f>
        <v>0</v>
      </c>
      <c r="E136" s="429">
        <f>SUMIFS(JA!$Z:$Z,JA!$AX:$AX,Toimenpiteet!$Y$6,JA!$AT:$AT,Toimenpiteet!$X136,JA!$CI:$CI,Toimenpiteet!$Y$1,JA!BX:BX,"OK",JA!CT:CT,$AF$4)</f>
        <v>0</v>
      </c>
      <c r="F136" s="429">
        <f>SUMIFS(JA!$Z:$Z,JA!$AX:$AX,Toimenpiteet!$Y$6,JA!$AT:$AT,Toimenpiteet!$X136,JA!$CI:$CI,Toimenpiteet!$Y$1,JA!BY:BY,"OK",JA!CT:CT,$AF$4)</f>
        <v>0</v>
      </c>
      <c r="G136" s="429">
        <f>SUMIFS(JA!$Z:$Z,JA!$AX:$AX,Toimenpiteet!$Y$6,JA!$AT:$AT,Toimenpiteet!$X136,JA!$CI:$CI,Toimenpiteet!$Y$1,JA!BZ:BZ,"OK",JA!CT:CT,$AF$4)</f>
        <v>0</v>
      </c>
      <c r="H136" s="429">
        <f>SUMIFS(JA!$Z:$Z,JA!$AX:$AX,Toimenpiteet!$Y$6,JA!$AT:$AT,Toimenpiteet!$X136,JA!$CI:$CI,Toimenpiteet!$Y$1,JA!CA:CA,"OK",JA!CT:CT,$AF$4)</f>
        <v>0</v>
      </c>
      <c r="I136" s="429">
        <f>SUMIFS(JA!$Z:$Z,JA!$AX:$AX,Toimenpiteet!$Y$6,JA!$AT:$AT,Toimenpiteet!$X136,JA!$CI:$CI,Toimenpiteet!$Y$1,JA!CB:CB,"OK",JA!CT:CT,$AF$4)</f>
        <v>0</v>
      </c>
      <c r="J136" s="429">
        <f>SUMIFS(JA!$Z:$Z,JA!$AX:$AX,Toimenpiteet!$Y$6,JA!$AT:$AT,Toimenpiteet!$X136,JA!$CI:$CI,Toimenpiteet!$Y$1,JA!CC:CC,"OK",JA!CT:CT,$AF$4)</f>
        <v>0</v>
      </c>
      <c r="K136" s="429">
        <f>SUMIFS(JA!$Z:$Z,JA!$AX:$AX,Toimenpiteet!$Y$6,JA!$AT:$AT,Toimenpiteet!$X136,JA!$CI:$CI,Toimenpiteet!$Y$1,JA!CD:CD,"OK",JA!CT:CT,$AF$4)</f>
        <v>0</v>
      </c>
      <c r="L136" s="429">
        <f>SUMIFS(JA!$Z:$Z,JA!$AX:$AX,Toimenpiteet!$Y$6,JA!$AT:$AT,Toimenpiteet!$X136,JA!$CI:$CI,Toimenpiteet!$Y$1,JA!CE:CE,"OK",JA!CT:CT,$AF$4)</f>
        <v>0</v>
      </c>
      <c r="M136" s="429">
        <f>SUMIFS(JA!$Z:$Z,JA!$AX:$AX,Toimenpiteet!$Y$6,JA!$AT:$AT,Toimenpiteet!$X136,JA!$CI:$CI,Toimenpiteet!$Y$1,JA!CF:CF,"OK",JA!CT:CT,$AF$4)</f>
        <v>0</v>
      </c>
      <c r="N136" s="429">
        <f>SUMIFS(JA!$Z:$Z,JA!$AX:$AX,Toimenpiteet!$Y$6,JA!$AT:$AT,Toimenpiteet!$X136,JA!$CI:$CI,Toimenpiteet!$Y$1,JA!CG:CG,"OK",JA!CT:CT,$AF$4)</f>
        <v>0</v>
      </c>
      <c r="O136" s="429">
        <f t="shared" si="7"/>
        <v>0</v>
      </c>
      <c r="P136" s="548">
        <f t="shared" si="8"/>
        <v>0</v>
      </c>
      <c r="Q136" s="431">
        <f>IF($W$3="12",SUMIFS(JA!$Z:$Z,JA!$AX:$AX,Toimenpiteet!$Y$6,JA!$AE:$AE,"OK",JA!$AT:$AT,Toimenpiteet!$X136,JA!$CI:$CI,Toimenpiteet!$Y$1,JA!CT:CT,$AF$4),0)</f>
        <v>0</v>
      </c>
      <c r="X136" s="627" t="s">
        <v>476</v>
      </c>
    </row>
    <row r="137" spans="1:24" hidden="1" x14ac:dyDescent="0.25">
      <c r="A137" s="1043" t="s">
        <v>480</v>
      </c>
      <c r="B137" s="337" t="s">
        <v>481</v>
      </c>
      <c r="C137" s="429">
        <f>SUMIFS(JA!$Z:$Z,JA!$AX:$AX,Toimenpiteet!$Y$6,JA!$AT:$AT,Toimenpiteet!$X137,JA!$CI:$CI,Toimenpiteet!$Y$1,JA!BV:BV,"OK",JA!CT:CT,$AF$4)</f>
        <v>0</v>
      </c>
      <c r="D137" s="429">
        <f>SUMIFS(JA!$Z:$Z,JA!$AX:$AX,Toimenpiteet!$Y$6,JA!$AT:$AT,Toimenpiteet!$X137,JA!$CI:$CI,Toimenpiteet!$Y$1,JA!BW:BW,"OK",JA!CT:CT,$AF$4)</f>
        <v>0</v>
      </c>
      <c r="E137" s="429">
        <f>SUMIFS(JA!$Z:$Z,JA!$AX:$AX,Toimenpiteet!$Y$6,JA!$AT:$AT,Toimenpiteet!$X137,JA!$CI:$CI,Toimenpiteet!$Y$1,JA!BX:BX,"OK",JA!CT:CT,$AF$4)</f>
        <v>0</v>
      </c>
      <c r="F137" s="429">
        <f>SUMIFS(JA!$Z:$Z,JA!$AX:$AX,Toimenpiteet!$Y$6,JA!$AT:$AT,Toimenpiteet!$X137,JA!$CI:$CI,Toimenpiteet!$Y$1,JA!BY:BY,"OK",JA!CT:CT,$AF$4)</f>
        <v>0</v>
      </c>
      <c r="G137" s="429">
        <f>SUMIFS(JA!$Z:$Z,JA!$AX:$AX,Toimenpiteet!$Y$6,JA!$AT:$AT,Toimenpiteet!$X137,JA!$CI:$CI,Toimenpiteet!$Y$1,JA!BZ:BZ,"OK",JA!CT:CT,$AF$4)</f>
        <v>0</v>
      </c>
      <c r="H137" s="429">
        <f>SUMIFS(JA!$Z:$Z,JA!$AX:$AX,Toimenpiteet!$Y$6,JA!$AT:$AT,Toimenpiteet!$X137,JA!$CI:$CI,Toimenpiteet!$Y$1,JA!CA:CA,"OK",JA!CT:CT,$AF$4)</f>
        <v>0</v>
      </c>
      <c r="I137" s="429">
        <f>SUMIFS(JA!$Z:$Z,JA!$AX:$AX,Toimenpiteet!$Y$6,JA!$AT:$AT,Toimenpiteet!$X137,JA!$CI:$CI,Toimenpiteet!$Y$1,JA!CB:CB,"OK",JA!CT:CT,$AF$4)</f>
        <v>0</v>
      </c>
      <c r="J137" s="429">
        <f>SUMIFS(JA!$Z:$Z,JA!$AX:$AX,Toimenpiteet!$Y$6,JA!$AT:$AT,Toimenpiteet!$X137,JA!$CI:$CI,Toimenpiteet!$Y$1,JA!CC:CC,"OK",JA!CT:CT,$AF$4)</f>
        <v>0</v>
      </c>
      <c r="K137" s="429">
        <f>SUMIFS(JA!$Z:$Z,JA!$AX:$AX,Toimenpiteet!$Y$6,JA!$AT:$AT,Toimenpiteet!$X137,JA!$CI:$CI,Toimenpiteet!$Y$1,JA!CD:CD,"OK",JA!CT:CT,$AF$4)</f>
        <v>0</v>
      </c>
      <c r="L137" s="429">
        <f>SUMIFS(JA!$Z:$Z,JA!$AX:$AX,Toimenpiteet!$Y$6,JA!$AT:$AT,Toimenpiteet!$X137,JA!$CI:$CI,Toimenpiteet!$Y$1,JA!CE:CE,"OK",JA!CT:CT,$AF$4)</f>
        <v>0</v>
      </c>
      <c r="M137" s="429">
        <f>SUMIFS(JA!$Z:$Z,JA!$AX:$AX,Toimenpiteet!$Y$6,JA!$AT:$AT,Toimenpiteet!$X137,JA!$CI:$CI,Toimenpiteet!$Y$1,JA!CF:CF,"OK",JA!CT:CT,$AF$4)</f>
        <v>0</v>
      </c>
      <c r="N137" s="429">
        <f>SUMIFS(JA!$Z:$Z,JA!$AX:$AX,Toimenpiteet!$Y$6,JA!$AT:$AT,Toimenpiteet!$X137,JA!$CI:$CI,Toimenpiteet!$Y$1,JA!CG:CG,"OK",JA!CT:CT,$AF$4)</f>
        <v>0</v>
      </c>
      <c r="O137" s="429">
        <f t="shared" si="7"/>
        <v>0</v>
      </c>
      <c r="P137" s="548">
        <f t="shared" si="8"/>
        <v>0</v>
      </c>
      <c r="Q137" s="431">
        <f>IF($W$3="12",SUMIFS(JA!$Z:$Z,JA!$AX:$AX,Toimenpiteet!$Y$6,JA!$AE:$AE,"OK",JA!$AT:$AT,Toimenpiteet!$X137,JA!$CI:$CI,Toimenpiteet!$Y$1,JA!CT:CT,$AF$4),0)</f>
        <v>0</v>
      </c>
      <c r="X137" s="86" t="s">
        <v>482</v>
      </c>
    </row>
    <row r="138" spans="1:24" hidden="1" x14ac:dyDescent="0.25">
      <c r="A138" s="1044"/>
      <c r="B138" s="337" t="s">
        <v>483</v>
      </c>
      <c r="C138" s="429">
        <f>SUMIFS(JA!$Z:$Z,JA!$AX:$AX,Toimenpiteet!$Y$6,JA!$AT:$AT,Toimenpiteet!$X138,JA!$CI:$CI,Toimenpiteet!$Y$1,JA!BV:BV,"OK",JA!CT:CT,$AF$4)</f>
        <v>0</v>
      </c>
      <c r="D138" s="429">
        <f>SUMIFS(JA!$Z:$Z,JA!$AX:$AX,Toimenpiteet!$Y$6,JA!$AT:$AT,Toimenpiteet!$X138,JA!$CI:$CI,Toimenpiteet!$Y$1,JA!BW:BW,"OK",JA!CT:CT,$AF$4)</f>
        <v>0</v>
      </c>
      <c r="E138" s="429">
        <f>SUMIFS(JA!$Z:$Z,JA!$AX:$AX,Toimenpiteet!$Y$6,JA!$AT:$AT,Toimenpiteet!$X138,JA!$CI:$CI,Toimenpiteet!$Y$1,JA!BX:BX,"OK",JA!CT:CT,$AF$4)</f>
        <v>0</v>
      </c>
      <c r="F138" s="429">
        <f>SUMIFS(JA!$Z:$Z,JA!$AX:$AX,Toimenpiteet!$Y$6,JA!$AT:$AT,Toimenpiteet!$X138,JA!$CI:$CI,Toimenpiteet!$Y$1,JA!BY:BY,"OK",JA!CT:CT,$AF$4)</f>
        <v>0</v>
      </c>
      <c r="G138" s="429">
        <f>SUMIFS(JA!$Z:$Z,JA!$AX:$AX,Toimenpiteet!$Y$6,JA!$AT:$AT,Toimenpiteet!$X138,JA!$CI:$CI,Toimenpiteet!$Y$1,JA!BZ:BZ,"OK",JA!CT:CT,$AF$4)</f>
        <v>0</v>
      </c>
      <c r="H138" s="429">
        <f>SUMIFS(JA!$Z:$Z,JA!$AX:$AX,Toimenpiteet!$Y$6,JA!$AT:$AT,Toimenpiteet!$X138,JA!$CI:$CI,Toimenpiteet!$Y$1,JA!CA:CA,"OK",JA!CT:CT,$AF$4)</f>
        <v>0</v>
      </c>
      <c r="I138" s="429">
        <f>SUMIFS(JA!$Z:$Z,JA!$AX:$AX,Toimenpiteet!$Y$6,JA!$AT:$AT,Toimenpiteet!$X138,JA!$CI:$CI,Toimenpiteet!$Y$1,JA!CB:CB,"OK",JA!CT:CT,$AF$4)</f>
        <v>0</v>
      </c>
      <c r="J138" s="429">
        <f>SUMIFS(JA!$Z:$Z,JA!$AX:$AX,Toimenpiteet!$Y$6,JA!$AT:$AT,Toimenpiteet!$X138,JA!$CI:$CI,Toimenpiteet!$Y$1,JA!CC:CC,"OK",JA!CT:CT,$AF$4)</f>
        <v>0</v>
      </c>
      <c r="K138" s="429">
        <f>SUMIFS(JA!$Z:$Z,JA!$AX:$AX,Toimenpiteet!$Y$6,JA!$AT:$AT,Toimenpiteet!$X138,JA!$CI:$CI,Toimenpiteet!$Y$1,JA!CD:CD,"OK",JA!CT:CT,$AF$4)</f>
        <v>0</v>
      </c>
      <c r="L138" s="429">
        <f>SUMIFS(JA!$Z:$Z,JA!$AX:$AX,Toimenpiteet!$Y$6,JA!$AT:$AT,Toimenpiteet!$X138,JA!$CI:$CI,Toimenpiteet!$Y$1,JA!CE:CE,"OK",JA!CT:CT,$AF$4)</f>
        <v>0</v>
      </c>
      <c r="M138" s="429">
        <f>SUMIFS(JA!$Z:$Z,JA!$AX:$AX,Toimenpiteet!$Y$6,JA!$AT:$AT,Toimenpiteet!$X138,JA!$CI:$CI,Toimenpiteet!$Y$1,JA!CF:CF,"OK",JA!CT:CT,$AF$4)</f>
        <v>0</v>
      </c>
      <c r="N138" s="429">
        <f>SUMIFS(JA!$Z:$Z,JA!$AX:$AX,Toimenpiteet!$Y$6,JA!$AT:$AT,Toimenpiteet!$X138,JA!$CI:$CI,Toimenpiteet!$Y$1,JA!CG:CG,"OK",JA!CT:CT,$AF$4)</f>
        <v>0</v>
      </c>
      <c r="O138" s="429">
        <f t="shared" si="7"/>
        <v>0</v>
      </c>
      <c r="P138" s="548">
        <f t="shared" si="8"/>
        <v>0</v>
      </c>
      <c r="Q138" s="431">
        <f>IF($W$3="12",SUMIFS(JA!$Z:$Z,JA!$AX:$AX,Toimenpiteet!$Y$6,JA!$AE:$AE,"OK",JA!$AT:$AT,Toimenpiteet!$X138,JA!$CI:$CI,Toimenpiteet!$Y$1,JA!CT:CT,$AF$4),0)</f>
        <v>0</v>
      </c>
      <c r="X138" s="86" t="s">
        <v>484</v>
      </c>
    </row>
    <row r="139" spans="1:24" hidden="1" x14ac:dyDescent="0.25">
      <c r="A139" s="1045"/>
      <c r="B139" s="339" t="s">
        <v>485</v>
      </c>
      <c r="C139" s="429">
        <f>SUMIFS(JA!$Z:$Z,JA!$AX:$AX,Toimenpiteet!$Y$6,JA!$AT:$AT,Toimenpiteet!$X139,JA!$CI:$CI,Toimenpiteet!$Y$1,JA!BV:BV,"OK",JA!CT:CT,$AF$4)</f>
        <v>0</v>
      </c>
      <c r="D139" s="429">
        <f>SUMIFS(JA!$Z:$Z,JA!$AX:$AX,Toimenpiteet!$Y$6,JA!$AT:$AT,Toimenpiteet!$X139,JA!$CI:$CI,Toimenpiteet!$Y$1,JA!BW:BW,"OK",JA!CT:CT,$AF$4)</f>
        <v>0</v>
      </c>
      <c r="E139" s="429">
        <f>SUMIFS(JA!$Z:$Z,JA!$AX:$AX,Toimenpiteet!$Y$6,JA!$AT:$AT,Toimenpiteet!$X139,JA!$CI:$CI,Toimenpiteet!$Y$1,JA!BX:BX,"OK",JA!CT:CT,$AF$4)</f>
        <v>0</v>
      </c>
      <c r="F139" s="429">
        <f>SUMIFS(JA!$Z:$Z,JA!$AX:$AX,Toimenpiteet!$Y$6,JA!$AT:$AT,Toimenpiteet!$X139,JA!$CI:$CI,Toimenpiteet!$Y$1,JA!BY:BY,"OK",JA!CT:CT,$AF$4)</f>
        <v>0</v>
      </c>
      <c r="G139" s="429">
        <f>SUMIFS(JA!$Z:$Z,JA!$AX:$AX,Toimenpiteet!$Y$6,JA!$AT:$AT,Toimenpiteet!$X139,JA!$CI:$CI,Toimenpiteet!$Y$1,JA!BZ:BZ,"OK",JA!CT:CT,$AF$4)</f>
        <v>0</v>
      </c>
      <c r="H139" s="429">
        <f>SUMIFS(JA!$Z:$Z,JA!$AX:$AX,Toimenpiteet!$Y$6,JA!$AT:$AT,Toimenpiteet!$X139,JA!$CI:$CI,Toimenpiteet!$Y$1,JA!CA:CA,"OK",JA!CT:CT,$AF$4)</f>
        <v>0</v>
      </c>
      <c r="I139" s="429">
        <f>SUMIFS(JA!$Z:$Z,JA!$AX:$AX,Toimenpiteet!$Y$6,JA!$AT:$AT,Toimenpiteet!$X139,JA!$CI:$CI,Toimenpiteet!$Y$1,JA!CB:CB,"OK",JA!CT:CT,$AF$4)</f>
        <v>0</v>
      </c>
      <c r="J139" s="429">
        <f>SUMIFS(JA!$Z:$Z,JA!$AX:$AX,Toimenpiteet!$Y$6,JA!$AT:$AT,Toimenpiteet!$X139,JA!$CI:$CI,Toimenpiteet!$Y$1,JA!CC:CC,"OK",JA!CT:CT,$AF$4)</f>
        <v>0</v>
      </c>
      <c r="K139" s="429">
        <f>SUMIFS(JA!$Z:$Z,JA!$AX:$AX,Toimenpiteet!$Y$6,JA!$AT:$AT,Toimenpiteet!$X139,JA!$CI:$CI,Toimenpiteet!$Y$1,JA!CD:CD,"OK",JA!CT:CT,$AF$4)</f>
        <v>0</v>
      </c>
      <c r="L139" s="429">
        <f>SUMIFS(JA!$Z:$Z,JA!$AX:$AX,Toimenpiteet!$Y$6,JA!$AT:$AT,Toimenpiteet!$X139,JA!$CI:$CI,Toimenpiteet!$Y$1,JA!CE:CE,"OK",JA!CT:CT,$AF$4)</f>
        <v>0</v>
      </c>
      <c r="M139" s="429">
        <f>SUMIFS(JA!$Z:$Z,JA!$AX:$AX,Toimenpiteet!$Y$6,JA!$AT:$AT,Toimenpiteet!$X139,JA!$CI:$CI,Toimenpiteet!$Y$1,JA!CF:CF,"OK",JA!CT:CT,$AF$4)</f>
        <v>0</v>
      </c>
      <c r="N139" s="429">
        <f>SUMIFS(JA!$Z:$Z,JA!$AX:$AX,Toimenpiteet!$Y$6,JA!$AT:$AT,Toimenpiteet!$X139,JA!$CI:$CI,Toimenpiteet!$Y$1,JA!CG:CG,"OK",JA!CT:CT,$AF$4)</f>
        <v>0</v>
      </c>
      <c r="O139" s="429">
        <f t="shared" si="7"/>
        <v>0</v>
      </c>
      <c r="P139" s="548">
        <f t="shared" si="8"/>
        <v>0</v>
      </c>
      <c r="Q139" s="431">
        <f>IF($W$3="12",SUMIFS(JA!$Z:$Z,JA!$AX:$AX,Toimenpiteet!$Y$6,JA!$AE:$AE,"OK",JA!$AT:$AT,Toimenpiteet!$X139,JA!$CI:$CI,Toimenpiteet!$Y$1,JA!CT:CT,$AF$4),0)</f>
        <v>0</v>
      </c>
      <c r="X139" s="86" t="s">
        <v>486</v>
      </c>
    </row>
    <row r="140" spans="1:24" hidden="1" x14ac:dyDescent="0.25">
      <c r="A140" s="356" t="s">
        <v>490</v>
      </c>
      <c r="B140" s="337" t="s">
        <v>491</v>
      </c>
      <c r="C140" s="429">
        <f>SUMIFS(JA!$Z:$Z,JA!$AX:$AX,Toimenpiteet!$Y$6,JA!$AT:$AT,Toimenpiteet!$X140,JA!$CI:$CI,Toimenpiteet!$Y$1,JA!BV:BV,"OK",JA!CT:CT,$AF$4)</f>
        <v>0</v>
      </c>
      <c r="D140" s="429">
        <f>SUMIFS(JA!$Z:$Z,JA!$AX:$AX,Toimenpiteet!$Y$6,JA!$AT:$AT,Toimenpiteet!$X140,JA!$CI:$CI,Toimenpiteet!$Y$1,JA!BW:BW,"OK",JA!CT:CT,$AF$4)</f>
        <v>0</v>
      </c>
      <c r="E140" s="429">
        <f>SUMIFS(JA!$Z:$Z,JA!$AX:$AX,Toimenpiteet!$Y$6,JA!$AT:$AT,Toimenpiteet!$X140,JA!$CI:$CI,Toimenpiteet!$Y$1,JA!BX:BX,"OK",JA!CT:CT,$AF$4)</f>
        <v>0</v>
      </c>
      <c r="F140" s="429">
        <f>SUMIFS(JA!$Z:$Z,JA!$AX:$AX,Toimenpiteet!$Y$6,JA!$AT:$AT,Toimenpiteet!$X140,JA!$CI:$CI,Toimenpiteet!$Y$1,JA!BY:BY,"OK",JA!CT:CT,$AF$4)</f>
        <v>0</v>
      </c>
      <c r="G140" s="429">
        <f>SUMIFS(JA!$Z:$Z,JA!$AX:$AX,Toimenpiteet!$Y$6,JA!$AT:$AT,Toimenpiteet!$X140,JA!$CI:$CI,Toimenpiteet!$Y$1,JA!BZ:BZ,"OK",JA!CT:CT,$AF$4)</f>
        <v>0</v>
      </c>
      <c r="H140" s="429">
        <f>SUMIFS(JA!$Z:$Z,JA!$AX:$AX,Toimenpiteet!$Y$6,JA!$AT:$AT,Toimenpiteet!$X140,JA!$CI:$CI,Toimenpiteet!$Y$1,JA!CA:CA,"OK",JA!CT:CT,$AF$4)</f>
        <v>0</v>
      </c>
      <c r="I140" s="429">
        <f>SUMIFS(JA!$Z:$Z,JA!$AX:$AX,Toimenpiteet!$Y$6,JA!$AT:$AT,Toimenpiteet!$X140,JA!$CI:$CI,Toimenpiteet!$Y$1,JA!CB:CB,"OK",JA!CT:CT,$AF$4)</f>
        <v>0</v>
      </c>
      <c r="J140" s="429">
        <f>SUMIFS(JA!$Z:$Z,JA!$AX:$AX,Toimenpiteet!$Y$6,JA!$AT:$AT,Toimenpiteet!$X140,JA!$CI:$CI,Toimenpiteet!$Y$1,JA!CC:CC,"OK",JA!CT:CT,$AF$4)</f>
        <v>0</v>
      </c>
      <c r="K140" s="429">
        <f>SUMIFS(JA!$Z:$Z,JA!$AX:$AX,Toimenpiteet!$Y$6,JA!$AT:$AT,Toimenpiteet!$X140,JA!$CI:$CI,Toimenpiteet!$Y$1,JA!CD:CD,"OK",JA!CT:CT,$AF$4)</f>
        <v>0</v>
      </c>
      <c r="L140" s="429">
        <f>SUMIFS(JA!$Z:$Z,JA!$AX:$AX,Toimenpiteet!$Y$6,JA!$AT:$AT,Toimenpiteet!$X140,JA!$CI:$CI,Toimenpiteet!$Y$1,JA!CE:CE,"OK",JA!CT:CT,$AF$4)</f>
        <v>0</v>
      </c>
      <c r="M140" s="429">
        <f>SUMIFS(JA!$Z:$Z,JA!$AX:$AX,Toimenpiteet!$Y$6,JA!$AT:$AT,Toimenpiteet!$X140,JA!$CI:$CI,Toimenpiteet!$Y$1,JA!CF:CF,"OK",JA!CT:CT,$AF$4)</f>
        <v>0</v>
      </c>
      <c r="N140" s="429">
        <f>SUMIFS(JA!$Z:$Z,JA!$AX:$AX,Toimenpiteet!$Y$6,JA!$AT:$AT,Toimenpiteet!$X140,JA!$CI:$CI,Toimenpiteet!$Y$1,JA!CG:CG,"OK",JA!CT:CT,$AF$4)</f>
        <v>0</v>
      </c>
      <c r="O140" s="429">
        <f t="shared" si="7"/>
        <v>0</v>
      </c>
      <c r="P140" s="548">
        <f t="shared" si="8"/>
        <v>0</v>
      </c>
      <c r="Q140" s="431">
        <f>IF($W$3="12",SUMIFS(JA!$Z:$Z,JA!$AX:$AX,Toimenpiteet!$Y$6,JA!$AE:$AE,"OK",JA!$AT:$AT,Toimenpiteet!$X140,JA!$CI:$CI,Toimenpiteet!$Y$1,JA!CT:CT,$AF$4),0)</f>
        <v>0</v>
      </c>
      <c r="X140" s="85" t="s">
        <v>492</v>
      </c>
    </row>
    <row r="141" spans="1:24" hidden="1" x14ac:dyDescent="0.25">
      <c r="A141"/>
      <c r="B141" s="340"/>
      <c r="C141" s="76" t="e">
        <f>SUM(C100,#REF!,#REF!,#REF!,#REF!,#REF!)</f>
        <v>#REF!</v>
      </c>
      <c r="P141" s="518"/>
      <c r="X141" s="477" t="s">
        <v>494</v>
      </c>
    </row>
    <row r="142" spans="1:24" hidden="1" x14ac:dyDescent="0.25">
      <c r="A142" s="436"/>
      <c r="B142" s="437"/>
      <c r="C142" s="322"/>
      <c r="P142" s="518"/>
      <c r="X142" s="477" t="s">
        <v>494</v>
      </c>
    </row>
    <row r="143" spans="1:24" hidden="1" x14ac:dyDescent="0.25">
      <c r="P143" s="518"/>
    </row>
    <row r="144" spans="1:24" hidden="1" x14ac:dyDescent="0.25">
      <c r="A144" s="205" t="str">
        <f>X146&amp;W2&amp;" " &amp;X12</f>
        <v>KAIKKIEN Valmentautujien toimenpiteet KAIKILTA jaksoilta vuonna 2026 (Kaikki kunnat, Kaikki yksiköt, Kaikki asiakkuudet, Kaikki toimenpiteet, Vain yksi esiintymä)</v>
      </c>
    </row>
    <row r="145" spans="1:24" hidden="1" x14ac:dyDescent="0.25">
      <c r="A145" s="888" t="s">
        <v>813</v>
      </c>
      <c r="B145" s="889"/>
      <c r="C145" s="812" t="s">
        <v>826</v>
      </c>
      <c r="D145" s="910"/>
      <c r="E145" s="910"/>
      <c r="F145" s="910"/>
      <c r="G145" s="910"/>
      <c r="H145" s="910"/>
      <c r="I145" s="910"/>
      <c r="J145" s="910"/>
      <c r="K145" s="910"/>
      <c r="L145" s="910"/>
      <c r="M145" s="910"/>
      <c r="N145" s="910"/>
      <c r="O145" s="503" t="s">
        <v>827</v>
      </c>
    </row>
    <row r="146" spans="1:24" hidden="1" x14ac:dyDescent="0.25">
      <c r="A146" s="890"/>
      <c r="B146" s="891"/>
      <c r="C146" s="342" t="s">
        <v>694</v>
      </c>
      <c r="D146" s="342" t="s">
        <v>695</v>
      </c>
      <c r="E146" s="342" t="s">
        <v>696</v>
      </c>
      <c r="F146" s="342" t="s">
        <v>697</v>
      </c>
      <c r="G146" s="342" t="s">
        <v>698</v>
      </c>
      <c r="H146" s="342" t="s">
        <v>699</v>
      </c>
      <c r="I146" s="342" t="s">
        <v>700</v>
      </c>
      <c r="J146" s="342" t="s">
        <v>701</v>
      </c>
      <c r="K146" s="342" t="s">
        <v>702</v>
      </c>
      <c r="L146" s="342" t="s">
        <v>703</v>
      </c>
      <c r="M146" s="342" t="s">
        <v>704</v>
      </c>
      <c r="N146" s="342" t="s">
        <v>705</v>
      </c>
      <c r="O146" s="502" t="s">
        <v>243</v>
      </c>
      <c r="X146" s="395" t="s">
        <v>828</v>
      </c>
    </row>
    <row r="147" spans="1:24" hidden="1" x14ac:dyDescent="0.25">
      <c r="A147" s="286"/>
      <c r="B147" s="435" t="s">
        <v>824</v>
      </c>
      <c r="C147" s="430">
        <f t="shared" ref="C147:N147" si="11">SUM(C149:C184)</f>
        <v>0</v>
      </c>
      <c r="D147" s="430">
        <f t="shared" si="11"/>
        <v>0</v>
      </c>
      <c r="E147" s="430">
        <f t="shared" si="11"/>
        <v>0</v>
      </c>
      <c r="F147" s="430">
        <f t="shared" si="11"/>
        <v>0</v>
      </c>
      <c r="G147" s="430">
        <f t="shared" si="11"/>
        <v>0</v>
      </c>
      <c r="H147" s="430">
        <f t="shared" si="11"/>
        <v>0</v>
      </c>
      <c r="I147" s="430">
        <f t="shared" si="11"/>
        <v>0</v>
      </c>
      <c r="J147" s="430">
        <f t="shared" si="11"/>
        <v>0</v>
      </c>
      <c r="K147" s="430">
        <f t="shared" si="11"/>
        <v>0</v>
      </c>
      <c r="L147" s="430">
        <f t="shared" si="11"/>
        <v>0</v>
      </c>
      <c r="M147" s="430">
        <f t="shared" si="11"/>
        <v>0</v>
      </c>
      <c r="N147" s="430">
        <f t="shared" si="11"/>
        <v>0</v>
      </c>
      <c r="O147" s="432">
        <f>SUM(C147:N147)</f>
        <v>0</v>
      </c>
    </row>
    <row r="148" spans="1:24" hidden="1" x14ac:dyDescent="0.25">
      <c r="A148" s="291"/>
      <c r="B148" s="336"/>
      <c r="C148" s="309"/>
      <c r="D148" s="309"/>
      <c r="E148" s="309"/>
      <c r="F148" s="309"/>
      <c r="G148" s="309"/>
      <c r="H148" s="309"/>
      <c r="I148" s="309"/>
      <c r="J148" s="309"/>
      <c r="K148" s="309"/>
      <c r="L148" s="309"/>
      <c r="M148" s="309"/>
      <c r="N148" s="309"/>
      <c r="O148" s="433"/>
    </row>
    <row r="149" spans="1:24" ht="15" hidden="1" customHeight="1" x14ac:dyDescent="0.25">
      <c r="A149" s="1043" t="s">
        <v>366</v>
      </c>
      <c r="B149" s="911" t="s">
        <v>367</v>
      </c>
      <c r="C149" s="429">
        <f>SUMIFS(JA!$Z:$Z,JA!$AX:$AX,Toimenpiteet!$Y$6,JA!$AT:$AT,Toimenpiteet!$X149,JA!$CI:$CI,Toimenpiteet!$Y$1,JA!BJ:BJ,"OK",JA!CT:CT,$AF$4)</f>
        <v>0</v>
      </c>
      <c r="D149" s="429">
        <f>SUMIFS(JA!$Z:$Z,JA!$AX:$AX,Toimenpiteet!$Y$6,JA!$AT:$AT,Toimenpiteet!$X149,JA!$CI:$CI,Toimenpiteet!$Y$1,JA!BK:BK,"OK",JA!CT:CT,$AF$4)</f>
        <v>0</v>
      </c>
      <c r="E149" s="429">
        <f>SUMIFS(JA!$Z:$Z,JA!$AX:$AX,Toimenpiteet!$Y$6,JA!$AT:$AT,Toimenpiteet!$X149,JA!$CI:$CI,Toimenpiteet!$Y$1,JA!BL:BL,"OK",JA!CT:CT,$AF$4)</f>
        <v>0</v>
      </c>
      <c r="F149" s="429">
        <f>SUMIFS(JA!$Z:$Z,JA!$AX:$AX,Toimenpiteet!$Y$6,JA!$AT:$AT,Toimenpiteet!$X149,JA!$CI:$CI,Toimenpiteet!$Y$1,JA!BM:BM,"OK",JA!CT:CT,$AF$4)</f>
        <v>0</v>
      </c>
      <c r="G149" s="429">
        <f>SUMIFS(JA!$Z:$Z,JA!$AX:$AX,Toimenpiteet!$Y$6,JA!$AT:$AT,Toimenpiteet!$X149,JA!$CI:$CI,Toimenpiteet!$Y$1,JA!BN:BN,"OK",JA!CT:CT,$AF$4)</f>
        <v>0</v>
      </c>
      <c r="H149" s="429">
        <f>SUMIFS(JA!$Z:$Z,JA!$AX:$AX,Toimenpiteet!$Y$6,JA!$AT:$AT,Toimenpiteet!$X149,JA!$CI:$CI,Toimenpiteet!$Y$1,JA!BO:BO,"OK",JA!CT:CT,$AF$4)</f>
        <v>0</v>
      </c>
      <c r="I149" s="429">
        <f>SUMIFS(JA!$Z:$Z,JA!$AX:$AX,Toimenpiteet!$Y$6,JA!$AT:$AT,Toimenpiteet!$X149,JA!$CI:$CI,Toimenpiteet!$Y$1,JA!BP:BP,"OK",JA!CT:CT,$AF$4)</f>
        <v>0</v>
      </c>
      <c r="J149" s="429">
        <f>SUMIFS(JA!$Z:$Z,JA!$AX:$AX,Toimenpiteet!$Y$6,JA!$AT:$AT,Toimenpiteet!$X149,JA!$CI:$CI,Toimenpiteet!$Y$1,JA!BQ:BQ,"OK",JA!CT:CT,$AF$4)</f>
        <v>0</v>
      </c>
      <c r="K149" s="429">
        <f>SUMIFS(JA!$Z:$Z,JA!$AX:$AX,Toimenpiteet!$Y$6,JA!$AT:$AT,Toimenpiteet!$X149,JA!$CI:$CI,Toimenpiteet!$Y$1,JA!BR:BR,"OK",JA!CT:CT,$AF$4)</f>
        <v>0</v>
      </c>
      <c r="L149" s="429">
        <f>SUMIFS(JA!$Z:$Z,JA!$AX:$AX,Toimenpiteet!$Y$6,JA!$AT:$AT,Toimenpiteet!$X149,JA!$CI:$CI,Toimenpiteet!$Y$1,JA!BS:BS,"OK",JA!CT:CT,$AF$4)</f>
        <v>0</v>
      </c>
      <c r="M149" s="429">
        <f>SUMIFS(JA!$Z:$Z,JA!$AX:$AX,Toimenpiteet!$Y$6,JA!$AT:$AT,Toimenpiteet!$X149,JA!$CI:$CI,Toimenpiteet!$Y$1,JA!BT:BT,"OK",JA!CT:CT,$AF$4)</f>
        <v>0</v>
      </c>
      <c r="N149" s="429">
        <f>SUMIFS(JA!$Z:$Z,JA!$AX:$AX,Toimenpiteet!$Y$6,JA!$AT:$AT,Toimenpiteet!$X149,JA!$CI:$CI,Toimenpiteet!$Y$1,JA!BU:BU,"OK",JA!CT:CT,$AF$4)</f>
        <v>0</v>
      </c>
      <c r="O149" s="429">
        <f t="shared" ref="O149" si="12">SUM(C149:N149)</f>
        <v>0</v>
      </c>
      <c r="P149" s="78"/>
      <c r="Q149" s="78"/>
      <c r="X149" t="s">
        <v>368</v>
      </c>
    </row>
    <row r="150" spans="1:24" hidden="1" x14ac:dyDescent="0.25">
      <c r="A150" s="1044"/>
      <c r="B150" s="911" t="s">
        <v>369</v>
      </c>
      <c r="C150" s="429">
        <f>SUMIFS(JA!$Z:$Z,JA!$AX:$AX,Toimenpiteet!$Y$6,JA!$AT:$AT,Toimenpiteet!$X150,JA!$CI:$CI,Toimenpiteet!$Y$1,JA!BJ:BJ,"OK",JA!CT:CT,$AF$4)</f>
        <v>0</v>
      </c>
      <c r="D150" s="429">
        <f>SUMIFS(JA!$Z:$Z,JA!$AX:$AX,Toimenpiteet!$Y$6,JA!$AT:$AT,Toimenpiteet!$X150,JA!$CI:$CI,Toimenpiteet!$Y$1,JA!BK:BK,"OK",JA!CT:CT,$AF$4)</f>
        <v>0</v>
      </c>
      <c r="E150" s="429">
        <f>SUMIFS(JA!$Z:$Z,JA!$AX:$AX,Toimenpiteet!$Y$6,JA!$AT:$AT,Toimenpiteet!$X150,JA!$CI:$CI,Toimenpiteet!$Y$1,JA!BL:BL,"OK",JA!CT:CT,$AF$4)</f>
        <v>0</v>
      </c>
      <c r="F150" s="429">
        <f>SUMIFS(JA!$Z:$Z,JA!$AX:$AX,Toimenpiteet!$Y$6,JA!$AT:$AT,Toimenpiteet!$X150,JA!$CI:$CI,Toimenpiteet!$Y$1,JA!BM:BM,"OK",JA!CT:CT,$AF$4)</f>
        <v>0</v>
      </c>
      <c r="G150" s="429">
        <f>SUMIFS(JA!$Z:$Z,JA!$AX:$AX,Toimenpiteet!$Y$6,JA!$AT:$AT,Toimenpiteet!$X150,JA!$CI:$CI,Toimenpiteet!$Y$1,JA!BN:BN,"OK",JA!CT:CT,$AF$4)</f>
        <v>0</v>
      </c>
      <c r="H150" s="429">
        <f>SUMIFS(JA!$Z:$Z,JA!$AX:$AX,Toimenpiteet!$Y$6,JA!$AT:$AT,Toimenpiteet!$X150,JA!$CI:$CI,Toimenpiteet!$Y$1,JA!BO:BO,"OK",JA!CT:CT,$AF$4)</f>
        <v>0</v>
      </c>
      <c r="I150" s="429">
        <f>SUMIFS(JA!$Z:$Z,JA!$AX:$AX,Toimenpiteet!$Y$6,JA!$AT:$AT,Toimenpiteet!$X150,JA!$CI:$CI,Toimenpiteet!$Y$1,JA!BP:BP,"OK",JA!CT:CT,$AF$4)</f>
        <v>0</v>
      </c>
      <c r="J150" s="429">
        <f>SUMIFS(JA!$Z:$Z,JA!$AX:$AX,Toimenpiteet!$Y$6,JA!$AT:$AT,Toimenpiteet!$X150,JA!$CI:$CI,Toimenpiteet!$Y$1,JA!BQ:BQ,"OK",JA!CT:CT,$AF$4)</f>
        <v>0</v>
      </c>
      <c r="K150" s="429">
        <f>SUMIFS(JA!$Z:$Z,JA!$AX:$AX,Toimenpiteet!$Y$6,JA!$AT:$AT,Toimenpiteet!$X150,JA!$CI:$CI,Toimenpiteet!$Y$1,JA!BR:BR,"OK",JA!CT:CT,$AF$4)</f>
        <v>0</v>
      </c>
      <c r="L150" s="429">
        <f>SUMIFS(JA!$Z:$Z,JA!$AX:$AX,Toimenpiteet!$Y$6,JA!$AT:$AT,Toimenpiteet!$X150,JA!$CI:$CI,Toimenpiteet!$Y$1,JA!BS:BS,"OK",JA!CT:CT,$AF$4)</f>
        <v>0</v>
      </c>
      <c r="M150" s="429">
        <f>SUMIFS(JA!$Z:$Z,JA!$AX:$AX,Toimenpiteet!$Y$6,JA!$AT:$AT,Toimenpiteet!$X150,JA!$CI:$CI,Toimenpiteet!$Y$1,JA!BT:BT,"OK",JA!CT:CT,$AF$4)</f>
        <v>0</v>
      </c>
      <c r="N150" s="429">
        <f>SUMIFS(JA!$Z:$Z,JA!$AX:$AX,Toimenpiteet!$Y$6,JA!$AT:$AT,Toimenpiteet!$X150,JA!$CI:$CI,Toimenpiteet!$Y$1,JA!BU:BU,"OK",JA!CT:CT,$AF$4)</f>
        <v>0</v>
      </c>
      <c r="O150" s="429">
        <f t="shared" ref="O150:O188" si="13">SUM(C150:N150)</f>
        <v>0</v>
      </c>
      <c r="X150" t="s">
        <v>370</v>
      </c>
    </row>
    <row r="151" spans="1:24" hidden="1" x14ac:dyDescent="0.25">
      <c r="A151" s="1044"/>
      <c r="B151" s="911" t="s">
        <v>371</v>
      </c>
      <c r="C151" s="429">
        <f>SUMIFS(JA!$Z:$Z,JA!$AX:$AX,Toimenpiteet!$Y$6,JA!$AT:$AT,Toimenpiteet!$X151,JA!$CI:$CI,Toimenpiteet!$Y$1,JA!BJ:BJ,"OK",JA!CT:CT,$AF$4)</f>
        <v>0</v>
      </c>
      <c r="D151" s="429">
        <f>SUMIFS(JA!$Z:$Z,JA!$AX:$AX,Toimenpiteet!$Y$6,JA!$AT:$AT,Toimenpiteet!$X151,JA!$CI:$CI,Toimenpiteet!$Y$1,JA!BK:BK,"OK",JA!CT:CT,$AF$4)</f>
        <v>0</v>
      </c>
      <c r="E151" s="429">
        <f>SUMIFS(JA!$Z:$Z,JA!$AX:$AX,Toimenpiteet!$Y$6,JA!$AT:$AT,Toimenpiteet!$X151,JA!$CI:$CI,Toimenpiteet!$Y$1,JA!BL:BL,"OK",JA!CT:CT,$AF$4)</f>
        <v>0</v>
      </c>
      <c r="F151" s="429">
        <f>SUMIFS(JA!$Z:$Z,JA!$AX:$AX,Toimenpiteet!$Y$6,JA!$AT:$AT,Toimenpiteet!$X151,JA!$CI:$CI,Toimenpiteet!$Y$1,JA!BM:BM,"OK",JA!CT:CT,$AF$4)</f>
        <v>0</v>
      </c>
      <c r="G151" s="429">
        <f>SUMIFS(JA!$Z:$Z,JA!$AX:$AX,Toimenpiteet!$Y$6,JA!$AT:$AT,Toimenpiteet!$X151,JA!$CI:$CI,Toimenpiteet!$Y$1,JA!BN:BN,"OK",JA!CT:CT,$AF$4)</f>
        <v>0</v>
      </c>
      <c r="H151" s="429">
        <f>SUMIFS(JA!$Z:$Z,JA!$AX:$AX,Toimenpiteet!$Y$6,JA!$AT:$AT,Toimenpiteet!$X151,JA!$CI:$CI,Toimenpiteet!$Y$1,JA!BO:BO,"OK",JA!CT:CT,$AF$4)</f>
        <v>0</v>
      </c>
      <c r="I151" s="429">
        <f>SUMIFS(JA!$Z:$Z,JA!$AX:$AX,Toimenpiteet!$Y$6,JA!$AT:$AT,Toimenpiteet!$X151,JA!$CI:$CI,Toimenpiteet!$Y$1,JA!BP:BP,"OK",JA!CT:CT,$AF$4)</f>
        <v>0</v>
      </c>
      <c r="J151" s="429">
        <f>SUMIFS(JA!$Z:$Z,JA!$AX:$AX,Toimenpiteet!$Y$6,JA!$AT:$AT,Toimenpiteet!$X151,JA!$CI:$CI,Toimenpiteet!$Y$1,JA!BQ:BQ,"OK",JA!CT:CT,$AF$4)</f>
        <v>0</v>
      </c>
      <c r="K151" s="429">
        <f>SUMIFS(JA!$Z:$Z,JA!$AX:$AX,Toimenpiteet!$Y$6,JA!$AT:$AT,Toimenpiteet!$X151,JA!$CI:$CI,Toimenpiteet!$Y$1,JA!BR:BR,"OK",JA!CT:CT,$AF$4)</f>
        <v>0</v>
      </c>
      <c r="L151" s="429">
        <f>SUMIFS(JA!$Z:$Z,JA!$AX:$AX,Toimenpiteet!$Y$6,JA!$AT:$AT,Toimenpiteet!$X151,JA!$CI:$CI,Toimenpiteet!$Y$1,JA!BS:BS,"OK",JA!CT:CT,$AF$4)</f>
        <v>0</v>
      </c>
      <c r="M151" s="429">
        <f>SUMIFS(JA!$Z:$Z,JA!$AX:$AX,Toimenpiteet!$Y$6,JA!$AT:$AT,Toimenpiteet!$X151,JA!$CI:$CI,Toimenpiteet!$Y$1,JA!BT:BT,"OK",JA!CT:CT,$AF$4)</f>
        <v>0</v>
      </c>
      <c r="N151" s="429">
        <f>SUMIFS(JA!$Z:$Z,JA!$AX:$AX,Toimenpiteet!$Y$6,JA!$AT:$AT,Toimenpiteet!$X151,JA!$CI:$CI,Toimenpiteet!$Y$1,JA!BU:BU,"OK",JA!CT:CT,$AF$4)</f>
        <v>0</v>
      </c>
      <c r="O151" s="429">
        <f t="shared" si="13"/>
        <v>0</v>
      </c>
      <c r="R151" s="78"/>
      <c r="S151" s="78"/>
      <c r="X151" t="s">
        <v>372</v>
      </c>
    </row>
    <row r="152" spans="1:24" hidden="1" x14ac:dyDescent="0.25">
      <c r="A152" s="1044"/>
      <c r="B152" s="911" t="s">
        <v>373</v>
      </c>
      <c r="C152" s="429">
        <f>SUMIFS(JA!$Z:$Z,JA!$AX:$AX,Toimenpiteet!$Y$6,JA!$AT:$AT,Toimenpiteet!$X152,JA!$CI:$CI,Toimenpiteet!$Y$1,JA!BJ:BJ,"OK",JA!CT:CT,$AF$4)</f>
        <v>0</v>
      </c>
      <c r="D152" s="429">
        <f>SUMIFS(JA!$Z:$Z,JA!$AX:$AX,Toimenpiteet!$Y$6,JA!$AT:$AT,Toimenpiteet!$X152,JA!$CI:$CI,Toimenpiteet!$Y$1,JA!BK:BK,"OK",JA!CT:CT,$AF$4)</f>
        <v>0</v>
      </c>
      <c r="E152" s="429">
        <f>SUMIFS(JA!$Z:$Z,JA!$AX:$AX,Toimenpiteet!$Y$6,JA!$AT:$AT,Toimenpiteet!$X152,JA!$CI:$CI,Toimenpiteet!$Y$1,JA!BL:BL,"OK",JA!CT:CT,$AF$4)</f>
        <v>0</v>
      </c>
      <c r="F152" s="429">
        <f>SUMIFS(JA!$Z:$Z,JA!$AX:$AX,Toimenpiteet!$Y$6,JA!$AT:$AT,Toimenpiteet!$X152,JA!$CI:$CI,Toimenpiteet!$Y$1,JA!BM:BM,"OK",JA!CT:CT,$AF$4)</f>
        <v>0</v>
      </c>
      <c r="G152" s="429">
        <f>SUMIFS(JA!$Z:$Z,JA!$AX:$AX,Toimenpiteet!$Y$6,JA!$AT:$AT,Toimenpiteet!$X152,JA!$CI:$CI,Toimenpiteet!$Y$1,JA!BN:BN,"OK",JA!CT:CT,$AF$4)</f>
        <v>0</v>
      </c>
      <c r="H152" s="429">
        <f>SUMIFS(JA!$Z:$Z,JA!$AX:$AX,Toimenpiteet!$Y$6,JA!$AT:$AT,Toimenpiteet!$X152,JA!$CI:$CI,Toimenpiteet!$Y$1,JA!BO:BO,"OK",JA!CT:CT,$AF$4)</f>
        <v>0</v>
      </c>
      <c r="I152" s="429">
        <f>SUMIFS(JA!$Z:$Z,JA!$AX:$AX,Toimenpiteet!$Y$6,JA!$AT:$AT,Toimenpiteet!$X152,JA!$CI:$CI,Toimenpiteet!$Y$1,JA!BP:BP,"OK",JA!CT:CT,$AF$4)</f>
        <v>0</v>
      </c>
      <c r="J152" s="429">
        <f>SUMIFS(JA!$Z:$Z,JA!$AX:$AX,Toimenpiteet!$Y$6,JA!$AT:$AT,Toimenpiteet!$X152,JA!$CI:$CI,Toimenpiteet!$Y$1,JA!BQ:BQ,"OK",JA!CT:CT,$AF$4)</f>
        <v>0</v>
      </c>
      <c r="K152" s="429">
        <f>SUMIFS(JA!$Z:$Z,JA!$AX:$AX,Toimenpiteet!$Y$6,JA!$AT:$AT,Toimenpiteet!$X152,JA!$CI:$CI,Toimenpiteet!$Y$1,JA!BR:BR,"OK",JA!CT:CT,$AF$4)</f>
        <v>0</v>
      </c>
      <c r="L152" s="429">
        <f>SUMIFS(JA!$Z:$Z,JA!$AX:$AX,Toimenpiteet!$Y$6,JA!$AT:$AT,Toimenpiteet!$X152,JA!$CI:$CI,Toimenpiteet!$Y$1,JA!BS:BS,"OK",JA!CT:CT,$AF$4)</f>
        <v>0</v>
      </c>
      <c r="M152" s="429">
        <f>SUMIFS(JA!$Z:$Z,JA!$AX:$AX,Toimenpiteet!$Y$6,JA!$AT:$AT,Toimenpiteet!$X152,JA!$CI:$CI,Toimenpiteet!$Y$1,JA!BT:BT,"OK",JA!CT:CT,$AF$4)</f>
        <v>0</v>
      </c>
      <c r="N152" s="429">
        <f>SUMIFS(JA!$Z:$Z,JA!$AX:$AX,Toimenpiteet!$Y$6,JA!$AT:$AT,Toimenpiteet!$X152,JA!$CI:$CI,Toimenpiteet!$Y$1,JA!BU:BU,"OK",JA!CT:CT,$AF$4)</f>
        <v>0</v>
      </c>
      <c r="O152" s="429">
        <f t="shared" si="13"/>
        <v>0</v>
      </c>
      <c r="R152" s="78"/>
      <c r="S152" s="78"/>
      <c r="X152" t="s">
        <v>374</v>
      </c>
    </row>
    <row r="153" spans="1:24" hidden="1" x14ac:dyDescent="0.25">
      <c r="A153" s="1044"/>
      <c r="B153" s="914" t="s">
        <v>375</v>
      </c>
      <c r="C153" s="429">
        <f>SUMIFS(JA!$Z:$Z,JA!$AX:$AX,Toimenpiteet!$Y$6,JA!$AT:$AT,Toimenpiteet!$X153,JA!$CI:$CI,Toimenpiteet!$Y$1,JA!BJ:BJ,"OK",JA!CT:CT,$AF$4)</f>
        <v>0</v>
      </c>
      <c r="D153" s="429">
        <f>SUMIFS(JA!$Z:$Z,JA!$AX:$AX,Toimenpiteet!$Y$6,JA!$AT:$AT,Toimenpiteet!$X153,JA!$CI:$CI,Toimenpiteet!$Y$1,JA!BK:BK,"OK",JA!CT:CT,$AF$4)</f>
        <v>0</v>
      </c>
      <c r="E153" s="429">
        <f>SUMIFS(JA!$Z:$Z,JA!$AX:$AX,Toimenpiteet!$Y$6,JA!$AT:$AT,Toimenpiteet!$X153,JA!$CI:$CI,Toimenpiteet!$Y$1,JA!BL:BL,"OK",JA!CT:CT,$AF$4)</f>
        <v>0</v>
      </c>
      <c r="F153" s="429">
        <f>SUMIFS(JA!$Z:$Z,JA!$AX:$AX,Toimenpiteet!$Y$6,JA!$AT:$AT,Toimenpiteet!$X153,JA!$CI:$CI,Toimenpiteet!$Y$1,JA!BM:BM,"OK",JA!CT:CT,$AF$4)</f>
        <v>0</v>
      </c>
      <c r="G153" s="429">
        <f>SUMIFS(JA!$Z:$Z,JA!$AX:$AX,Toimenpiteet!$Y$6,JA!$AT:$AT,Toimenpiteet!$X153,JA!$CI:$CI,Toimenpiteet!$Y$1,JA!BN:BN,"OK",JA!CT:CT,$AF$4)</f>
        <v>0</v>
      </c>
      <c r="H153" s="429">
        <f>SUMIFS(JA!$Z:$Z,JA!$AX:$AX,Toimenpiteet!$Y$6,JA!$AT:$AT,Toimenpiteet!$X153,JA!$CI:$CI,Toimenpiteet!$Y$1,JA!BO:BO,"OK",JA!CT:CT,$AF$4)</f>
        <v>0</v>
      </c>
      <c r="I153" s="429">
        <f>SUMIFS(JA!$Z:$Z,JA!$AX:$AX,Toimenpiteet!$Y$6,JA!$AT:$AT,Toimenpiteet!$X153,JA!$CI:$CI,Toimenpiteet!$Y$1,JA!BP:BP,"OK",JA!CT:CT,$AF$4)</f>
        <v>0</v>
      </c>
      <c r="J153" s="429">
        <f>SUMIFS(JA!$Z:$Z,JA!$AX:$AX,Toimenpiteet!$Y$6,JA!$AT:$AT,Toimenpiteet!$X153,JA!$CI:$CI,Toimenpiteet!$Y$1,JA!BQ:BQ,"OK",JA!CT:CT,$AF$4)</f>
        <v>0</v>
      </c>
      <c r="K153" s="429">
        <f>SUMIFS(JA!$Z:$Z,JA!$AX:$AX,Toimenpiteet!$Y$6,JA!$AT:$AT,Toimenpiteet!$X153,JA!$CI:$CI,Toimenpiteet!$Y$1,JA!BR:BR,"OK",JA!CT:CT,$AF$4)</f>
        <v>0</v>
      </c>
      <c r="L153" s="429">
        <f>SUMIFS(JA!$Z:$Z,JA!$AX:$AX,Toimenpiteet!$Y$6,JA!$AT:$AT,Toimenpiteet!$X153,JA!$CI:$CI,Toimenpiteet!$Y$1,JA!BS:BS,"OK",JA!CT:CT,$AF$4)</f>
        <v>0</v>
      </c>
      <c r="M153" s="429">
        <f>SUMIFS(JA!$Z:$Z,JA!$AX:$AX,Toimenpiteet!$Y$6,JA!$AT:$AT,Toimenpiteet!$X153,JA!$CI:$CI,Toimenpiteet!$Y$1,JA!BT:BT,"OK",JA!CT:CT,$AF$4)</f>
        <v>0</v>
      </c>
      <c r="N153" s="429">
        <f>SUMIFS(JA!$Z:$Z,JA!$AX:$AX,Toimenpiteet!$Y$6,JA!$AT:$AT,Toimenpiteet!$X153,JA!$CI:$CI,Toimenpiteet!$Y$1,JA!BU:BU,"OK",JA!CT:CT,$AF$4)</f>
        <v>0</v>
      </c>
      <c r="O153" s="429">
        <f t="shared" si="13"/>
        <v>0</v>
      </c>
      <c r="R153" s="78"/>
      <c r="S153" s="78"/>
      <c r="X153" t="s">
        <v>376</v>
      </c>
    </row>
    <row r="154" spans="1:24" ht="15" hidden="1" customHeight="1" x14ac:dyDescent="0.25">
      <c r="A154" s="1043" t="s">
        <v>380</v>
      </c>
      <c r="B154" s="912" t="s">
        <v>381</v>
      </c>
      <c r="C154" s="429">
        <f>SUMIFS(JA!$Z:$Z,JA!$AX:$AX,Toimenpiteet!$Y$6,JA!$AT:$AT,Toimenpiteet!$X154,JA!$CI:$CI,Toimenpiteet!$Y$1,JA!BJ:BJ,"OK",JA!CT:CT,$AF$4)</f>
        <v>0</v>
      </c>
      <c r="D154" s="429">
        <f>SUMIFS(JA!$Z:$Z,JA!$AX:$AX,Toimenpiteet!$Y$6,JA!$AT:$AT,Toimenpiteet!$X154,JA!$CI:$CI,Toimenpiteet!$Y$1,JA!BK:BK,"OK",JA!CT:CT,$AF$4)</f>
        <v>0</v>
      </c>
      <c r="E154" s="429">
        <f>SUMIFS(JA!$Z:$Z,JA!$AX:$AX,Toimenpiteet!$Y$6,JA!$AT:$AT,Toimenpiteet!$X154,JA!$CI:$CI,Toimenpiteet!$Y$1,JA!BL:BL,"OK",JA!CT:CT,$AF$4)</f>
        <v>0</v>
      </c>
      <c r="F154" s="429">
        <f>SUMIFS(JA!$Z:$Z,JA!$AX:$AX,Toimenpiteet!$Y$6,JA!$AT:$AT,Toimenpiteet!$X154,JA!$CI:$CI,Toimenpiteet!$Y$1,JA!BM:BM,"OK",JA!CT:CT,$AF$4)</f>
        <v>0</v>
      </c>
      <c r="G154" s="429">
        <f>SUMIFS(JA!$Z:$Z,JA!$AX:$AX,Toimenpiteet!$Y$6,JA!$AT:$AT,Toimenpiteet!$X154,JA!$CI:$CI,Toimenpiteet!$Y$1,JA!BN:BN,"OK",JA!CT:CT,$AF$4)</f>
        <v>0</v>
      </c>
      <c r="H154" s="429">
        <f>SUMIFS(JA!$Z:$Z,JA!$AX:$AX,Toimenpiteet!$Y$6,JA!$AT:$AT,Toimenpiteet!$X154,JA!$CI:$CI,Toimenpiteet!$Y$1,JA!BO:BO,"OK",JA!CT:CT,$AF$4)</f>
        <v>0</v>
      </c>
      <c r="I154" s="429">
        <f>SUMIFS(JA!$Z:$Z,JA!$AX:$AX,Toimenpiteet!$Y$6,JA!$AT:$AT,Toimenpiteet!$X154,JA!$CI:$CI,Toimenpiteet!$Y$1,JA!BP:BP,"OK",JA!CT:CT,$AF$4)</f>
        <v>0</v>
      </c>
      <c r="J154" s="429">
        <f>SUMIFS(JA!$Z:$Z,JA!$AX:$AX,Toimenpiteet!$Y$6,JA!$AT:$AT,Toimenpiteet!$X154,JA!$CI:$CI,Toimenpiteet!$Y$1,JA!BQ:BQ,"OK",JA!CT:CT,$AF$4)</f>
        <v>0</v>
      </c>
      <c r="K154" s="429">
        <f>SUMIFS(JA!$Z:$Z,JA!$AX:$AX,Toimenpiteet!$Y$6,JA!$AT:$AT,Toimenpiteet!$X154,JA!$CI:$CI,Toimenpiteet!$Y$1,JA!BR:BR,"OK",JA!CT:CT,$AF$4)</f>
        <v>0</v>
      </c>
      <c r="L154" s="429">
        <f>SUMIFS(JA!$Z:$Z,JA!$AX:$AX,Toimenpiteet!$Y$6,JA!$AT:$AT,Toimenpiteet!$X154,JA!$CI:$CI,Toimenpiteet!$Y$1,JA!BS:BS,"OK",JA!CT:CT,$AF$4)</f>
        <v>0</v>
      </c>
      <c r="M154" s="429">
        <f>SUMIFS(JA!$Z:$Z,JA!$AX:$AX,Toimenpiteet!$Y$6,JA!$AT:$AT,Toimenpiteet!$X154,JA!$CI:$CI,Toimenpiteet!$Y$1,JA!BT:BT,"OK",JA!CT:CT,$AF$4)</f>
        <v>0</v>
      </c>
      <c r="N154" s="429">
        <f>SUMIFS(JA!$Z:$Z,JA!$AX:$AX,Toimenpiteet!$Y$6,JA!$AT:$AT,Toimenpiteet!$X154,JA!$CI:$CI,Toimenpiteet!$Y$1,JA!BU:BU,"OK",JA!CT:CT,$AF$4)</f>
        <v>0</v>
      </c>
      <c r="O154" s="429">
        <f t="shared" si="13"/>
        <v>0</v>
      </c>
      <c r="X154" t="s">
        <v>382</v>
      </c>
    </row>
    <row r="155" spans="1:24" hidden="1" x14ac:dyDescent="0.25">
      <c r="A155" s="1044"/>
      <c r="B155" s="913" t="s">
        <v>384</v>
      </c>
      <c r="C155" s="429">
        <f>SUMIFS(JA!$Z:$Z,JA!$AX:$AX,Toimenpiteet!$Y$6,JA!$AT:$AT,Toimenpiteet!$X155,JA!$CI:$CI,Toimenpiteet!$Y$1,JA!BJ:BJ,"OK",JA!CT:CT,$AF$4)</f>
        <v>0</v>
      </c>
      <c r="D155" s="429">
        <f>SUMIFS(JA!$Z:$Z,JA!$AX:$AX,Toimenpiteet!$Y$6,JA!$AT:$AT,Toimenpiteet!$X155,JA!$CI:$CI,Toimenpiteet!$Y$1,JA!BK:BK,"OK",JA!CT:CT,$AF$4)</f>
        <v>0</v>
      </c>
      <c r="E155" s="429">
        <f>SUMIFS(JA!$Z:$Z,JA!$AX:$AX,Toimenpiteet!$Y$6,JA!$AT:$AT,Toimenpiteet!$X155,JA!$CI:$CI,Toimenpiteet!$Y$1,JA!BL:BL,"OK",JA!CT:CT,$AF$4)</f>
        <v>0</v>
      </c>
      <c r="F155" s="429">
        <f>SUMIFS(JA!$Z:$Z,JA!$AX:$AX,Toimenpiteet!$Y$6,JA!$AT:$AT,Toimenpiteet!$X155,JA!$CI:$CI,Toimenpiteet!$Y$1,JA!BM:BM,"OK",JA!CT:CT,$AF$4)</f>
        <v>0</v>
      </c>
      <c r="G155" s="429">
        <f>SUMIFS(JA!$Z:$Z,JA!$AX:$AX,Toimenpiteet!$Y$6,JA!$AT:$AT,Toimenpiteet!$X155,JA!$CI:$CI,Toimenpiteet!$Y$1,JA!BN:BN,"OK",JA!CT:CT,$AF$4)</f>
        <v>0</v>
      </c>
      <c r="H155" s="429">
        <f>SUMIFS(JA!$Z:$Z,JA!$AX:$AX,Toimenpiteet!$Y$6,JA!$AT:$AT,Toimenpiteet!$X155,JA!$CI:$CI,Toimenpiteet!$Y$1,JA!BO:BO,"OK",JA!CT:CT,$AF$4)</f>
        <v>0</v>
      </c>
      <c r="I155" s="429">
        <f>SUMIFS(JA!$Z:$Z,JA!$AX:$AX,Toimenpiteet!$Y$6,JA!$AT:$AT,Toimenpiteet!$X155,JA!$CI:$CI,Toimenpiteet!$Y$1,JA!BP:BP,"OK",JA!CT:CT,$AF$4)</f>
        <v>0</v>
      </c>
      <c r="J155" s="429">
        <f>SUMIFS(JA!$Z:$Z,JA!$AX:$AX,Toimenpiteet!$Y$6,JA!$AT:$AT,Toimenpiteet!$X155,JA!$CI:$CI,Toimenpiteet!$Y$1,JA!BQ:BQ,"OK",JA!CT:CT,$AF$4)</f>
        <v>0</v>
      </c>
      <c r="K155" s="429">
        <f>SUMIFS(JA!$Z:$Z,JA!$AX:$AX,Toimenpiteet!$Y$6,JA!$AT:$AT,Toimenpiteet!$X155,JA!$CI:$CI,Toimenpiteet!$Y$1,JA!BR:BR,"OK",JA!CT:CT,$AF$4)</f>
        <v>0</v>
      </c>
      <c r="L155" s="429">
        <f>SUMIFS(JA!$Z:$Z,JA!$AX:$AX,Toimenpiteet!$Y$6,JA!$AT:$AT,Toimenpiteet!$X155,JA!$CI:$CI,Toimenpiteet!$Y$1,JA!BS:BS,"OK",JA!CT:CT,$AF$4)</f>
        <v>0</v>
      </c>
      <c r="M155" s="429">
        <f>SUMIFS(JA!$Z:$Z,JA!$AX:$AX,Toimenpiteet!$Y$6,JA!$AT:$AT,Toimenpiteet!$X155,JA!$CI:$CI,Toimenpiteet!$Y$1,JA!BT:BT,"OK",JA!CT:CT,$AF$4)</f>
        <v>0</v>
      </c>
      <c r="N155" s="429">
        <f>SUMIFS(JA!$Z:$Z,JA!$AX:$AX,Toimenpiteet!$Y$6,JA!$AT:$AT,Toimenpiteet!$X155,JA!$CI:$CI,Toimenpiteet!$Y$1,JA!BU:BU,"OK",JA!CT:CT,$AF$4)</f>
        <v>0</v>
      </c>
      <c r="O155" s="429">
        <f t="shared" si="13"/>
        <v>0</v>
      </c>
      <c r="R155" s="78"/>
      <c r="X155" t="s">
        <v>385</v>
      </c>
    </row>
    <row r="156" spans="1:24" hidden="1" x14ac:dyDescent="0.25">
      <c r="A156" s="1044"/>
      <c r="B156" s="911" t="s">
        <v>1872</v>
      </c>
      <c r="C156" s="429">
        <f>SUMIFS(JA!$Z:$Z,JA!$AX:$AX,Toimenpiteet!$Y$6,JA!$AT:$AT,Toimenpiteet!$X156,JA!$CI:$CI,Toimenpiteet!$Y$1,JA!BJ:BJ,"OK",JA!CT:CT,$AF$4)</f>
        <v>0</v>
      </c>
      <c r="D156" s="429">
        <f>SUMIFS(JA!$Z:$Z,JA!$AX:$AX,Toimenpiteet!$Y$6,JA!$AT:$AT,Toimenpiteet!$X156,JA!$CI:$CI,Toimenpiteet!$Y$1,JA!BK:BK,"OK",JA!CT:CT,$AF$4)</f>
        <v>0</v>
      </c>
      <c r="E156" s="429">
        <f>SUMIFS(JA!$Z:$Z,JA!$AX:$AX,Toimenpiteet!$Y$6,JA!$AT:$AT,Toimenpiteet!$X156,JA!$CI:$CI,Toimenpiteet!$Y$1,JA!BL:BL,"OK",JA!CT:CT,$AF$4)</f>
        <v>0</v>
      </c>
      <c r="F156" s="429">
        <f>SUMIFS(JA!$Z:$Z,JA!$AX:$AX,Toimenpiteet!$Y$6,JA!$AT:$AT,Toimenpiteet!$X156,JA!$CI:$CI,Toimenpiteet!$Y$1,JA!BM:BM,"OK",JA!CT:CT,$AF$4)</f>
        <v>0</v>
      </c>
      <c r="G156" s="429">
        <f>SUMIFS(JA!$Z:$Z,JA!$AX:$AX,Toimenpiteet!$Y$6,JA!$AT:$AT,Toimenpiteet!$X156,JA!$CI:$CI,Toimenpiteet!$Y$1,JA!BN:BN,"OK",JA!CT:CT,$AF$4)</f>
        <v>0</v>
      </c>
      <c r="H156" s="429">
        <f>SUMIFS(JA!$Z:$Z,JA!$AX:$AX,Toimenpiteet!$Y$6,JA!$AT:$AT,Toimenpiteet!$X156,JA!$CI:$CI,Toimenpiteet!$Y$1,JA!BO:BO,"OK",JA!CT:CT,$AF$4)</f>
        <v>0</v>
      </c>
      <c r="I156" s="429">
        <f>SUMIFS(JA!$Z:$Z,JA!$AX:$AX,Toimenpiteet!$Y$6,JA!$AT:$AT,Toimenpiteet!$X156,JA!$CI:$CI,Toimenpiteet!$Y$1,JA!BP:BP,"OK",JA!CT:CT,$AF$4)</f>
        <v>0</v>
      </c>
      <c r="J156" s="429">
        <f>SUMIFS(JA!$Z:$Z,JA!$AX:$AX,Toimenpiteet!$Y$6,JA!$AT:$AT,Toimenpiteet!$X156,JA!$CI:$CI,Toimenpiteet!$Y$1,JA!BQ:BQ,"OK",JA!CT:CT,$AF$4)</f>
        <v>0</v>
      </c>
      <c r="K156" s="429">
        <f>SUMIFS(JA!$Z:$Z,JA!$AX:$AX,Toimenpiteet!$Y$6,JA!$AT:$AT,Toimenpiteet!$X156,JA!$CI:$CI,Toimenpiteet!$Y$1,JA!BR:BR,"OK",JA!CT:CT,$AF$4)</f>
        <v>0</v>
      </c>
      <c r="L156" s="429">
        <f>SUMIFS(JA!$Z:$Z,JA!$AX:$AX,Toimenpiteet!$Y$6,JA!$AT:$AT,Toimenpiteet!$X156,JA!$CI:$CI,Toimenpiteet!$Y$1,JA!BS:BS,"OK",JA!CT:CT,$AF$4)</f>
        <v>0</v>
      </c>
      <c r="M156" s="429">
        <f>SUMIFS(JA!$Z:$Z,JA!$AX:$AX,Toimenpiteet!$Y$6,JA!$AT:$AT,Toimenpiteet!$X156,JA!$CI:$CI,Toimenpiteet!$Y$1,JA!BT:BT,"OK",JA!CT:CT,$AF$4)</f>
        <v>0</v>
      </c>
      <c r="N156" s="429">
        <f>SUMIFS(JA!$Z:$Z,JA!$AX:$AX,Toimenpiteet!$Y$6,JA!$AT:$AT,Toimenpiteet!$X156,JA!$CI:$CI,Toimenpiteet!$Y$1,JA!BU:BU,"OK",JA!CT:CT,$AF$4)</f>
        <v>0</v>
      </c>
      <c r="O156" s="429">
        <f t="shared" si="13"/>
        <v>0</v>
      </c>
      <c r="R156" s="78"/>
      <c r="S156" s="78"/>
      <c r="X156" t="s">
        <v>1871</v>
      </c>
    </row>
    <row r="157" spans="1:24" hidden="1" x14ac:dyDescent="0.25">
      <c r="A157" s="1044"/>
      <c r="B157" s="911" t="s">
        <v>389</v>
      </c>
      <c r="C157" s="429">
        <f>SUMIFS(JA!$Z:$Z,JA!$AX:$AX,Toimenpiteet!$Y$6,JA!$AT:$AT,Toimenpiteet!$X157,JA!$CI:$CI,Toimenpiteet!$Y$1,JA!BJ:BJ,"OK",JA!CT:CT,$AF$4)</f>
        <v>0</v>
      </c>
      <c r="D157" s="429">
        <f>SUMIFS(JA!$Z:$Z,JA!$AX:$AX,Toimenpiteet!$Y$6,JA!$AT:$AT,Toimenpiteet!$X157,JA!$CI:$CI,Toimenpiteet!$Y$1,JA!BK:BK,"OK",JA!CT:CT,$AF$4)</f>
        <v>0</v>
      </c>
      <c r="E157" s="429">
        <f>SUMIFS(JA!$Z:$Z,JA!$AX:$AX,Toimenpiteet!$Y$6,JA!$AT:$AT,Toimenpiteet!$X157,JA!$CI:$CI,Toimenpiteet!$Y$1,JA!BL:BL,"OK",JA!CT:CT,$AF$4)</f>
        <v>0</v>
      </c>
      <c r="F157" s="429">
        <f>SUMIFS(JA!$Z:$Z,JA!$AX:$AX,Toimenpiteet!$Y$6,JA!$AT:$AT,Toimenpiteet!$X157,JA!$CI:$CI,Toimenpiteet!$Y$1,JA!BM:BM,"OK",JA!CT:CT,$AF$4)</f>
        <v>0</v>
      </c>
      <c r="G157" s="429">
        <f>SUMIFS(JA!$Z:$Z,JA!$AX:$AX,Toimenpiteet!$Y$6,JA!$AT:$AT,Toimenpiteet!$X157,JA!$CI:$CI,Toimenpiteet!$Y$1,JA!BN:BN,"OK",JA!CT:CT,$AF$4)</f>
        <v>0</v>
      </c>
      <c r="H157" s="429">
        <f>SUMIFS(JA!$Z:$Z,JA!$AX:$AX,Toimenpiteet!$Y$6,JA!$AT:$AT,Toimenpiteet!$X157,JA!$CI:$CI,Toimenpiteet!$Y$1,JA!BO:BO,"OK",JA!CT:CT,$AF$4)</f>
        <v>0</v>
      </c>
      <c r="I157" s="429">
        <f>SUMIFS(JA!$Z:$Z,JA!$AX:$AX,Toimenpiteet!$Y$6,JA!$AT:$AT,Toimenpiteet!$X157,JA!$CI:$CI,Toimenpiteet!$Y$1,JA!BP:BP,"OK",JA!CT:CT,$AF$4)</f>
        <v>0</v>
      </c>
      <c r="J157" s="429">
        <f>SUMIFS(JA!$Z:$Z,JA!$AX:$AX,Toimenpiteet!$Y$6,JA!$AT:$AT,Toimenpiteet!$X157,JA!$CI:$CI,Toimenpiteet!$Y$1,JA!BQ:BQ,"OK",JA!CT:CT,$AF$4)</f>
        <v>0</v>
      </c>
      <c r="K157" s="429">
        <f>SUMIFS(JA!$Z:$Z,JA!$AX:$AX,Toimenpiteet!$Y$6,JA!$AT:$AT,Toimenpiteet!$X157,JA!$CI:$CI,Toimenpiteet!$Y$1,JA!BR:BR,"OK",JA!CT:CT,$AF$4)</f>
        <v>0</v>
      </c>
      <c r="L157" s="429">
        <f>SUMIFS(JA!$Z:$Z,JA!$AX:$AX,Toimenpiteet!$Y$6,JA!$AT:$AT,Toimenpiteet!$X157,JA!$CI:$CI,Toimenpiteet!$Y$1,JA!BS:BS,"OK",JA!CT:CT,$AF$4)</f>
        <v>0</v>
      </c>
      <c r="M157" s="429">
        <f>SUMIFS(JA!$Z:$Z,JA!$AX:$AX,Toimenpiteet!$Y$6,JA!$AT:$AT,Toimenpiteet!$X157,JA!$CI:$CI,Toimenpiteet!$Y$1,JA!BT:BT,"OK",JA!CT:CT,$AF$4)</f>
        <v>0</v>
      </c>
      <c r="N157" s="429">
        <f>SUMIFS(JA!$Z:$Z,JA!$AX:$AX,Toimenpiteet!$Y$6,JA!$AT:$AT,Toimenpiteet!$X157,JA!$CI:$CI,Toimenpiteet!$Y$1,JA!BU:BU,"OK",JA!CT:CT,$AF$4)</f>
        <v>0</v>
      </c>
      <c r="O157" s="429">
        <f t="shared" si="13"/>
        <v>0</v>
      </c>
      <c r="R157" s="78"/>
      <c r="X157" s="86" t="s">
        <v>390</v>
      </c>
    </row>
    <row r="158" spans="1:24" hidden="1" x14ac:dyDescent="0.25">
      <c r="A158" s="1044"/>
      <c r="B158" s="911" t="s">
        <v>392</v>
      </c>
      <c r="C158" s="429">
        <f>SUMIFS(JA!$Z:$Z,JA!$AX:$AX,Toimenpiteet!$Y$6,JA!$AT:$AT,Toimenpiteet!$X158,JA!$CI:$CI,Toimenpiteet!$Y$1,JA!BJ:BJ,"OK",JA!CT:CT,$AF$4)</f>
        <v>0</v>
      </c>
      <c r="D158" s="429">
        <f>SUMIFS(JA!$Z:$Z,JA!$AX:$AX,Toimenpiteet!$Y$6,JA!$AT:$AT,Toimenpiteet!$X158,JA!$CI:$CI,Toimenpiteet!$Y$1,JA!BK:BK,"OK",JA!CT:CT,$AF$4)</f>
        <v>0</v>
      </c>
      <c r="E158" s="429">
        <f>SUMIFS(JA!$Z:$Z,JA!$AX:$AX,Toimenpiteet!$Y$6,JA!$AT:$AT,Toimenpiteet!$X158,JA!$CI:$CI,Toimenpiteet!$Y$1,JA!BL:BL,"OK",JA!CT:CT,$AF$4)</f>
        <v>0</v>
      </c>
      <c r="F158" s="429">
        <f>SUMIFS(JA!$Z:$Z,JA!$AX:$AX,Toimenpiteet!$Y$6,JA!$AT:$AT,Toimenpiteet!$X158,JA!$CI:$CI,Toimenpiteet!$Y$1,JA!BM:BM,"OK",JA!CT:CT,$AF$4)</f>
        <v>0</v>
      </c>
      <c r="G158" s="429">
        <f>SUMIFS(JA!$Z:$Z,JA!$AX:$AX,Toimenpiteet!$Y$6,JA!$AT:$AT,Toimenpiteet!$X158,JA!$CI:$CI,Toimenpiteet!$Y$1,JA!BN:BN,"OK",JA!CT:CT,$AF$4)</f>
        <v>0</v>
      </c>
      <c r="H158" s="429">
        <f>SUMIFS(JA!$Z:$Z,JA!$AX:$AX,Toimenpiteet!$Y$6,JA!$AT:$AT,Toimenpiteet!$X158,JA!$CI:$CI,Toimenpiteet!$Y$1,JA!BO:BO,"OK",JA!CT:CT,$AF$4)</f>
        <v>0</v>
      </c>
      <c r="I158" s="429">
        <f>SUMIFS(JA!$Z:$Z,JA!$AX:$AX,Toimenpiteet!$Y$6,JA!$AT:$AT,Toimenpiteet!$X158,JA!$CI:$CI,Toimenpiteet!$Y$1,JA!BP:BP,"OK",JA!CT:CT,$AF$4)</f>
        <v>0</v>
      </c>
      <c r="J158" s="429">
        <f>SUMIFS(JA!$Z:$Z,JA!$AX:$AX,Toimenpiteet!$Y$6,JA!$AT:$AT,Toimenpiteet!$X158,JA!$CI:$CI,Toimenpiteet!$Y$1,JA!BQ:BQ,"OK",JA!CT:CT,$AF$4)</f>
        <v>0</v>
      </c>
      <c r="K158" s="429">
        <f>SUMIFS(JA!$Z:$Z,JA!$AX:$AX,Toimenpiteet!$Y$6,JA!$AT:$AT,Toimenpiteet!$X158,JA!$CI:$CI,Toimenpiteet!$Y$1,JA!BR:BR,"OK",JA!CT:CT,$AF$4)</f>
        <v>0</v>
      </c>
      <c r="L158" s="429">
        <f>SUMIFS(JA!$Z:$Z,JA!$AX:$AX,Toimenpiteet!$Y$6,JA!$AT:$AT,Toimenpiteet!$X158,JA!$CI:$CI,Toimenpiteet!$Y$1,JA!BS:BS,"OK",JA!CT:CT,$AF$4)</f>
        <v>0</v>
      </c>
      <c r="M158" s="429">
        <f>SUMIFS(JA!$Z:$Z,JA!$AX:$AX,Toimenpiteet!$Y$6,JA!$AT:$AT,Toimenpiteet!$X158,JA!$CI:$CI,Toimenpiteet!$Y$1,JA!BT:BT,"OK",JA!CT:CT,$AF$4)</f>
        <v>0</v>
      </c>
      <c r="N158" s="429">
        <f>SUMIFS(JA!$Z:$Z,JA!$AX:$AX,Toimenpiteet!$Y$6,JA!$AT:$AT,Toimenpiteet!$X158,JA!$CI:$CI,Toimenpiteet!$Y$1,JA!BU:BU,"OK",JA!CT:CT,$AF$4)</f>
        <v>0</v>
      </c>
      <c r="O158" s="429">
        <f t="shared" si="13"/>
        <v>0</v>
      </c>
      <c r="R158" s="78"/>
      <c r="X158" t="s">
        <v>393</v>
      </c>
    </row>
    <row r="159" spans="1:24" hidden="1" x14ac:dyDescent="0.25">
      <c r="A159" s="1044"/>
      <c r="B159" s="911" t="s">
        <v>394</v>
      </c>
      <c r="C159" s="429">
        <f>SUMIFS(JA!$Z:$Z,JA!$AX:$AX,Toimenpiteet!$Y$6,JA!$AT:$AT,Toimenpiteet!$X159,JA!$CI:$CI,Toimenpiteet!$Y$1,JA!BJ:BJ,"OK",JA!CT:CT,$AF$4)</f>
        <v>0</v>
      </c>
      <c r="D159" s="429">
        <f>SUMIFS(JA!$Z:$Z,JA!$AX:$AX,Toimenpiteet!$Y$6,JA!$AT:$AT,Toimenpiteet!$X159,JA!$CI:$CI,Toimenpiteet!$Y$1,JA!BK:BK,"OK",JA!CT:CT,$AF$4)</f>
        <v>0</v>
      </c>
      <c r="E159" s="429">
        <f>SUMIFS(JA!$Z:$Z,JA!$AX:$AX,Toimenpiteet!$Y$6,JA!$AT:$AT,Toimenpiteet!$X159,JA!$CI:$CI,Toimenpiteet!$Y$1,JA!BL:BL,"OK",JA!CT:CT,$AF$4)</f>
        <v>0</v>
      </c>
      <c r="F159" s="429">
        <f>SUMIFS(JA!$Z:$Z,JA!$AX:$AX,Toimenpiteet!$Y$6,JA!$AT:$AT,Toimenpiteet!$X159,JA!$CI:$CI,Toimenpiteet!$Y$1,JA!BM:BM,"OK",JA!CT:CT,$AF$4)</f>
        <v>0</v>
      </c>
      <c r="G159" s="429">
        <f>SUMIFS(JA!$Z:$Z,JA!$AX:$AX,Toimenpiteet!$Y$6,JA!$AT:$AT,Toimenpiteet!$X159,JA!$CI:$CI,Toimenpiteet!$Y$1,JA!BN:BN,"OK",JA!CT:CT,$AF$4)</f>
        <v>0</v>
      </c>
      <c r="H159" s="429">
        <f>SUMIFS(JA!$Z:$Z,JA!$AX:$AX,Toimenpiteet!$Y$6,JA!$AT:$AT,Toimenpiteet!$X159,JA!$CI:$CI,Toimenpiteet!$Y$1,JA!BO:BO,"OK",JA!CT:CT,$AF$4)</f>
        <v>0</v>
      </c>
      <c r="I159" s="429">
        <f>SUMIFS(JA!$Z:$Z,JA!$AX:$AX,Toimenpiteet!$Y$6,JA!$AT:$AT,Toimenpiteet!$X159,JA!$CI:$CI,Toimenpiteet!$Y$1,JA!BP:BP,"OK",JA!CT:CT,$AF$4)</f>
        <v>0</v>
      </c>
      <c r="J159" s="429">
        <f>SUMIFS(JA!$Z:$Z,JA!$AX:$AX,Toimenpiteet!$Y$6,JA!$AT:$AT,Toimenpiteet!$X159,JA!$CI:$CI,Toimenpiteet!$Y$1,JA!BQ:BQ,"OK",JA!CT:CT,$AF$4)</f>
        <v>0</v>
      </c>
      <c r="K159" s="429">
        <f>SUMIFS(JA!$Z:$Z,JA!$AX:$AX,Toimenpiteet!$Y$6,JA!$AT:$AT,Toimenpiteet!$X159,JA!$CI:$CI,Toimenpiteet!$Y$1,JA!BR:BR,"OK",JA!CT:CT,$AF$4)</f>
        <v>0</v>
      </c>
      <c r="L159" s="429">
        <f>SUMIFS(JA!$Z:$Z,JA!$AX:$AX,Toimenpiteet!$Y$6,JA!$AT:$AT,Toimenpiteet!$X159,JA!$CI:$CI,Toimenpiteet!$Y$1,JA!BS:BS,"OK",JA!CT:CT,$AF$4)</f>
        <v>0</v>
      </c>
      <c r="M159" s="429">
        <f>SUMIFS(JA!$Z:$Z,JA!$AX:$AX,Toimenpiteet!$Y$6,JA!$AT:$AT,Toimenpiteet!$X159,JA!$CI:$CI,Toimenpiteet!$Y$1,JA!BT:BT,"OK",JA!CT:CT,$AF$4)</f>
        <v>0</v>
      </c>
      <c r="N159" s="429">
        <f>SUMIFS(JA!$Z:$Z,JA!$AX:$AX,Toimenpiteet!$Y$6,JA!$AT:$AT,Toimenpiteet!$X159,JA!$CI:$CI,Toimenpiteet!$Y$1,JA!BU:BU,"OK",JA!CT:CT,$AF$4)</f>
        <v>0</v>
      </c>
      <c r="O159" s="429">
        <f t="shared" si="13"/>
        <v>0</v>
      </c>
      <c r="R159" s="78"/>
      <c r="X159" s="86" t="s">
        <v>395</v>
      </c>
    </row>
    <row r="160" spans="1:24" hidden="1" x14ac:dyDescent="0.25">
      <c r="A160" s="1044"/>
      <c r="B160" s="911" t="s">
        <v>398</v>
      </c>
      <c r="C160" s="429">
        <f>SUMIFS(JA!$Z:$Z,JA!$AX:$AX,Toimenpiteet!$Y$6,JA!$AT:$AT,Toimenpiteet!$X160,JA!$CI:$CI,Toimenpiteet!$Y$1,JA!BJ:BJ,"OK",JA!CT:CT,$AF$4)</f>
        <v>0</v>
      </c>
      <c r="D160" s="429">
        <f>SUMIFS(JA!$Z:$Z,JA!$AX:$AX,Toimenpiteet!$Y$6,JA!$AT:$AT,Toimenpiteet!$X160,JA!$CI:$CI,Toimenpiteet!$Y$1,JA!BK:BK,"OK",JA!CT:CT,$AF$4)</f>
        <v>0</v>
      </c>
      <c r="E160" s="429">
        <f>SUMIFS(JA!$Z:$Z,JA!$AX:$AX,Toimenpiteet!$Y$6,JA!$AT:$AT,Toimenpiteet!$X160,JA!$CI:$CI,Toimenpiteet!$Y$1,JA!BL:BL,"OK",JA!CT:CT,$AF$4)</f>
        <v>0</v>
      </c>
      <c r="F160" s="429">
        <f>SUMIFS(JA!$Z:$Z,JA!$AX:$AX,Toimenpiteet!$Y$6,JA!$AT:$AT,Toimenpiteet!$X160,JA!$CI:$CI,Toimenpiteet!$Y$1,JA!BM:BM,"OK",JA!CT:CT,$AF$4)</f>
        <v>0</v>
      </c>
      <c r="G160" s="429">
        <f>SUMIFS(JA!$Z:$Z,JA!$AX:$AX,Toimenpiteet!$Y$6,JA!$AT:$AT,Toimenpiteet!$X160,JA!$CI:$CI,Toimenpiteet!$Y$1,JA!BN:BN,"OK",JA!CT:CT,$AF$4)</f>
        <v>0</v>
      </c>
      <c r="H160" s="429">
        <f>SUMIFS(JA!$Z:$Z,JA!$AX:$AX,Toimenpiteet!$Y$6,JA!$AT:$AT,Toimenpiteet!$X160,JA!$CI:$CI,Toimenpiteet!$Y$1,JA!BO:BO,"OK",JA!CT:CT,$AF$4)</f>
        <v>0</v>
      </c>
      <c r="I160" s="429">
        <f>SUMIFS(JA!$Z:$Z,JA!$AX:$AX,Toimenpiteet!$Y$6,JA!$AT:$AT,Toimenpiteet!$X160,JA!$CI:$CI,Toimenpiteet!$Y$1,JA!BP:BP,"OK",JA!CT:CT,$AF$4)</f>
        <v>0</v>
      </c>
      <c r="J160" s="429">
        <f>SUMIFS(JA!$Z:$Z,JA!$AX:$AX,Toimenpiteet!$Y$6,JA!$AT:$AT,Toimenpiteet!$X160,JA!$CI:$CI,Toimenpiteet!$Y$1,JA!BQ:BQ,"OK",JA!CT:CT,$AF$4)</f>
        <v>0</v>
      </c>
      <c r="K160" s="429">
        <f>SUMIFS(JA!$Z:$Z,JA!$AX:$AX,Toimenpiteet!$Y$6,JA!$AT:$AT,Toimenpiteet!$X160,JA!$CI:$CI,Toimenpiteet!$Y$1,JA!BR:BR,"OK",JA!CT:CT,$AF$4)</f>
        <v>0</v>
      </c>
      <c r="L160" s="429">
        <f>SUMIFS(JA!$Z:$Z,JA!$AX:$AX,Toimenpiteet!$Y$6,JA!$AT:$AT,Toimenpiteet!$X160,JA!$CI:$CI,Toimenpiteet!$Y$1,JA!BS:BS,"OK",JA!CT:CT,$AF$4)</f>
        <v>0</v>
      </c>
      <c r="M160" s="429">
        <f>SUMIFS(JA!$Z:$Z,JA!$AX:$AX,Toimenpiteet!$Y$6,JA!$AT:$AT,Toimenpiteet!$X160,JA!$CI:$CI,Toimenpiteet!$Y$1,JA!BT:BT,"OK",JA!CT:CT,$AF$4)</f>
        <v>0</v>
      </c>
      <c r="N160" s="429">
        <f>SUMIFS(JA!$Z:$Z,JA!$AX:$AX,Toimenpiteet!$Y$6,JA!$AT:$AT,Toimenpiteet!$X160,JA!$CI:$CI,Toimenpiteet!$Y$1,JA!BU:BU,"OK",JA!CT:CT,$AF$4)</f>
        <v>0</v>
      </c>
      <c r="O160" s="429">
        <f t="shared" si="13"/>
        <v>0</v>
      </c>
      <c r="R160" s="78"/>
      <c r="X160" s="86" t="s">
        <v>399</v>
      </c>
    </row>
    <row r="161" spans="1:24" hidden="1" x14ac:dyDescent="0.25">
      <c r="A161" s="1044"/>
      <c r="B161" s="911" t="s">
        <v>400</v>
      </c>
      <c r="C161" s="429">
        <f>SUMIFS(JA!$Z:$Z,JA!$AX:$AX,Toimenpiteet!$Y$6,JA!$AT:$AT,Toimenpiteet!$X161,JA!$CI:$CI,Toimenpiteet!$Y$1,JA!BJ:BJ,"OK",JA!CT:CT,$AF$4)</f>
        <v>0</v>
      </c>
      <c r="D161" s="429">
        <f>SUMIFS(JA!$Z:$Z,JA!$AX:$AX,Toimenpiteet!$Y$6,JA!$AT:$AT,Toimenpiteet!$X161,JA!$CI:$CI,Toimenpiteet!$Y$1,JA!BK:BK,"OK",JA!CT:CT,$AF$4)</f>
        <v>0</v>
      </c>
      <c r="E161" s="429">
        <f>SUMIFS(JA!$Z:$Z,JA!$AX:$AX,Toimenpiteet!$Y$6,JA!$AT:$AT,Toimenpiteet!$X161,JA!$CI:$CI,Toimenpiteet!$Y$1,JA!BL:BL,"OK",JA!CT:CT,$AF$4)</f>
        <v>0</v>
      </c>
      <c r="F161" s="429">
        <f>SUMIFS(JA!$Z:$Z,JA!$AX:$AX,Toimenpiteet!$Y$6,JA!$AT:$AT,Toimenpiteet!$X161,JA!$CI:$CI,Toimenpiteet!$Y$1,JA!BM:BM,"OK",JA!CT:CT,$AF$4)</f>
        <v>0</v>
      </c>
      <c r="G161" s="429">
        <f>SUMIFS(JA!$Z:$Z,JA!$AX:$AX,Toimenpiteet!$Y$6,JA!$AT:$AT,Toimenpiteet!$X161,JA!$CI:$CI,Toimenpiteet!$Y$1,JA!BN:BN,"OK",JA!CT:CT,$AF$4)</f>
        <v>0</v>
      </c>
      <c r="H161" s="429">
        <f>SUMIFS(JA!$Z:$Z,JA!$AX:$AX,Toimenpiteet!$Y$6,JA!$AT:$AT,Toimenpiteet!$X161,JA!$CI:$CI,Toimenpiteet!$Y$1,JA!BO:BO,"OK",JA!CT:CT,$AF$4)</f>
        <v>0</v>
      </c>
      <c r="I161" s="429">
        <f>SUMIFS(JA!$Z:$Z,JA!$AX:$AX,Toimenpiteet!$Y$6,JA!$AT:$AT,Toimenpiteet!$X161,JA!$CI:$CI,Toimenpiteet!$Y$1,JA!BP:BP,"OK",JA!CT:CT,$AF$4)</f>
        <v>0</v>
      </c>
      <c r="J161" s="429">
        <f>SUMIFS(JA!$Z:$Z,JA!$AX:$AX,Toimenpiteet!$Y$6,JA!$AT:$AT,Toimenpiteet!$X161,JA!$CI:$CI,Toimenpiteet!$Y$1,JA!BQ:BQ,"OK",JA!CT:CT,$AF$4)</f>
        <v>0</v>
      </c>
      <c r="K161" s="429">
        <f>SUMIFS(JA!$Z:$Z,JA!$AX:$AX,Toimenpiteet!$Y$6,JA!$AT:$AT,Toimenpiteet!$X161,JA!$CI:$CI,Toimenpiteet!$Y$1,JA!BR:BR,"OK",JA!CT:CT,$AF$4)</f>
        <v>0</v>
      </c>
      <c r="L161" s="429">
        <f>SUMIFS(JA!$Z:$Z,JA!$AX:$AX,Toimenpiteet!$Y$6,JA!$AT:$AT,Toimenpiteet!$X161,JA!$CI:$CI,Toimenpiteet!$Y$1,JA!BS:BS,"OK",JA!CT:CT,$AF$4)</f>
        <v>0</v>
      </c>
      <c r="M161" s="429">
        <f>SUMIFS(JA!$Z:$Z,JA!$AX:$AX,Toimenpiteet!$Y$6,JA!$AT:$AT,Toimenpiteet!$X161,JA!$CI:$CI,Toimenpiteet!$Y$1,JA!BT:BT,"OK",JA!CT:CT,$AF$4)</f>
        <v>0</v>
      </c>
      <c r="N161" s="429">
        <f>SUMIFS(JA!$Z:$Z,JA!$AX:$AX,Toimenpiteet!$Y$6,JA!$AT:$AT,Toimenpiteet!$X161,JA!$CI:$CI,Toimenpiteet!$Y$1,JA!BU:BU,"OK",JA!CT:CT,$AF$4)</f>
        <v>0</v>
      </c>
      <c r="O161" s="429">
        <f t="shared" si="13"/>
        <v>0</v>
      </c>
      <c r="R161" s="78"/>
      <c r="X161" s="86" t="s">
        <v>401</v>
      </c>
    </row>
    <row r="162" spans="1:24" hidden="1" x14ac:dyDescent="0.25">
      <c r="A162" s="1045"/>
      <c r="B162" s="911" t="s">
        <v>403</v>
      </c>
      <c r="C162" s="429">
        <f>SUMIFS(JA!$Z:$Z,JA!$AX:$AX,Toimenpiteet!$Y$6,JA!$AT:$AT,Toimenpiteet!$X162,JA!$CI:$CI,Toimenpiteet!$Y$1,JA!BJ:BJ,"OK",JA!CT:CT,$AF$4)</f>
        <v>0</v>
      </c>
      <c r="D162" s="429">
        <f>SUMIFS(JA!$Z:$Z,JA!$AX:$AX,Toimenpiteet!$Y$6,JA!$AT:$AT,Toimenpiteet!$X162,JA!$CI:$CI,Toimenpiteet!$Y$1,JA!BK:BK,"OK",JA!CT:CT,$AF$4)</f>
        <v>0</v>
      </c>
      <c r="E162" s="429">
        <f>SUMIFS(JA!$Z:$Z,JA!$AX:$AX,Toimenpiteet!$Y$6,JA!$AT:$AT,Toimenpiteet!$X162,JA!$CI:$CI,Toimenpiteet!$Y$1,JA!BL:BL,"OK",JA!CT:CT,$AF$4)</f>
        <v>0</v>
      </c>
      <c r="F162" s="429">
        <f>SUMIFS(JA!$Z:$Z,JA!$AX:$AX,Toimenpiteet!$Y$6,JA!$AT:$AT,Toimenpiteet!$X162,JA!$CI:$CI,Toimenpiteet!$Y$1,JA!BM:BM,"OK",JA!CT:CT,$AF$4)</f>
        <v>0</v>
      </c>
      <c r="G162" s="429">
        <f>SUMIFS(JA!$Z:$Z,JA!$AX:$AX,Toimenpiteet!$Y$6,JA!$AT:$AT,Toimenpiteet!$X162,JA!$CI:$CI,Toimenpiteet!$Y$1,JA!BN:BN,"OK",JA!CT:CT,$AF$4)</f>
        <v>0</v>
      </c>
      <c r="H162" s="429">
        <f>SUMIFS(JA!$Z:$Z,JA!$AX:$AX,Toimenpiteet!$Y$6,JA!$AT:$AT,Toimenpiteet!$X162,JA!$CI:$CI,Toimenpiteet!$Y$1,JA!BO:BO,"OK",JA!CT:CT,$AF$4)</f>
        <v>0</v>
      </c>
      <c r="I162" s="429">
        <f>SUMIFS(JA!$Z:$Z,JA!$AX:$AX,Toimenpiteet!$Y$6,JA!$AT:$AT,Toimenpiteet!$X162,JA!$CI:$CI,Toimenpiteet!$Y$1,JA!BP:BP,"OK",JA!CT:CT,$AF$4)</f>
        <v>0</v>
      </c>
      <c r="J162" s="429">
        <f>SUMIFS(JA!$Z:$Z,JA!$AX:$AX,Toimenpiteet!$Y$6,JA!$AT:$AT,Toimenpiteet!$X162,JA!$CI:$CI,Toimenpiteet!$Y$1,JA!BQ:BQ,"OK",JA!CT:CT,$AF$4)</f>
        <v>0</v>
      </c>
      <c r="K162" s="429">
        <f>SUMIFS(JA!$Z:$Z,JA!$AX:$AX,Toimenpiteet!$Y$6,JA!$AT:$AT,Toimenpiteet!$X162,JA!$CI:$CI,Toimenpiteet!$Y$1,JA!BR:BR,"OK",JA!CT:CT,$AF$4)</f>
        <v>0</v>
      </c>
      <c r="L162" s="429">
        <f>SUMIFS(JA!$Z:$Z,JA!$AX:$AX,Toimenpiteet!$Y$6,JA!$AT:$AT,Toimenpiteet!$X162,JA!$CI:$CI,Toimenpiteet!$Y$1,JA!BS:BS,"OK",JA!CT:CT,$AF$4)</f>
        <v>0</v>
      </c>
      <c r="M162" s="429">
        <f>SUMIFS(JA!$Z:$Z,JA!$AX:$AX,Toimenpiteet!$Y$6,JA!$AT:$AT,Toimenpiteet!$X162,JA!$CI:$CI,Toimenpiteet!$Y$1,JA!BT:BT,"OK",JA!CT:CT,$AF$4)</f>
        <v>0</v>
      </c>
      <c r="N162" s="429">
        <f>SUMIFS(JA!$Z:$Z,JA!$AX:$AX,Toimenpiteet!$Y$6,JA!$AT:$AT,Toimenpiteet!$X162,JA!$CI:$CI,Toimenpiteet!$Y$1,JA!BU:BU,"OK",JA!CT:CT,$AF$4)</f>
        <v>0</v>
      </c>
      <c r="O162" s="429">
        <f t="shared" si="13"/>
        <v>0</v>
      </c>
      <c r="R162" s="78"/>
      <c r="X162" t="s">
        <v>404</v>
      </c>
    </row>
    <row r="163" spans="1:24" hidden="1" x14ac:dyDescent="0.25">
      <c r="A163" s="1043" t="s">
        <v>407</v>
      </c>
      <c r="B163" s="911" t="s">
        <v>408</v>
      </c>
      <c r="C163" s="429">
        <f>SUMIFS(JA!$Z:$Z,JA!$AX:$AX,Toimenpiteet!$Y$6,JA!$AT:$AT,Toimenpiteet!$X163,JA!$CI:$CI,Toimenpiteet!$Y$1,JA!BJ:BJ,"OK",JA!CT:CT,$AF$4)</f>
        <v>0</v>
      </c>
      <c r="D163" s="429">
        <f>SUMIFS(JA!$Z:$Z,JA!$AX:$AX,Toimenpiteet!$Y$6,JA!$AT:$AT,Toimenpiteet!$X163,JA!$CI:$CI,Toimenpiteet!$Y$1,JA!BK:BK,"OK",JA!CT:CT,$AF$4)</f>
        <v>0</v>
      </c>
      <c r="E163" s="429">
        <f>SUMIFS(JA!$Z:$Z,JA!$AX:$AX,Toimenpiteet!$Y$6,JA!$AT:$AT,Toimenpiteet!$X163,JA!$CI:$CI,Toimenpiteet!$Y$1,JA!BL:BL,"OK",JA!CT:CT,$AF$4)</f>
        <v>0</v>
      </c>
      <c r="F163" s="429">
        <f>SUMIFS(JA!$Z:$Z,JA!$AX:$AX,Toimenpiteet!$Y$6,JA!$AT:$AT,Toimenpiteet!$X163,JA!$CI:$CI,Toimenpiteet!$Y$1,JA!BM:BM,"OK",JA!CT:CT,$AF$4)</f>
        <v>0</v>
      </c>
      <c r="G163" s="429">
        <f>SUMIFS(JA!$Z:$Z,JA!$AX:$AX,Toimenpiteet!$Y$6,JA!$AT:$AT,Toimenpiteet!$X163,JA!$CI:$CI,Toimenpiteet!$Y$1,JA!BN:BN,"OK",JA!CT:CT,$AF$4)</f>
        <v>0</v>
      </c>
      <c r="H163" s="429">
        <f>SUMIFS(JA!$Z:$Z,JA!$AX:$AX,Toimenpiteet!$Y$6,JA!$AT:$AT,Toimenpiteet!$X163,JA!$CI:$CI,Toimenpiteet!$Y$1,JA!BO:BO,"OK",JA!CT:CT,$AF$4)</f>
        <v>0</v>
      </c>
      <c r="I163" s="429">
        <f>SUMIFS(JA!$Z:$Z,JA!$AX:$AX,Toimenpiteet!$Y$6,JA!$AT:$AT,Toimenpiteet!$X163,JA!$CI:$CI,Toimenpiteet!$Y$1,JA!BP:BP,"OK",JA!CT:CT,$AF$4)</f>
        <v>0</v>
      </c>
      <c r="J163" s="429">
        <f>SUMIFS(JA!$Z:$Z,JA!$AX:$AX,Toimenpiteet!$Y$6,JA!$AT:$AT,Toimenpiteet!$X163,JA!$CI:$CI,Toimenpiteet!$Y$1,JA!BQ:BQ,"OK",JA!CT:CT,$AF$4)</f>
        <v>0</v>
      </c>
      <c r="K163" s="429">
        <f>SUMIFS(JA!$Z:$Z,JA!$AX:$AX,Toimenpiteet!$Y$6,JA!$AT:$AT,Toimenpiteet!$X163,JA!$CI:$CI,Toimenpiteet!$Y$1,JA!BR:BR,"OK",JA!CT:CT,$AF$4)</f>
        <v>0</v>
      </c>
      <c r="L163" s="429">
        <f>SUMIFS(JA!$Z:$Z,JA!$AX:$AX,Toimenpiteet!$Y$6,JA!$AT:$AT,Toimenpiteet!$X163,JA!$CI:$CI,Toimenpiteet!$Y$1,JA!BS:BS,"OK",JA!CT:CT,$AF$4)</f>
        <v>0</v>
      </c>
      <c r="M163" s="429">
        <f>SUMIFS(JA!$Z:$Z,JA!$AX:$AX,Toimenpiteet!$Y$6,JA!$AT:$AT,Toimenpiteet!$X163,JA!$CI:$CI,Toimenpiteet!$Y$1,JA!BT:BT,"OK",JA!CT:CT,$AF$4)</f>
        <v>0</v>
      </c>
      <c r="N163" s="429">
        <f>SUMIFS(JA!$Z:$Z,JA!$AX:$AX,Toimenpiteet!$Y$6,JA!$AT:$AT,Toimenpiteet!$X163,JA!$CI:$CI,Toimenpiteet!$Y$1,JA!BU:BU,"OK",JA!CT:CT,$AF$4)</f>
        <v>0</v>
      </c>
      <c r="O163" s="429">
        <f t="shared" si="13"/>
        <v>0</v>
      </c>
      <c r="X163" s="86" t="s">
        <v>409</v>
      </c>
    </row>
    <row r="164" spans="1:24" hidden="1" x14ac:dyDescent="0.25">
      <c r="A164" s="1044"/>
      <c r="B164" s="911" t="s">
        <v>413</v>
      </c>
      <c r="C164" s="429">
        <f>SUMIFS(JA!$Z:$Z,JA!$AX:$AX,Toimenpiteet!$Y$6,JA!$AT:$AT,Toimenpiteet!$X164,JA!$CI:$CI,Toimenpiteet!$Y$1,JA!BJ:BJ,"OK",JA!CT:CT,$AF$4)</f>
        <v>0</v>
      </c>
      <c r="D164" s="429">
        <f>SUMIFS(JA!$Z:$Z,JA!$AX:$AX,Toimenpiteet!$Y$6,JA!$AT:$AT,Toimenpiteet!$X164,JA!$CI:$CI,Toimenpiteet!$Y$1,JA!BK:BK,"OK",JA!CT:CT,$AF$4)</f>
        <v>0</v>
      </c>
      <c r="E164" s="429">
        <f>SUMIFS(JA!$Z:$Z,JA!$AX:$AX,Toimenpiteet!$Y$6,JA!$AT:$AT,Toimenpiteet!$X164,JA!$CI:$CI,Toimenpiteet!$Y$1,JA!BL:BL,"OK",JA!CT:CT,$AF$4)</f>
        <v>0</v>
      </c>
      <c r="F164" s="429">
        <f>SUMIFS(JA!$Z:$Z,JA!$AX:$AX,Toimenpiteet!$Y$6,JA!$AT:$AT,Toimenpiteet!$X164,JA!$CI:$CI,Toimenpiteet!$Y$1,JA!BM:BM,"OK",JA!CT:CT,$AF$4)</f>
        <v>0</v>
      </c>
      <c r="G164" s="429">
        <f>SUMIFS(JA!$Z:$Z,JA!$AX:$AX,Toimenpiteet!$Y$6,JA!$AT:$AT,Toimenpiteet!$X164,JA!$CI:$CI,Toimenpiteet!$Y$1,JA!BN:BN,"OK",JA!CT:CT,$AF$4)</f>
        <v>0</v>
      </c>
      <c r="H164" s="429">
        <f>SUMIFS(JA!$Z:$Z,JA!$AX:$AX,Toimenpiteet!$Y$6,JA!$AT:$AT,Toimenpiteet!$X164,JA!$CI:$CI,Toimenpiteet!$Y$1,JA!BO:BO,"OK",JA!CT:CT,$AF$4)</f>
        <v>0</v>
      </c>
      <c r="I164" s="429">
        <f>SUMIFS(JA!$Z:$Z,JA!$AX:$AX,Toimenpiteet!$Y$6,JA!$AT:$AT,Toimenpiteet!$X164,JA!$CI:$CI,Toimenpiteet!$Y$1,JA!BP:BP,"OK",JA!CT:CT,$AF$4)</f>
        <v>0</v>
      </c>
      <c r="J164" s="429">
        <f>SUMIFS(JA!$Z:$Z,JA!$AX:$AX,Toimenpiteet!$Y$6,JA!$AT:$AT,Toimenpiteet!$X164,JA!$CI:$CI,Toimenpiteet!$Y$1,JA!BQ:BQ,"OK",JA!CT:CT,$AF$4)</f>
        <v>0</v>
      </c>
      <c r="K164" s="429">
        <f>SUMIFS(JA!$Z:$Z,JA!$AX:$AX,Toimenpiteet!$Y$6,JA!$AT:$AT,Toimenpiteet!$X164,JA!$CI:$CI,Toimenpiteet!$Y$1,JA!BR:BR,"OK",JA!CT:CT,$AF$4)</f>
        <v>0</v>
      </c>
      <c r="L164" s="429">
        <f>SUMIFS(JA!$Z:$Z,JA!$AX:$AX,Toimenpiteet!$Y$6,JA!$AT:$AT,Toimenpiteet!$X164,JA!$CI:$CI,Toimenpiteet!$Y$1,JA!BS:BS,"OK",JA!CT:CT,$AF$4)</f>
        <v>0</v>
      </c>
      <c r="M164" s="429">
        <f>SUMIFS(JA!$Z:$Z,JA!$AX:$AX,Toimenpiteet!$Y$6,JA!$AT:$AT,Toimenpiteet!$X164,JA!$CI:$CI,Toimenpiteet!$Y$1,JA!BT:BT,"OK",JA!CT:CT,$AF$4)</f>
        <v>0</v>
      </c>
      <c r="N164" s="429">
        <f>SUMIFS(JA!$Z:$Z,JA!$AX:$AX,Toimenpiteet!$Y$6,JA!$AT:$AT,Toimenpiteet!$X164,JA!$CI:$CI,Toimenpiteet!$Y$1,JA!BU:BU,"OK",JA!CT:CT,$AF$4)</f>
        <v>0</v>
      </c>
      <c r="O164" s="429">
        <f t="shared" si="13"/>
        <v>0</v>
      </c>
      <c r="X164" s="86" t="s">
        <v>414</v>
      </c>
    </row>
    <row r="165" spans="1:24" hidden="1" x14ac:dyDescent="0.25">
      <c r="A165" s="1044"/>
      <c r="B165" s="911" t="s">
        <v>415</v>
      </c>
      <c r="C165" s="429">
        <f>SUMIFS(JA!$Z:$Z,JA!$AX:$AX,Toimenpiteet!$Y$6,JA!$AT:$AT,Toimenpiteet!$X165,JA!$CI:$CI,Toimenpiteet!$Y$1,JA!BJ:BJ,"OK",JA!CT:CT,$AF$4)</f>
        <v>0</v>
      </c>
      <c r="D165" s="429">
        <f>SUMIFS(JA!$Z:$Z,JA!$AX:$AX,Toimenpiteet!$Y$6,JA!$AT:$AT,Toimenpiteet!$X165,JA!$CI:$CI,Toimenpiteet!$Y$1,JA!BK:BK,"OK",JA!CT:CT,$AF$4)</f>
        <v>0</v>
      </c>
      <c r="E165" s="429">
        <f>SUMIFS(JA!$Z:$Z,JA!$AX:$AX,Toimenpiteet!$Y$6,JA!$AT:$AT,Toimenpiteet!$X165,JA!$CI:$CI,Toimenpiteet!$Y$1,JA!BL:BL,"OK",JA!CT:CT,$AF$4)</f>
        <v>0</v>
      </c>
      <c r="F165" s="429">
        <f>SUMIFS(JA!$Z:$Z,JA!$AX:$AX,Toimenpiteet!$Y$6,JA!$AT:$AT,Toimenpiteet!$X165,JA!$CI:$CI,Toimenpiteet!$Y$1,JA!BM:BM,"OK",JA!CT:CT,$AF$4)</f>
        <v>0</v>
      </c>
      <c r="G165" s="429">
        <f>SUMIFS(JA!$Z:$Z,JA!$AX:$AX,Toimenpiteet!$Y$6,JA!$AT:$AT,Toimenpiteet!$X165,JA!$CI:$CI,Toimenpiteet!$Y$1,JA!BN:BN,"OK",JA!CT:CT,$AF$4)</f>
        <v>0</v>
      </c>
      <c r="H165" s="429">
        <f>SUMIFS(JA!$Z:$Z,JA!$AX:$AX,Toimenpiteet!$Y$6,JA!$AT:$AT,Toimenpiteet!$X165,JA!$CI:$CI,Toimenpiteet!$Y$1,JA!BO:BO,"OK",JA!CT:CT,$AF$4)</f>
        <v>0</v>
      </c>
      <c r="I165" s="429">
        <f>SUMIFS(JA!$Z:$Z,JA!$AX:$AX,Toimenpiteet!$Y$6,JA!$AT:$AT,Toimenpiteet!$X165,JA!$CI:$CI,Toimenpiteet!$Y$1,JA!BP:BP,"OK",JA!CT:CT,$AF$4)</f>
        <v>0</v>
      </c>
      <c r="J165" s="429">
        <f>SUMIFS(JA!$Z:$Z,JA!$AX:$AX,Toimenpiteet!$Y$6,JA!$AT:$AT,Toimenpiteet!$X165,JA!$CI:$CI,Toimenpiteet!$Y$1,JA!BQ:BQ,"OK",JA!CT:CT,$AF$4)</f>
        <v>0</v>
      </c>
      <c r="K165" s="429">
        <f>SUMIFS(JA!$Z:$Z,JA!$AX:$AX,Toimenpiteet!$Y$6,JA!$AT:$AT,Toimenpiteet!$X165,JA!$CI:$CI,Toimenpiteet!$Y$1,JA!BR:BR,"OK",JA!CT:CT,$AF$4)</f>
        <v>0</v>
      </c>
      <c r="L165" s="429">
        <f>SUMIFS(JA!$Z:$Z,JA!$AX:$AX,Toimenpiteet!$Y$6,JA!$AT:$AT,Toimenpiteet!$X165,JA!$CI:$CI,Toimenpiteet!$Y$1,JA!BS:BS,"OK",JA!CT:CT,$AF$4)</f>
        <v>0</v>
      </c>
      <c r="M165" s="429">
        <f>SUMIFS(JA!$Z:$Z,JA!$AX:$AX,Toimenpiteet!$Y$6,JA!$AT:$AT,Toimenpiteet!$X165,JA!$CI:$CI,Toimenpiteet!$Y$1,JA!BT:BT,"OK",JA!CT:CT,$AF$4)</f>
        <v>0</v>
      </c>
      <c r="N165" s="429">
        <f>SUMIFS(JA!$Z:$Z,JA!$AX:$AX,Toimenpiteet!$Y$6,JA!$AT:$AT,Toimenpiteet!$X165,JA!$CI:$CI,Toimenpiteet!$Y$1,JA!BU:BU,"OK",JA!CT:CT,$AF$4)</f>
        <v>0</v>
      </c>
      <c r="O165" s="429">
        <f t="shared" si="13"/>
        <v>0</v>
      </c>
      <c r="X165" s="86" t="s">
        <v>416</v>
      </c>
    </row>
    <row r="166" spans="1:24" hidden="1" x14ac:dyDescent="0.25">
      <c r="A166" s="1044"/>
      <c r="B166" s="911" t="s">
        <v>420</v>
      </c>
      <c r="C166" s="429">
        <f>SUMIFS(JA!$Z:$Z,JA!$AX:$AX,Toimenpiteet!$Y$6,JA!$AT:$AT,Toimenpiteet!$X166,JA!$CI:$CI,Toimenpiteet!$Y$1,JA!BJ:BJ,"OK",JA!CT:CT,$AF$4)</f>
        <v>0</v>
      </c>
      <c r="D166" s="429">
        <f>SUMIFS(JA!$Z:$Z,JA!$AX:$AX,Toimenpiteet!$Y$6,JA!$AT:$AT,Toimenpiteet!$X166,JA!$CI:$CI,Toimenpiteet!$Y$1,JA!BK:BK,"OK",JA!CT:CT,$AF$4)</f>
        <v>0</v>
      </c>
      <c r="E166" s="429">
        <f>SUMIFS(JA!$Z:$Z,JA!$AX:$AX,Toimenpiteet!$Y$6,JA!$AT:$AT,Toimenpiteet!$X166,JA!$CI:$CI,Toimenpiteet!$Y$1,JA!BL:BL,"OK",JA!CT:CT,$AF$4)</f>
        <v>0</v>
      </c>
      <c r="F166" s="429">
        <f>SUMIFS(JA!$Z:$Z,JA!$AX:$AX,Toimenpiteet!$Y$6,JA!$AT:$AT,Toimenpiteet!$X166,JA!$CI:$CI,Toimenpiteet!$Y$1,JA!BM:BM,"OK",JA!CT:CT,$AF$4)</f>
        <v>0</v>
      </c>
      <c r="G166" s="429">
        <f>SUMIFS(JA!$Z:$Z,JA!$AX:$AX,Toimenpiteet!$Y$6,JA!$AT:$AT,Toimenpiteet!$X166,JA!$CI:$CI,Toimenpiteet!$Y$1,JA!BN:BN,"OK",JA!CT:CT,$AF$4)</f>
        <v>0</v>
      </c>
      <c r="H166" s="429">
        <f>SUMIFS(JA!$Z:$Z,JA!$AX:$AX,Toimenpiteet!$Y$6,JA!$AT:$AT,Toimenpiteet!$X166,JA!$CI:$CI,Toimenpiteet!$Y$1,JA!BO:BO,"OK",JA!CT:CT,$AF$4)</f>
        <v>0</v>
      </c>
      <c r="I166" s="429">
        <f>SUMIFS(JA!$Z:$Z,JA!$AX:$AX,Toimenpiteet!$Y$6,JA!$AT:$AT,Toimenpiteet!$X166,JA!$CI:$CI,Toimenpiteet!$Y$1,JA!BP:BP,"OK",JA!CT:CT,$AF$4)</f>
        <v>0</v>
      </c>
      <c r="J166" s="429">
        <f>SUMIFS(JA!$Z:$Z,JA!$AX:$AX,Toimenpiteet!$Y$6,JA!$AT:$AT,Toimenpiteet!$X166,JA!$CI:$CI,Toimenpiteet!$Y$1,JA!BQ:BQ,"OK",JA!CT:CT,$AF$4)</f>
        <v>0</v>
      </c>
      <c r="K166" s="429">
        <f>SUMIFS(JA!$Z:$Z,JA!$AX:$AX,Toimenpiteet!$Y$6,JA!$AT:$AT,Toimenpiteet!$X166,JA!$CI:$CI,Toimenpiteet!$Y$1,JA!BR:BR,"OK",JA!CT:CT,$AF$4)</f>
        <v>0</v>
      </c>
      <c r="L166" s="429">
        <f>SUMIFS(JA!$Z:$Z,JA!$AX:$AX,Toimenpiteet!$Y$6,JA!$AT:$AT,Toimenpiteet!$X166,JA!$CI:$CI,Toimenpiteet!$Y$1,JA!BS:BS,"OK",JA!CT:CT,$AF$4)</f>
        <v>0</v>
      </c>
      <c r="M166" s="429">
        <f>SUMIFS(JA!$Z:$Z,JA!$AX:$AX,Toimenpiteet!$Y$6,JA!$AT:$AT,Toimenpiteet!$X166,JA!$CI:$CI,Toimenpiteet!$Y$1,JA!BT:BT,"OK",JA!CT:CT,$AF$4)</f>
        <v>0</v>
      </c>
      <c r="N166" s="429">
        <f>SUMIFS(JA!$Z:$Z,JA!$AX:$AX,Toimenpiteet!$Y$6,JA!$AT:$AT,Toimenpiteet!$X166,JA!$CI:$CI,Toimenpiteet!$Y$1,JA!BU:BU,"OK",JA!CT:CT,$AF$4)</f>
        <v>0</v>
      </c>
      <c r="O166" s="429">
        <f t="shared" si="13"/>
        <v>0</v>
      </c>
      <c r="X166" t="s">
        <v>421</v>
      </c>
    </row>
    <row r="167" spans="1:24" hidden="1" x14ac:dyDescent="0.25">
      <c r="A167" s="1044"/>
      <c r="B167" s="911" t="s">
        <v>426</v>
      </c>
      <c r="C167" s="429">
        <f>SUMIFS(JA!$Z:$Z,JA!$AX:$AX,Toimenpiteet!$Y$6,JA!$AT:$AT,Toimenpiteet!$X167,JA!$CI:$CI,Toimenpiteet!$Y$1,JA!BJ:BJ,"OK",JA!CT:CT,$AF$4)</f>
        <v>0</v>
      </c>
      <c r="D167" s="429">
        <f>SUMIFS(JA!$Z:$Z,JA!$AX:$AX,Toimenpiteet!$Y$6,JA!$AT:$AT,Toimenpiteet!$X167,JA!$CI:$CI,Toimenpiteet!$Y$1,JA!BK:BK,"OK",JA!CT:CT,$AF$4)</f>
        <v>0</v>
      </c>
      <c r="E167" s="429">
        <f>SUMIFS(JA!$Z:$Z,JA!$AX:$AX,Toimenpiteet!$Y$6,JA!$AT:$AT,Toimenpiteet!$X167,JA!$CI:$CI,Toimenpiteet!$Y$1,JA!BL:BL,"OK",JA!CT:CT,$AF$4)</f>
        <v>0</v>
      </c>
      <c r="F167" s="429">
        <f>SUMIFS(JA!$Z:$Z,JA!$AX:$AX,Toimenpiteet!$Y$6,JA!$AT:$AT,Toimenpiteet!$X167,JA!$CI:$CI,Toimenpiteet!$Y$1,JA!BM:BM,"OK",JA!CT:CT,$AF$4)</f>
        <v>0</v>
      </c>
      <c r="G167" s="429">
        <f>SUMIFS(JA!$Z:$Z,JA!$AX:$AX,Toimenpiteet!$Y$6,JA!$AT:$AT,Toimenpiteet!$X167,JA!$CI:$CI,Toimenpiteet!$Y$1,JA!BN:BN,"OK",JA!CT:CT,$AF$4)</f>
        <v>0</v>
      </c>
      <c r="H167" s="429">
        <f>SUMIFS(JA!$Z:$Z,JA!$AX:$AX,Toimenpiteet!$Y$6,JA!$AT:$AT,Toimenpiteet!$X167,JA!$CI:$CI,Toimenpiteet!$Y$1,JA!BO:BO,"OK",JA!CT:CT,$AF$4)</f>
        <v>0</v>
      </c>
      <c r="I167" s="429">
        <f>SUMIFS(JA!$Z:$Z,JA!$AX:$AX,Toimenpiteet!$Y$6,JA!$AT:$AT,Toimenpiteet!$X167,JA!$CI:$CI,Toimenpiteet!$Y$1,JA!BP:BP,"OK",JA!CT:CT,$AF$4)</f>
        <v>0</v>
      </c>
      <c r="J167" s="429">
        <f>SUMIFS(JA!$Z:$Z,JA!$AX:$AX,Toimenpiteet!$Y$6,JA!$AT:$AT,Toimenpiteet!$X167,JA!$CI:$CI,Toimenpiteet!$Y$1,JA!BQ:BQ,"OK",JA!CT:CT,$AF$4)</f>
        <v>0</v>
      </c>
      <c r="K167" s="429">
        <f>SUMIFS(JA!$Z:$Z,JA!$AX:$AX,Toimenpiteet!$Y$6,JA!$AT:$AT,Toimenpiteet!$X167,JA!$CI:$CI,Toimenpiteet!$Y$1,JA!BR:BR,"OK",JA!CT:CT,$AF$4)</f>
        <v>0</v>
      </c>
      <c r="L167" s="429">
        <f>SUMIFS(JA!$Z:$Z,JA!$AX:$AX,Toimenpiteet!$Y$6,JA!$AT:$AT,Toimenpiteet!$X167,JA!$CI:$CI,Toimenpiteet!$Y$1,JA!BS:BS,"OK",JA!CT:CT,$AF$4)</f>
        <v>0</v>
      </c>
      <c r="M167" s="429">
        <f>SUMIFS(JA!$Z:$Z,JA!$AX:$AX,Toimenpiteet!$Y$6,JA!$AT:$AT,Toimenpiteet!$X167,JA!$CI:$CI,Toimenpiteet!$Y$1,JA!BT:BT,"OK",JA!CT:CT,$AF$4)</f>
        <v>0</v>
      </c>
      <c r="N167" s="429">
        <f>SUMIFS(JA!$Z:$Z,JA!$AX:$AX,Toimenpiteet!$Y$6,JA!$AT:$AT,Toimenpiteet!$X167,JA!$CI:$CI,Toimenpiteet!$Y$1,JA!BU:BU,"OK",JA!CT:CT,$AF$4)</f>
        <v>0</v>
      </c>
      <c r="O167" s="429">
        <f t="shared" si="13"/>
        <v>0</v>
      </c>
      <c r="X167" t="s">
        <v>427</v>
      </c>
    </row>
    <row r="168" spans="1:24" hidden="1" x14ac:dyDescent="0.25">
      <c r="A168" s="1045"/>
      <c r="B168" s="911" t="s">
        <v>428</v>
      </c>
      <c r="C168" s="429">
        <f>SUMIFS(JA!$Z:$Z,JA!$AX:$AX,Toimenpiteet!$Y$6,JA!$AT:$AT,Toimenpiteet!$X168,JA!$CI:$CI,Toimenpiteet!$Y$1,JA!BJ:BJ,"OK",JA!CT:CT,$AF$4)</f>
        <v>0</v>
      </c>
      <c r="D168" s="429">
        <f>SUMIFS(JA!$Z:$Z,JA!$AX:$AX,Toimenpiteet!$Y$6,JA!$AT:$AT,Toimenpiteet!$X168,JA!$CI:$CI,Toimenpiteet!$Y$1,JA!BK:BK,"OK",JA!CT:CT,$AF$4)</f>
        <v>0</v>
      </c>
      <c r="E168" s="429">
        <f>SUMIFS(JA!$Z:$Z,JA!$AX:$AX,Toimenpiteet!$Y$6,JA!$AT:$AT,Toimenpiteet!$X168,JA!$CI:$CI,Toimenpiteet!$Y$1,JA!BL:BL,"OK",JA!CT:CT,$AF$4)</f>
        <v>0</v>
      </c>
      <c r="F168" s="429">
        <f>SUMIFS(JA!$Z:$Z,JA!$AX:$AX,Toimenpiteet!$Y$6,JA!$AT:$AT,Toimenpiteet!$X168,JA!$CI:$CI,Toimenpiteet!$Y$1,JA!BM:BM,"OK",JA!CT:CT,$AF$4)</f>
        <v>0</v>
      </c>
      <c r="G168" s="429">
        <f>SUMIFS(JA!$Z:$Z,JA!$AX:$AX,Toimenpiteet!$Y$6,JA!$AT:$AT,Toimenpiteet!$X168,JA!$CI:$CI,Toimenpiteet!$Y$1,JA!BN:BN,"OK",JA!CT:CT,$AF$4)</f>
        <v>0</v>
      </c>
      <c r="H168" s="429">
        <f>SUMIFS(JA!$Z:$Z,JA!$AX:$AX,Toimenpiteet!$Y$6,JA!$AT:$AT,Toimenpiteet!$X168,JA!$CI:$CI,Toimenpiteet!$Y$1,JA!BO:BO,"OK",JA!CT:CT,$AF$4)</f>
        <v>0</v>
      </c>
      <c r="I168" s="429">
        <f>SUMIFS(JA!$Z:$Z,JA!$AX:$AX,Toimenpiteet!$Y$6,JA!$AT:$AT,Toimenpiteet!$X168,JA!$CI:$CI,Toimenpiteet!$Y$1,JA!BP:BP,"OK",JA!CT:CT,$AF$4)</f>
        <v>0</v>
      </c>
      <c r="J168" s="429">
        <f>SUMIFS(JA!$Z:$Z,JA!$AX:$AX,Toimenpiteet!$Y$6,JA!$AT:$AT,Toimenpiteet!$X168,JA!$CI:$CI,Toimenpiteet!$Y$1,JA!BQ:BQ,"OK",JA!CT:CT,$AF$4)</f>
        <v>0</v>
      </c>
      <c r="K168" s="429">
        <f>SUMIFS(JA!$Z:$Z,JA!$AX:$AX,Toimenpiteet!$Y$6,JA!$AT:$AT,Toimenpiteet!$X168,JA!$CI:$CI,Toimenpiteet!$Y$1,JA!BR:BR,"OK",JA!CT:CT,$AF$4)</f>
        <v>0</v>
      </c>
      <c r="L168" s="429">
        <f>SUMIFS(JA!$Z:$Z,JA!$AX:$AX,Toimenpiteet!$Y$6,JA!$AT:$AT,Toimenpiteet!$X168,JA!$CI:$CI,Toimenpiteet!$Y$1,JA!BS:BS,"OK",JA!CT:CT,$AF$4)</f>
        <v>0</v>
      </c>
      <c r="M168" s="429">
        <f>SUMIFS(JA!$Z:$Z,JA!$AX:$AX,Toimenpiteet!$Y$6,JA!$AT:$AT,Toimenpiteet!$X168,JA!$CI:$CI,Toimenpiteet!$Y$1,JA!BT:BT,"OK",JA!CT:CT,$AF$4)</f>
        <v>0</v>
      </c>
      <c r="N168" s="429">
        <f>SUMIFS(JA!$Z:$Z,JA!$AX:$AX,Toimenpiteet!$Y$6,JA!$AT:$AT,Toimenpiteet!$X168,JA!$CI:$CI,Toimenpiteet!$Y$1,JA!BU:BU,"OK",JA!CT:CT,$AF$4)</f>
        <v>0</v>
      </c>
      <c r="O168" s="429">
        <f t="shared" si="13"/>
        <v>0</v>
      </c>
      <c r="X168" t="s">
        <v>429</v>
      </c>
    </row>
    <row r="169" spans="1:24" ht="15" hidden="1" customHeight="1" x14ac:dyDescent="0.25">
      <c r="A169" s="1043" t="s">
        <v>433</v>
      </c>
      <c r="B169" s="583" t="s">
        <v>434</v>
      </c>
      <c r="C169" s="429">
        <f>SUMIFS(JA!$Z:$Z,JA!$AX:$AX,Toimenpiteet!$Y$6,JA!$AT:$AT,Toimenpiteet!$X169,JA!$CI:$CI,Toimenpiteet!$Y$1,JA!BJ:BJ,"OK",JA!CT:CT,$AF$4)</f>
        <v>0</v>
      </c>
      <c r="D169" s="429">
        <f>SUMIFS(JA!$Z:$Z,JA!$AX:$AX,Toimenpiteet!$Y$6,JA!$AT:$AT,Toimenpiteet!$X169,JA!$CI:$CI,Toimenpiteet!$Y$1,JA!BK:BK,"OK",JA!CT:CT,$AF$4)</f>
        <v>0</v>
      </c>
      <c r="E169" s="429">
        <f>SUMIFS(JA!$Z:$Z,JA!$AX:$AX,Toimenpiteet!$Y$6,JA!$AT:$AT,Toimenpiteet!$X169,JA!$CI:$CI,Toimenpiteet!$Y$1,JA!BL:BL,"OK",JA!CT:CT,$AF$4)</f>
        <v>0</v>
      </c>
      <c r="F169" s="429">
        <f>SUMIFS(JA!$Z:$Z,JA!$AX:$AX,Toimenpiteet!$Y$6,JA!$AT:$AT,Toimenpiteet!$X169,JA!$CI:$CI,Toimenpiteet!$Y$1,JA!BM:BM,"OK",JA!CT:CT,$AF$4)</f>
        <v>0</v>
      </c>
      <c r="G169" s="429">
        <f>SUMIFS(JA!$Z:$Z,JA!$AX:$AX,Toimenpiteet!$Y$6,JA!$AT:$AT,Toimenpiteet!$X169,JA!$CI:$CI,Toimenpiteet!$Y$1,JA!BN:BN,"OK",JA!CT:CT,$AF$4)</f>
        <v>0</v>
      </c>
      <c r="H169" s="429">
        <f>SUMIFS(JA!$Z:$Z,JA!$AX:$AX,Toimenpiteet!$Y$6,JA!$AT:$AT,Toimenpiteet!$X169,JA!$CI:$CI,Toimenpiteet!$Y$1,JA!BO:BO,"OK",JA!CT:CT,$AF$4)</f>
        <v>0</v>
      </c>
      <c r="I169" s="429">
        <f>SUMIFS(JA!$Z:$Z,JA!$AX:$AX,Toimenpiteet!$Y$6,JA!$AT:$AT,Toimenpiteet!$X169,JA!$CI:$CI,Toimenpiteet!$Y$1,JA!BP:BP,"OK",JA!CT:CT,$AF$4)</f>
        <v>0</v>
      </c>
      <c r="J169" s="429">
        <f>SUMIFS(JA!$Z:$Z,JA!$AX:$AX,Toimenpiteet!$Y$6,JA!$AT:$AT,Toimenpiteet!$X169,JA!$CI:$CI,Toimenpiteet!$Y$1,JA!BQ:BQ,"OK",JA!CT:CT,$AF$4)</f>
        <v>0</v>
      </c>
      <c r="K169" s="429">
        <f>SUMIFS(JA!$Z:$Z,JA!$AX:$AX,Toimenpiteet!$Y$6,JA!$AT:$AT,Toimenpiteet!$X169,JA!$CI:$CI,Toimenpiteet!$Y$1,JA!BR:BR,"OK",JA!CT:CT,$AF$4)</f>
        <v>0</v>
      </c>
      <c r="L169" s="429">
        <f>SUMIFS(JA!$Z:$Z,JA!$AX:$AX,Toimenpiteet!$Y$6,JA!$AT:$AT,Toimenpiteet!$X169,JA!$CI:$CI,Toimenpiteet!$Y$1,JA!BS:BS,"OK",JA!CT:CT,$AF$4)</f>
        <v>0</v>
      </c>
      <c r="M169" s="429">
        <f>SUMIFS(JA!$Z:$Z,JA!$AX:$AX,Toimenpiteet!$Y$6,JA!$AT:$AT,Toimenpiteet!$X169,JA!$CI:$CI,Toimenpiteet!$Y$1,JA!BT:BT,"OK",JA!CT:CT,$AF$4)</f>
        <v>0</v>
      </c>
      <c r="N169" s="429">
        <f>SUMIFS(JA!$Z:$Z,JA!$AX:$AX,Toimenpiteet!$Y$6,JA!$AT:$AT,Toimenpiteet!$X169,JA!$CI:$CI,Toimenpiteet!$Y$1,JA!BU:BU,"OK",JA!CT:CT,$AF$4)</f>
        <v>0</v>
      </c>
      <c r="O169" s="429">
        <f t="shared" si="13"/>
        <v>0</v>
      </c>
      <c r="X169" s="86" t="s">
        <v>435</v>
      </c>
    </row>
    <row r="170" spans="1:24" hidden="1" x14ac:dyDescent="0.25">
      <c r="A170" s="1044"/>
      <c r="B170" s="583" t="s">
        <v>437</v>
      </c>
      <c r="C170" s="429">
        <f>SUMIFS(JA!$Z:$Z,JA!$AX:$AX,Toimenpiteet!$Y$6,JA!$AT:$AT,Toimenpiteet!$X170,JA!$CI:$CI,Toimenpiteet!$Y$1,JA!BJ:BJ,"OK",JA!CT:CT,$AF$4)</f>
        <v>0</v>
      </c>
      <c r="D170" s="429">
        <f>SUMIFS(JA!$Z:$Z,JA!$AX:$AX,Toimenpiteet!$Y$6,JA!$AT:$AT,Toimenpiteet!$X170,JA!$CI:$CI,Toimenpiteet!$Y$1,JA!BK:BK,"OK",JA!CT:CT,$AF$4)</f>
        <v>0</v>
      </c>
      <c r="E170" s="429">
        <f>SUMIFS(JA!$Z:$Z,JA!$AX:$AX,Toimenpiteet!$Y$6,JA!$AT:$AT,Toimenpiteet!$X170,JA!$CI:$CI,Toimenpiteet!$Y$1,JA!BL:BL,"OK",JA!CT:CT,$AF$4)</f>
        <v>0</v>
      </c>
      <c r="F170" s="429">
        <f>SUMIFS(JA!$Z:$Z,JA!$AX:$AX,Toimenpiteet!$Y$6,JA!$AT:$AT,Toimenpiteet!$X170,JA!$CI:$CI,Toimenpiteet!$Y$1,JA!BM:BM,"OK",JA!CT:CT,$AF$4)</f>
        <v>0</v>
      </c>
      <c r="G170" s="429">
        <f>SUMIFS(JA!$Z:$Z,JA!$AX:$AX,Toimenpiteet!$Y$6,JA!$AT:$AT,Toimenpiteet!$X170,JA!$CI:$CI,Toimenpiteet!$Y$1,JA!BN:BN,"OK",JA!CT:CT,$AF$4)</f>
        <v>0</v>
      </c>
      <c r="H170" s="429">
        <f>SUMIFS(JA!$Z:$Z,JA!$AX:$AX,Toimenpiteet!$Y$6,JA!$AT:$AT,Toimenpiteet!$X170,JA!$CI:$CI,Toimenpiteet!$Y$1,JA!BO:BO,"OK",JA!CT:CT,$AF$4)</f>
        <v>0</v>
      </c>
      <c r="I170" s="429">
        <f>SUMIFS(JA!$Z:$Z,JA!$AX:$AX,Toimenpiteet!$Y$6,JA!$AT:$AT,Toimenpiteet!$X170,JA!$CI:$CI,Toimenpiteet!$Y$1,JA!BP:BP,"OK",JA!CT:CT,$AF$4)</f>
        <v>0</v>
      </c>
      <c r="J170" s="429">
        <f>SUMIFS(JA!$Z:$Z,JA!$AX:$AX,Toimenpiteet!$Y$6,JA!$AT:$AT,Toimenpiteet!$X170,JA!$CI:$CI,Toimenpiteet!$Y$1,JA!BQ:BQ,"OK",JA!CT:CT,$AF$4)</f>
        <v>0</v>
      </c>
      <c r="K170" s="429">
        <f>SUMIFS(JA!$Z:$Z,JA!$AX:$AX,Toimenpiteet!$Y$6,JA!$AT:$AT,Toimenpiteet!$X170,JA!$CI:$CI,Toimenpiteet!$Y$1,JA!BR:BR,"OK",JA!CT:CT,$AF$4)</f>
        <v>0</v>
      </c>
      <c r="L170" s="429">
        <f>SUMIFS(JA!$Z:$Z,JA!$AX:$AX,Toimenpiteet!$Y$6,JA!$AT:$AT,Toimenpiteet!$X170,JA!$CI:$CI,Toimenpiteet!$Y$1,JA!BS:BS,"OK",JA!CT:CT,$AF$4)</f>
        <v>0</v>
      </c>
      <c r="M170" s="429">
        <f>SUMIFS(JA!$Z:$Z,JA!$AX:$AX,Toimenpiteet!$Y$6,JA!$AT:$AT,Toimenpiteet!$X170,JA!$CI:$CI,Toimenpiteet!$Y$1,JA!BT:BT,"OK",JA!CT:CT,$AF$4)</f>
        <v>0</v>
      </c>
      <c r="N170" s="429">
        <f>SUMIFS(JA!$Z:$Z,JA!$AX:$AX,Toimenpiteet!$Y$6,JA!$AT:$AT,Toimenpiteet!$X170,JA!$CI:$CI,Toimenpiteet!$Y$1,JA!BU:BU,"OK",JA!CT:CT,$AF$4)</f>
        <v>0</v>
      </c>
      <c r="O170" s="429">
        <f t="shared" si="13"/>
        <v>0</v>
      </c>
      <c r="X170" s="86" t="s">
        <v>438</v>
      </c>
    </row>
    <row r="171" spans="1:24" hidden="1" x14ac:dyDescent="0.25">
      <c r="A171" s="1044"/>
      <c r="B171" s="583" t="s">
        <v>439</v>
      </c>
      <c r="C171" s="429">
        <f>SUMIFS(JA!$Z:$Z,JA!$AX:$AX,Toimenpiteet!$Y$6,JA!$AT:$AT,Toimenpiteet!$X171,JA!$CI:$CI,Toimenpiteet!$Y$1,JA!BJ:BJ,"OK",JA!CT:CT,$AF$4)</f>
        <v>0</v>
      </c>
      <c r="D171" s="429">
        <f>SUMIFS(JA!$Z:$Z,JA!$AX:$AX,Toimenpiteet!$Y$6,JA!$AT:$AT,Toimenpiteet!$X171,JA!$CI:$CI,Toimenpiteet!$Y$1,JA!BK:BK,"OK",JA!CT:CT,$AF$4)</f>
        <v>0</v>
      </c>
      <c r="E171" s="429">
        <f>SUMIFS(JA!$Z:$Z,JA!$AX:$AX,Toimenpiteet!$Y$6,JA!$AT:$AT,Toimenpiteet!$X171,JA!$CI:$CI,Toimenpiteet!$Y$1,JA!BL:BL,"OK",JA!CT:CT,$AF$4)</f>
        <v>0</v>
      </c>
      <c r="F171" s="429">
        <f>SUMIFS(JA!$Z:$Z,JA!$AX:$AX,Toimenpiteet!$Y$6,JA!$AT:$AT,Toimenpiteet!$X171,JA!$CI:$CI,Toimenpiteet!$Y$1,JA!BM:BM,"OK",JA!CT:CT,$AF$4)</f>
        <v>0</v>
      </c>
      <c r="G171" s="429">
        <f>SUMIFS(JA!$Z:$Z,JA!$AX:$AX,Toimenpiteet!$Y$6,JA!$AT:$AT,Toimenpiteet!$X171,JA!$CI:$CI,Toimenpiteet!$Y$1,JA!BN:BN,"OK",JA!CT:CT,$AF$4)</f>
        <v>0</v>
      </c>
      <c r="H171" s="429">
        <f>SUMIFS(JA!$Z:$Z,JA!$AX:$AX,Toimenpiteet!$Y$6,JA!$AT:$AT,Toimenpiteet!$X171,JA!$CI:$CI,Toimenpiteet!$Y$1,JA!BO:BO,"OK",JA!CT:CT,$AF$4)</f>
        <v>0</v>
      </c>
      <c r="I171" s="429">
        <f>SUMIFS(JA!$Z:$Z,JA!$AX:$AX,Toimenpiteet!$Y$6,JA!$AT:$AT,Toimenpiteet!$X171,JA!$CI:$CI,Toimenpiteet!$Y$1,JA!BP:BP,"OK",JA!CT:CT,$AF$4)</f>
        <v>0</v>
      </c>
      <c r="J171" s="429">
        <f>SUMIFS(JA!$Z:$Z,JA!$AX:$AX,Toimenpiteet!$Y$6,JA!$AT:$AT,Toimenpiteet!$X171,JA!$CI:$CI,Toimenpiteet!$Y$1,JA!BQ:BQ,"OK",JA!CT:CT,$AF$4)</f>
        <v>0</v>
      </c>
      <c r="K171" s="429">
        <f>SUMIFS(JA!$Z:$Z,JA!$AX:$AX,Toimenpiteet!$Y$6,JA!$AT:$AT,Toimenpiteet!$X171,JA!$CI:$CI,Toimenpiteet!$Y$1,JA!BR:BR,"OK",JA!CT:CT,$AF$4)</f>
        <v>0</v>
      </c>
      <c r="L171" s="429">
        <f>SUMIFS(JA!$Z:$Z,JA!$AX:$AX,Toimenpiteet!$Y$6,JA!$AT:$AT,Toimenpiteet!$X171,JA!$CI:$CI,Toimenpiteet!$Y$1,JA!BS:BS,"OK",JA!CT:CT,$AF$4)</f>
        <v>0</v>
      </c>
      <c r="M171" s="429">
        <f>SUMIFS(JA!$Z:$Z,JA!$AX:$AX,Toimenpiteet!$Y$6,JA!$AT:$AT,Toimenpiteet!$X171,JA!$CI:$CI,Toimenpiteet!$Y$1,JA!BT:BT,"OK",JA!CT:CT,$AF$4)</f>
        <v>0</v>
      </c>
      <c r="N171" s="429">
        <f>SUMIFS(JA!$Z:$Z,JA!$AX:$AX,Toimenpiteet!$Y$6,JA!$AT:$AT,Toimenpiteet!$X171,JA!$CI:$CI,Toimenpiteet!$Y$1,JA!BU:BU,"OK",JA!CT:CT,$AF$4)</f>
        <v>0</v>
      </c>
      <c r="O171" s="429">
        <f t="shared" si="13"/>
        <v>0</v>
      </c>
      <c r="X171" t="s">
        <v>440</v>
      </c>
    </row>
    <row r="172" spans="1:24" hidden="1" x14ac:dyDescent="0.25">
      <c r="A172" s="1044"/>
      <c r="B172" s="583" t="s">
        <v>441</v>
      </c>
      <c r="C172" s="429">
        <f>SUMIFS(JA!$Z:$Z,JA!$AX:$AX,Toimenpiteet!$Y$6,JA!$AT:$AT,Toimenpiteet!$X172,JA!$CI:$CI,Toimenpiteet!$Y$1,JA!BJ:BJ,"OK",JA!CT:CT,$AF$4)</f>
        <v>0</v>
      </c>
      <c r="D172" s="429">
        <f>SUMIFS(JA!$Z:$Z,JA!$AX:$AX,Toimenpiteet!$Y$6,JA!$AT:$AT,Toimenpiteet!$X172,JA!$CI:$CI,Toimenpiteet!$Y$1,JA!BK:BK,"OK",JA!CT:CT,$AF$4)</f>
        <v>0</v>
      </c>
      <c r="E172" s="429">
        <f>SUMIFS(JA!$Z:$Z,JA!$AX:$AX,Toimenpiteet!$Y$6,JA!$AT:$AT,Toimenpiteet!$X172,JA!$CI:$CI,Toimenpiteet!$Y$1,JA!BL:BL,"OK",JA!CT:CT,$AF$4)</f>
        <v>0</v>
      </c>
      <c r="F172" s="429">
        <f>SUMIFS(JA!$Z:$Z,JA!$AX:$AX,Toimenpiteet!$Y$6,JA!$AT:$AT,Toimenpiteet!$X172,JA!$CI:$CI,Toimenpiteet!$Y$1,JA!BM:BM,"OK",JA!CT:CT,$AF$4)</f>
        <v>0</v>
      </c>
      <c r="G172" s="429">
        <f>SUMIFS(JA!$Z:$Z,JA!$AX:$AX,Toimenpiteet!$Y$6,JA!$AT:$AT,Toimenpiteet!$X172,JA!$CI:$CI,Toimenpiteet!$Y$1,JA!BN:BN,"OK",JA!CT:CT,$AF$4)</f>
        <v>0</v>
      </c>
      <c r="H172" s="429">
        <f>SUMIFS(JA!$Z:$Z,JA!$AX:$AX,Toimenpiteet!$Y$6,JA!$AT:$AT,Toimenpiteet!$X172,JA!$CI:$CI,Toimenpiteet!$Y$1,JA!BO:BO,"OK",JA!CT:CT,$AF$4)</f>
        <v>0</v>
      </c>
      <c r="I172" s="429">
        <f>SUMIFS(JA!$Z:$Z,JA!$AX:$AX,Toimenpiteet!$Y$6,JA!$AT:$AT,Toimenpiteet!$X172,JA!$CI:$CI,Toimenpiteet!$Y$1,JA!BP:BP,"OK",JA!CT:CT,$AF$4)</f>
        <v>0</v>
      </c>
      <c r="J172" s="429">
        <f>SUMIFS(JA!$Z:$Z,JA!$AX:$AX,Toimenpiteet!$Y$6,JA!$AT:$AT,Toimenpiteet!$X172,JA!$CI:$CI,Toimenpiteet!$Y$1,JA!BQ:BQ,"OK",JA!CT:CT,$AF$4)</f>
        <v>0</v>
      </c>
      <c r="K172" s="429">
        <f>SUMIFS(JA!$Z:$Z,JA!$AX:$AX,Toimenpiteet!$Y$6,JA!$AT:$AT,Toimenpiteet!$X172,JA!$CI:$CI,Toimenpiteet!$Y$1,JA!BR:BR,"OK",JA!CT:CT,$AF$4)</f>
        <v>0</v>
      </c>
      <c r="L172" s="429">
        <f>SUMIFS(JA!$Z:$Z,JA!$AX:$AX,Toimenpiteet!$Y$6,JA!$AT:$AT,Toimenpiteet!$X172,JA!$CI:$CI,Toimenpiteet!$Y$1,JA!BS:BS,"OK",JA!CT:CT,$AF$4)</f>
        <v>0</v>
      </c>
      <c r="M172" s="429">
        <f>SUMIFS(JA!$Z:$Z,JA!$AX:$AX,Toimenpiteet!$Y$6,JA!$AT:$AT,Toimenpiteet!$X172,JA!$CI:$CI,Toimenpiteet!$Y$1,JA!BT:BT,"OK",JA!CT:CT,$AF$4)</f>
        <v>0</v>
      </c>
      <c r="N172" s="429">
        <f>SUMIFS(JA!$Z:$Z,JA!$AX:$AX,Toimenpiteet!$Y$6,JA!$AT:$AT,Toimenpiteet!$X172,JA!$CI:$CI,Toimenpiteet!$Y$1,JA!BU:BU,"OK",JA!CT:CT,$AF$4)</f>
        <v>0</v>
      </c>
      <c r="O172" s="429">
        <f t="shared" si="13"/>
        <v>0</v>
      </c>
      <c r="W172" s="228"/>
      <c r="X172" s="86" t="s">
        <v>442</v>
      </c>
    </row>
    <row r="173" spans="1:24" hidden="1" x14ac:dyDescent="0.25">
      <c r="A173" s="1044"/>
      <c r="B173" s="583" t="s">
        <v>445</v>
      </c>
      <c r="C173" s="429">
        <f>SUMIFS(JA!$Z:$Z,JA!$AX:$AX,Toimenpiteet!$Y$6,JA!$AT:$AT,Toimenpiteet!$X173,JA!$CI:$CI,Toimenpiteet!$Y$1,JA!BJ:BJ,"OK",JA!CT:CT,$AF$4)</f>
        <v>0</v>
      </c>
      <c r="D173" s="429">
        <f>SUMIFS(JA!$Z:$Z,JA!$AX:$AX,Toimenpiteet!$Y$6,JA!$AT:$AT,Toimenpiteet!$X173,JA!$CI:$CI,Toimenpiteet!$Y$1,JA!BK:BK,"OK",JA!CT:CT,$AF$4)</f>
        <v>0</v>
      </c>
      <c r="E173" s="429">
        <f>SUMIFS(JA!$Z:$Z,JA!$AX:$AX,Toimenpiteet!$Y$6,JA!$AT:$AT,Toimenpiteet!$X173,JA!$CI:$CI,Toimenpiteet!$Y$1,JA!BL:BL,"OK",JA!CT:CT,$AF$4)</f>
        <v>0</v>
      </c>
      <c r="F173" s="429">
        <f>SUMIFS(JA!$Z:$Z,JA!$AX:$AX,Toimenpiteet!$Y$6,JA!$AT:$AT,Toimenpiteet!$X173,JA!$CI:$CI,Toimenpiteet!$Y$1,JA!BM:BM,"OK",JA!CT:CT,$AF$4)</f>
        <v>0</v>
      </c>
      <c r="G173" s="429">
        <f>SUMIFS(JA!$Z:$Z,JA!$AX:$AX,Toimenpiteet!$Y$6,JA!$AT:$AT,Toimenpiteet!$X173,JA!$CI:$CI,Toimenpiteet!$Y$1,JA!BN:BN,"OK",JA!CT:CT,$AF$4)</f>
        <v>0</v>
      </c>
      <c r="H173" s="429">
        <f>SUMIFS(JA!$Z:$Z,JA!$AX:$AX,Toimenpiteet!$Y$6,JA!$AT:$AT,Toimenpiteet!$X173,JA!$CI:$CI,Toimenpiteet!$Y$1,JA!BO:BO,"OK",JA!CT:CT,$AF$4)</f>
        <v>0</v>
      </c>
      <c r="I173" s="429">
        <f>SUMIFS(JA!$Z:$Z,JA!$AX:$AX,Toimenpiteet!$Y$6,JA!$AT:$AT,Toimenpiteet!$X173,JA!$CI:$CI,Toimenpiteet!$Y$1,JA!BP:BP,"OK",JA!CT:CT,$AF$4)</f>
        <v>0</v>
      </c>
      <c r="J173" s="429">
        <f>SUMIFS(JA!$Z:$Z,JA!$AX:$AX,Toimenpiteet!$Y$6,JA!$AT:$AT,Toimenpiteet!$X173,JA!$CI:$CI,Toimenpiteet!$Y$1,JA!BQ:BQ,"OK",JA!CT:CT,$AF$4)</f>
        <v>0</v>
      </c>
      <c r="K173" s="429">
        <f>SUMIFS(JA!$Z:$Z,JA!$AX:$AX,Toimenpiteet!$Y$6,JA!$AT:$AT,Toimenpiteet!$X173,JA!$CI:$CI,Toimenpiteet!$Y$1,JA!BR:BR,"OK",JA!CT:CT,$AF$4)</f>
        <v>0</v>
      </c>
      <c r="L173" s="429">
        <f>SUMIFS(JA!$Z:$Z,JA!$AX:$AX,Toimenpiteet!$Y$6,JA!$AT:$AT,Toimenpiteet!$X173,JA!$CI:$CI,Toimenpiteet!$Y$1,JA!BS:BS,"OK",JA!CT:CT,$AF$4)</f>
        <v>0</v>
      </c>
      <c r="M173" s="429">
        <f>SUMIFS(JA!$Z:$Z,JA!$AX:$AX,Toimenpiteet!$Y$6,JA!$AT:$AT,Toimenpiteet!$X173,JA!$CI:$CI,Toimenpiteet!$Y$1,JA!BT:BT,"OK",JA!CT:CT,$AF$4)</f>
        <v>0</v>
      </c>
      <c r="N173" s="429">
        <f>SUMIFS(JA!$Z:$Z,JA!$AX:$AX,Toimenpiteet!$Y$6,JA!$AT:$AT,Toimenpiteet!$X173,JA!$CI:$CI,Toimenpiteet!$Y$1,JA!BU:BU,"OK",JA!CT:CT,$AF$4)</f>
        <v>0</v>
      </c>
      <c r="O173" s="429">
        <f t="shared" si="13"/>
        <v>0</v>
      </c>
      <c r="W173" s="86"/>
      <c r="X173" s="86" t="s">
        <v>446</v>
      </c>
    </row>
    <row r="174" spans="1:24" hidden="1" x14ac:dyDescent="0.25">
      <c r="A174" s="1044"/>
      <c r="B174" s="583" t="s">
        <v>448</v>
      </c>
      <c r="C174" s="429">
        <f>SUMIFS(JA!$Z:$Z,JA!$AX:$AX,Toimenpiteet!$Y$6,JA!$AT:$AT,Toimenpiteet!$X174,JA!$CI:$CI,Toimenpiteet!$Y$1,JA!BJ:BJ,"OK",JA!CT:CT,$AF$4)</f>
        <v>0</v>
      </c>
      <c r="D174" s="429">
        <f>SUMIFS(JA!$Z:$Z,JA!$AX:$AX,Toimenpiteet!$Y$6,JA!$AT:$AT,Toimenpiteet!$X174,JA!$CI:$CI,Toimenpiteet!$Y$1,JA!BK:BK,"OK",JA!CT:CT,$AF$4)</f>
        <v>0</v>
      </c>
      <c r="E174" s="429">
        <f>SUMIFS(JA!$Z:$Z,JA!$AX:$AX,Toimenpiteet!$Y$6,JA!$AT:$AT,Toimenpiteet!$X174,JA!$CI:$CI,Toimenpiteet!$Y$1,JA!BL:BL,"OK",JA!CT:CT,$AF$4)</f>
        <v>0</v>
      </c>
      <c r="F174" s="429">
        <f>SUMIFS(JA!$Z:$Z,JA!$AX:$AX,Toimenpiteet!$Y$6,JA!$AT:$AT,Toimenpiteet!$X174,JA!$CI:$CI,Toimenpiteet!$Y$1,JA!BM:BM,"OK",JA!CT:CT,$AF$4)</f>
        <v>0</v>
      </c>
      <c r="G174" s="429">
        <f>SUMIFS(JA!$Z:$Z,JA!$AX:$AX,Toimenpiteet!$Y$6,JA!$AT:$AT,Toimenpiteet!$X174,JA!$CI:$CI,Toimenpiteet!$Y$1,JA!BN:BN,"OK",JA!CT:CT,$AF$4)</f>
        <v>0</v>
      </c>
      <c r="H174" s="429">
        <f>SUMIFS(JA!$Z:$Z,JA!$AX:$AX,Toimenpiteet!$Y$6,JA!$AT:$AT,Toimenpiteet!$X174,JA!$CI:$CI,Toimenpiteet!$Y$1,JA!BO:BO,"OK",JA!CT:CT,$AF$4)</f>
        <v>0</v>
      </c>
      <c r="I174" s="429">
        <f>SUMIFS(JA!$Z:$Z,JA!$AX:$AX,Toimenpiteet!$Y$6,JA!$AT:$AT,Toimenpiteet!$X174,JA!$CI:$CI,Toimenpiteet!$Y$1,JA!BP:BP,"OK",JA!CT:CT,$AF$4)</f>
        <v>0</v>
      </c>
      <c r="J174" s="429">
        <f>SUMIFS(JA!$Z:$Z,JA!$AX:$AX,Toimenpiteet!$Y$6,JA!$AT:$AT,Toimenpiteet!$X174,JA!$CI:$CI,Toimenpiteet!$Y$1,JA!BQ:BQ,"OK",JA!CT:CT,$AF$4)</f>
        <v>0</v>
      </c>
      <c r="K174" s="429">
        <f>SUMIFS(JA!$Z:$Z,JA!$AX:$AX,Toimenpiteet!$Y$6,JA!$AT:$AT,Toimenpiteet!$X174,JA!$CI:$CI,Toimenpiteet!$Y$1,JA!BR:BR,"OK",JA!CT:CT,$AF$4)</f>
        <v>0</v>
      </c>
      <c r="L174" s="429">
        <f>SUMIFS(JA!$Z:$Z,JA!$AX:$AX,Toimenpiteet!$Y$6,JA!$AT:$AT,Toimenpiteet!$X174,JA!$CI:$CI,Toimenpiteet!$Y$1,JA!BS:BS,"OK",JA!CT:CT,$AF$4)</f>
        <v>0</v>
      </c>
      <c r="M174" s="429">
        <f>SUMIFS(JA!$Z:$Z,JA!$AX:$AX,Toimenpiteet!$Y$6,JA!$AT:$AT,Toimenpiteet!$X174,JA!$CI:$CI,Toimenpiteet!$Y$1,JA!BT:BT,"OK",JA!CT:CT,$AF$4)</f>
        <v>0</v>
      </c>
      <c r="N174" s="429">
        <f>SUMIFS(JA!$Z:$Z,JA!$AX:$AX,Toimenpiteet!$Y$6,JA!$AT:$AT,Toimenpiteet!$X174,JA!$CI:$CI,Toimenpiteet!$Y$1,JA!BU:BU,"OK",JA!CT:CT,$AF$4)</f>
        <v>0</v>
      </c>
      <c r="O174" s="429">
        <f t="shared" si="13"/>
        <v>0</v>
      </c>
      <c r="W174" s="228"/>
      <c r="X174" s="86" t="s">
        <v>449</v>
      </c>
    </row>
    <row r="175" spans="1:24" hidden="1" x14ac:dyDescent="0.25">
      <c r="A175" s="1045"/>
      <c r="B175" s="583" t="s">
        <v>450</v>
      </c>
      <c r="C175" s="429">
        <f>SUMIFS(JA!$Z:$Z,JA!$AX:$AX,Toimenpiteet!$Y$6,JA!$AT:$AT,Toimenpiteet!$X175,JA!$CI:$CI,Toimenpiteet!$Y$1,JA!BJ:BJ,"OK",JA!CT:CT,$AF$4)</f>
        <v>0</v>
      </c>
      <c r="D175" s="429">
        <f>SUMIFS(JA!$Z:$Z,JA!$AX:$AX,Toimenpiteet!$Y$6,JA!$AT:$AT,Toimenpiteet!$X175,JA!$CI:$CI,Toimenpiteet!$Y$1,JA!BK:BK,"OK",JA!CT:CT,$AF$4)</f>
        <v>0</v>
      </c>
      <c r="E175" s="429">
        <f>SUMIFS(JA!$Z:$Z,JA!$AX:$AX,Toimenpiteet!$Y$6,JA!$AT:$AT,Toimenpiteet!$X175,JA!$CI:$CI,Toimenpiteet!$Y$1,JA!BL:BL,"OK",JA!CT:CT,$AF$4)</f>
        <v>0</v>
      </c>
      <c r="F175" s="429">
        <f>SUMIFS(JA!$Z:$Z,JA!$AX:$AX,Toimenpiteet!$Y$6,JA!$AT:$AT,Toimenpiteet!$X175,JA!$CI:$CI,Toimenpiteet!$Y$1,JA!BM:BM,"OK",JA!CT:CT,$AF$4)</f>
        <v>0</v>
      </c>
      <c r="G175" s="429">
        <f>SUMIFS(JA!$Z:$Z,JA!$AX:$AX,Toimenpiteet!$Y$6,JA!$AT:$AT,Toimenpiteet!$X175,JA!$CI:$CI,Toimenpiteet!$Y$1,JA!BN:BN,"OK",JA!CT:CT,$AF$4)</f>
        <v>0</v>
      </c>
      <c r="H175" s="429">
        <f>SUMIFS(JA!$Z:$Z,JA!$AX:$AX,Toimenpiteet!$Y$6,JA!$AT:$AT,Toimenpiteet!$X175,JA!$CI:$CI,Toimenpiteet!$Y$1,JA!BO:BO,"OK",JA!CT:CT,$AF$4)</f>
        <v>0</v>
      </c>
      <c r="I175" s="429">
        <f>SUMIFS(JA!$Z:$Z,JA!$AX:$AX,Toimenpiteet!$Y$6,JA!$AT:$AT,Toimenpiteet!$X175,JA!$CI:$CI,Toimenpiteet!$Y$1,JA!BP:BP,"OK",JA!CT:CT,$AF$4)</f>
        <v>0</v>
      </c>
      <c r="J175" s="429">
        <f>SUMIFS(JA!$Z:$Z,JA!$AX:$AX,Toimenpiteet!$Y$6,JA!$AT:$AT,Toimenpiteet!$X175,JA!$CI:$CI,Toimenpiteet!$Y$1,JA!BQ:BQ,"OK",JA!CT:CT,$AF$4)</f>
        <v>0</v>
      </c>
      <c r="K175" s="429">
        <f>SUMIFS(JA!$Z:$Z,JA!$AX:$AX,Toimenpiteet!$Y$6,JA!$AT:$AT,Toimenpiteet!$X175,JA!$CI:$CI,Toimenpiteet!$Y$1,JA!BR:BR,"OK",JA!CT:CT,$AF$4)</f>
        <v>0</v>
      </c>
      <c r="L175" s="429">
        <f>SUMIFS(JA!$Z:$Z,JA!$AX:$AX,Toimenpiteet!$Y$6,JA!$AT:$AT,Toimenpiteet!$X175,JA!$CI:$CI,Toimenpiteet!$Y$1,JA!BS:BS,"OK",JA!CT:CT,$AF$4)</f>
        <v>0</v>
      </c>
      <c r="M175" s="429">
        <f>SUMIFS(JA!$Z:$Z,JA!$AX:$AX,Toimenpiteet!$Y$6,JA!$AT:$AT,Toimenpiteet!$X175,JA!$CI:$CI,Toimenpiteet!$Y$1,JA!BT:BT,"OK",JA!CT:CT,$AF$4)</f>
        <v>0</v>
      </c>
      <c r="N175" s="429">
        <f>SUMIFS(JA!$Z:$Z,JA!$AX:$AX,Toimenpiteet!$Y$6,JA!$AT:$AT,Toimenpiteet!$X175,JA!$CI:$CI,Toimenpiteet!$Y$1,JA!BU:BU,"OK",JA!CT:CT,$AF$4)</f>
        <v>0</v>
      </c>
      <c r="O175" s="429">
        <f t="shared" si="13"/>
        <v>0</v>
      </c>
      <c r="W175" s="228"/>
      <c r="X175" s="86" t="s">
        <v>451</v>
      </c>
    </row>
    <row r="176" spans="1:24" hidden="1" x14ac:dyDescent="0.25">
      <c r="A176" s="1046" t="s">
        <v>452</v>
      </c>
      <c r="B176" s="583" t="s">
        <v>453</v>
      </c>
      <c r="C176" s="429">
        <f>SUMIFS(JA!$Z:$Z,JA!$AX:$AX,Toimenpiteet!$Y$6,JA!$AT:$AT,Toimenpiteet!$X176,JA!$CI:$CI,Toimenpiteet!$Y$1,JA!BJ:BJ,"OK",JA!CT:CT,$AF$4)</f>
        <v>0</v>
      </c>
      <c r="D176" s="429">
        <f>SUMIFS(JA!$Z:$Z,JA!$AX:$AX,Toimenpiteet!$Y$6,JA!$AT:$AT,Toimenpiteet!$X176,JA!$CI:$CI,Toimenpiteet!$Y$1,JA!BK:BK,"OK",JA!CT:CT,$AF$4)</f>
        <v>0</v>
      </c>
      <c r="E176" s="429">
        <f>SUMIFS(JA!$Z:$Z,JA!$AX:$AX,Toimenpiteet!$Y$6,JA!$AT:$AT,Toimenpiteet!$X176,JA!$CI:$CI,Toimenpiteet!$Y$1,JA!BL:BL,"OK",JA!CT:CT,$AF$4)</f>
        <v>0</v>
      </c>
      <c r="F176" s="429">
        <f>SUMIFS(JA!$Z:$Z,JA!$AX:$AX,Toimenpiteet!$Y$6,JA!$AT:$AT,Toimenpiteet!$X176,JA!$CI:$CI,Toimenpiteet!$Y$1,JA!BM:BM,"OK",JA!CT:CT,$AF$4)</f>
        <v>0</v>
      </c>
      <c r="G176" s="429">
        <f>SUMIFS(JA!$Z:$Z,JA!$AX:$AX,Toimenpiteet!$Y$6,JA!$AT:$AT,Toimenpiteet!$X176,JA!$CI:$CI,Toimenpiteet!$Y$1,JA!BN:BN,"OK",JA!CT:CT,$AF$4)</f>
        <v>0</v>
      </c>
      <c r="H176" s="429">
        <f>SUMIFS(JA!$Z:$Z,JA!$AX:$AX,Toimenpiteet!$Y$6,JA!$AT:$AT,Toimenpiteet!$X176,JA!$CI:$CI,Toimenpiteet!$Y$1,JA!BO:BO,"OK",JA!CT:CT,$AF$4)</f>
        <v>0</v>
      </c>
      <c r="I176" s="429">
        <f>SUMIFS(JA!$Z:$Z,JA!$AX:$AX,Toimenpiteet!$Y$6,JA!$AT:$AT,Toimenpiteet!$X176,JA!$CI:$CI,Toimenpiteet!$Y$1,JA!BP:BP,"OK",JA!CT:CT,$AF$4)</f>
        <v>0</v>
      </c>
      <c r="J176" s="429">
        <f>SUMIFS(JA!$Z:$Z,JA!$AX:$AX,Toimenpiteet!$Y$6,JA!$AT:$AT,Toimenpiteet!$X176,JA!$CI:$CI,Toimenpiteet!$Y$1,JA!BQ:BQ,"OK",JA!CT:CT,$AF$4)</f>
        <v>0</v>
      </c>
      <c r="K176" s="429">
        <f>SUMIFS(JA!$Z:$Z,JA!$AX:$AX,Toimenpiteet!$Y$6,JA!$AT:$AT,Toimenpiteet!$X176,JA!$CI:$CI,Toimenpiteet!$Y$1,JA!BR:BR,"OK",JA!CT:CT,$AF$4)</f>
        <v>0</v>
      </c>
      <c r="L176" s="429">
        <f>SUMIFS(JA!$Z:$Z,JA!$AX:$AX,Toimenpiteet!$Y$6,JA!$AT:$AT,Toimenpiteet!$X176,JA!$CI:$CI,Toimenpiteet!$Y$1,JA!BS:BS,"OK",JA!CT:CT,$AF$4)</f>
        <v>0</v>
      </c>
      <c r="M176" s="429">
        <f>SUMIFS(JA!$Z:$Z,JA!$AX:$AX,Toimenpiteet!$Y$6,JA!$AT:$AT,Toimenpiteet!$X176,JA!$CI:$CI,Toimenpiteet!$Y$1,JA!BT:BT,"OK",JA!CT:CT,$AF$4)</f>
        <v>0</v>
      </c>
      <c r="N176" s="429">
        <f>SUMIFS(JA!$Z:$Z,JA!$AX:$AX,Toimenpiteet!$Y$6,JA!$AT:$AT,Toimenpiteet!$X176,JA!$CI:$CI,Toimenpiteet!$Y$1,JA!BU:BU,"OK",JA!CT:CT,$AF$4)</f>
        <v>0</v>
      </c>
      <c r="O176" s="429">
        <f t="shared" si="13"/>
        <v>0</v>
      </c>
      <c r="X176" t="s">
        <v>454</v>
      </c>
    </row>
    <row r="177" spans="1:24" hidden="1" x14ac:dyDescent="0.25">
      <c r="A177" s="1047"/>
      <c r="B177" s="583" t="s">
        <v>456</v>
      </c>
      <c r="C177" s="429">
        <f>SUMIFS(JA!$Z:$Z,JA!$AX:$AX,Toimenpiteet!$Y$6,JA!$AT:$AT,Toimenpiteet!$X177,JA!$CI:$CI,Toimenpiteet!$Y$1,JA!BJ:BJ,"OK",JA!CT:CT,$AF$4)</f>
        <v>0</v>
      </c>
      <c r="D177" s="429">
        <f>SUMIFS(JA!$Z:$Z,JA!$AX:$AX,Toimenpiteet!$Y$6,JA!$AT:$AT,Toimenpiteet!$X177,JA!$CI:$CI,Toimenpiteet!$Y$1,JA!BK:BK,"OK",JA!CT:CT,$AF$4)</f>
        <v>0</v>
      </c>
      <c r="E177" s="429">
        <f>SUMIFS(JA!$Z:$Z,JA!$AX:$AX,Toimenpiteet!$Y$6,JA!$AT:$AT,Toimenpiteet!$X177,JA!$CI:$CI,Toimenpiteet!$Y$1,JA!BL:BL,"OK",JA!CT:CT,$AF$4)</f>
        <v>0</v>
      </c>
      <c r="F177" s="429">
        <f>SUMIFS(JA!$Z:$Z,JA!$AX:$AX,Toimenpiteet!$Y$6,JA!$AT:$AT,Toimenpiteet!$X177,JA!$CI:$CI,Toimenpiteet!$Y$1,JA!BM:BM,"OK",JA!CT:CT,$AF$4)</f>
        <v>0</v>
      </c>
      <c r="G177" s="429">
        <f>SUMIFS(JA!$Z:$Z,JA!$AX:$AX,Toimenpiteet!$Y$6,JA!$AT:$AT,Toimenpiteet!$X177,JA!$CI:$CI,Toimenpiteet!$Y$1,JA!BN:BN,"OK",JA!CT:CT,$AF$4)</f>
        <v>0</v>
      </c>
      <c r="H177" s="429">
        <f>SUMIFS(JA!$Z:$Z,JA!$AX:$AX,Toimenpiteet!$Y$6,JA!$AT:$AT,Toimenpiteet!$X177,JA!$CI:$CI,Toimenpiteet!$Y$1,JA!BO:BO,"OK",JA!CT:CT,$AF$4)</f>
        <v>0</v>
      </c>
      <c r="I177" s="429">
        <f>SUMIFS(JA!$Z:$Z,JA!$AX:$AX,Toimenpiteet!$Y$6,JA!$AT:$AT,Toimenpiteet!$X177,JA!$CI:$CI,Toimenpiteet!$Y$1,JA!BP:BP,"OK",JA!CT:CT,$AF$4)</f>
        <v>0</v>
      </c>
      <c r="J177" s="429">
        <f>SUMIFS(JA!$Z:$Z,JA!$AX:$AX,Toimenpiteet!$Y$6,JA!$AT:$AT,Toimenpiteet!$X177,JA!$CI:$CI,Toimenpiteet!$Y$1,JA!BQ:BQ,"OK",JA!CT:CT,$AF$4)</f>
        <v>0</v>
      </c>
      <c r="K177" s="429">
        <f>SUMIFS(JA!$Z:$Z,JA!$AX:$AX,Toimenpiteet!$Y$6,JA!$AT:$AT,Toimenpiteet!$X177,JA!$CI:$CI,Toimenpiteet!$Y$1,JA!BR:BR,"OK",JA!CT:CT,$AF$4)</f>
        <v>0</v>
      </c>
      <c r="L177" s="429">
        <f>SUMIFS(JA!$Z:$Z,JA!$AX:$AX,Toimenpiteet!$Y$6,JA!$AT:$AT,Toimenpiteet!$X177,JA!$CI:$CI,Toimenpiteet!$Y$1,JA!BS:BS,"OK",JA!CT:CT,$AF$4)</f>
        <v>0</v>
      </c>
      <c r="M177" s="429">
        <f>SUMIFS(JA!$Z:$Z,JA!$AX:$AX,Toimenpiteet!$Y$6,JA!$AT:$AT,Toimenpiteet!$X177,JA!$CI:$CI,Toimenpiteet!$Y$1,JA!BT:BT,"OK",JA!CT:CT,$AF$4)</f>
        <v>0</v>
      </c>
      <c r="N177" s="429">
        <f>SUMIFS(JA!$Z:$Z,JA!$AX:$AX,Toimenpiteet!$Y$6,JA!$AT:$AT,Toimenpiteet!$X177,JA!$CI:$CI,Toimenpiteet!$Y$1,JA!BU:BU,"OK",JA!CT:CT,$AF$4)</f>
        <v>0</v>
      </c>
      <c r="O177" s="429">
        <f t="shared" si="13"/>
        <v>0</v>
      </c>
      <c r="X177" t="s">
        <v>457</v>
      </c>
    </row>
    <row r="178" spans="1:24" ht="15" hidden="1" customHeight="1" x14ac:dyDescent="0.25">
      <c r="A178" s="1047"/>
      <c r="B178" s="583" t="s">
        <v>459</v>
      </c>
      <c r="C178" s="429">
        <f>SUMIFS(JA!$Z:$Z,JA!$AX:$AX,Toimenpiteet!$Y$6,JA!$AT:$AT,Toimenpiteet!$X178,JA!$CI:$CI,Toimenpiteet!$Y$1,JA!BJ:BJ,"OK",JA!CT:CT,$AF$4)</f>
        <v>0</v>
      </c>
      <c r="D178" s="429">
        <f>SUMIFS(JA!$Z:$Z,JA!$AX:$AX,Toimenpiteet!$Y$6,JA!$AT:$AT,Toimenpiteet!$X178,JA!$CI:$CI,Toimenpiteet!$Y$1,JA!BK:BK,"OK",JA!CT:CT,$AF$4)</f>
        <v>0</v>
      </c>
      <c r="E178" s="429">
        <f>SUMIFS(JA!$Z:$Z,JA!$AX:$AX,Toimenpiteet!$Y$6,JA!$AT:$AT,Toimenpiteet!$X178,JA!$CI:$CI,Toimenpiteet!$Y$1,JA!BL:BL,"OK",JA!CT:CT,$AF$4)</f>
        <v>0</v>
      </c>
      <c r="F178" s="429">
        <f>SUMIFS(JA!$Z:$Z,JA!$AX:$AX,Toimenpiteet!$Y$6,JA!$AT:$AT,Toimenpiteet!$X178,JA!$CI:$CI,Toimenpiteet!$Y$1,JA!BM:BM,"OK",JA!CT:CT,$AF$4)</f>
        <v>0</v>
      </c>
      <c r="G178" s="429">
        <f>SUMIFS(JA!$Z:$Z,JA!$AX:$AX,Toimenpiteet!$Y$6,JA!$AT:$AT,Toimenpiteet!$X178,JA!$CI:$CI,Toimenpiteet!$Y$1,JA!BN:BN,"OK",JA!CT:CT,$AF$4)</f>
        <v>0</v>
      </c>
      <c r="H178" s="429">
        <f>SUMIFS(JA!$Z:$Z,JA!$AX:$AX,Toimenpiteet!$Y$6,JA!$AT:$AT,Toimenpiteet!$X178,JA!$CI:$CI,Toimenpiteet!$Y$1,JA!BO:BO,"OK",JA!CT:CT,$AF$4)</f>
        <v>0</v>
      </c>
      <c r="I178" s="429">
        <f>SUMIFS(JA!$Z:$Z,JA!$AX:$AX,Toimenpiteet!$Y$6,JA!$AT:$AT,Toimenpiteet!$X178,JA!$CI:$CI,Toimenpiteet!$Y$1,JA!BP:BP,"OK",JA!CT:CT,$AF$4)</f>
        <v>0</v>
      </c>
      <c r="J178" s="429">
        <f>SUMIFS(JA!$Z:$Z,JA!$AX:$AX,Toimenpiteet!$Y$6,JA!$AT:$AT,Toimenpiteet!$X178,JA!$CI:$CI,Toimenpiteet!$Y$1,JA!BQ:BQ,"OK",JA!CT:CT,$AF$4)</f>
        <v>0</v>
      </c>
      <c r="K178" s="429">
        <f>SUMIFS(JA!$Z:$Z,JA!$AX:$AX,Toimenpiteet!$Y$6,JA!$AT:$AT,Toimenpiteet!$X178,JA!$CI:$CI,Toimenpiteet!$Y$1,JA!BR:BR,"OK",JA!CT:CT,$AF$4)</f>
        <v>0</v>
      </c>
      <c r="L178" s="429">
        <f>SUMIFS(JA!$Z:$Z,JA!$AX:$AX,Toimenpiteet!$Y$6,JA!$AT:$AT,Toimenpiteet!$X178,JA!$CI:$CI,Toimenpiteet!$Y$1,JA!BS:BS,"OK",JA!CT:CT,$AF$4)</f>
        <v>0</v>
      </c>
      <c r="M178" s="429">
        <f>SUMIFS(JA!$Z:$Z,JA!$AX:$AX,Toimenpiteet!$Y$6,JA!$AT:$AT,Toimenpiteet!$X178,JA!$CI:$CI,Toimenpiteet!$Y$1,JA!BT:BT,"OK",JA!CT:CT,$AF$4)</f>
        <v>0</v>
      </c>
      <c r="N178" s="429">
        <f>SUMIFS(JA!$Z:$Z,JA!$AX:$AX,Toimenpiteet!$Y$6,JA!$AT:$AT,Toimenpiteet!$X178,JA!$CI:$CI,Toimenpiteet!$Y$1,JA!BU:BU,"OK",JA!CT:CT,$AF$4)</f>
        <v>0</v>
      </c>
      <c r="O178" s="429">
        <f t="shared" si="13"/>
        <v>0</v>
      </c>
      <c r="X178" t="s">
        <v>460</v>
      </c>
    </row>
    <row r="179" spans="1:24" hidden="1" x14ac:dyDescent="0.25">
      <c r="A179" s="1048"/>
      <c r="B179" s="583" t="s">
        <v>463</v>
      </c>
      <c r="C179" s="429">
        <f>SUMIFS(JA!$Z:$Z,JA!$AX:$AX,Toimenpiteet!$Y$6,JA!$AT:$AT,Toimenpiteet!$X179,JA!$CI:$CI,Toimenpiteet!$Y$1,JA!BJ:BJ,"OK",JA!CT:CT,$AF$4)</f>
        <v>0</v>
      </c>
      <c r="D179" s="429">
        <f>SUMIFS(JA!$Z:$Z,JA!$AX:$AX,Toimenpiteet!$Y$6,JA!$AT:$AT,Toimenpiteet!$X179,JA!$CI:$CI,Toimenpiteet!$Y$1,JA!BK:BK,"OK",JA!CT:CT,$AF$4)</f>
        <v>0</v>
      </c>
      <c r="E179" s="429">
        <f>SUMIFS(JA!$Z:$Z,JA!$AX:$AX,Toimenpiteet!$Y$6,JA!$AT:$AT,Toimenpiteet!$X179,JA!$CI:$CI,Toimenpiteet!$Y$1,JA!BL:BL,"OK",JA!CT:CT,$AF$4)</f>
        <v>0</v>
      </c>
      <c r="F179" s="429">
        <f>SUMIFS(JA!$Z:$Z,JA!$AX:$AX,Toimenpiteet!$Y$6,JA!$AT:$AT,Toimenpiteet!$X179,JA!$CI:$CI,Toimenpiteet!$Y$1,JA!BM:BM,"OK",JA!CT:CT,$AF$4)</f>
        <v>0</v>
      </c>
      <c r="G179" s="429">
        <f>SUMIFS(JA!$Z:$Z,JA!$AX:$AX,Toimenpiteet!$Y$6,JA!$AT:$AT,Toimenpiteet!$X179,JA!$CI:$CI,Toimenpiteet!$Y$1,JA!BN:BN,"OK",JA!CT:CT,$AF$4)</f>
        <v>0</v>
      </c>
      <c r="H179" s="429">
        <f>SUMIFS(JA!$Z:$Z,JA!$AX:$AX,Toimenpiteet!$Y$6,JA!$AT:$AT,Toimenpiteet!$X179,JA!$CI:$CI,Toimenpiteet!$Y$1,JA!BO:BO,"OK",JA!CT:CT,$AF$4)</f>
        <v>0</v>
      </c>
      <c r="I179" s="429">
        <f>SUMIFS(JA!$Z:$Z,JA!$AX:$AX,Toimenpiteet!$Y$6,JA!$AT:$AT,Toimenpiteet!$X179,JA!$CI:$CI,Toimenpiteet!$Y$1,JA!BP:BP,"OK",JA!CT:CT,$AF$4)</f>
        <v>0</v>
      </c>
      <c r="J179" s="429">
        <f>SUMIFS(JA!$Z:$Z,JA!$AX:$AX,Toimenpiteet!$Y$6,JA!$AT:$AT,Toimenpiteet!$X179,JA!$CI:$CI,Toimenpiteet!$Y$1,JA!BQ:BQ,"OK",JA!CT:CT,$AF$4)</f>
        <v>0</v>
      </c>
      <c r="K179" s="429">
        <f>SUMIFS(JA!$Z:$Z,JA!$AX:$AX,Toimenpiteet!$Y$6,JA!$AT:$AT,Toimenpiteet!$X179,JA!$CI:$CI,Toimenpiteet!$Y$1,JA!BR:BR,"OK",JA!CT:CT,$AF$4)</f>
        <v>0</v>
      </c>
      <c r="L179" s="429">
        <f>SUMIFS(JA!$Z:$Z,JA!$AX:$AX,Toimenpiteet!$Y$6,JA!$AT:$AT,Toimenpiteet!$X179,JA!$CI:$CI,Toimenpiteet!$Y$1,JA!BS:BS,"OK",JA!CT:CT,$AF$4)</f>
        <v>0</v>
      </c>
      <c r="M179" s="429">
        <f>SUMIFS(JA!$Z:$Z,JA!$AX:$AX,Toimenpiteet!$Y$6,JA!$AT:$AT,Toimenpiteet!$X179,JA!$CI:$CI,Toimenpiteet!$Y$1,JA!BT:BT,"OK",JA!CT:CT,$AF$4)</f>
        <v>0</v>
      </c>
      <c r="N179" s="429">
        <f>SUMIFS(JA!$Z:$Z,JA!$AX:$AX,Toimenpiteet!$Y$6,JA!$AT:$AT,Toimenpiteet!$X179,JA!$CI:$CI,Toimenpiteet!$Y$1,JA!BU:BU,"OK",JA!CT:CT,$AF$4)</f>
        <v>0</v>
      </c>
      <c r="O179" s="429">
        <f t="shared" si="13"/>
        <v>0</v>
      </c>
      <c r="X179" t="s">
        <v>464</v>
      </c>
    </row>
    <row r="180" spans="1:24" hidden="1" x14ac:dyDescent="0.25">
      <c r="A180" s="1043" t="s">
        <v>287</v>
      </c>
      <c r="B180" s="583" t="s">
        <v>467</v>
      </c>
      <c r="C180" s="429">
        <f>SUMIFS(JA!$Z:$Z,JA!$AX:$AX,Toimenpiteet!$Y$6,JA!$AT:$AT,Toimenpiteet!$X180,JA!$CI:$CI,Toimenpiteet!$Y$1,JA!BJ:BJ,"OK",JA!CT:CT,$AF$4)</f>
        <v>0</v>
      </c>
      <c r="D180" s="429">
        <f>SUMIFS(JA!$Z:$Z,JA!$AX:$AX,Toimenpiteet!$Y$6,JA!$AT:$AT,Toimenpiteet!$X180,JA!$CI:$CI,Toimenpiteet!$Y$1,JA!BK:BK,"OK",JA!CT:CT,$AF$4)</f>
        <v>0</v>
      </c>
      <c r="E180" s="429">
        <f>SUMIFS(JA!$Z:$Z,JA!$AX:$AX,Toimenpiteet!$Y$6,JA!$AT:$AT,Toimenpiteet!$X180,JA!$CI:$CI,Toimenpiteet!$Y$1,JA!BL:BL,"OK",JA!CT:CT,$AF$4)</f>
        <v>0</v>
      </c>
      <c r="F180" s="429">
        <f>SUMIFS(JA!$Z:$Z,JA!$AX:$AX,Toimenpiteet!$Y$6,JA!$AT:$AT,Toimenpiteet!$X180,JA!$CI:$CI,Toimenpiteet!$Y$1,JA!BM:BM,"OK",JA!CT:CT,$AF$4)</f>
        <v>0</v>
      </c>
      <c r="G180" s="429">
        <f>SUMIFS(JA!$Z:$Z,JA!$AX:$AX,Toimenpiteet!$Y$6,JA!$AT:$AT,Toimenpiteet!$X180,JA!$CI:$CI,Toimenpiteet!$Y$1,JA!BN:BN,"OK",JA!CT:CT,$AF$4)</f>
        <v>0</v>
      </c>
      <c r="H180" s="429">
        <f>SUMIFS(JA!$Z:$Z,JA!$AX:$AX,Toimenpiteet!$Y$6,JA!$AT:$AT,Toimenpiteet!$X180,JA!$CI:$CI,Toimenpiteet!$Y$1,JA!BO:BO,"OK",JA!CT:CT,$AF$4)</f>
        <v>0</v>
      </c>
      <c r="I180" s="429">
        <f>SUMIFS(JA!$Z:$Z,JA!$AX:$AX,Toimenpiteet!$Y$6,JA!$AT:$AT,Toimenpiteet!$X180,JA!$CI:$CI,Toimenpiteet!$Y$1,JA!BP:BP,"OK",JA!CT:CT,$AF$4)</f>
        <v>0</v>
      </c>
      <c r="J180" s="429">
        <f>SUMIFS(JA!$Z:$Z,JA!$AX:$AX,Toimenpiteet!$Y$6,JA!$AT:$AT,Toimenpiteet!$X180,JA!$CI:$CI,Toimenpiteet!$Y$1,JA!BQ:BQ,"OK",JA!CT:CT,$AF$4)</f>
        <v>0</v>
      </c>
      <c r="K180" s="429">
        <f>SUMIFS(JA!$Z:$Z,JA!$AX:$AX,Toimenpiteet!$Y$6,JA!$AT:$AT,Toimenpiteet!$X180,JA!$CI:$CI,Toimenpiteet!$Y$1,JA!BR:BR,"OK",JA!CT:CT,$AF$4)</f>
        <v>0</v>
      </c>
      <c r="L180" s="429">
        <f>SUMIFS(JA!$Z:$Z,JA!$AX:$AX,Toimenpiteet!$Y$6,JA!$AT:$AT,Toimenpiteet!$X180,JA!$CI:$CI,Toimenpiteet!$Y$1,JA!BS:BS,"OK",JA!CT:CT,$AF$4)</f>
        <v>0</v>
      </c>
      <c r="M180" s="429">
        <f>SUMIFS(JA!$Z:$Z,JA!$AX:$AX,Toimenpiteet!$Y$6,JA!$AT:$AT,Toimenpiteet!$X180,JA!$CI:$CI,Toimenpiteet!$Y$1,JA!BT:BT,"OK",JA!CT:CT,$AF$4)</f>
        <v>0</v>
      </c>
      <c r="N180" s="429">
        <f>SUMIFS(JA!$Z:$Z,JA!$AX:$AX,Toimenpiteet!$Y$6,JA!$AT:$AT,Toimenpiteet!$X180,JA!$CI:$CI,Toimenpiteet!$Y$1,JA!BU:BU,"OK",JA!CT:CT,$AF$4)</f>
        <v>0</v>
      </c>
      <c r="O180" s="429">
        <f t="shared" ref="O180" si="14">SUM(C180:N180)</f>
        <v>0</v>
      </c>
      <c r="X180" s="86" t="s">
        <v>468</v>
      </c>
    </row>
    <row r="181" spans="1:24" hidden="1" x14ac:dyDescent="0.25">
      <c r="A181" s="1044"/>
      <c r="B181" s="583" t="s">
        <v>469</v>
      </c>
      <c r="C181" s="429">
        <f>SUMIFS(JA!$Z:$Z,JA!$AX:$AX,Toimenpiteet!$Y$6,JA!$AT:$AT,Toimenpiteet!$X181,JA!$CI:$CI,Toimenpiteet!$Y$1,JA!BJ:BJ,"OK",JA!CT:CT,$AF$4)</f>
        <v>0</v>
      </c>
      <c r="D181" s="429">
        <f>SUMIFS(JA!$Z:$Z,JA!$AX:$AX,Toimenpiteet!$Y$6,JA!$AT:$AT,Toimenpiteet!$X181,JA!$CI:$CI,Toimenpiteet!$Y$1,JA!BK:BK,"OK",JA!CT:CT,$AF$4)</f>
        <v>0</v>
      </c>
      <c r="E181" s="429">
        <f>SUMIFS(JA!$Z:$Z,JA!$AX:$AX,Toimenpiteet!$Y$6,JA!$AT:$AT,Toimenpiteet!$X181,JA!$CI:$CI,Toimenpiteet!$Y$1,JA!BL:BL,"OK",JA!CT:CT,$AF$4)</f>
        <v>0</v>
      </c>
      <c r="F181" s="429">
        <f>SUMIFS(JA!$Z:$Z,JA!$AX:$AX,Toimenpiteet!$Y$6,JA!$AT:$AT,Toimenpiteet!$X181,JA!$CI:$CI,Toimenpiteet!$Y$1,JA!BM:BM,"OK",JA!CT:CT,$AF$4)</f>
        <v>0</v>
      </c>
      <c r="G181" s="429">
        <f>SUMIFS(JA!$Z:$Z,JA!$AX:$AX,Toimenpiteet!$Y$6,JA!$AT:$AT,Toimenpiteet!$X181,JA!$CI:$CI,Toimenpiteet!$Y$1,JA!BN:BN,"OK",JA!CT:CT,$AF$4)</f>
        <v>0</v>
      </c>
      <c r="H181" s="429">
        <f>SUMIFS(JA!$Z:$Z,JA!$AX:$AX,Toimenpiteet!$Y$6,JA!$AT:$AT,Toimenpiteet!$X181,JA!$CI:$CI,Toimenpiteet!$Y$1,JA!BO:BO,"OK",JA!CT:CT,$AF$4)</f>
        <v>0</v>
      </c>
      <c r="I181" s="429">
        <f>SUMIFS(JA!$Z:$Z,JA!$AX:$AX,Toimenpiteet!$Y$6,JA!$AT:$AT,Toimenpiteet!$X181,JA!$CI:$CI,Toimenpiteet!$Y$1,JA!BP:BP,"OK",JA!CT:CT,$AF$4)</f>
        <v>0</v>
      </c>
      <c r="J181" s="429">
        <f>SUMIFS(JA!$Z:$Z,JA!$AX:$AX,Toimenpiteet!$Y$6,JA!$AT:$AT,Toimenpiteet!$X181,JA!$CI:$CI,Toimenpiteet!$Y$1,JA!BQ:BQ,"OK",JA!CT:CT,$AF$4)</f>
        <v>0</v>
      </c>
      <c r="K181" s="429">
        <f>SUMIFS(JA!$Z:$Z,JA!$AX:$AX,Toimenpiteet!$Y$6,JA!$AT:$AT,Toimenpiteet!$X181,JA!$CI:$CI,Toimenpiteet!$Y$1,JA!BR:BR,"OK",JA!CT:CT,$AF$4)</f>
        <v>0</v>
      </c>
      <c r="L181" s="429">
        <f>SUMIFS(JA!$Z:$Z,JA!$AX:$AX,Toimenpiteet!$Y$6,JA!$AT:$AT,Toimenpiteet!$X181,JA!$CI:$CI,Toimenpiteet!$Y$1,JA!BS:BS,"OK",JA!CT:CT,$AF$4)</f>
        <v>0</v>
      </c>
      <c r="M181" s="429">
        <f>SUMIFS(JA!$Z:$Z,JA!$AX:$AX,Toimenpiteet!$Y$6,JA!$AT:$AT,Toimenpiteet!$X181,JA!$CI:$CI,Toimenpiteet!$Y$1,JA!BT:BT,"OK",JA!CT:CT,$AF$4)</f>
        <v>0</v>
      </c>
      <c r="N181" s="429">
        <f>SUMIFS(JA!$Z:$Z,JA!$AX:$AX,Toimenpiteet!$Y$6,JA!$AT:$AT,Toimenpiteet!$X181,JA!$CI:$CI,Toimenpiteet!$Y$1,JA!BU:BU,"OK",JA!CT:CT,$AF$4)</f>
        <v>0</v>
      </c>
      <c r="O181" s="429">
        <f t="shared" si="13"/>
        <v>0</v>
      </c>
      <c r="X181" t="s">
        <v>470</v>
      </c>
    </row>
    <row r="182" spans="1:24" hidden="1" x14ac:dyDescent="0.25">
      <c r="A182" s="1044"/>
      <c r="B182" s="583" t="s">
        <v>471</v>
      </c>
      <c r="C182" s="429">
        <f>SUMIFS(JA!$Z:$Z,JA!$AX:$AX,Toimenpiteet!$Y$6,JA!$AT:$AT,Toimenpiteet!$X182,JA!$CI:$CI,Toimenpiteet!$Y$1,JA!BJ:BJ,"OK",JA!CT:CT,$AF$4)</f>
        <v>0</v>
      </c>
      <c r="D182" s="429">
        <f>SUMIFS(JA!$Z:$Z,JA!$AX:$AX,Toimenpiteet!$Y$6,JA!$AT:$AT,Toimenpiteet!$X182,JA!$CI:$CI,Toimenpiteet!$Y$1,JA!BK:BK,"OK",JA!CT:CT,$AF$4)</f>
        <v>0</v>
      </c>
      <c r="E182" s="429">
        <f>SUMIFS(JA!$Z:$Z,JA!$AX:$AX,Toimenpiteet!$Y$6,JA!$AT:$AT,Toimenpiteet!$X182,JA!$CI:$CI,Toimenpiteet!$Y$1,JA!BL:BL,"OK",JA!CT:CT,$AF$4)</f>
        <v>0</v>
      </c>
      <c r="F182" s="429">
        <f>SUMIFS(JA!$Z:$Z,JA!$AX:$AX,Toimenpiteet!$Y$6,JA!$AT:$AT,Toimenpiteet!$X182,JA!$CI:$CI,Toimenpiteet!$Y$1,JA!BM:BM,"OK",JA!CT:CT,$AF$4)</f>
        <v>0</v>
      </c>
      <c r="G182" s="429">
        <f>SUMIFS(JA!$Z:$Z,JA!$AX:$AX,Toimenpiteet!$Y$6,JA!$AT:$AT,Toimenpiteet!$X182,JA!$CI:$CI,Toimenpiteet!$Y$1,JA!BN:BN,"OK",JA!CT:CT,$AF$4)</f>
        <v>0</v>
      </c>
      <c r="H182" s="429">
        <f>SUMIFS(JA!$Z:$Z,JA!$AX:$AX,Toimenpiteet!$Y$6,JA!$AT:$AT,Toimenpiteet!$X182,JA!$CI:$CI,Toimenpiteet!$Y$1,JA!BO:BO,"OK",JA!CT:CT,$AF$4)</f>
        <v>0</v>
      </c>
      <c r="I182" s="429">
        <f>SUMIFS(JA!$Z:$Z,JA!$AX:$AX,Toimenpiteet!$Y$6,JA!$AT:$AT,Toimenpiteet!$X182,JA!$CI:$CI,Toimenpiteet!$Y$1,JA!BP:BP,"OK",JA!CT:CT,$AF$4)</f>
        <v>0</v>
      </c>
      <c r="J182" s="429">
        <f>SUMIFS(JA!$Z:$Z,JA!$AX:$AX,Toimenpiteet!$Y$6,JA!$AT:$AT,Toimenpiteet!$X182,JA!$CI:$CI,Toimenpiteet!$Y$1,JA!BQ:BQ,"OK",JA!CT:CT,$AF$4)</f>
        <v>0</v>
      </c>
      <c r="K182" s="429">
        <f>SUMIFS(JA!$Z:$Z,JA!$AX:$AX,Toimenpiteet!$Y$6,JA!$AT:$AT,Toimenpiteet!$X182,JA!$CI:$CI,Toimenpiteet!$Y$1,JA!BR:BR,"OK",JA!CT:CT,$AF$4)</f>
        <v>0</v>
      </c>
      <c r="L182" s="429">
        <f>SUMIFS(JA!$Z:$Z,JA!$AX:$AX,Toimenpiteet!$Y$6,JA!$AT:$AT,Toimenpiteet!$X182,JA!$CI:$CI,Toimenpiteet!$Y$1,JA!BS:BS,"OK",JA!CT:CT,$AF$4)</f>
        <v>0</v>
      </c>
      <c r="M182" s="429">
        <f>SUMIFS(JA!$Z:$Z,JA!$AX:$AX,Toimenpiteet!$Y$6,JA!$AT:$AT,Toimenpiteet!$X182,JA!$CI:$CI,Toimenpiteet!$Y$1,JA!BT:BT,"OK",JA!CT:CT,$AF$4)</f>
        <v>0</v>
      </c>
      <c r="N182" s="429">
        <f>SUMIFS(JA!$Z:$Z,JA!$AX:$AX,Toimenpiteet!$Y$6,JA!$AT:$AT,Toimenpiteet!$X182,JA!$CI:$CI,Toimenpiteet!$Y$1,JA!BU:BU,"OK",JA!CT:CT,$AF$4)</f>
        <v>0</v>
      </c>
      <c r="O182" s="429">
        <f t="shared" si="13"/>
        <v>0</v>
      </c>
      <c r="X182" t="s">
        <v>472</v>
      </c>
    </row>
    <row r="183" spans="1:24" hidden="1" x14ac:dyDescent="0.25">
      <c r="A183" s="1044"/>
      <c r="B183" s="583" t="s">
        <v>473</v>
      </c>
      <c r="C183" s="429">
        <f>SUMIFS(JA!$Z:$Z,JA!$AX:$AX,Toimenpiteet!$Y$6,JA!$AT:$AT,Toimenpiteet!$X183,JA!$CI:$CI,Toimenpiteet!$Y$1,JA!BJ:BJ,"OK",JA!CT:CT,$AF$4)</f>
        <v>0</v>
      </c>
      <c r="D183" s="429">
        <f>SUMIFS(JA!$Z:$Z,JA!$AX:$AX,Toimenpiteet!$Y$6,JA!$AT:$AT,Toimenpiteet!$X183,JA!$CI:$CI,Toimenpiteet!$Y$1,JA!BK:BK,"OK",JA!CT:CT,$AF$4)</f>
        <v>0</v>
      </c>
      <c r="E183" s="429">
        <f>SUMIFS(JA!$Z:$Z,JA!$AX:$AX,Toimenpiteet!$Y$6,JA!$AT:$AT,Toimenpiteet!$X183,JA!$CI:$CI,Toimenpiteet!$Y$1,JA!BL:BL,"OK",JA!CT:CT,$AF$4)</f>
        <v>0</v>
      </c>
      <c r="F183" s="429">
        <f>SUMIFS(JA!$Z:$Z,JA!$AX:$AX,Toimenpiteet!$Y$6,JA!$AT:$AT,Toimenpiteet!$X183,JA!$CI:$CI,Toimenpiteet!$Y$1,JA!BM:BM,"OK",JA!CT:CT,$AF$4)</f>
        <v>0</v>
      </c>
      <c r="G183" s="429">
        <f>SUMIFS(JA!$Z:$Z,JA!$AX:$AX,Toimenpiteet!$Y$6,JA!$AT:$AT,Toimenpiteet!$X183,JA!$CI:$CI,Toimenpiteet!$Y$1,JA!BN:BN,"OK",JA!CT:CT,$AF$4)</f>
        <v>0</v>
      </c>
      <c r="H183" s="429">
        <f>SUMIFS(JA!$Z:$Z,JA!$AX:$AX,Toimenpiteet!$Y$6,JA!$AT:$AT,Toimenpiteet!$X183,JA!$CI:$CI,Toimenpiteet!$Y$1,JA!BO:BO,"OK",JA!CT:CT,$AF$4)</f>
        <v>0</v>
      </c>
      <c r="I183" s="429">
        <f>SUMIFS(JA!$Z:$Z,JA!$AX:$AX,Toimenpiteet!$Y$6,JA!$AT:$AT,Toimenpiteet!$X183,JA!$CI:$CI,Toimenpiteet!$Y$1,JA!BP:BP,"OK",JA!CT:CT,$AF$4)</f>
        <v>0</v>
      </c>
      <c r="J183" s="429">
        <f>SUMIFS(JA!$Z:$Z,JA!$AX:$AX,Toimenpiteet!$Y$6,JA!$AT:$AT,Toimenpiteet!$X183,JA!$CI:$CI,Toimenpiteet!$Y$1,JA!BQ:BQ,"OK",JA!CT:CT,$AF$4)</f>
        <v>0</v>
      </c>
      <c r="K183" s="429">
        <f>SUMIFS(JA!$Z:$Z,JA!$AX:$AX,Toimenpiteet!$Y$6,JA!$AT:$AT,Toimenpiteet!$X183,JA!$CI:$CI,Toimenpiteet!$Y$1,JA!BR:BR,"OK",JA!CT:CT,$AF$4)</f>
        <v>0</v>
      </c>
      <c r="L183" s="429">
        <f>SUMIFS(JA!$Z:$Z,JA!$AX:$AX,Toimenpiteet!$Y$6,JA!$AT:$AT,Toimenpiteet!$X183,JA!$CI:$CI,Toimenpiteet!$Y$1,JA!BS:BS,"OK",JA!CT:CT,$AF$4)</f>
        <v>0</v>
      </c>
      <c r="M183" s="429">
        <f>SUMIFS(JA!$Z:$Z,JA!$AX:$AX,Toimenpiteet!$Y$6,JA!$AT:$AT,Toimenpiteet!$X183,JA!$CI:$CI,Toimenpiteet!$Y$1,JA!BT:BT,"OK",JA!CT:CT,$AF$4)</f>
        <v>0</v>
      </c>
      <c r="N183" s="429">
        <f>SUMIFS(JA!$Z:$Z,JA!$AX:$AX,Toimenpiteet!$Y$6,JA!$AT:$AT,Toimenpiteet!$X183,JA!$CI:$CI,Toimenpiteet!$Y$1,JA!BU:BU,"OK",JA!CT:CT,$AF$4)</f>
        <v>0</v>
      </c>
      <c r="O183" s="429">
        <f t="shared" si="13"/>
        <v>0</v>
      </c>
      <c r="X183" s="86" t="s">
        <v>474</v>
      </c>
    </row>
    <row r="184" spans="1:24" hidden="1" x14ac:dyDescent="0.25">
      <c r="A184" s="1045"/>
      <c r="B184" s="583" t="s">
        <v>475</v>
      </c>
      <c r="C184" s="429">
        <f>SUMIFS(JA!$Z:$Z,JA!$AX:$AX,Toimenpiteet!$Y$6,JA!$AT:$AT,Toimenpiteet!$X184,JA!$CI:$CI,Toimenpiteet!$Y$1,JA!BJ:BJ,"OK",JA!CT:CT,$AF$4)</f>
        <v>0</v>
      </c>
      <c r="D184" s="429">
        <f>SUMIFS(JA!$Z:$Z,JA!$AX:$AX,Toimenpiteet!$Y$6,JA!$AT:$AT,Toimenpiteet!$X184,JA!$CI:$CI,Toimenpiteet!$Y$1,JA!BK:BK,"OK",JA!CT:CT,$AF$4)</f>
        <v>0</v>
      </c>
      <c r="E184" s="429">
        <f>SUMIFS(JA!$Z:$Z,JA!$AX:$AX,Toimenpiteet!$Y$6,JA!$AT:$AT,Toimenpiteet!$X184,JA!$CI:$CI,Toimenpiteet!$Y$1,JA!BL:BL,"OK",JA!CT:CT,$AF$4)</f>
        <v>0</v>
      </c>
      <c r="F184" s="429">
        <f>SUMIFS(JA!$Z:$Z,JA!$AX:$AX,Toimenpiteet!$Y$6,JA!$AT:$AT,Toimenpiteet!$X184,JA!$CI:$CI,Toimenpiteet!$Y$1,JA!BM:BM,"OK",JA!CT:CT,$AF$4)</f>
        <v>0</v>
      </c>
      <c r="G184" s="429">
        <f>SUMIFS(JA!$Z:$Z,JA!$AX:$AX,Toimenpiteet!$Y$6,JA!$AT:$AT,Toimenpiteet!$X184,JA!$CI:$CI,Toimenpiteet!$Y$1,JA!BN:BN,"OK",JA!CT:CT,$AF$4)</f>
        <v>0</v>
      </c>
      <c r="H184" s="429">
        <f>SUMIFS(JA!$Z:$Z,JA!$AX:$AX,Toimenpiteet!$Y$6,JA!$AT:$AT,Toimenpiteet!$X184,JA!$CI:$CI,Toimenpiteet!$Y$1,JA!BO:BO,"OK",JA!CT:CT,$AF$4)</f>
        <v>0</v>
      </c>
      <c r="I184" s="429">
        <f>SUMIFS(JA!$Z:$Z,JA!$AX:$AX,Toimenpiteet!$Y$6,JA!$AT:$AT,Toimenpiteet!$X184,JA!$CI:$CI,Toimenpiteet!$Y$1,JA!BP:BP,"OK",JA!CT:CT,$AF$4)</f>
        <v>0</v>
      </c>
      <c r="J184" s="429">
        <f>SUMIFS(JA!$Z:$Z,JA!$AX:$AX,Toimenpiteet!$Y$6,JA!$AT:$AT,Toimenpiteet!$X184,JA!$CI:$CI,Toimenpiteet!$Y$1,JA!BQ:BQ,"OK",JA!CT:CT,$AF$4)</f>
        <v>0</v>
      </c>
      <c r="K184" s="429">
        <f>SUMIFS(JA!$Z:$Z,JA!$AX:$AX,Toimenpiteet!$Y$6,JA!$AT:$AT,Toimenpiteet!$X184,JA!$CI:$CI,Toimenpiteet!$Y$1,JA!BR:BR,"OK",JA!CT:CT,$AF$4)</f>
        <v>0</v>
      </c>
      <c r="L184" s="429">
        <f>SUMIFS(JA!$Z:$Z,JA!$AX:$AX,Toimenpiteet!$Y$6,JA!$AT:$AT,Toimenpiteet!$X184,JA!$CI:$CI,Toimenpiteet!$Y$1,JA!BS:BS,"OK",JA!CT:CT,$AF$4)</f>
        <v>0</v>
      </c>
      <c r="M184" s="429">
        <f>SUMIFS(JA!$Z:$Z,JA!$AX:$AX,Toimenpiteet!$Y$6,JA!$AT:$AT,Toimenpiteet!$X184,JA!$CI:$CI,Toimenpiteet!$Y$1,JA!BT:BT,"OK",JA!CT:CT,$AF$4)</f>
        <v>0</v>
      </c>
      <c r="N184" s="429">
        <f>SUMIFS(JA!$Z:$Z,JA!$AX:$AX,Toimenpiteet!$Y$6,JA!$AT:$AT,Toimenpiteet!$X184,JA!$CI:$CI,Toimenpiteet!$Y$1,JA!BU:BU,"OK",JA!CT:CT,$AF$4)</f>
        <v>0</v>
      </c>
      <c r="O184" s="429">
        <f t="shared" si="13"/>
        <v>0</v>
      </c>
      <c r="X184" s="627" t="s">
        <v>476</v>
      </c>
    </row>
    <row r="185" spans="1:24" hidden="1" x14ac:dyDescent="0.25">
      <c r="A185" s="1043" t="s">
        <v>480</v>
      </c>
      <c r="B185" s="337" t="s">
        <v>481</v>
      </c>
      <c r="C185" s="429">
        <f>SUMIFS(JA!$Z:$Z,JA!$AX:$AX,Toimenpiteet!$Y$6,JA!$AT:$AT,Toimenpiteet!$X185,JA!$CI:$CI,Toimenpiteet!$Y$1,JA!BJ:BJ,"OK",JA!CT:CT,$AF$4)</f>
        <v>0</v>
      </c>
      <c r="D185" s="429">
        <f>SUMIFS(JA!$Z:$Z,JA!$AX:$AX,Toimenpiteet!$Y$6,JA!$AT:$AT,Toimenpiteet!$X185,JA!$CI:$CI,Toimenpiteet!$Y$1,JA!BK:BK,"OK",JA!CT:CT,$AF$4)</f>
        <v>0</v>
      </c>
      <c r="E185" s="429">
        <f>SUMIFS(JA!$Z:$Z,JA!$AX:$AX,Toimenpiteet!$Y$6,JA!$AT:$AT,Toimenpiteet!$X185,JA!$CI:$CI,Toimenpiteet!$Y$1,JA!BL:BL,"OK",JA!CT:CT,$AF$4)</f>
        <v>0</v>
      </c>
      <c r="F185" s="429">
        <f>SUMIFS(JA!$Z:$Z,JA!$AX:$AX,Toimenpiteet!$Y$6,JA!$AT:$AT,Toimenpiteet!$X185,JA!$CI:$CI,Toimenpiteet!$Y$1,JA!BM:BM,"OK",JA!CT:CT,$AF$4)</f>
        <v>0</v>
      </c>
      <c r="G185" s="429">
        <f>SUMIFS(JA!$Z:$Z,JA!$AX:$AX,Toimenpiteet!$Y$6,JA!$AT:$AT,Toimenpiteet!$X185,JA!$CI:$CI,Toimenpiteet!$Y$1,JA!BN:BN,"OK",JA!CT:CT,$AF$4)</f>
        <v>0</v>
      </c>
      <c r="H185" s="429">
        <f>SUMIFS(JA!$Z:$Z,JA!$AX:$AX,Toimenpiteet!$Y$6,JA!$AT:$AT,Toimenpiteet!$X185,JA!$CI:$CI,Toimenpiteet!$Y$1,JA!BO:BO,"OK",JA!CT:CT,$AF$4)</f>
        <v>0</v>
      </c>
      <c r="I185" s="429">
        <f>SUMIFS(JA!$Z:$Z,JA!$AX:$AX,Toimenpiteet!$Y$6,JA!$AT:$AT,Toimenpiteet!$X185,JA!$CI:$CI,Toimenpiteet!$Y$1,JA!BP:BP,"OK",JA!CT:CT,$AF$4)</f>
        <v>0</v>
      </c>
      <c r="J185" s="429">
        <f>SUMIFS(JA!$Z:$Z,JA!$AX:$AX,Toimenpiteet!$Y$6,JA!$AT:$AT,Toimenpiteet!$X185,JA!$CI:$CI,Toimenpiteet!$Y$1,JA!BQ:BQ,"OK",JA!CT:CT,$AF$4)</f>
        <v>0</v>
      </c>
      <c r="K185" s="429">
        <f>SUMIFS(JA!$Z:$Z,JA!$AX:$AX,Toimenpiteet!$Y$6,JA!$AT:$AT,Toimenpiteet!$X185,JA!$CI:$CI,Toimenpiteet!$Y$1,JA!BR:BR,"OK",JA!CT:CT,$AF$4)</f>
        <v>0</v>
      </c>
      <c r="L185" s="429">
        <f>SUMIFS(JA!$Z:$Z,JA!$AX:$AX,Toimenpiteet!$Y$6,JA!$AT:$AT,Toimenpiteet!$X185,JA!$CI:$CI,Toimenpiteet!$Y$1,JA!BS:BS,"OK",JA!CT:CT,$AF$4)</f>
        <v>0</v>
      </c>
      <c r="M185" s="429">
        <f>SUMIFS(JA!$Z:$Z,JA!$AX:$AX,Toimenpiteet!$Y$6,JA!$AT:$AT,Toimenpiteet!$X185,JA!$CI:$CI,Toimenpiteet!$Y$1,JA!BT:BT,"OK",JA!CT:CT,$AF$4)</f>
        <v>0</v>
      </c>
      <c r="N185" s="429">
        <f>SUMIFS(JA!$Z:$Z,JA!$AX:$AX,Toimenpiteet!$Y$6,JA!$AT:$AT,Toimenpiteet!$X185,JA!$CI:$CI,Toimenpiteet!$Y$1,JA!BU:BU,"OK",JA!CT:CT,$AF$4)</f>
        <v>0</v>
      </c>
      <c r="O185" s="429">
        <f t="shared" si="13"/>
        <v>0</v>
      </c>
      <c r="X185" s="86" t="s">
        <v>482</v>
      </c>
    </row>
    <row r="186" spans="1:24" hidden="1" x14ac:dyDescent="0.25">
      <c r="A186" s="1044"/>
      <c r="B186" s="337" t="s">
        <v>483</v>
      </c>
      <c r="C186" s="429">
        <f>SUMIFS(JA!$Z:$Z,JA!$AX:$AX,Toimenpiteet!$Y$6,JA!$AT:$AT,Toimenpiteet!$X186,JA!$CI:$CI,Toimenpiteet!$Y$1,JA!BJ:BJ,"OK",JA!CT:CT,$AF$4)</f>
        <v>0</v>
      </c>
      <c r="D186" s="429">
        <f>SUMIFS(JA!$Z:$Z,JA!$AX:$AX,Toimenpiteet!$Y$6,JA!$AT:$AT,Toimenpiteet!$X186,JA!$CI:$CI,Toimenpiteet!$Y$1,JA!BK:BK,"OK",JA!CT:CT,$AF$4)</f>
        <v>0</v>
      </c>
      <c r="E186" s="429">
        <f>SUMIFS(JA!$Z:$Z,JA!$AX:$AX,Toimenpiteet!$Y$6,JA!$AT:$AT,Toimenpiteet!$X186,JA!$CI:$CI,Toimenpiteet!$Y$1,JA!BL:BL,"OK",JA!CT:CT,$AF$4)</f>
        <v>0</v>
      </c>
      <c r="F186" s="429">
        <f>SUMIFS(JA!$Z:$Z,JA!$AX:$AX,Toimenpiteet!$Y$6,JA!$AT:$AT,Toimenpiteet!$X186,JA!$CI:$CI,Toimenpiteet!$Y$1,JA!BM:BM,"OK",JA!CT:CT,$AF$4)</f>
        <v>0</v>
      </c>
      <c r="G186" s="429">
        <f>SUMIFS(JA!$Z:$Z,JA!$AX:$AX,Toimenpiteet!$Y$6,JA!$AT:$AT,Toimenpiteet!$X186,JA!$CI:$CI,Toimenpiteet!$Y$1,JA!BN:BN,"OK",JA!CT:CT,$AF$4)</f>
        <v>0</v>
      </c>
      <c r="H186" s="429">
        <f>SUMIFS(JA!$Z:$Z,JA!$AX:$AX,Toimenpiteet!$Y$6,JA!$AT:$AT,Toimenpiteet!$X186,JA!$CI:$CI,Toimenpiteet!$Y$1,JA!BO:BO,"OK",JA!CT:CT,$AF$4)</f>
        <v>0</v>
      </c>
      <c r="I186" s="429">
        <f>SUMIFS(JA!$Z:$Z,JA!$AX:$AX,Toimenpiteet!$Y$6,JA!$AT:$AT,Toimenpiteet!$X186,JA!$CI:$CI,Toimenpiteet!$Y$1,JA!BP:BP,"OK",JA!CT:CT,$AF$4)</f>
        <v>0</v>
      </c>
      <c r="J186" s="429">
        <f>SUMIFS(JA!$Z:$Z,JA!$AX:$AX,Toimenpiteet!$Y$6,JA!$AT:$AT,Toimenpiteet!$X186,JA!$CI:$CI,Toimenpiteet!$Y$1,JA!BQ:BQ,"OK",JA!CT:CT,$AF$4)</f>
        <v>0</v>
      </c>
      <c r="K186" s="429">
        <f>SUMIFS(JA!$Z:$Z,JA!$AX:$AX,Toimenpiteet!$Y$6,JA!$AT:$AT,Toimenpiteet!$X186,JA!$CI:$CI,Toimenpiteet!$Y$1,JA!BR:BR,"OK",JA!CT:CT,$AF$4)</f>
        <v>0</v>
      </c>
      <c r="L186" s="429">
        <f>SUMIFS(JA!$Z:$Z,JA!$AX:$AX,Toimenpiteet!$Y$6,JA!$AT:$AT,Toimenpiteet!$X186,JA!$CI:$CI,Toimenpiteet!$Y$1,JA!BS:BS,"OK",JA!CT:CT,$AF$4)</f>
        <v>0</v>
      </c>
      <c r="M186" s="429">
        <f>SUMIFS(JA!$Z:$Z,JA!$AX:$AX,Toimenpiteet!$Y$6,JA!$AT:$AT,Toimenpiteet!$X186,JA!$CI:$CI,Toimenpiteet!$Y$1,JA!BT:BT,"OK",JA!CT:CT,$AF$4)</f>
        <v>0</v>
      </c>
      <c r="N186" s="429">
        <f>SUMIFS(JA!$Z:$Z,JA!$AX:$AX,Toimenpiteet!$Y$6,JA!$AT:$AT,Toimenpiteet!$X186,JA!$CI:$CI,Toimenpiteet!$Y$1,JA!BU:BU,"OK",JA!CT:CT,$AF$4)</f>
        <v>0</v>
      </c>
      <c r="O186" s="429">
        <f t="shared" si="13"/>
        <v>0</v>
      </c>
      <c r="X186" s="86" t="s">
        <v>484</v>
      </c>
    </row>
    <row r="187" spans="1:24" hidden="1" x14ac:dyDescent="0.25">
      <c r="A187" s="1045"/>
      <c r="B187" s="339" t="s">
        <v>485</v>
      </c>
      <c r="C187" s="429">
        <f>SUMIFS(JA!$Z:$Z,JA!$AX:$AX,Toimenpiteet!$Y$6,JA!$AT:$AT,Toimenpiteet!$X187,JA!$CI:$CI,Toimenpiteet!$Y$1,JA!BJ:BJ,"OK",JA!CT:CT,$AF$4)</f>
        <v>0</v>
      </c>
      <c r="D187" s="429">
        <f>SUMIFS(JA!$Z:$Z,JA!$AX:$AX,Toimenpiteet!$Y$6,JA!$AT:$AT,Toimenpiteet!$X187,JA!$CI:$CI,Toimenpiteet!$Y$1,JA!BK:BK,"OK",JA!CT:CT,$AF$4)</f>
        <v>0</v>
      </c>
      <c r="E187" s="429">
        <f>SUMIFS(JA!$Z:$Z,JA!$AX:$AX,Toimenpiteet!$Y$6,JA!$AT:$AT,Toimenpiteet!$X187,JA!$CI:$CI,Toimenpiteet!$Y$1,JA!BL:BL,"OK",JA!CT:CT,$AF$4)</f>
        <v>0</v>
      </c>
      <c r="F187" s="429">
        <f>SUMIFS(JA!$Z:$Z,JA!$AX:$AX,Toimenpiteet!$Y$6,JA!$AT:$AT,Toimenpiteet!$X187,JA!$CI:$CI,Toimenpiteet!$Y$1,JA!BM:BM,"OK",JA!CT:CT,$AF$4)</f>
        <v>0</v>
      </c>
      <c r="G187" s="429">
        <f>SUMIFS(JA!$Z:$Z,JA!$AX:$AX,Toimenpiteet!$Y$6,JA!$AT:$AT,Toimenpiteet!$X187,JA!$CI:$CI,Toimenpiteet!$Y$1,JA!BN:BN,"OK",JA!CT:CT,$AF$4)</f>
        <v>0</v>
      </c>
      <c r="H187" s="429">
        <f>SUMIFS(JA!$Z:$Z,JA!$AX:$AX,Toimenpiteet!$Y$6,JA!$AT:$AT,Toimenpiteet!$X187,JA!$CI:$CI,Toimenpiteet!$Y$1,JA!BO:BO,"OK",JA!CT:CT,$AF$4)</f>
        <v>0</v>
      </c>
      <c r="I187" s="429">
        <f>SUMIFS(JA!$Z:$Z,JA!$AX:$AX,Toimenpiteet!$Y$6,JA!$AT:$AT,Toimenpiteet!$X187,JA!$CI:$CI,Toimenpiteet!$Y$1,JA!BP:BP,"OK",JA!CT:CT,$AF$4)</f>
        <v>0</v>
      </c>
      <c r="J187" s="429">
        <f>SUMIFS(JA!$Z:$Z,JA!$AX:$AX,Toimenpiteet!$Y$6,JA!$AT:$AT,Toimenpiteet!$X187,JA!$CI:$CI,Toimenpiteet!$Y$1,JA!BQ:BQ,"OK",JA!CT:CT,$AF$4)</f>
        <v>0</v>
      </c>
      <c r="K187" s="429">
        <f>SUMIFS(JA!$Z:$Z,JA!$AX:$AX,Toimenpiteet!$Y$6,JA!$AT:$AT,Toimenpiteet!$X187,JA!$CI:$CI,Toimenpiteet!$Y$1,JA!BR:BR,"OK",JA!CT:CT,$AF$4)</f>
        <v>0</v>
      </c>
      <c r="L187" s="429">
        <f>SUMIFS(JA!$Z:$Z,JA!$AX:$AX,Toimenpiteet!$Y$6,JA!$AT:$AT,Toimenpiteet!$X187,JA!$CI:$CI,Toimenpiteet!$Y$1,JA!BS:BS,"OK",JA!CT:CT,$AF$4)</f>
        <v>0</v>
      </c>
      <c r="M187" s="429">
        <f>SUMIFS(JA!$Z:$Z,JA!$AX:$AX,Toimenpiteet!$Y$6,JA!$AT:$AT,Toimenpiteet!$X187,JA!$CI:$CI,Toimenpiteet!$Y$1,JA!BT:BT,"OK",JA!CT:CT,$AF$4)</f>
        <v>0</v>
      </c>
      <c r="N187" s="429">
        <f>SUMIFS(JA!$Z:$Z,JA!$AX:$AX,Toimenpiteet!$Y$6,JA!$AT:$AT,Toimenpiteet!$X187,JA!$CI:$CI,Toimenpiteet!$Y$1,JA!BU:BU,"OK",JA!CT:CT,$AF$4)</f>
        <v>0</v>
      </c>
      <c r="O187" s="429">
        <f t="shared" si="13"/>
        <v>0</v>
      </c>
      <c r="X187" s="86" t="s">
        <v>486</v>
      </c>
    </row>
    <row r="188" spans="1:24" hidden="1" x14ac:dyDescent="0.25">
      <c r="A188" s="356" t="s">
        <v>490</v>
      </c>
      <c r="B188" s="337" t="s">
        <v>491</v>
      </c>
      <c r="C188" s="429">
        <f>SUMIFS(JA!$Z:$Z,JA!$AX:$AX,Toimenpiteet!$Y$6,JA!$AT:$AT,Toimenpiteet!$X188,JA!$CI:$CI,Toimenpiteet!$Y$1,JA!BJ:BJ,"OK",JA!CT:CT,$AF$4)</f>
        <v>0</v>
      </c>
      <c r="D188" s="429">
        <f>SUMIFS(JA!$Z:$Z,JA!$AX:$AX,Toimenpiteet!$Y$6,JA!$AT:$AT,Toimenpiteet!$X188,JA!$CI:$CI,Toimenpiteet!$Y$1,JA!BK:BK,"OK",JA!CT:CT,$AF$4)</f>
        <v>0</v>
      </c>
      <c r="E188" s="429">
        <f>SUMIFS(JA!$Z:$Z,JA!$AX:$AX,Toimenpiteet!$Y$6,JA!$AT:$AT,Toimenpiteet!$X188,JA!$CI:$CI,Toimenpiteet!$Y$1,JA!BL:BL,"OK",JA!CT:CT,$AF$4)</f>
        <v>0</v>
      </c>
      <c r="F188" s="429">
        <f>SUMIFS(JA!$Z:$Z,JA!$AX:$AX,Toimenpiteet!$Y$6,JA!$AT:$AT,Toimenpiteet!$X188,JA!$CI:$CI,Toimenpiteet!$Y$1,JA!BM:BM,"OK",JA!CT:CT,$AF$4)</f>
        <v>0</v>
      </c>
      <c r="G188" s="429">
        <f>SUMIFS(JA!$Z:$Z,JA!$AX:$AX,Toimenpiteet!$Y$6,JA!$AT:$AT,Toimenpiteet!$X188,JA!$CI:$CI,Toimenpiteet!$Y$1,JA!BN:BN,"OK",JA!CT:CT,$AF$4)</f>
        <v>0</v>
      </c>
      <c r="H188" s="429">
        <f>SUMIFS(JA!$Z:$Z,JA!$AX:$AX,Toimenpiteet!$Y$6,JA!$AT:$AT,Toimenpiteet!$X188,JA!$CI:$CI,Toimenpiteet!$Y$1,JA!BO:BO,"OK",JA!CT:CT,$AF$4)</f>
        <v>0</v>
      </c>
      <c r="I188" s="429">
        <f>SUMIFS(JA!$Z:$Z,JA!$AX:$AX,Toimenpiteet!$Y$6,JA!$AT:$AT,Toimenpiteet!$X188,JA!$CI:$CI,Toimenpiteet!$Y$1,JA!BP:BP,"OK",JA!CT:CT,$AF$4)</f>
        <v>0</v>
      </c>
      <c r="J188" s="429">
        <f>SUMIFS(JA!$Z:$Z,JA!$AX:$AX,Toimenpiteet!$Y$6,JA!$AT:$AT,Toimenpiteet!$X188,JA!$CI:$CI,Toimenpiteet!$Y$1,JA!BQ:BQ,"OK",JA!CT:CT,$AF$4)</f>
        <v>0</v>
      </c>
      <c r="K188" s="429">
        <f>SUMIFS(JA!$Z:$Z,JA!$AX:$AX,Toimenpiteet!$Y$6,JA!$AT:$AT,Toimenpiteet!$X188,JA!$CI:$CI,Toimenpiteet!$Y$1,JA!BR:BR,"OK",JA!CT:CT,$AF$4)</f>
        <v>0</v>
      </c>
      <c r="L188" s="429">
        <f>SUMIFS(JA!$Z:$Z,JA!$AX:$AX,Toimenpiteet!$Y$6,JA!$AT:$AT,Toimenpiteet!$X188,JA!$CI:$CI,Toimenpiteet!$Y$1,JA!BS:BS,"OK",JA!CT:CT,$AF$4)</f>
        <v>0</v>
      </c>
      <c r="M188" s="429">
        <f>SUMIFS(JA!$Z:$Z,JA!$AX:$AX,Toimenpiteet!$Y$6,JA!$AT:$AT,Toimenpiteet!$X188,JA!$CI:$CI,Toimenpiteet!$Y$1,JA!BT:BT,"OK",JA!CT:CT,$AF$4)</f>
        <v>0</v>
      </c>
      <c r="N188" s="429">
        <f>SUMIFS(JA!$Z:$Z,JA!$AX:$AX,Toimenpiteet!$Y$6,JA!$AT:$AT,Toimenpiteet!$X188,JA!$CI:$CI,Toimenpiteet!$Y$1,JA!BU:BU,"OK",JA!CT:CT,$AF$4)</f>
        <v>0</v>
      </c>
      <c r="O188" s="429">
        <f t="shared" si="13"/>
        <v>0</v>
      </c>
      <c r="X188" s="85" t="s">
        <v>492</v>
      </c>
    </row>
    <row r="189" spans="1:24" hidden="1" x14ac:dyDescent="0.25">
      <c r="A189"/>
      <c r="B189" s="340"/>
      <c r="C189" s="76" t="e">
        <f>SUM(C148,#REF!,#REF!,#REF!,#REF!,#REF!)</f>
        <v>#REF!</v>
      </c>
      <c r="X189" s="477" t="s">
        <v>494</v>
      </c>
    </row>
    <row r="190" spans="1:24" hidden="1" x14ac:dyDescent="0.25">
      <c r="A190"/>
      <c r="B190"/>
      <c r="E190" s="322"/>
      <c r="F190" s="323"/>
      <c r="G190" s="307"/>
      <c r="H190" s="307"/>
      <c r="I190" s="307"/>
      <c r="J190" s="307"/>
      <c r="K190" s="307"/>
      <c r="L190" s="307"/>
      <c r="X190" s="477" t="s">
        <v>494</v>
      </c>
    </row>
    <row r="191" spans="1:24" hidden="1" x14ac:dyDescent="0.25">
      <c r="A191" s="388" t="s">
        <v>568</v>
      </c>
      <c r="B191"/>
      <c r="E191" s="6"/>
      <c r="F191" s="6"/>
      <c r="G191" s="6"/>
      <c r="H191" s="6"/>
      <c r="I191" s="6"/>
      <c r="J191" s="6"/>
      <c r="K191" s="6"/>
      <c r="L191" s="6"/>
      <c r="X191" s="85"/>
    </row>
    <row r="192" spans="1:24" hidden="1" x14ac:dyDescent="0.25">
      <c r="A192"/>
      <c r="B192"/>
    </row>
    <row r="193" spans="1:2" x14ac:dyDescent="0.25">
      <c r="A193"/>
      <c r="B193"/>
    </row>
    <row r="194" spans="1:2" x14ac:dyDescent="0.25">
      <c r="A194"/>
      <c r="B194"/>
    </row>
    <row r="195" spans="1:2" x14ac:dyDescent="0.25">
      <c r="A195"/>
      <c r="B195"/>
    </row>
    <row r="196" spans="1:2" x14ac:dyDescent="0.25">
      <c r="A196"/>
      <c r="B196"/>
    </row>
    <row r="197" spans="1:2" x14ac:dyDescent="0.25">
      <c r="A197"/>
      <c r="B197"/>
    </row>
    <row r="198" spans="1:2" x14ac:dyDescent="0.25">
      <c r="A198"/>
      <c r="B198"/>
    </row>
    <row r="199" spans="1:2" x14ac:dyDescent="0.25">
      <c r="A199"/>
      <c r="B199"/>
    </row>
    <row r="200" spans="1:2" x14ac:dyDescent="0.25">
      <c r="A200"/>
      <c r="B200"/>
    </row>
  </sheetData>
  <sheetProtection sheet="1" objects="1" scenarios="1"/>
  <mergeCells count="37">
    <mergeCell ref="A42:B43"/>
    <mergeCell ref="C42:D42"/>
    <mergeCell ref="E42:F42"/>
    <mergeCell ref="M42:T44"/>
    <mergeCell ref="A46:A50"/>
    <mergeCell ref="M73:T75"/>
    <mergeCell ref="A82:A84"/>
    <mergeCell ref="A89:B89"/>
    <mergeCell ref="C89:D89"/>
    <mergeCell ref="E89:F89"/>
    <mergeCell ref="A77:A81"/>
    <mergeCell ref="A149:A153"/>
    <mergeCell ref="A154:A162"/>
    <mergeCell ref="V94:AC96"/>
    <mergeCell ref="A97:B98"/>
    <mergeCell ref="A90:B90"/>
    <mergeCell ref="C90:D90"/>
    <mergeCell ref="E90:F90"/>
    <mergeCell ref="A91:B91"/>
    <mergeCell ref="C91:D91"/>
    <mergeCell ref="E91:F91"/>
    <mergeCell ref="A132:A136"/>
    <mergeCell ref="A115:A120"/>
    <mergeCell ref="A121:A127"/>
    <mergeCell ref="A128:A131"/>
    <mergeCell ref="A137:A139"/>
    <mergeCell ref="A51:A59"/>
    <mergeCell ref="A73:A76"/>
    <mergeCell ref="A101:A105"/>
    <mergeCell ref="A106:A114"/>
    <mergeCell ref="A60:A65"/>
    <mergeCell ref="A66:A72"/>
    <mergeCell ref="A163:A168"/>
    <mergeCell ref="A169:A175"/>
    <mergeCell ref="A176:A179"/>
    <mergeCell ref="A185:A187"/>
    <mergeCell ref="A180:A184"/>
  </mergeCells>
  <dataValidations count="6">
    <dataValidation type="date" allowBlank="1" showInputMessage="1" showErrorMessage="1" error="Kirjoita päivämäärä muodossa _x000a_pp.kk.vvvv_x000a__x000a_Päivämäärän on oltava _x000a_suurempi kuin 01.01.2008 ja _x000a_pienempi kuin 31.12.2020" sqref="A1:A3" xr:uid="{242E3E50-FDFA-44D0-B2B1-2C436528882C}">
      <formula1>36526</formula1>
      <formula2>55153</formula2>
    </dataValidation>
    <dataValidation type="list" allowBlank="1" showInputMessage="1" showErrorMessage="1" sqref="A8" xr:uid="{E8F27011-6FB3-4BFB-A463-65510DA00E9D}">
      <formula1>$AF$2:$AF$3</formula1>
    </dataValidation>
    <dataValidation type="list" allowBlank="1" showInputMessage="1" showErrorMessage="1" sqref="A6" xr:uid="{E27EF4F6-4A63-49EB-96E7-C86AA2030EAF}">
      <formula1>$X$2:$X$4</formula1>
    </dataValidation>
    <dataValidation type="list" allowBlank="1" showInputMessage="1" showErrorMessage="1" sqref="A7" xr:uid="{7B190D4B-C640-48F9-80E4-9D6874409539}">
      <formula1>$X$2:$X$3</formula1>
    </dataValidation>
    <dataValidation type="list" showInputMessage="1" showErrorMessage="1" sqref="A4" xr:uid="{C74CAF14-542A-4BCE-8998-044552CC83CE}">
      <formula1>$AB$5:$AB$93</formula1>
    </dataValidation>
    <dataValidation type="list" allowBlank="1" showInputMessage="1" showErrorMessage="1" sqref="A5" xr:uid="{D2A78EA7-8024-44E9-95E8-3A1103230D15}">
      <formula1>$AD$5:$AD$92</formula1>
    </dataValidation>
  </dataValidations>
  <hyperlinks>
    <hyperlink ref="A191" location="Toimenpiteet!A4" display="Sivun alkuun" xr:uid="{74C568CD-7CE3-4A60-A2EA-477093DD0A24}"/>
    <hyperlink ref="A2" location="Asiakastilastot!A2" display="Asiakastilastot!A2" xr:uid="{501349BA-539A-4052-B933-69D6B612655D}"/>
  </hyperlinks>
  <pageMargins left="0.7" right="0.7" top="0.75" bottom="0.83333333333333337" header="0" footer="0"/>
  <pageSetup paperSize="9" scale="23" fitToHeight="0" orientation="landscape" r:id="rId1"/>
  <headerFooter>
    <oddFooter>&amp;L 
PAR työpaja
osoitettie
0100, paikka&amp;C&amp;G&amp;R&amp;P/&amp;N</oddFooter>
  </headerFooter>
  <rowBreaks count="2" manualBreakCount="2">
    <brk id="99" max="16383" man="1"/>
    <brk id="151"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ul4">
    <pageSetUpPr fitToPage="1"/>
  </sheetPr>
  <dimension ref="A1:AR265"/>
  <sheetViews>
    <sheetView showGridLines="0" zoomScaleNormal="100" workbookViewId="0">
      <selection activeCell="A62" sqref="A62:XFD159"/>
    </sheetView>
  </sheetViews>
  <sheetFormatPr defaultColWidth="9.140625" defaultRowHeight="15" x14ac:dyDescent="0.25"/>
  <cols>
    <col min="1" max="1" width="23.28515625" style="101" customWidth="1"/>
    <col min="2" max="2" width="69.85546875" customWidth="1"/>
    <col min="3" max="12" width="12.28515625" customWidth="1"/>
    <col min="14" max="19" width="9.140625" customWidth="1"/>
    <col min="20" max="20" width="11.5703125" hidden="1" customWidth="1"/>
    <col min="21" max="21" width="12" hidden="1" customWidth="1"/>
    <col min="22" max="22" width="9.140625" hidden="1" customWidth="1"/>
    <col min="23" max="23" width="20.7109375" hidden="1" customWidth="1"/>
    <col min="24" max="24" width="21.140625" hidden="1" customWidth="1"/>
    <col min="25" max="26" width="9.140625" hidden="1" customWidth="1"/>
    <col min="27" max="27" width="11.7109375" hidden="1" customWidth="1"/>
    <col min="28" max="44" width="9.140625" hidden="1" customWidth="1"/>
  </cols>
  <sheetData>
    <row r="1" spans="1:39" x14ac:dyDescent="0.25">
      <c r="A1" s="358" t="s">
        <v>0</v>
      </c>
      <c r="W1" s="303" t="s">
        <v>1</v>
      </c>
      <c r="X1" s="303" t="s">
        <v>1</v>
      </c>
      <c r="Y1" s="100" t="str">
        <f>IF(A5="","*",INDEX(AE5:AE59,MATCH(A5,AD5:AD59,0)))</f>
        <v>*</v>
      </c>
      <c r="Z1" s="303" t="s">
        <v>1</v>
      </c>
      <c r="AA1" s="92" t="s">
        <v>1</v>
      </c>
      <c r="AB1" s="92" t="s">
        <v>1</v>
      </c>
      <c r="AC1" s="92" t="s">
        <v>1</v>
      </c>
      <c r="AD1" s="92" t="s">
        <v>1</v>
      </c>
      <c r="AE1" s="92" t="s">
        <v>1</v>
      </c>
      <c r="AF1" s="92" t="s">
        <v>1</v>
      </c>
      <c r="AG1" s="92" t="s">
        <v>1</v>
      </c>
      <c r="AH1" s="92" t="s">
        <v>1</v>
      </c>
      <c r="AI1" s="92" t="s">
        <v>1</v>
      </c>
      <c r="AJ1" s="92" t="s">
        <v>1</v>
      </c>
      <c r="AK1" s="92" t="s">
        <v>1</v>
      </c>
      <c r="AL1" s="92" t="s">
        <v>1</v>
      </c>
      <c r="AM1" s="92" t="s">
        <v>1</v>
      </c>
    </row>
    <row r="2" spans="1:39" x14ac:dyDescent="0.25">
      <c r="A2" s="360">
        <f>Asiakastilastot!$A$2</f>
        <v>46023</v>
      </c>
      <c r="B2" t="s">
        <v>2</v>
      </c>
      <c r="W2" s="106" t="str">
        <f>TEXT(A2,"vvvv")</f>
        <v>2026</v>
      </c>
      <c r="X2" s="95" t="s">
        <v>4</v>
      </c>
      <c r="Y2" s="100" t="str">
        <f>IF(A6=X3,"OK","*")</f>
        <v>*</v>
      </c>
      <c r="Z2" s="304" t="s">
        <v>829</v>
      </c>
      <c r="AA2" s="168" t="s">
        <v>6</v>
      </c>
      <c r="AB2" s="169" t="s">
        <v>7</v>
      </c>
      <c r="AC2" s="168" t="s">
        <v>6</v>
      </c>
      <c r="AD2" s="169" t="s">
        <v>8</v>
      </c>
    </row>
    <row r="3" spans="1:39" x14ac:dyDescent="0.25">
      <c r="A3" s="360">
        <f>Asiakastilastot!$A$3</f>
        <v>46387</v>
      </c>
      <c r="B3" t="s">
        <v>9</v>
      </c>
      <c r="W3" s="106" t="str">
        <f>TEXT(A3,"KK")</f>
        <v>12</v>
      </c>
      <c r="X3" s="95" t="s">
        <v>11</v>
      </c>
      <c r="Z3" s="304" t="s">
        <v>830</v>
      </c>
      <c r="AA3" s="168" t="s">
        <v>13</v>
      </c>
      <c r="AB3" s="169" t="e">
        <f>INDEX(Data_Omakoodi!K:K,MATCH($AB$2,Data_Omakoodi!$I:$I,0))</f>
        <v>#N/A</v>
      </c>
      <c r="AC3" s="168" t="s">
        <v>13</v>
      </c>
      <c r="AD3" s="169" t="e">
        <f>INDEX(Data_Omakoodi!K:K,MATCH($AD$2,Data_Omakoodi!$I:$I,0))</f>
        <v>#N/A</v>
      </c>
    </row>
    <row r="4" spans="1:39" x14ac:dyDescent="0.25">
      <c r="A4" s="378" t="s">
        <v>16</v>
      </c>
      <c r="B4" t="s">
        <v>17</v>
      </c>
      <c r="X4" s="95" t="s">
        <v>19</v>
      </c>
      <c r="Y4" s="100" t="str">
        <f>IF(A7="","*",IF(A7=X2,"*",IF(A7=X3,X9,"*")))</f>
        <v>*</v>
      </c>
      <c r="AA4" s="168" t="s">
        <v>20</v>
      </c>
      <c r="AB4" s="169" t="str">
        <f>IFERROR(MATCH($AB$2,Data_Omakoodi!$I:$I,0),"")</f>
        <v/>
      </c>
      <c r="AC4" s="168" t="s">
        <v>20</v>
      </c>
      <c r="AD4" s="169" t="str">
        <f>IFERROR(MATCH($AB$2,Data_Omakoodi!$I:$I,0),"")</f>
        <v/>
      </c>
    </row>
    <row r="5" spans="1:39" x14ac:dyDescent="0.25">
      <c r="A5" s="378" t="s">
        <v>22</v>
      </c>
      <c r="B5" t="s">
        <v>23</v>
      </c>
      <c r="Y5" s="100" t="str">
        <f>IF(A6="","*",IF(A6=X2,"*",IF(A6=X4,X9,"*")))</f>
        <v>*</v>
      </c>
      <c r="Z5" s="304" t="s">
        <v>831</v>
      </c>
      <c r="AA5" s="168" t="s">
        <v>26</v>
      </c>
      <c r="AB5" s="169" t="s">
        <v>16</v>
      </c>
      <c r="AC5" s="168" t="s">
        <v>26</v>
      </c>
      <c r="AD5" s="169" t="s">
        <v>22</v>
      </c>
      <c r="AE5" s="168" t="s">
        <v>26</v>
      </c>
    </row>
    <row r="6" spans="1:39" x14ac:dyDescent="0.25">
      <c r="A6" s="378" t="s">
        <v>4</v>
      </c>
      <c r="B6" s="177" t="s">
        <v>810</v>
      </c>
      <c r="Y6" s="100" t="str">
        <f>IF(A4="","*",INDEX(AA5:AA38,MATCH(A4,AB5:AB38,0)))</f>
        <v>*</v>
      </c>
      <c r="Z6" s="304" t="s">
        <v>832</v>
      </c>
      <c r="AA6" s="168" t="s">
        <v>29</v>
      </c>
      <c r="AB6" s="170" t="s">
        <v>30</v>
      </c>
      <c r="AC6" s="168" t="s">
        <v>29</v>
      </c>
      <c r="AD6" s="170" t="s">
        <v>31</v>
      </c>
      <c r="AE6" s="168" t="s">
        <v>29</v>
      </c>
    </row>
    <row r="7" spans="1:39" x14ac:dyDescent="0.25">
      <c r="A7" s="378" t="s">
        <v>4</v>
      </c>
      <c r="B7" t="s">
        <v>833</v>
      </c>
      <c r="W7" s="101"/>
      <c r="X7" s="171" t="s">
        <v>34</v>
      </c>
      <c r="Y7" s="171" t="s">
        <v>35</v>
      </c>
      <c r="Z7" s="304" t="s">
        <v>834</v>
      </c>
      <c r="AA7" s="168" t="s">
        <v>36</v>
      </c>
      <c r="AB7" s="170" t="s">
        <v>37</v>
      </c>
      <c r="AC7" s="168" t="s">
        <v>36</v>
      </c>
      <c r="AD7" s="170" t="s">
        <v>38</v>
      </c>
      <c r="AE7" s="168" t="s">
        <v>36</v>
      </c>
      <c r="AF7" s="101"/>
      <c r="AG7" s="101"/>
    </row>
    <row r="8" spans="1:39" x14ac:dyDescent="0.25">
      <c r="W8" s="101"/>
      <c r="X8" s="104" t="s">
        <v>40</v>
      </c>
      <c r="Y8" s="104" t="s">
        <v>581</v>
      </c>
      <c r="Z8" s="304" t="s">
        <v>835</v>
      </c>
      <c r="AA8" s="176" t="s">
        <v>41</v>
      </c>
      <c r="AB8" s="169" t="str">
        <f>IFERROR(INDEX(Data_Omakoodi!E:E,MATCH(AA8,Data_Omakoodi!A:A,0)),"")</f>
        <v/>
      </c>
      <c r="AC8" t="s">
        <v>42</v>
      </c>
      <c r="AD8" s="169" t="str">
        <f>IFERROR(INDEX(Data_Omakoodi!E:E,MATCH(AC8,Data_Omakoodi!A:A,0)),"")</f>
        <v/>
      </c>
      <c r="AE8" t="s">
        <v>42</v>
      </c>
      <c r="AF8" t="s">
        <v>43</v>
      </c>
    </row>
    <row r="9" spans="1:39" x14ac:dyDescent="0.25">
      <c r="C9" s="428"/>
      <c r="W9" s="101"/>
      <c r="X9" s="105" t="s">
        <v>44</v>
      </c>
      <c r="Y9" s="101"/>
      <c r="AA9" s="176" t="s">
        <v>45</v>
      </c>
      <c r="AB9" s="169" t="str">
        <f>IFERROR(INDEX(Data_Omakoodi!E:E,MATCH(AA9,Data_Omakoodi!A:A,0)),"")</f>
        <v/>
      </c>
      <c r="AC9" t="s">
        <v>46</v>
      </c>
      <c r="AD9" s="169" t="str">
        <f>IFERROR(INDEX(Data_Omakoodi!E:E,MATCH(AC9,Data_Omakoodi!A:A,0)),"")</f>
        <v/>
      </c>
      <c r="AE9" t="s">
        <v>46</v>
      </c>
      <c r="AF9" t="s">
        <v>47</v>
      </c>
    </row>
    <row r="10" spans="1:39" x14ac:dyDescent="0.25">
      <c r="X10" s="106" t="str">
        <f>" - "&amp;TEXT($A$2,$X$11)&amp;"-"&amp;TEXT($A$3,$X$11)&amp;" "</f>
        <v xml:space="preserve"> - 01.01.2026-31.12.2026 </v>
      </c>
      <c r="AA10" s="176" t="s">
        <v>52</v>
      </c>
      <c r="AB10" s="169" t="str">
        <f>IFERROR(INDEX(Data_Omakoodi!E:E,MATCH(AA10,Data_Omakoodi!A:A,0)),"")</f>
        <v/>
      </c>
      <c r="AC10" t="s">
        <v>53</v>
      </c>
      <c r="AD10" s="169" t="str">
        <f>IFERROR(INDEX(Data_Omakoodi!E:E,MATCH(AC10,Data_Omakoodi!A:A,0)),"")</f>
        <v/>
      </c>
      <c r="AE10" t="s">
        <v>53</v>
      </c>
      <c r="AF10" t="s">
        <v>54</v>
      </c>
    </row>
    <row r="11" spans="1:39" x14ac:dyDescent="0.25">
      <c r="A11" s="205" t="str">
        <f>X13&amp;$X$10&amp;$X$12</f>
        <v>Toimintamenetelmät ja valmennuspalvelut  - 01.01.2026-31.12.2026 (Kaikki kunnat, Kaikki yksiköt)</v>
      </c>
      <c r="C11" s="307"/>
      <c r="X11" s="107" t="s">
        <v>55</v>
      </c>
      <c r="AA11" s="176" t="s">
        <v>57</v>
      </c>
      <c r="AB11" s="169" t="str">
        <f>IFERROR(INDEX(Data_Omakoodi!E:E,MATCH(AA11,Data_Omakoodi!A:A,0)),"")</f>
        <v/>
      </c>
      <c r="AC11" t="s">
        <v>58</v>
      </c>
      <c r="AD11" s="169" t="str">
        <f>IFERROR(INDEX(Data_Omakoodi!E:E,MATCH(AC11,Data_Omakoodi!A:A,0)),"")</f>
        <v/>
      </c>
      <c r="AE11" t="s">
        <v>58</v>
      </c>
      <c r="AF11" t="s">
        <v>59</v>
      </c>
    </row>
    <row r="12" spans="1:39" x14ac:dyDescent="0.25">
      <c r="A12" s="1070" t="str">
        <f>A7&amp;" toimintamenetelmät, "&amp;A6&amp;" asiakkuudet"</f>
        <v>Kaikki toimintamenetelmät, Kaikki asiakkuudet</v>
      </c>
      <c r="B12" s="1071"/>
      <c r="C12" s="1066" t="s">
        <v>752</v>
      </c>
      <c r="D12" s="1067"/>
      <c r="E12" s="1066" t="s">
        <v>753</v>
      </c>
      <c r="F12" s="1067"/>
      <c r="G12" s="13"/>
      <c r="H12" s="19"/>
      <c r="I12" s="19"/>
      <c r="J12" s="19"/>
      <c r="K12" s="19"/>
      <c r="L12" s="22"/>
      <c r="X12" s="107" t="str">
        <f>"("&amp;A4&amp;", "&amp;A5&amp;")"</f>
        <v>(Kaikki kunnat, Kaikki yksiköt)</v>
      </c>
      <c r="AA12" s="176" t="s">
        <v>60</v>
      </c>
      <c r="AB12" s="169" t="str">
        <f>IFERROR(INDEX(Data_Omakoodi!E:E,MATCH(AA12,Data_Omakoodi!A:A,0)),"")</f>
        <v/>
      </c>
      <c r="AC12" t="s">
        <v>61</v>
      </c>
      <c r="AD12" s="169" t="str">
        <f>IFERROR(INDEX(Data_Omakoodi!E:E,MATCH(AC12,Data_Omakoodi!A:A,0)),"")</f>
        <v/>
      </c>
      <c r="AE12" t="s">
        <v>61</v>
      </c>
      <c r="AF12" t="s">
        <v>62</v>
      </c>
    </row>
    <row r="13" spans="1:39" x14ac:dyDescent="0.25">
      <c r="A13" s="1072"/>
      <c r="B13" s="1073"/>
      <c r="C13" s="287" t="s">
        <v>742</v>
      </c>
      <c r="D13" s="288" t="s">
        <v>754</v>
      </c>
      <c r="E13" s="289" t="s">
        <v>742</v>
      </c>
      <c r="F13" s="288" t="s">
        <v>754</v>
      </c>
      <c r="G13" s="284"/>
      <c r="H13" s="284"/>
      <c r="I13" s="284"/>
      <c r="J13" s="284"/>
      <c r="K13" s="284"/>
      <c r="L13" s="285"/>
      <c r="X13" s="397" t="s">
        <v>836</v>
      </c>
      <c r="AA13" s="176" t="s">
        <v>63</v>
      </c>
      <c r="AB13" s="169" t="str">
        <f>IFERROR(INDEX(Data_Omakoodi!E:E,MATCH(AA13,Data_Omakoodi!A:A,0)),"")</f>
        <v/>
      </c>
      <c r="AC13" t="s">
        <v>64</v>
      </c>
      <c r="AD13" s="169" t="str">
        <f>IFERROR(INDEX(Data_Omakoodi!E:E,MATCH(AC13,Data_Omakoodi!A:A,0)),"")</f>
        <v/>
      </c>
      <c r="AE13" t="s">
        <v>64</v>
      </c>
      <c r="AF13" t="s">
        <v>65</v>
      </c>
    </row>
    <row r="14" spans="1:39" x14ac:dyDescent="0.25">
      <c r="A14" s="291"/>
      <c r="B14" s="290" t="s">
        <v>815</v>
      </c>
      <c r="C14" s="402">
        <f>SUMIFS(AS!$W:$W,AS!$AB:$AB,"OK",AS!$AW:$AW,$Y$6,AS!$X:$X,$Y$5,AS!$K:$K,$Y$1,AS!$AV:$AV,$Y$2)</f>
        <v>0</v>
      </c>
      <c r="D14" s="403">
        <f>IFERROR(C14/C14,0)</f>
        <v>0</v>
      </c>
      <c r="E14" s="404">
        <f>SUMIFS(AS!$W:$W,AS!$AB:$AB,"OK",AS!$AH:$AH,$X$8,AS!$AW:$AW,$Y$6,AS!$X:$X,$Y$5,AS!$K:$K,$Y$1,AS!$AV:$AV,$Y$2)</f>
        <v>0</v>
      </c>
      <c r="F14" s="403">
        <f>IFERROR(E14/E14,0)</f>
        <v>0</v>
      </c>
      <c r="G14" s="325"/>
      <c r="H14" s="326"/>
      <c r="I14" s="326"/>
      <c r="J14" s="326"/>
      <c r="K14" s="326"/>
      <c r="L14" s="327"/>
      <c r="X14" t="s">
        <v>837</v>
      </c>
      <c r="AA14" s="176" t="s">
        <v>66</v>
      </c>
      <c r="AB14" s="169" t="str">
        <f>IFERROR(INDEX(Data_Omakoodi!E:E,MATCH(AA14,Data_Omakoodi!A:A,0)),"")</f>
        <v/>
      </c>
      <c r="AC14" t="s">
        <v>67</v>
      </c>
      <c r="AD14" s="169" t="str">
        <f>IFERROR(INDEX(Data_Omakoodi!E:E,MATCH(AC14,Data_Omakoodi!A:A,0)),"")</f>
        <v/>
      </c>
      <c r="AE14" t="s">
        <v>67</v>
      </c>
      <c r="AF14" t="s">
        <v>68</v>
      </c>
    </row>
    <row r="15" spans="1:39" x14ac:dyDescent="0.25">
      <c r="A15" s="355" t="s">
        <v>838</v>
      </c>
      <c r="B15" s="353" t="s">
        <v>839</v>
      </c>
      <c r="C15" s="354">
        <f>SUMIFS(AS!$W:$W,AS!$AB:$AB,"OK",AS!$AW:$AW,$Y$6,AS!$X:$X,$Y$5,AS!CB:CB,"OK",AS!$K:$K,$Y$1,AS!$AV:$AV,$Y$2)</f>
        <v>0</v>
      </c>
      <c r="D15" s="400">
        <f>IFERROR(C15/C$14,0)</f>
        <v>0</v>
      </c>
      <c r="E15" s="354">
        <f>SUMIFS(AS!$W:$W,AS!$AB:$AB,"OK",AS!$AH:$AH,$X$8,AS!$AW:$AW,$Y$6,AS!$X:$X,$Y$5,AS!CB:CB,"OK",AS!$K:$K,$Y$1,AS!$AV:$AV,$Y$2)</f>
        <v>0</v>
      </c>
      <c r="F15" s="401">
        <f>IFERROR(E15/E$14,0)</f>
        <v>0</v>
      </c>
      <c r="G15" s="328"/>
      <c r="H15" s="329"/>
      <c r="I15" s="329"/>
      <c r="J15" s="329"/>
      <c r="K15" s="329"/>
      <c r="L15" s="330"/>
      <c r="AA15" s="176" t="s">
        <v>73</v>
      </c>
      <c r="AB15" s="169" t="str">
        <f>IFERROR(INDEX(Data_Omakoodi!E:E,MATCH(AA15,Data_Omakoodi!A:A,0)),"")</f>
        <v/>
      </c>
      <c r="AC15" t="s">
        <v>74</v>
      </c>
      <c r="AD15" s="169" t="str">
        <f>IFERROR(INDEX(Data_Omakoodi!E:E,MATCH(AC15,Data_Omakoodi!A:A,0)),"")</f>
        <v/>
      </c>
      <c r="AE15" t="s">
        <v>74</v>
      </c>
      <c r="AF15" t="s">
        <v>75</v>
      </c>
    </row>
    <row r="16" spans="1:39" x14ac:dyDescent="0.25">
      <c r="A16" s="334"/>
      <c r="B16" s="294"/>
      <c r="C16" s="305"/>
      <c r="D16" s="274"/>
      <c r="E16" s="305"/>
      <c r="F16" s="274"/>
      <c r="G16" s="331"/>
      <c r="H16" s="332"/>
      <c r="I16" s="332"/>
      <c r="J16" s="332"/>
      <c r="K16" s="332"/>
      <c r="L16" s="333"/>
      <c r="W16" s="177"/>
      <c r="X16" t="s">
        <v>840</v>
      </c>
      <c r="AA16" s="176" t="s">
        <v>80</v>
      </c>
      <c r="AB16" s="169" t="str">
        <f>IFERROR(INDEX(Data_Omakoodi!E:E,MATCH(AA16,Data_Omakoodi!A:A,0)),"")</f>
        <v/>
      </c>
      <c r="AC16" t="s">
        <v>81</v>
      </c>
      <c r="AD16" s="169" t="str">
        <f>IFERROR(INDEX(Data_Omakoodi!E:E,MATCH(AC16,Data_Omakoodi!A:A,0)),"")</f>
        <v/>
      </c>
      <c r="AE16" t="s">
        <v>81</v>
      </c>
      <c r="AF16" t="s">
        <v>82</v>
      </c>
      <c r="AL16" t="s">
        <v>841</v>
      </c>
    </row>
    <row r="17" spans="1:38" x14ac:dyDescent="0.25">
      <c r="A17" s="1043" t="s">
        <v>842</v>
      </c>
      <c r="B17" s="295" t="s">
        <v>843</v>
      </c>
      <c r="C17" s="272">
        <f>SUMIFS(TP!$P:$P,TP!$AD:$AD,"OK",TP!$R:$R,$X$9,TP!$U:$U,Toimintamenetelmät!$X17,TP!$AH:$AH,$Y$6,TP!$X:$X,$Y$1,TP!$O:$O,$Y$2,TP!$AG:$AG,$Y$5,TP!$Q:$Q,$Y$4)</f>
        <v>0</v>
      </c>
      <c r="D17" s="401">
        <f>IFERROR(C17/C$14,0)</f>
        <v>0</v>
      </c>
      <c r="E17" s="272">
        <f>SUMIFS(TP!$P:$P,TP!$AD:$AD,"OK",TP!$R:$R,$X$9,TP!$U:$U,Toimintamenetelmät!$X17,TP!$W:$W,Toimintamenetelmät!$X$8,TP!$AH:$AH,$Y$6,TP!$X:$X,$Y$1,TP!$O:$O,$Y$2,TP!$AG:$AG,$Y$5,TP!$Q:$Q,$Y$4)</f>
        <v>0</v>
      </c>
      <c r="F17" s="401">
        <f>IFERROR(E17/E$14,0)</f>
        <v>0</v>
      </c>
      <c r="G17" s="283"/>
      <c r="H17" s="283"/>
      <c r="I17" s="283"/>
      <c r="J17" s="283"/>
      <c r="K17" s="283"/>
      <c r="L17" s="273"/>
      <c r="W17" s="177"/>
      <c r="X17" t="s">
        <v>844</v>
      </c>
      <c r="AA17" s="176" t="s">
        <v>87</v>
      </c>
      <c r="AB17" s="169" t="str">
        <f>IFERROR(INDEX(Data_Omakoodi!E:E,MATCH(AA17,Data_Omakoodi!A:A,0)),"")</f>
        <v/>
      </c>
      <c r="AC17" t="s">
        <v>88</v>
      </c>
      <c r="AD17" s="169" t="str">
        <f>IFERROR(INDEX(Data_Omakoodi!E:E,MATCH(AC17,Data_Omakoodi!A:A,0)),"")</f>
        <v/>
      </c>
      <c r="AE17" t="s">
        <v>88</v>
      </c>
      <c r="AF17" t="s">
        <v>89</v>
      </c>
      <c r="AK17">
        <f t="shared" ref="AK17:AK30" si="0">MATCH(AL17,$X$16:$X$55,0)</f>
        <v>1</v>
      </c>
      <c r="AL17" t="s">
        <v>845</v>
      </c>
    </row>
    <row r="18" spans="1:38" x14ac:dyDescent="0.25">
      <c r="A18" s="1044"/>
      <c r="B18" s="296" t="s">
        <v>846</v>
      </c>
      <c r="C18" s="272">
        <f>SUMIFS(TP!$P:$P,TP!$AD:$AD,"OK",TP!$R:$R,$X$9,TP!$U:$U,Toimintamenetelmät!$X18,TP!$AH:$AH,$Y$6,TP!$X:$X,$Y$1,TP!$O:$O,$Y$2,TP!$AG:$AG,$Y$5,TP!$Q:$Q,$Y$4)</f>
        <v>0</v>
      </c>
      <c r="D18" s="401">
        <f>IFERROR(C18/C$14,0)</f>
        <v>0</v>
      </c>
      <c r="E18" s="272">
        <f>SUMIFS(TP!$P:$P,TP!$AD:$AD,"OK",TP!$R:$R,$X$9,TP!$U:$U,Toimintamenetelmät!$X18,TP!$W:$W,Toimintamenetelmät!$X$8,TP!$AH:$AH,$Y$6,TP!$X:$X,$Y$1,TP!$O:$O,$Y$2,TP!$AG:$AG,$Y$5,TP!$Q:$Q,$Y$4)</f>
        <v>0</v>
      </c>
      <c r="F18" s="401">
        <f>IFERROR(E18/E$14,0)</f>
        <v>0</v>
      </c>
      <c r="G18" s="236"/>
      <c r="H18" s="236"/>
      <c r="I18" s="236"/>
      <c r="J18" s="236"/>
      <c r="K18" s="236"/>
      <c r="L18" s="235"/>
      <c r="W18" s="177"/>
      <c r="X18" t="s">
        <v>847</v>
      </c>
      <c r="AA18" s="176" t="s">
        <v>94</v>
      </c>
      <c r="AB18" s="169" t="str">
        <f>IFERROR(INDEX(Data_Omakoodi!E:E,MATCH(AA18,Data_Omakoodi!A:A,0)),"")</f>
        <v/>
      </c>
      <c r="AC18" t="s">
        <v>95</v>
      </c>
      <c r="AD18" s="169" t="str">
        <f>IFERROR(INDEX(Data_Omakoodi!E:E,MATCH(AC18,Data_Omakoodi!A:A,0)),"")</f>
        <v/>
      </c>
      <c r="AE18" t="s">
        <v>95</v>
      </c>
      <c r="AF18" t="s">
        <v>96</v>
      </c>
      <c r="AK18">
        <f t="shared" si="0"/>
        <v>2</v>
      </c>
      <c r="AL18" t="s">
        <v>844</v>
      </c>
    </row>
    <row r="19" spans="1:38" x14ac:dyDescent="0.25">
      <c r="A19" s="1044"/>
      <c r="B19" s="296" t="s">
        <v>848</v>
      </c>
      <c r="C19" s="272">
        <f>SUMIFS(TP!$P:$P,TP!$AD:$AD,"OK",TP!$R:$R,$X$9,TP!$U:$U,Toimintamenetelmät!$X19,TP!$AH:$AH,$Y$6,TP!$X:$X,$Y$1,TP!$O:$O,$Y$2,TP!$AG:$AG,$Y$5,TP!$Q:$Q,$Y$4)</f>
        <v>0</v>
      </c>
      <c r="D19" s="401">
        <f>IFERROR(C19/C$14,0)</f>
        <v>0</v>
      </c>
      <c r="E19" s="272">
        <f>SUMIFS(TP!$P:$P,TP!$AD:$AD,"OK",TP!$R:$R,$X$9,TP!$U:$U,Toimintamenetelmät!$X19,TP!$W:$W,Toimintamenetelmät!$X$8,TP!$AH:$AH,$Y$6,TP!$X:$X,$Y$1,TP!$O:$O,$Y$2,TP!$AG:$AG,$Y$5,TP!$Q:$Q,$Y$4)</f>
        <v>0</v>
      </c>
      <c r="F19" s="401">
        <f>IFERROR(E19/E$14,0)</f>
        <v>0</v>
      </c>
      <c r="G19" s="236"/>
      <c r="H19" s="236"/>
      <c r="I19" s="236"/>
      <c r="J19" s="236"/>
      <c r="K19" s="236"/>
      <c r="L19" s="235"/>
      <c r="W19" s="177"/>
      <c r="X19" t="s">
        <v>849</v>
      </c>
      <c r="AA19" s="176" t="s">
        <v>101</v>
      </c>
      <c r="AB19" s="169" t="str">
        <f>IFERROR(INDEX(Data_Omakoodi!E:E,MATCH(AA19,Data_Omakoodi!A:A,0)),"")</f>
        <v/>
      </c>
      <c r="AC19" t="s">
        <v>102</v>
      </c>
      <c r="AD19" s="169" t="str">
        <f>IFERROR(INDEX(Data_Omakoodi!E:E,MATCH(AC19,Data_Omakoodi!A:A,0)),"")</f>
        <v/>
      </c>
      <c r="AE19" t="s">
        <v>102</v>
      </c>
      <c r="AF19" t="s">
        <v>103</v>
      </c>
      <c r="AK19">
        <f t="shared" si="0"/>
        <v>3</v>
      </c>
      <c r="AL19" t="s">
        <v>847</v>
      </c>
    </row>
    <row r="20" spans="1:38" x14ac:dyDescent="0.25">
      <c r="A20" s="1044"/>
      <c r="B20" s="296" t="s">
        <v>850</v>
      </c>
      <c r="C20" s="272">
        <f>SUMIFS(TP!$P:$P,TP!$AD:$AD,"OK",TP!$R:$R,$X$9,TP!$U:$U,Toimintamenetelmät!$X20,TP!$AH:$AH,$Y$6,TP!$X:$X,$Y$1,TP!$O:$O,$Y$2,TP!$AG:$AG,$Y$5,TP!$Q:$Q,$Y$4)</f>
        <v>0</v>
      </c>
      <c r="D20" s="401">
        <f>IFERROR(C20/C$14,0)</f>
        <v>0</v>
      </c>
      <c r="E20" s="272">
        <f>SUMIFS(TP!$P:$P,TP!$AD:$AD,"OK",TP!$R:$R,$X$9,TP!$U:$U,Toimintamenetelmät!$X20,TP!$W:$W,Toimintamenetelmät!$X$8,TP!$AH:$AH,$Y$6,TP!$X:$X,$Y$1,TP!$O:$O,$Y$2,TP!$AG:$AG,$Y$5,TP!$Q:$Q,$Y$4)</f>
        <v>0</v>
      </c>
      <c r="F20" s="401">
        <f>IFERROR(E20/E$14,0)</f>
        <v>0</v>
      </c>
      <c r="G20" s="269"/>
      <c r="H20" s="269"/>
      <c r="I20" s="269"/>
      <c r="J20" s="269"/>
      <c r="K20" s="269"/>
      <c r="L20" s="268"/>
      <c r="W20" s="177"/>
      <c r="X20" t="s">
        <v>851</v>
      </c>
      <c r="AA20" s="176" t="s">
        <v>107</v>
      </c>
      <c r="AB20" s="169" t="str">
        <f>IFERROR(INDEX(Data_Omakoodi!E:E,MATCH(AA20,Data_Omakoodi!A:A,0)),"")</f>
        <v/>
      </c>
      <c r="AC20" t="s">
        <v>108</v>
      </c>
      <c r="AD20" s="169" t="str">
        <f>IFERROR(INDEX(Data_Omakoodi!E:E,MATCH(AC20,Data_Omakoodi!A:A,0)),"")</f>
        <v/>
      </c>
      <c r="AE20" t="s">
        <v>108</v>
      </c>
      <c r="AF20" t="s">
        <v>109</v>
      </c>
      <c r="AK20">
        <f t="shared" si="0"/>
        <v>4</v>
      </c>
      <c r="AL20" t="s">
        <v>849</v>
      </c>
    </row>
    <row r="21" spans="1:38" x14ac:dyDescent="0.25">
      <c r="A21" s="1045"/>
      <c r="B21" s="296" t="s">
        <v>852</v>
      </c>
      <c r="C21" s="272">
        <f>SUMIFS(TP!$P:$P,TP!$AD:$AD,"OK",TP!$R:$R,$X$9,TP!$U:$U,Toimintamenetelmät!$X21,TP!$AH:$AH,$Y$6,TP!$X:$X,$Y$1,TP!$O:$O,$Y$2,TP!$AG:$AG,$Y$5,TP!$Q:$Q,$Y$4)</f>
        <v>0</v>
      </c>
      <c r="D21" s="401">
        <f>IFERROR(C21/C$14,0)</f>
        <v>0</v>
      </c>
      <c r="E21" s="272">
        <f>SUMIFS(TP!$P:$P,TP!$AD:$AD,"OK",TP!$R:$R,$X$9,TP!$U:$U,Toimintamenetelmät!$X21,TP!$W:$W,Toimintamenetelmät!$X$8,TP!$AH:$AH,$Y$6,TP!$X:$X,$Y$1,TP!$O:$O,$Y$2,TP!$AG:$AG,$Y$5,TP!$Q:$Q,$Y$4)</f>
        <v>0</v>
      </c>
      <c r="F21" s="401">
        <f>IFERROR(E21/E$14,0)</f>
        <v>0</v>
      </c>
      <c r="G21" s="269"/>
      <c r="H21" s="269"/>
      <c r="I21" s="269"/>
      <c r="J21" s="269"/>
      <c r="K21" s="269"/>
      <c r="L21" s="268"/>
      <c r="W21" s="177"/>
      <c r="X21" t="s">
        <v>853</v>
      </c>
      <c r="AA21" s="176" t="s">
        <v>112</v>
      </c>
      <c r="AB21" s="169" t="str">
        <f>IFERROR(INDEX(Data_Omakoodi!E:E,MATCH(AA21,Data_Omakoodi!A:A,0)),"")</f>
        <v/>
      </c>
      <c r="AC21" t="s">
        <v>113</v>
      </c>
      <c r="AD21" s="169" t="str">
        <f>IFERROR(INDEX(Data_Omakoodi!E:E,MATCH(AC21,Data_Omakoodi!A:A,0)),"")</f>
        <v/>
      </c>
      <c r="AE21" t="s">
        <v>113</v>
      </c>
      <c r="AF21" t="s">
        <v>114</v>
      </c>
      <c r="AK21">
        <f t="shared" si="0"/>
        <v>5</v>
      </c>
      <c r="AL21" t="s">
        <v>851</v>
      </c>
    </row>
    <row r="22" spans="1:38" x14ac:dyDescent="0.25">
      <c r="A22" s="292"/>
      <c r="B22" s="294"/>
      <c r="C22" s="305"/>
      <c r="D22" s="274"/>
      <c r="E22" s="305"/>
      <c r="F22" s="274"/>
      <c r="G22" s="278"/>
      <c r="H22" s="274"/>
      <c r="I22" s="274"/>
      <c r="J22" s="274"/>
      <c r="K22" s="274"/>
      <c r="L22" s="275"/>
      <c r="W22" s="177"/>
      <c r="X22" t="s">
        <v>854</v>
      </c>
      <c r="AA22" s="176" t="s">
        <v>117</v>
      </c>
      <c r="AB22" s="169" t="str">
        <f>IFERROR(INDEX(Data_Omakoodi!E:E,MATCH(AA22,Data_Omakoodi!A:A,0)),"")</f>
        <v/>
      </c>
      <c r="AC22" t="s">
        <v>118</v>
      </c>
      <c r="AD22" s="169" t="str">
        <f>IFERROR(INDEX(Data_Omakoodi!E:E,MATCH(AC22,Data_Omakoodi!A:A,0)),"")</f>
        <v/>
      </c>
      <c r="AE22" t="s">
        <v>118</v>
      </c>
      <c r="AF22" t="s">
        <v>119</v>
      </c>
      <c r="AK22">
        <f t="shared" si="0"/>
        <v>6</v>
      </c>
      <c r="AL22" t="s">
        <v>853</v>
      </c>
    </row>
    <row r="23" spans="1:38" x14ac:dyDescent="0.25">
      <c r="A23" s="1043" t="s">
        <v>855</v>
      </c>
      <c r="B23" s="295" t="s">
        <v>856</v>
      </c>
      <c r="C23" s="272">
        <f>SUMIFS(TP!$P:$P,TP!$AD:$AD,"OK",TP!$R:$R,$X$9,TP!$U:$U,Toimintamenetelmät!$X23,TP!$AH:$AH,$Y$6,TP!$X:$X,$Y$1,TP!$O:$O,$Y$2,TP!$AG:$AG,$Y$5,TP!$Q:$Q,$Y$4)</f>
        <v>0</v>
      </c>
      <c r="D23" s="401">
        <f>IFERROR(C23/C$14,0)</f>
        <v>0</v>
      </c>
      <c r="E23" s="272">
        <f>SUMIFS(TP!$P:$P,TP!$AD:$AD,"OK",TP!$R:$R,$X$9,TP!$U:$U,Toimintamenetelmät!$X23,TP!$W:$W,Toimintamenetelmät!$X$8,TP!$AH:$AH,$Y$6,TP!$X:$X,$Y$1,TP!$O:$O,$Y$2,TP!$AG:$AG,$Y$5,TP!$Q:$Q,$Y$4)</f>
        <v>0</v>
      </c>
      <c r="F23" s="401">
        <f>IFERROR(E23/E$14,0)</f>
        <v>0</v>
      </c>
      <c r="G23" s="276"/>
      <c r="H23" s="276"/>
      <c r="I23" s="276"/>
      <c r="J23" s="276"/>
      <c r="K23" s="276"/>
      <c r="L23" s="277"/>
      <c r="W23" s="177"/>
      <c r="X23" t="s">
        <v>857</v>
      </c>
      <c r="AA23" s="176" t="s">
        <v>124</v>
      </c>
      <c r="AB23" s="169" t="str">
        <f>IFERROR(INDEX(Data_Omakoodi!E:E,MATCH(AA23,Data_Omakoodi!A:A,0)),"")</f>
        <v/>
      </c>
      <c r="AC23" t="s">
        <v>125</v>
      </c>
      <c r="AD23" s="169" t="str">
        <f>IFERROR(INDEX(Data_Omakoodi!E:E,MATCH(AC23,Data_Omakoodi!A:A,0)),"")</f>
        <v/>
      </c>
      <c r="AE23" t="s">
        <v>125</v>
      </c>
      <c r="AF23" t="s">
        <v>126</v>
      </c>
      <c r="AK23">
        <f t="shared" si="0"/>
        <v>7</v>
      </c>
      <c r="AL23" t="s">
        <v>858</v>
      </c>
    </row>
    <row r="24" spans="1:38" x14ac:dyDescent="0.25">
      <c r="A24" s="1044"/>
      <c r="B24" s="296" t="s">
        <v>859</v>
      </c>
      <c r="C24" s="272">
        <f>SUMIFS(TP!$P:$P,TP!$AD:$AD,"OK",TP!$R:$R,$X$9,TP!$U:$U,Toimintamenetelmät!$X24,TP!$AH:$AH,$Y$6,TP!$X:$X,$Y$1,TP!$O:$O,$Y$2,TP!$AG:$AG,$Y$5,TP!$Q:$Q,$Y$4)</f>
        <v>0</v>
      </c>
      <c r="D24" s="401">
        <f>IFERROR(C24/C$14,0)</f>
        <v>0</v>
      </c>
      <c r="E24" s="272">
        <f>SUMIFS(TP!$P:$P,TP!$AD:$AD,"OK",TP!$R:$R,$X$9,TP!$U:$U,Toimintamenetelmät!$X24,TP!$W:$W,Toimintamenetelmät!$X$8,TP!$AH:$AH,$Y$6,TP!$X:$X,$Y$1,TP!$O:$O,$Y$2,TP!$AG:$AG,$Y$5,TP!$Q:$Q,$Y$4)</f>
        <v>0</v>
      </c>
      <c r="F24" s="401">
        <f>IFERROR(E24/E$14,0)</f>
        <v>0</v>
      </c>
      <c r="G24" s="269"/>
      <c r="H24" s="269"/>
      <c r="I24" s="269"/>
      <c r="J24" s="269"/>
      <c r="K24" s="269"/>
      <c r="L24" s="268"/>
      <c r="W24" s="177"/>
      <c r="X24" t="s">
        <v>860</v>
      </c>
      <c r="AA24" s="176" t="s">
        <v>131</v>
      </c>
      <c r="AB24" s="169" t="str">
        <f>IFERROR(INDEX(Data_Omakoodi!E:E,MATCH(AA24,Data_Omakoodi!A:A,0)),"")</f>
        <v/>
      </c>
      <c r="AC24" t="s">
        <v>132</v>
      </c>
      <c r="AD24" s="169" t="str">
        <f>IFERROR(INDEX(Data_Omakoodi!E:E,MATCH(AC24,Data_Omakoodi!A:A,0)),"")</f>
        <v/>
      </c>
      <c r="AE24" t="s">
        <v>132</v>
      </c>
      <c r="AF24" t="s">
        <v>133</v>
      </c>
      <c r="AK24">
        <f t="shared" si="0"/>
        <v>8</v>
      </c>
      <c r="AL24" t="s">
        <v>857</v>
      </c>
    </row>
    <row r="25" spans="1:38" x14ac:dyDescent="0.25">
      <c r="A25" s="1044"/>
      <c r="B25" s="296" t="s">
        <v>861</v>
      </c>
      <c r="C25" s="272">
        <f>SUMIFS(TP!$P:$P,TP!$AD:$AD,"OK",TP!$R:$R,$X$9,TP!$U:$U,Toimintamenetelmät!$X25,TP!$AH:$AH,$Y$6,TP!$X:$X,$Y$1,TP!$O:$O,$Y$2,TP!$AG:$AG,$Y$5,TP!$Q:$Q,$Y$4)</f>
        <v>0</v>
      </c>
      <c r="D25" s="401">
        <f>IFERROR(C25/C$14,0)</f>
        <v>0</v>
      </c>
      <c r="E25" s="272">
        <f>SUMIFS(TP!$P:$P,TP!$AD:$AD,"OK",TP!$R:$R,$X$9,TP!$U:$U,Toimintamenetelmät!$X25,TP!$W:$W,Toimintamenetelmät!$X$8,TP!$AH:$AH,$Y$6,TP!$X:$X,$Y$1,TP!$O:$O,$Y$2,TP!$AG:$AG,$Y$5,TP!$Q:$Q,$Y$4)</f>
        <v>0</v>
      </c>
      <c r="F25" s="401">
        <f>IFERROR(E25/E$14,0)</f>
        <v>0</v>
      </c>
      <c r="G25" s="269"/>
      <c r="H25" s="269"/>
      <c r="I25" s="269"/>
      <c r="J25" s="269"/>
      <c r="K25" s="269"/>
      <c r="L25" s="268"/>
      <c r="W25" s="177"/>
      <c r="X25" t="s">
        <v>862</v>
      </c>
      <c r="AA25" s="176" t="s">
        <v>136</v>
      </c>
      <c r="AB25" s="169" t="str">
        <f>IFERROR(INDEX(Data_Omakoodi!E:E,MATCH(AA25,Data_Omakoodi!A:A,0)),"")</f>
        <v/>
      </c>
      <c r="AC25" t="s">
        <v>137</v>
      </c>
      <c r="AD25" s="169" t="str">
        <f>IFERROR(INDEX(Data_Omakoodi!E:E,MATCH(AC25,Data_Omakoodi!A:A,0)),"")</f>
        <v/>
      </c>
      <c r="AE25" t="s">
        <v>137</v>
      </c>
      <c r="AF25" t="s">
        <v>138</v>
      </c>
      <c r="AK25">
        <f t="shared" si="0"/>
        <v>9</v>
      </c>
      <c r="AL25" t="s">
        <v>860</v>
      </c>
    </row>
    <row r="26" spans="1:38" x14ac:dyDescent="0.25">
      <c r="A26" s="1044"/>
      <c r="B26" s="296" t="s">
        <v>863</v>
      </c>
      <c r="C26" s="272">
        <f>SUMIFS(TP!$P:$P,TP!$AD:$AD,"OK",TP!$R:$R,$X$9,TP!$U:$U,Toimintamenetelmät!$X26,TP!$AH:$AH,$Y$6,TP!$X:$X,$Y$1,TP!$O:$O,$Y$2,TP!$AG:$AG,$Y$5,TP!$Q:$Q,$Y$4)</f>
        <v>0</v>
      </c>
      <c r="D26" s="401">
        <f>IFERROR(C26/C$14,0)</f>
        <v>0</v>
      </c>
      <c r="E26" s="272">
        <f>SUMIFS(TP!$P:$P,TP!$AD:$AD,"OK",TP!$R:$R,$X$9,TP!$U:$U,Toimintamenetelmät!$X26,TP!$W:$W,Toimintamenetelmät!$X$8,TP!$AH:$AH,$Y$6,TP!$X:$X,$Y$1,TP!$O:$O,$Y$2,TP!$AG:$AG,$Y$5,TP!$Q:$Q,$Y$4)</f>
        <v>0</v>
      </c>
      <c r="F26" s="401">
        <f>IFERROR(E26/E$14,0)</f>
        <v>0</v>
      </c>
      <c r="G26" s="269"/>
      <c r="H26" s="269"/>
      <c r="I26" s="269"/>
      <c r="J26" s="269"/>
      <c r="K26" s="269"/>
      <c r="L26" s="268"/>
      <c r="W26" s="177"/>
      <c r="X26" t="s">
        <v>864</v>
      </c>
      <c r="AA26" s="176" t="s">
        <v>140</v>
      </c>
      <c r="AB26" s="169" t="str">
        <f>IFERROR(INDEX(Data_Omakoodi!E:E,MATCH(AA26,Data_Omakoodi!A:A,0)),"")</f>
        <v/>
      </c>
      <c r="AC26" t="s">
        <v>141</v>
      </c>
      <c r="AD26" s="169" t="str">
        <f>IFERROR(INDEX(Data_Omakoodi!E:E,MATCH(AC26,Data_Omakoodi!A:A,0)),"")</f>
        <v/>
      </c>
      <c r="AE26" t="s">
        <v>141</v>
      </c>
      <c r="AF26" t="s">
        <v>142</v>
      </c>
      <c r="AK26">
        <f t="shared" si="0"/>
        <v>10</v>
      </c>
      <c r="AL26" t="s">
        <v>862</v>
      </c>
    </row>
    <row r="27" spans="1:38" x14ac:dyDescent="0.25">
      <c r="A27" s="1045"/>
      <c r="B27" s="297" t="s">
        <v>865</v>
      </c>
      <c r="C27" s="272">
        <f>SUMIFS(TP!$P:$P,TP!$AD:$AD,"OK",TP!$R:$R,$X$9,TP!$U:$U,Toimintamenetelmät!$X27,TP!$AH:$AH,$Y$6,TP!$X:$X,$Y$1,TP!$O:$O,$Y$2,TP!$AG:$AG,$Y$5,TP!$Q:$Q,$Y$4)</f>
        <v>0</v>
      </c>
      <c r="D27" s="401">
        <f>IFERROR(C27/C$14,0)</f>
        <v>0</v>
      </c>
      <c r="E27" s="272">
        <f>SUMIFS(TP!$P:$P,TP!$AD:$AD,"OK",TP!$R:$R,$X$9,TP!$U:$U,Toimintamenetelmät!$X27,TP!$W:$W,Toimintamenetelmät!$X$8,TP!$AH:$AH,$Y$6,TP!$X:$X,$Y$1,TP!$O:$O,$Y$2,TP!$AG:$AG,$Y$5,TP!$Q:$Q,$Y$4)</f>
        <v>0</v>
      </c>
      <c r="F27" s="401">
        <f>IFERROR(E27/E$14,0)</f>
        <v>0</v>
      </c>
      <c r="G27" s="269"/>
      <c r="H27" s="269"/>
      <c r="I27" s="269"/>
      <c r="J27" s="269"/>
      <c r="K27" s="269"/>
      <c r="L27" s="268"/>
      <c r="W27" s="177"/>
      <c r="X27" t="s">
        <v>866</v>
      </c>
      <c r="AA27" s="176" t="s">
        <v>145</v>
      </c>
      <c r="AB27" s="169" t="str">
        <f>IFERROR(INDEX(Data_Omakoodi!E:E,MATCH(AA27,Data_Omakoodi!A:A,0)),"")</f>
        <v/>
      </c>
      <c r="AC27" t="s">
        <v>146</v>
      </c>
      <c r="AD27" s="169" t="str">
        <f>IFERROR(INDEX(Data_Omakoodi!E:E,MATCH(AC27,Data_Omakoodi!A:A,0)),"")</f>
        <v/>
      </c>
      <c r="AE27" t="s">
        <v>146</v>
      </c>
      <c r="AF27" t="s">
        <v>147</v>
      </c>
      <c r="AK27">
        <f t="shared" si="0"/>
        <v>11</v>
      </c>
      <c r="AL27" t="s">
        <v>864</v>
      </c>
    </row>
    <row r="28" spans="1:38" x14ac:dyDescent="0.25">
      <c r="A28" s="293"/>
      <c r="B28" s="294"/>
      <c r="C28" s="305"/>
      <c r="D28" s="274"/>
      <c r="E28" s="305"/>
      <c r="F28" s="274"/>
      <c r="G28" s="278"/>
      <c r="H28" s="274"/>
      <c r="I28" s="274"/>
      <c r="J28" s="274"/>
      <c r="K28" s="274"/>
      <c r="L28" s="275"/>
      <c r="W28" s="177"/>
      <c r="X28" t="s">
        <v>867</v>
      </c>
      <c r="AA28" s="176" t="s">
        <v>150</v>
      </c>
      <c r="AB28" s="169" t="str">
        <f>IFERROR(INDEX(Data_Omakoodi!E:E,MATCH(AA28,Data_Omakoodi!A:A,0)),"")</f>
        <v/>
      </c>
      <c r="AC28" t="s">
        <v>151</v>
      </c>
      <c r="AD28" s="169" t="str">
        <f>IFERROR(INDEX(Data_Omakoodi!E:E,MATCH(AC28,Data_Omakoodi!A:A,0)),"")</f>
        <v/>
      </c>
      <c r="AE28" t="s">
        <v>151</v>
      </c>
      <c r="AF28" t="s">
        <v>152</v>
      </c>
      <c r="AK28">
        <f t="shared" si="0"/>
        <v>12</v>
      </c>
      <c r="AL28" t="s">
        <v>866</v>
      </c>
    </row>
    <row r="29" spans="1:38" x14ac:dyDescent="0.25">
      <c r="A29" s="1043" t="s">
        <v>868</v>
      </c>
      <c r="B29" s="298" t="s">
        <v>869</v>
      </c>
      <c r="C29" s="272">
        <f>SUMIFS(TP!$P:$P,TP!$AD:$AD,"OK",TP!$R:$R,$X$9,TP!$U:$U,Toimintamenetelmät!$X29,TP!$AH:$AH,$Y$6,TP!$X:$X,$Y$1,TP!$O:$O,$Y$2,TP!$AG:$AG,$Y$5,TP!$Q:$Q,$Y$4)</f>
        <v>0</v>
      </c>
      <c r="D29" s="401">
        <f t="shared" ref="D29:D37" si="1">IFERROR(C29/C$14,0)</f>
        <v>0</v>
      </c>
      <c r="E29" s="272">
        <f>SUMIFS(TP!$P:$P,TP!$AD:$AD,"OK",TP!$R:$R,$X$9,TP!$U:$U,Toimintamenetelmät!$X29,TP!$W:$W,Toimintamenetelmät!$X$8,TP!$AH:$AH,$Y$6,TP!$X:$X,$Y$1,TP!$O:$O,$Y$2,TP!$AG:$AG,$Y$5,TP!$Q:$Q,$Y$4)</f>
        <v>0</v>
      </c>
      <c r="F29" s="401">
        <f t="shared" ref="F29:F37" si="2">IFERROR(E29/E$14,0)</f>
        <v>0</v>
      </c>
      <c r="G29" s="276"/>
      <c r="H29" s="276"/>
      <c r="I29" s="276"/>
      <c r="J29" s="276"/>
      <c r="K29" s="276"/>
      <c r="L29" s="277"/>
      <c r="W29" s="177"/>
      <c r="X29" s="228" t="s">
        <v>870</v>
      </c>
      <c r="AA29" s="176" t="s">
        <v>157</v>
      </c>
      <c r="AB29" s="169" t="str">
        <f>IFERROR(INDEX(Data_Omakoodi!E:E,MATCH(AA29,Data_Omakoodi!A:A,0)),"")</f>
        <v/>
      </c>
      <c r="AC29" t="s">
        <v>158</v>
      </c>
      <c r="AD29" s="169" t="str">
        <f>IFERROR(INDEX(Data_Omakoodi!E:E,MATCH(AC29,Data_Omakoodi!A:A,0)),"")</f>
        <v/>
      </c>
      <c r="AE29" t="s">
        <v>158</v>
      </c>
      <c r="AF29" t="s">
        <v>159</v>
      </c>
      <c r="AK29">
        <f t="shared" si="0"/>
        <v>13</v>
      </c>
      <c r="AL29" t="s">
        <v>871</v>
      </c>
    </row>
    <row r="30" spans="1:38" x14ac:dyDescent="0.25">
      <c r="A30" s="1044"/>
      <c r="B30" s="299" t="s">
        <v>872</v>
      </c>
      <c r="C30" s="272">
        <f>SUMIFS(TP!$P:$P,TP!$AD:$AD,"OK",TP!$R:$R,$X$9,TP!$U:$U,Toimintamenetelmät!$X30,TP!$AH:$AH,$Y$6,TP!$X:$X,$Y$1,TP!$O:$O,$Y$2,TP!$AG:$AG,$Y$5,TP!$Q:$Q,$Y$4)</f>
        <v>0</v>
      </c>
      <c r="D30" s="401">
        <f t="shared" si="1"/>
        <v>0</v>
      </c>
      <c r="E30" s="272">
        <f>SUMIFS(TP!$P:$P,TP!$AD:$AD,"OK",TP!$R:$R,$X$9,TP!$U:$U,Toimintamenetelmät!$X30,TP!$W:$W,Toimintamenetelmät!$X$8,TP!$AH:$AH,$Y$6,TP!$X:$X,$Y$1,TP!$O:$O,$Y$2,TP!$AG:$AG,$Y$5,TP!$Q:$Q,$Y$4)</f>
        <v>0</v>
      </c>
      <c r="F30" s="401">
        <f t="shared" si="2"/>
        <v>0</v>
      </c>
      <c r="G30" s="269"/>
      <c r="H30" s="269"/>
      <c r="I30" s="269"/>
      <c r="J30" s="269"/>
      <c r="K30" s="269"/>
      <c r="L30" s="268"/>
      <c r="W30" s="177"/>
      <c r="X30" s="228" t="s">
        <v>873</v>
      </c>
      <c r="AA30" s="176" t="s">
        <v>164</v>
      </c>
      <c r="AB30" s="169" t="str">
        <f>IFERROR(INDEX(Data_Omakoodi!E:E,MATCH(AA30,Data_Omakoodi!A:A,0)),"")</f>
        <v/>
      </c>
      <c r="AC30" t="s">
        <v>165</v>
      </c>
      <c r="AD30" s="169" t="str">
        <f>IFERROR(INDEX(Data_Omakoodi!E:E,MATCH(AC30,Data_Omakoodi!A:A,0)),"")</f>
        <v/>
      </c>
      <c r="AE30" t="s">
        <v>165</v>
      </c>
      <c r="AF30" t="s">
        <v>166</v>
      </c>
      <c r="AK30">
        <f t="shared" si="0"/>
        <v>14</v>
      </c>
      <c r="AL30" t="s">
        <v>870</v>
      </c>
    </row>
    <row r="31" spans="1:38" x14ac:dyDescent="0.25">
      <c r="A31" s="1044"/>
      <c r="B31" s="299" t="s">
        <v>874</v>
      </c>
      <c r="C31" s="272">
        <f>SUMIFS(TP!$P:$P,TP!$AD:$AD,"OK",TP!$R:$R,$X$9,TP!$U:$U,Toimintamenetelmät!$X31,TP!$AH:$AH,$Y$6,TP!$X:$X,$Y$1,TP!$O:$O,$Y$2,TP!$AG:$AG,$Y$5,TP!$Q:$Q,$Y$4)</f>
        <v>0</v>
      </c>
      <c r="D31" s="401">
        <f>IFERROR(C31/C$14,0)</f>
        <v>0</v>
      </c>
      <c r="E31" s="272">
        <f>SUMIFS(TP!$P:$P,TP!$AD:$AD,"OK",TP!$R:$R,$X$9,TP!$U:$U,Toimintamenetelmät!$X31,TP!$W:$W,Toimintamenetelmät!$X$8,TP!$AH:$AH,$Y$6,TP!$X:$X,$Y$1,TP!$O:$O,$Y$2,TP!$AG:$AG,$Y$5,TP!$Q:$Q,$Y$4)</f>
        <v>0</v>
      </c>
      <c r="F31" s="401">
        <f>IFERROR(E31/E$14,0)</f>
        <v>0</v>
      </c>
      <c r="G31" s="269"/>
      <c r="H31" s="269"/>
      <c r="I31" s="269"/>
      <c r="J31" s="269"/>
      <c r="K31" s="269"/>
      <c r="L31" s="268"/>
      <c r="W31" s="177">
        <v>2020</v>
      </c>
      <c r="X31" s="568" t="s">
        <v>875</v>
      </c>
      <c r="AA31" s="176" t="s">
        <v>169</v>
      </c>
      <c r="AB31" s="169" t="str">
        <f>IFERROR(INDEX(Data_Omakoodi!E:E,MATCH(AA31,Data_Omakoodi!A:A,0)),"")</f>
        <v/>
      </c>
      <c r="AC31" t="s">
        <v>170</v>
      </c>
      <c r="AD31" s="169" t="str">
        <f>IFERROR(INDEX(Data_Omakoodi!E:E,MATCH(AC31,Data_Omakoodi!A:A,0)),"")</f>
        <v/>
      </c>
      <c r="AE31" t="s">
        <v>170</v>
      </c>
      <c r="AF31" t="s">
        <v>171</v>
      </c>
    </row>
    <row r="32" spans="1:38" x14ac:dyDescent="0.25">
      <c r="A32" s="1044"/>
      <c r="B32" s="299" t="s">
        <v>876</v>
      </c>
      <c r="C32" s="272">
        <f>SUMIFS(TP!$P:$P,TP!$AD:$AD,"OK",TP!$R:$R,$X$9,TP!$U:$U,Toimintamenetelmät!$X32,TP!$AH:$AH,$Y$6,TP!$X:$X,$Y$1,TP!$O:$O,$Y$2,TP!$AG:$AG,$Y$5,TP!$Q:$Q,$Y$4)</f>
        <v>0</v>
      </c>
      <c r="D32" s="401">
        <f t="shared" si="1"/>
        <v>0</v>
      </c>
      <c r="E32" s="272">
        <f>SUMIFS(TP!$P:$P,TP!$AD:$AD,"OK",TP!$R:$R,$X$9,TP!$U:$U,Toimintamenetelmät!$X32,TP!$W:$W,Toimintamenetelmät!$X$8,TP!$AH:$AH,$Y$6,TP!$X:$X,$Y$1,TP!$O:$O,$Y$2,TP!$AG:$AG,$Y$5,TP!$Q:$Q,$Y$4)</f>
        <v>0</v>
      </c>
      <c r="F32" s="401">
        <f t="shared" si="2"/>
        <v>0</v>
      </c>
      <c r="G32" s="269"/>
      <c r="H32" s="269"/>
      <c r="I32" s="269"/>
      <c r="J32" s="269"/>
      <c r="K32" s="269"/>
      <c r="L32" s="268"/>
      <c r="W32" s="177"/>
      <c r="X32" s="228" t="s">
        <v>877</v>
      </c>
      <c r="AA32" s="176" t="s">
        <v>174</v>
      </c>
      <c r="AB32" s="169" t="str">
        <f>IFERROR(INDEX(Data_Omakoodi!E:E,MATCH(AA32,Data_Omakoodi!A:A,0)),"")</f>
        <v/>
      </c>
      <c r="AC32" t="s">
        <v>175</v>
      </c>
      <c r="AD32" s="169" t="str">
        <f>IFERROR(INDEX(Data_Omakoodi!E:E,MATCH(AC32,Data_Omakoodi!A:A,0)),"")</f>
        <v/>
      </c>
      <c r="AE32" t="s">
        <v>175</v>
      </c>
      <c r="AF32" t="s">
        <v>176</v>
      </c>
      <c r="AK32">
        <f>MATCH(AL32,$X$16:$X$55,0)</f>
        <v>15</v>
      </c>
      <c r="AL32" t="s">
        <v>873</v>
      </c>
    </row>
    <row r="33" spans="1:38" x14ac:dyDescent="0.25">
      <c r="A33" s="1044"/>
      <c r="B33" s="299" t="s">
        <v>878</v>
      </c>
      <c r="C33" s="272">
        <f>SUMIFS(TP!$P:$P,TP!$AD:$AD,"OK",TP!$R:$R,$X$9,TP!$U:$U,Toimintamenetelmät!$X33,TP!$AH:$AH,$Y$6,TP!$X:$X,$Y$1,TP!$O:$O,$Y$2,TP!$AG:$AG,$Y$5,TP!$Q:$Q,$Y$4)</f>
        <v>0</v>
      </c>
      <c r="D33" s="401">
        <f t="shared" si="1"/>
        <v>0</v>
      </c>
      <c r="E33" s="272">
        <f>SUMIFS(TP!$P:$P,TP!$AD:$AD,"OK",TP!$R:$R,$X$9,TP!$U:$U,Toimintamenetelmät!$X33,TP!$W:$W,Toimintamenetelmät!$X$8,TP!$AH:$AH,$Y$6,TP!$X:$X,$Y$1,TP!$O:$O,$Y$2,TP!$AG:$AG,$Y$5,TP!$Q:$Q,$Y$4)</f>
        <v>0</v>
      </c>
      <c r="F33" s="401">
        <f t="shared" si="2"/>
        <v>0</v>
      </c>
      <c r="G33" s="269"/>
      <c r="H33" s="269"/>
      <c r="I33" s="269"/>
      <c r="J33" s="269"/>
      <c r="K33" s="269"/>
      <c r="L33" s="268"/>
      <c r="W33" s="177"/>
      <c r="X33" t="s">
        <v>879</v>
      </c>
      <c r="AA33" s="176" t="s">
        <v>179</v>
      </c>
      <c r="AB33" s="169" t="str">
        <f>IFERROR(INDEX(Data_Omakoodi!E:E,MATCH(AA33,Data_Omakoodi!A:A,0)),"")</f>
        <v/>
      </c>
      <c r="AC33" t="s">
        <v>180</v>
      </c>
      <c r="AD33" s="169" t="str">
        <f>IFERROR(INDEX(Data_Omakoodi!E:E,MATCH(AC33,Data_Omakoodi!A:A,0)),"")</f>
        <v/>
      </c>
      <c r="AE33" t="s">
        <v>180</v>
      </c>
      <c r="AF33" t="s">
        <v>181</v>
      </c>
      <c r="AK33">
        <f>MATCH(AL33,$X$16:$X$55,0)</f>
        <v>16</v>
      </c>
      <c r="AL33" t="s">
        <v>875</v>
      </c>
    </row>
    <row r="34" spans="1:38" x14ac:dyDescent="0.25">
      <c r="A34" s="1044"/>
      <c r="B34" s="299" t="s">
        <v>880</v>
      </c>
      <c r="C34" s="272">
        <f>SUMIFS(TP!$P:$P,TP!$AD:$AD,"OK",TP!$R:$R,$X$9,TP!$U:$U,Toimintamenetelmät!$W34,TP!$AH:$AH,$Y$6,TP!$X:$X,$Y$1,TP!$O:$O,$Y$2,TP!$AG:$AG,$Y$5,TP!$Q:$Q,$Y$4)+SUMIFS(TP!$P:$P,TP!$AD:$AD,"OK",TP!$R:$R,$X$9,TP!$U:$U,Toimintamenetelmät!$X34,TP!$AH:$AH,$Y$6,TP!$X:$X,$Y$1,TP!$O:$O,$Y$2,TP!$AG:$AG,$Y$5,TP!$Q:$Q,$Y$4)</f>
        <v>0</v>
      </c>
      <c r="D34" s="401">
        <f>IFERROR(C34/C$14,0)</f>
        <v>0</v>
      </c>
      <c r="E34" s="272">
        <f>SUMIFS(TP!$P:$P,TP!$AD:$AD,"OK",TP!$R:$R,$X$9,TP!$U:$U,Toimintamenetelmät!$W34,TP!$W:$W,Toimintamenetelmät!$X$8,TP!$AH:$AH,$Y$6,TP!$X:$X,$Y$1,TP!$O:$O,$Y$2,TP!$AG:$AG,$Y$5,TP!$Q:$Q,$Y$4)+SUMIFS(TP!$P:$P,TP!$AD:$AD,"OK",TP!$R:$R,$X$9,TP!$U:$U,Toimintamenetelmät!$X34,TP!$W:$W,Toimintamenetelmät!$X$8,TP!$AH:$AH,$Y$6,TP!$X:$X,$Y$1,TP!$O:$O,$Y$2,TP!$AG:$AG,$Y$5,TP!$Q:$Q,$Y$4)</f>
        <v>0</v>
      </c>
      <c r="F34" s="401">
        <f>IFERROR(E34/E$14,0)</f>
        <v>0</v>
      </c>
      <c r="G34" s="269"/>
      <c r="H34" s="269"/>
      <c r="I34" s="269"/>
      <c r="J34" s="269"/>
      <c r="K34" s="269"/>
      <c r="L34" s="268"/>
      <c r="W34" s="86" t="s">
        <v>881</v>
      </c>
      <c r="X34" s="706" t="s">
        <v>882</v>
      </c>
      <c r="AA34" s="176" t="s">
        <v>183</v>
      </c>
      <c r="AB34" s="169" t="str">
        <f>IFERROR(INDEX(Data_Omakoodi!E:E,MATCH(AA34,Data_Omakoodi!A:A,0)),"")</f>
        <v/>
      </c>
      <c r="AC34" t="s">
        <v>184</v>
      </c>
      <c r="AD34" s="169" t="str">
        <f>IFERROR(INDEX(Data_Omakoodi!E:E,MATCH(AC34,Data_Omakoodi!A:A,0)),"")</f>
        <v/>
      </c>
      <c r="AE34" t="s">
        <v>184</v>
      </c>
      <c r="AF34" t="s">
        <v>185</v>
      </c>
    </row>
    <row r="35" spans="1:38" x14ac:dyDescent="0.25">
      <c r="A35" s="1044"/>
      <c r="B35" s="299" t="s">
        <v>883</v>
      </c>
      <c r="C35" s="272">
        <f>SUMIFS(TP!$P:$P,TP!$AD:$AD,"OK",TP!$R:$R,$X$9,TP!$U:$U,Toimintamenetelmät!$X35,TP!$AH:$AH,$Y$6,TP!$X:$X,$Y$1,TP!$O:$O,$Y$2,TP!$AG:$AG,$Y$5,TP!$Q:$Q,$Y$4)</f>
        <v>0</v>
      </c>
      <c r="D35" s="401">
        <f>IFERROR(C35/C$14,0)</f>
        <v>0</v>
      </c>
      <c r="E35" s="272">
        <f>SUMIFS(TP!$P:$P,TP!$AD:$AD,"OK",TP!$R:$R,$X$9,TP!$U:$U,Toimintamenetelmät!$X35,TP!$W:$W,Toimintamenetelmät!$X$8,TP!$AH:$AH,$Y$6,TP!$X:$X,$Y$1,TP!$O:$O,$Y$2,TP!$AG:$AG,$Y$5,TP!$Q:$Q,$Y$4)</f>
        <v>0</v>
      </c>
      <c r="F35" s="401">
        <f>IFERROR(E35/E$14,0)</f>
        <v>0</v>
      </c>
      <c r="G35" s="269"/>
      <c r="H35" s="269"/>
      <c r="I35" s="269"/>
      <c r="J35" s="269"/>
      <c r="K35" s="269"/>
      <c r="L35" s="268"/>
      <c r="W35" s="177">
        <v>2020</v>
      </c>
      <c r="X35" s="86" t="s">
        <v>884</v>
      </c>
      <c r="AA35" s="176" t="s">
        <v>187</v>
      </c>
      <c r="AB35" s="169" t="str">
        <f>IFERROR(INDEX(Data_Omakoodi!E:E,MATCH(AA35,Data_Omakoodi!A:A,0)),"")</f>
        <v/>
      </c>
      <c r="AC35" t="s">
        <v>188</v>
      </c>
      <c r="AD35" s="169" t="str">
        <f>IFERROR(INDEX(Data_Omakoodi!E:E,MATCH(AC35,Data_Omakoodi!A:A,0)),"")</f>
        <v/>
      </c>
      <c r="AE35" t="s">
        <v>188</v>
      </c>
      <c r="AF35" t="s">
        <v>189</v>
      </c>
    </row>
    <row r="36" spans="1:38" x14ac:dyDescent="0.25">
      <c r="A36" s="1044"/>
      <c r="B36" s="299" t="s">
        <v>885</v>
      </c>
      <c r="C36" s="272">
        <f>SUMIFS(TP!$P:$P,TP!$AD:$AD,"OK",TP!$R:$R,$X$9,TP!$U:$U,Toimintamenetelmät!$X36,TP!$AH:$AH,$Y$6,TP!$X:$X,$Y$1,TP!$O:$O,$Y$2,TP!$AG:$AG,$Y$5,TP!$Q:$Q,$Y$4)</f>
        <v>0</v>
      </c>
      <c r="D36" s="401">
        <f>IFERROR(C36/C$14,0)</f>
        <v>0</v>
      </c>
      <c r="E36" s="272">
        <f>SUMIFS(TP!$P:$P,TP!$AD:$AD,"OK",TP!$R:$R,$X$9,TP!$U:$U,Toimintamenetelmät!$X36,TP!$W:$W,Toimintamenetelmät!$X$8,TP!$AH:$AH,$Y$6,TP!$X:$X,$Y$1,TP!$O:$O,$Y$2,TP!$AG:$AG,$Y$5,TP!$Q:$Q,$Y$4)</f>
        <v>0</v>
      </c>
      <c r="F36" s="401">
        <f>IFERROR(E36/E$14,0)</f>
        <v>0</v>
      </c>
      <c r="G36" s="269"/>
      <c r="H36" s="269"/>
      <c r="I36" s="269"/>
      <c r="J36" s="269"/>
      <c r="K36" s="269"/>
      <c r="L36" s="268"/>
      <c r="W36" s="177">
        <v>2024</v>
      </c>
      <c r="X36" s="302" t="s">
        <v>886</v>
      </c>
      <c r="AA36" s="176" t="s">
        <v>190</v>
      </c>
      <c r="AB36" s="169" t="str">
        <f>IFERROR(INDEX(Data_Omakoodi!E:E,MATCH(AA36,Data_Omakoodi!A:A,0)),"")</f>
        <v/>
      </c>
      <c r="AC36" t="s">
        <v>191</v>
      </c>
      <c r="AD36" s="169" t="str">
        <f>IFERROR(INDEX(Data_Omakoodi!E:E,MATCH(AC36,Data_Omakoodi!A:A,0)),"")</f>
        <v/>
      </c>
      <c r="AE36" t="s">
        <v>191</v>
      </c>
      <c r="AF36" t="s">
        <v>192</v>
      </c>
    </row>
    <row r="37" spans="1:38" x14ac:dyDescent="0.25">
      <c r="A37" s="1045"/>
      <c r="B37" s="299" t="s">
        <v>887</v>
      </c>
      <c r="C37" s="272">
        <f>SUMIFS(TP!$P:$P,TP!$AD:$AD,"OK",TP!$R:$R,$X$9,TP!$U:$U,Toimintamenetelmät!$X37,TP!$AH:$AH,$Y$6,TP!$X:$X,$Y$1,TP!$O:$O,$Y$2,TP!$AG:$AG,$Y$5,TP!$Q:$Q,$Y$4)</f>
        <v>0</v>
      </c>
      <c r="D37" s="401">
        <f t="shared" si="1"/>
        <v>0</v>
      </c>
      <c r="E37" s="272">
        <f>SUMIFS(TP!$P:$P,TP!$AD:$AD,"OK",TP!$R:$R,$X$9,TP!$U:$U,Toimintamenetelmät!$X37,TP!$W:$W,Toimintamenetelmät!$X$8,TP!$AH:$AH,$Y$6,TP!$X:$X,$Y$1,TP!$O:$O,$Y$2,TP!$AG:$AG,$Y$5,TP!$Q:$Q,$Y$4)</f>
        <v>0</v>
      </c>
      <c r="F37" s="401">
        <f t="shared" si="2"/>
        <v>0</v>
      </c>
      <c r="G37" s="269"/>
      <c r="H37" s="269"/>
      <c r="I37" s="269"/>
      <c r="J37" s="269"/>
      <c r="K37" s="269"/>
      <c r="L37" s="268"/>
      <c r="W37" s="177"/>
      <c r="X37" t="s">
        <v>888</v>
      </c>
      <c r="AA37" s="176" t="s">
        <v>193</v>
      </c>
      <c r="AB37" s="169" t="str">
        <f>IFERROR(INDEX(Data_Omakoodi!E:E,MATCH(AA37,Data_Omakoodi!A:A,0)),"")</f>
        <v/>
      </c>
      <c r="AC37" t="s">
        <v>194</v>
      </c>
      <c r="AD37" s="169" t="str">
        <f>IFERROR(INDEX(Data_Omakoodi!E:E,MATCH(AC37,Data_Omakoodi!A:A,0)),"")</f>
        <v/>
      </c>
      <c r="AE37" t="s">
        <v>194</v>
      </c>
      <c r="AF37" t="s">
        <v>195</v>
      </c>
      <c r="AK37">
        <f t="shared" ref="AK37:AK45" si="3">MATCH(AL37,$X$16:$X$55,0)</f>
        <v>17</v>
      </c>
      <c r="AL37" t="s">
        <v>877</v>
      </c>
    </row>
    <row r="38" spans="1:38" x14ac:dyDescent="0.25">
      <c r="A38" s="292"/>
      <c r="B38" s="294"/>
      <c r="C38" s="305"/>
      <c r="D38" s="274"/>
      <c r="E38" s="305"/>
      <c r="F38" s="274"/>
      <c r="G38" s="278"/>
      <c r="H38" s="274"/>
      <c r="I38" s="274"/>
      <c r="J38" s="274"/>
      <c r="K38" s="274"/>
      <c r="L38" s="275"/>
      <c r="W38" s="177"/>
      <c r="X38" t="s">
        <v>889</v>
      </c>
      <c r="AK38">
        <f t="shared" si="3"/>
        <v>18</v>
      </c>
      <c r="AL38" t="s">
        <v>879</v>
      </c>
    </row>
    <row r="39" spans="1:38" x14ac:dyDescent="0.25">
      <c r="A39" s="1043" t="s">
        <v>890</v>
      </c>
      <c r="B39" s="298" t="s">
        <v>891</v>
      </c>
      <c r="C39" s="272">
        <f>SUMIFS(TP!$P:$P,TP!$AD:$AD,"OK",TP!$R:$R,$X$9,TP!$U:$U,Toimintamenetelmät!$X39,TP!$AH:$AH,$Y$6,TP!$X:$X,$Y$1,TP!$O:$O,$Y$2,TP!$AG:$AG,$Y$5,TP!$Q:$Q,$Y$4)</f>
        <v>0</v>
      </c>
      <c r="D39" s="401">
        <f>IFERROR(C39/C$14,0)</f>
        <v>0</v>
      </c>
      <c r="E39" s="272">
        <f>SUMIFS(TP!$P:$P,TP!$AD:$AD,"OK",TP!$R:$R,$X$9,TP!$U:$U,Toimintamenetelmät!$X39,TP!$W:$W,Toimintamenetelmät!$X$8,TP!$AH:$AH,$Y$6,TP!$X:$X,$Y$1,TP!$O:$O,$Y$2,TP!$AG:$AG,$Y$5,TP!$Q:$Q,$Y$4)</f>
        <v>0</v>
      </c>
      <c r="F39" s="401">
        <f>IFERROR(E39/E$14,0)</f>
        <v>0</v>
      </c>
      <c r="G39" s="276"/>
      <c r="H39" s="276"/>
      <c r="I39" s="276"/>
      <c r="J39" s="276"/>
      <c r="K39" s="276"/>
      <c r="L39" s="277"/>
      <c r="W39" s="177"/>
      <c r="X39" t="s">
        <v>892</v>
      </c>
      <c r="AK39">
        <f t="shared" si="3"/>
        <v>22</v>
      </c>
      <c r="AL39" t="s">
        <v>888</v>
      </c>
    </row>
    <row r="40" spans="1:38" x14ac:dyDescent="0.25">
      <c r="A40" s="1044"/>
      <c r="B40" s="299" t="s">
        <v>893</v>
      </c>
      <c r="C40" s="272">
        <f>SUMIFS(TP!$P:$P,TP!$AD:$AD,"OK",TP!$R:$R,$X$9,TP!$U:$U,Toimintamenetelmät!$X40,TP!$AH:$AH,$Y$6,TP!$X:$X,$Y$1,TP!$O:$O,$Y$2,TP!$AG:$AG,$Y$5,TP!$Q:$Q,$Y$4)</f>
        <v>0</v>
      </c>
      <c r="D40" s="401">
        <f>IFERROR(C40/C$14,0)</f>
        <v>0</v>
      </c>
      <c r="E40" s="272">
        <f>SUMIFS(TP!$P:$P,TP!$AD:$AD,"OK",TP!$R:$R,$X$9,TP!$U:$U,Toimintamenetelmät!$X40,TP!$W:$W,Toimintamenetelmät!$X$8,TP!$AH:$AH,$Y$6,TP!$X:$X,$Y$1,TP!$O:$O,$Y$2,TP!$AG:$AG,$Y$5,TP!$Q:$Q,$Y$4)</f>
        <v>0</v>
      </c>
      <c r="F40" s="401">
        <f>IFERROR(E40/E$14,0)</f>
        <v>0</v>
      </c>
      <c r="G40" s="269"/>
      <c r="H40" s="269"/>
      <c r="I40" s="269"/>
      <c r="J40" s="269"/>
      <c r="K40" s="269"/>
      <c r="L40" s="268"/>
      <c r="W40" s="177"/>
      <c r="X40" t="s">
        <v>894</v>
      </c>
      <c r="AK40" t="e">
        <f t="shared" si="3"/>
        <v>#N/A</v>
      </c>
      <c r="AL40" t="s">
        <v>881</v>
      </c>
    </row>
    <row r="41" spans="1:38" x14ac:dyDescent="0.25">
      <c r="A41" s="1044"/>
      <c r="B41" s="299" t="s">
        <v>895</v>
      </c>
      <c r="C41" s="272">
        <f>SUMIFS(TP!$P:$P,TP!$AD:$AD,"OK",TP!$R:$R,$X$9,TP!$U:$U,Toimintamenetelmät!$X41,TP!$AH:$AH,$Y$6,TP!$X:$X,$Y$1,TP!$O:$O,$Y$2,TP!$AG:$AG,$Y$5,TP!$Q:$Q,$Y$4)</f>
        <v>0</v>
      </c>
      <c r="D41" s="401">
        <f>IFERROR(C41/C$14,0)</f>
        <v>0</v>
      </c>
      <c r="E41" s="272">
        <f>SUMIFS(TP!$P:$P,TP!$AD:$AD,"OK",TP!$R:$R,$X$9,TP!$U:$U,Toimintamenetelmät!$X41,TP!$W:$W,Toimintamenetelmät!$X$8,TP!$AH:$AH,$Y$6,TP!$X:$X,$Y$1,TP!$O:$O,$Y$2,TP!$AG:$AG,$Y$5,TP!$Q:$Q,$Y$4)</f>
        <v>0</v>
      </c>
      <c r="F41" s="401">
        <f>IFERROR(E41/E$14,0)</f>
        <v>0</v>
      </c>
      <c r="G41" s="269"/>
      <c r="H41" s="269"/>
      <c r="I41" s="269"/>
      <c r="J41" s="269"/>
      <c r="K41" s="269"/>
      <c r="L41" s="268"/>
      <c r="W41" s="177"/>
      <c r="X41" t="s">
        <v>896</v>
      </c>
      <c r="AK41">
        <f t="shared" si="3"/>
        <v>20</v>
      </c>
      <c r="AL41" t="s">
        <v>884</v>
      </c>
    </row>
    <row r="42" spans="1:38" x14ac:dyDescent="0.25">
      <c r="A42" s="1045"/>
      <c r="B42" s="299" t="s">
        <v>897</v>
      </c>
      <c r="C42" s="272">
        <f>SUMIFS(TP!$P:$P,TP!$AD:$AD,"OK",TP!$R:$R,$X$9,TP!$U:$U,Toimintamenetelmät!$X42,TP!$AH:$AH,$Y$6,TP!$X:$X,$Y$1,TP!$O:$O,$Y$2,TP!$AG:$AG,$Y$5,TP!$Q:$Q,$Y$4)</f>
        <v>0</v>
      </c>
      <c r="D42" s="401">
        <f>IFERROR(C42/C$14,0)</f>
        <v>0</v>
      </c>
      <c r="E42" s="272">
        <f>SUMIFS(TP!$P:$P,TP!$AD:$AD,"OK",TP!$R:$R,$X$9,TP!$U:$U,Toimintamenetelmät!$X42,TP!$W:$W,Toimintamenetelmät!$X$8,TP!$AH:$AH,$Y$6,TP!$X:$X,$Y$1,TP!$O:$O,$Y$2,TP!$AG:$AG,$Y$5,TP!$Q:$Q,$Y$4)</f>
        <v>0</v>
      </c>
      <c r="F42" s="401">
        <f>IFERROR(E42/E$14,0)</f>
        <v>0</v>
      </c>
      <c r="G42" s="269"/>
      <c r="H42" s="269"/>
      <c r="I42" s="269"/>
      <c r="J42" s="269"/>
      <c r="K42" s="269"/>
      <c r="L42" s="268"/>
      <c r="W42" s="177"/>
      <c r="X42" t="s">
        <v>898</v>
      </c>
      <c r="AK42">
        <f t="shared" si="3"/>
        <v>23</v>
      </c>
      <c r="AL42" t="s">
        <v>899</v>
      </c>
    </row>
    <row r="43" spans="1:38" x14ac:dyDescent="0.25">
      <c r="A43" s="292"/>
      <c r="B43" s="294"/>
      <c r="C43" s="305"/>
      <c r="D43" s="274"/>
      <c r="E43" s="305"/>
      <c r="F43" s="274"/>
      <c r="G43" s="282"/>
      <c r="H43" s="274"/>
      <c r="I43" s="274"/>
      <c r="J43" s="274"/>
      <c r="K43" s="274"/>
      <c r="L43" s="275"/>
      <c r="W43" s="177"/>
      <c r="X43" t="s">
        <v>900</v>
      </c>
      <c r="AK43">
        <f t="shared" si="3"/>
        <v>24</v>
      </c>
      <c r="AL43" t="s">
        <v>892</v>
      </c>
    </row>
    <row r="44" spans="1:38" x14ac:dyDescent="0.25">
      <c r="A44" s="1043" t="s">
        <v>901</v>
      </c>
      <c r="B44" s="298" t="s">
        <v>902</v>
      </c>
      <c r="C44" s="272">
        <f>SUMIFS(TP!$P:$P,TP!$AD:$AD,"OK",TP!$R:$R,$X$9,TP!$U:$U,Toimintamenetelmät!$X44,TP!$AH:$AH,$Y$6,TP!$X:$X,$Y$1,TP!$O:$O,$Y$2,TP!$AG:$AG,$Y$5,TP!$Q:$Q,$Y$4)</f>
        <v>0</v>
      </c>
      <c r="D44" s="401">
        <f>IFERROR(C44/C$14,0)</f>
        <v>0</v>
      </c>
      <c r="E44" s="272">
        <f>SUMIFS(TP!$P:$P,TP!$AD:$AD,"OK",TP!$R:$R,$X$9,TP!$U:$U,Toimintamenetelmät!$X44,TP!$W:$W,Toimintamenetelmät!$X$8,TP!$AH:$AH,$Y$6,TP!$X:$X,$Y$1,TP!$O:$O,$Y$2,TP!$AG:$AG,$Y$5,TP!$Q:$Q,$Y$4)</f>
        <v>0</v>
      </c>
      <c r="F44" s="401">
        <f>IFERROR(E44/E$14,0)</f>
        <v>0</v>
      </c>
      <c r="G44" s="279"/>
      <c r="H44" s="276"/>
      <c r="I44" s="276"/>
      <c r="J44" s="276"/>
      <c r="K44" s="276"/>
      <c r="L44" s="277"/>
      <c r="W44" s="177"/>
      <c r="X44" t="s">
        <v>903</v>
      </c>
      <c r="AK44">
        <f t="shared" si="3"/>
        <v>25</v>
      </c>
      <c r="AL44" t="s">
        <v>894</v>
      </c>
    </row>
    <row r="45" spans="1:38" x14ac:dyDescent="0.25">
      <c r="A45" s="1044"/>
      <c r="B45" s="299" t="s">
        <v>904</v>
      </c>
      <c r="C45" s="272">
        <f>SUMIFS(TP!$P:$P,TP!$AD:$AD,"OK",TP!$R:$R,$X$9,TP!$U:$U,Toimintamenetelmät!$X45,TP!$AH:$AH,$Y$6,TP!$X:$X,$Y$1,TP!$O:$O,$Y$2,TP!$AG:$AG,$Y$5,TP!$Q:$Q,$Y$4)</f>
        <v>0</v>
      </c>
      <c r="D45" s="401">
        <f>IFERROR(C45/C$14,0)</f>
        <v>0</v>
      </c>
      <c r="E45" s="272">
        <f>SUMIFS(TP!$P:$P,TP!$AD:$AD,"OK",TP!$R:$R,$X$9,TP!$U:$U,Toimintamenetelmät!$X45,TP!$W:$W,Toimintamenetelmät!$X$8,TP!$AH:$AH,$Y$6,TP!$X:$X,$Y$1,TP!$O:$O,$Y$2,TP!$AG:$AG,$Y$5,TP!$Q:$Q,$Y$4)</f>
        <v>0</v>
      </c>
      <c r="F45" s="401">
        <f>IFERROR(E45/E$14,0)</f>
        <v>0</v>
      </c>
      <c r="G45" s="269"/>
      <c r="H45" s="269"/>
      <c r="I45" s="269"/>
      <c r="J45" s="269"/>
      <c r="K45" s="269"/>
      <c r="L45" s="268"/>
      <c r="W45" s="177"/>
      <c r="X45" t="s">
        <v>905</v>
      </c>
      <c r="AK45">
        <f t="shared" si="3"/>
        <v>26</v>
      </c>
      <c r="AL45" t="s">
        <v>896</v>
      </c>
    </row>
    <row r="46" spans="1:38" x14ac:dyDescent="0.25">
      <c r="A46" s="1044"/>
      <c r="B46" s="299" t="s">
        <v>906</v>
      </c>
      <c r="C46" s="272">
        <f>SUMIFS(TP!$P:$P,TP!$AD:$AD,"OK",TP!$R:$R,$X$9,TP!$U:$U,Toimintamenetelmät!$X46,TP!$AH:$AH,$Y$6,TP!$X:$X,$Y$1,TP!$O:$O,$Y$2,TP!$AG:$AG,$Y$5,TP!$Q:$Q,$Y$4)</f>
        <v>0</v>
      </c>
      <c r="D46" s="401">
        <f>IFERROR(C46/C$14,0)</f>
        <v>0</v>
      </c>
      <c r="E46" s="272">
        <f>SUMIFS(TP!$P:$P,TP!$AD:$AD,"OK",TP!$R:$R,$X$9,TP!$U:$U,Toimintamenetelmät!$X46,TP!$W:$W,Toimintamenetelmät!$X$8,TP!$AH:$AH,$Y$6,TP!$X:$X,$Y$1,TP!$O:$O,$Y$2,TP!$AG:$AG,$Y$5,TP!$Q:$Q,$Y$4)</f>
        <v>0</v>
      </c>
      <c r="F46" s="401">
        <f>IFERROR(E46/E$14,0)</f>
        <v>0</v>
      </c>
      <c r="G46" s="269"/>
      <c r="H46" s="269"/>
      <c r="I46" s="269"/>
      <c r="J46" s="269"/>
      <c r="K46" s="269"/>
      <c r="L46" s="268"/>
      <c r="W46" s="177">
        <v>2024</v>
      </c>
      <c r="X46" s="302" t="s">
        <v>907</v>
      </c>
    </row>
    <row r="47" spans="1:38" x14ac:dyDescent="0.25">
      <c r="A47" s="1045"/>
      <c r="B47" s="299" t="s">
        <v>908</v>
      </c>
      <c r="C47" s="272">
        <f>SUMIFS(TP!$P:$P,TP!$AD:$AD,"OK",TP!$R:$R,$X$9,TP!$U:$U,Toimintamenetelmät!$X47,TP!$AH:$AH,$Y$6,TP!$X:$X,$Y$1,TP!$O:$O,$Y$2,TP!$AG:$AG,$Y$5,TP!$Q:$Q,$Y$4)</f>
        <v>0</v>
      </c>
      <c r="D47" s="401">
        <f>IFERROR(C47/C$14,0)</f>
        <v>0</v>
      </c>
      <c r="E47" s="272">
        <f>SUMIFS(TP!$P:$P,TP!$AD:$AD,"OK",TP!$R:$R,$X$9,TP!$U:$U,Toimintamenetelmät!$X47,TP!$W:$W,Toimintamenetelmät!$X$8,TP!$AH:$AH,$Y$6,TP!$X:$X,$Y$1,TP!$O:$O,$Y$2,TP!$AG:$AG,$Y$5,TP!$Q:$Q,$Y$4)</f>
        <v>0</v>
      </c>
      <c r="F47" s="401">
        <f>IFERROR(E47/E$14,0)</f>
        <v>0</v>
      </c>
      <c r="G47" s="269"/>
      <c r="H47" s="269"/>
      <c r="I47" s="269"/>
      <c r="J47" s="269"/>
      <c r="K47" s="269"/>
      <c r="L47" s="268"/>
      <c r="W47" s="177"/>
      <c r="X47" t="s">
        <v>909</v>
      </c>
      <c r="AK47">
        <f t="shared" ref="AK47:AK59" si="4">MATCH(AL47,$X$16:$X$55,0)</f>
        <v>27</v>
      </c>
      <c r="AL47" t="s">
        <v>898</v>
      </c>
    </row>
    <row r="48" spans="1:38" x14ac:dyDescent="0.25">
      <c r="A48" s="292"/>
      <c r="B48" s="294"/>
      <c r="C48" s="305"/>
      <c r="D48" s="274"/>
      <c r="E48" s="305"/>
      <c r="F48" s="274"/>
      <c r="G48" s="274"/>
      <c r="H48" s="274"/>
      <c r="I48" s="274"/>
      <c r="J48" s="274"/>
      <c r="K48" s="274"/>
      <c r="L48" s="275"/>
      <c r="W48" s="177"/>
      <c r="X48" t="s">
        <v>910</v>
      </c>
      <c r="AK48">
        <f t="shared" si="4"/>
        <v>28</v>
      </c>
      <c r="AL48" t="s">
        <v>911</v>
      </c>
    </row>
    <row r="49" spans="1:38" x14ac:dyDescent="0.25">
      <c r="A49" s="1043" t="s">
        <v>912</v>
      </c>
      <c r="B49" s="298" t="s">
        <v>913</v>
      </c>
      <c r="C49" s="272">
        <f>SUMIFS(TP!$P:$P,TP!$AD:$AD,"OK",TP!$R:$R,$X$9,TP!$U:$U,Toimintamenetelmät!$X49,TP!$AH:$AH,$Y$6,TP!$X:$X,$Y$1,TP!$O:$O,$Y$2,TP!$AG:$AG,$Y$5,TP!$Q:$Q,$Y$4)</f>
        <v>0</v>
      </c>
      <c r="D49" s="401">
        <f t="shared" ref="D49:D54" si="5">IFERROR(C49/C$14,0)</f>
        <v>0</v>
      </c>
      <c r="E49" s="272">
        <f>SUMIFS(TP!$P:$P,TP!$AD:$AD,"OK",TP!$R:$R,$X$9,TP!$U:$U,Toimintamenetelmät!$X49,TP!$W:$W,Toimintamenetelmät!$X$8,TP!$AH:$AH,$Y$6,TP!$X:$X,$Y$1,TP!$O:$O,$Y$2,TP!$AG:$AG,$Y$5,TP!$Q:$Q,$Y$4)</f>
        <v>0</v>
      </c>
      <c r="F49" s="401">
        <f t="shared" ref="F49:F55" si="6">IFERROR(E49/E$14,0)</f>
        <v>0</v>
      </c>
      <c r="G49" s="276"/>
      <c r="H49" s="276"/>
      <c r="I49" s="276"/>
      <c r="J49" s="276"/>
      <c r="K49" s="276"/>
      <c r="L49" s="277"/>
      <c r="W49" s="177"/>
      <c r="X49" t="s">
        <v>914</v>
      </c>
      <c r="AK49">
        <f t="shared" si="4"/>
        <v>29</v>
      </c>
      <c r="AL49" t="s">
        <v>903</v>
      </c>
    </row>
    <row r="50" spans="1:38" x14ac:dyDescent="0.25">
      <c r="A50" s="1044"/>
      <c r="B50" s="299" t="s">
        <v>915</v>
      </c>
      <c r="C50" s="272">
        <f>SUMIFS(TP!$P:$P,TP!$AD:$AD,"OK",TP!$R:$R,$X$9,TP!$U:$U,Toimintamenetelmät!$X50,TP!$AH:$AH,$Y$6,TP!$X:$X,$Y$1,TP!$O:$O,$Y$2,TP!$AG:$AG,$Y$5,TP!$Q:$Q,$Y$4)</f>
        <v>0</v>
      </c>
      <c r="D50" s="401">
        <f t="shared" si="5"/>
        <v>0</v>
      </c>
      <c r="E50" s="272">
        <f>SUMIFS(TP!$P:$P,TP!$AD:$AD,"OK",TP!$R:$R,$X$9,TP!$U:$U,Toimintamenetelmät!$X50,TP!$W:$W,Toimintamenetelmät!$X$8,TP!$AH:$AH,$Y$6,TP!$X:$X,$Y$1,TP!$O:$O,$Y$2,TP!$AG:$AG,$Y$5,TP!$Q:$Q,$Y$4)</f>
        <v>0</v>
      </c>
      <c r="F50" s="401">
        <f t="shared" si="6"/>
        <v>0</v>
      </c>
      <c r="G50" s="269"/>
      <c r="H50" s="269"/>
      <c r="I50" s="269"/>
      <c r="J50" s="269"/>
      <c r="K50" s="269"/>
      <c r="L50" s="268"/>
      <c r="W50" s="177"/>
      <c r="X50" t="s">
        <v>916</v>
      </c>
      <c r="AK50">
        <f t="shared" si="4"/>
        <v>30</v>
      </c>
      <c r="AL50" t="s">
        <v>905</v>
      </c>
    </row>
    <row r="51" spans="1:38" x14ac:dyDescent="0.25">
      <c r="A51" s="1044"/>
      <c r="B51" s="299" t="s">
        <v>917</v>
      </c>
      <c r="C51" s="272">
        <f>SUMIFS(TP!$P:$P,TP!$AD:$AD,"OK",TP!$R:$R,$X$9,TP!$U:$U,Toimintamenetelmät!$X51,TP!$AH:$AH,$Y$6,TP!$X:$X,$Y$1,TP!$O:$O,$Y$2,TP!$AG:$AG,$Y$5,TP!$Q:$Q,$Y$4)</f>
        <v>0</v>
      </c>
      <c r="D51" s="401">
        <f t="shared" si="5"/>
        <v>0</v>
      </c>
      <c r="E51" s="272">
        <f>SUMIFS(TP!$P:$P,TP!$AD:$AD,"OK",TP!$R:$R,$X$9,TP!$U:$U,Toimintamenetelmät!$X51,TP!$W:$W,Toimintamenetelmät!$X$8,TP!$AH:$AH,$Y$6,TP!$X:$X,$Y$1,TP!$O:$O,$Y$2,TP!$AG:$AG,$Y$5,TP!$Q:$Q,$Y$4)</f>
        <v>0</v>
      </c>
      <c r="F51" s="401">
        <f t="shared" si="6"/>
        <v>0</v>
      </c>
      <c r="G51" s="269"/>
      <c r="H51" s="269"/>
      <c r="I51" s="269"/>
      <c r="J51" s="269"/>
      <c r="K51" s="269"/>
      <c r="L51" s="268"/>
      <c r="W51" s="177"/>
      <c r="X51" s="228" t="s">
        <v>918</v>
      </c>
      <c r="AK51">
        <f t="shared" si="4"/>
        <v>32</v>
      </c>
      <c r="AL51" t="s">
        <v>909</v>
      </c>
    </row>
    <row r="52" spans="1:38" x14ac:dyDescent="0.25">
      <c r="A52" s="1044"/>
      <c r="B52" s="299" t="s">
        <v>919</v>
      </c>
      <c r="C52" s="272">
        <f>SUMIFS(TP!$P:$P,TP!$AD:$AD,"OK",TP!$R:$R,$X$9,TP!$U:$U,Toimintamenetelmät!$X52,TP!$AH:$AH,$Y$6,TP!$X:$X,$Y$1,TP!$O:$O,$Y$2,TP!$AG:$AG,$Y$5,TP!$Q:$Q,$Y$4)</f>
        <v>0</v>
      </c>
      <c r="D52" s="401">
        <f t="shared" si="5"/>
        <v>0</v>
      </c>
      <c r="E52" s="272">
        <f>SUMIFS(TP!$P:$P,TP!$AD:$AD,"OK",TP!$R:$R,$X$9,TP!$U:$U,Toimintamenetelmät!$X52,TP!$W:$W,Toimintamenetelmät!$X$8,TP!$AH:$AH,$Y$6,TP!$X:$X,$Y$1,TP!$O:$O,$Y$2,TP!$AG:$AG,$Y$5,TP!$Q:$Q,$Y$4)</f>
        <v>0</v>
      </c>
      <c r="F52" s="401">
        <f t="shared" si="6"/>
        <v>0</v>
      </c>
      <c r="G52" s="269"/>
      <c r="H52" s="269"/>
      <c r="I52" s="269"/>
      <c r="J52" s="269"/>
      <c r="K52" s="269"/>
      <c r="L52" s="268"/>
      <c r="W52" s="177"/>
      <c r="X52" t="s">
        <v>920</v>
      </c>
      <c r="AK52">
        <f t="shared" si="4"/>
        <v>33</v>
      </c>
      <c r="AL52" t="s">
        <v>921</v>
      </c>
    </row>
    <row r="53" spans="1:38" x14ac:dyDescent="0.25">
      <c r="A53" s="1044"/>
      <c r="B53" s="299" t="s">
        <v>922</v>
      </c>
      <c r="C53" s="272">
        <f>SUMIFS(TP!$P:$P,TP!$AD:$AD,"OK",TP!$R:$R,$X$9,TP!$U:$U,Toimintamenetelmät!$X53,TP!$AH:$AH,$Y$6,TP!$X:$X,$Y$1,TP!$O:$O,$Y$2,TP!$AG:$AG,$Y$5,TP!$Q:$Q,$Y$4)</f>
        <v>0</v>
      </c>
      <c r="D53" s="401">
        <f t="shared" si="5"/>
        <v>0</v>
      </c>
      <c r="E53" s="272">
        <f>SUMIFS(TP!$P:$P,TP!$AD:$AD,"OK",TP!$R:$R,$X$9,TP!$U:$U,Toimintamenetelmät!$X53,TP!$W:$W,Toimintamenetelmät!$X$8,TP!$AH:$AH,$Y$6,TP!$X:$X,$Y$1,TP!$O:$O,$Y$2,TP!$AG:$AG,$Y$5,TP!$Q:$Q,$Y$4)</f>
        <v>0</v>
      </c>
      <c r="F53" s="401">
        <f t="shared" si="6"/>
        <v>0</v>
      </c>
      <c r="G53" s="269"/>
      <c r="H53" s="269"/>
      <c r="I53" s="269"/>
      <c r="J53" s="269"/>
      <c r="K53" s="269"/>
      <c r="L53" s="268"/>
      <c r="W53" s="177"/>
      <c r="X53" t="s">
        <v>923</v>
      </c>
      <c r="AK53">
        <f t="shared" si="4"/>
        <v>34</v>
      </c>
      <c r="AL53" t="s">
        <v>914</v>
      </c>
    </row>
    <row r="54" spans="1:38" x14ac:dyDescent="0.25">
      <c r="A54" s="1044"/>
      <c r="B54" s="299" t="s">
        <v>924</v>
      </c>
      <c r="C54" s="272">
        <f>SUMIFS(TP!$P:$P,TP!$AD:$AD,"OK",TP!$R:$R,$X$9,TP!$U:$U,Toimintamenetelmät!$X54,TP!$AH:$AH,$Y$6,TP!$X:$X,$Y$1,TP!$O:$O,$Y$2,TP!$AG:$AG,$Y$5,TP!$Q:$Q,$Y$4)</f>
        <v>0</v>
      </c>
      <c r="D54" s="401">
        <f t="shared" si="5"/>
        <v>0</v>
      </c>
      <c r="E54" s="272">
        <f>SUMIFS(TP!$P:$P,TP!$AD:$AD,"OK",TP!$R:$R,$X$9,TP!$U:$U,Toimintamenetelmät!$X54,TP!$W:$W,Toimintamenetelmät!$X$8,TP!$AH:$AH,$Y$6,TP!$X:$X,$Y$1,TP!$O:$O,$Y$2,TP!$AG:$AG,$Y$5,TP!$Q:$Q,$Y$4)</f>
        <v>0</v>
      </c>
      <c r="F54" s="401">
        <f t="shared" si="6"/>
        <v>0</v>
      </c>
      <c r="G54" s="269"/>
      <c r="H54" s="269"/>
      <c r="I54" s="269"/>
      <c r="J54" s="269"/>
      <c r="K54" s="269"/>
      <c r="L54" s="268"/>
      <c r="W54" s="177"/>
      <c r="X54" t="s">
        <v>925</v>
      </c>
      <c r="AK54">
        <f t="shared" si="4"/>
        <v>35</v>
      </c>
      <c r="AL54" t="s">
        <v>916</v>
      </c>
    </row>
    <row r="55" spans="1:38" x14ac:dyDescent="0.25">
      <c r="A55" s="1045"/>
      <c r="B55" s="300" t="s">
        <v>36</v>
      </c>
      <c r="C55" s="272">
        <f>SUMIFS(TP!$P:$P,TP!$AD:$AD,"OK",TP!$R:$R,$X$9,TP!$U:$U,Toimintamenetelmät!$X55,TP!$AH:$AH,$Y$6,TP!$X:$X,$Y$1,TP!$O:$O,$Y$2,TP!$AG:$AG,$Y$5,TP!$Q:$Q,$Y$4)</f>
        <v>0</v>
      </c>
      <c r="D55" s="401">
        <f>IFERROR(C55/C$14,0)</f>
        <v>0</v>
      </c>
      <c r="E55" s="272">
        <f>SUMIFS(TP!$P:$P,TP!$AD:$AD,"OK",TP!$R:$R,$X$9,TP!$U:$U,Toimintamenetelmät!$X55,TP!$W:$W,Toimintamenetelmät!$X$8,TP!$AH:$AH,$Y$6,TP!$X:$X,$Y$1,TP!$O:$O,$Y$2,TP!$AG:$AG,$Y$5,TP!$Q:$Q,$Y$4)</f>
        <v>0</v>
      </c>
      <c r="F55" s="401">
        <f t="shared" si="6"/>
        <v>0</v>
      </c>
      <c r="G55" s="280"/>
      <c r="H55" s="280"/>
      <c r="I55" s="280"/>
      <c r="J55" s="280"/>
      <c r="K55" s="280"/>
      <c r="L55" s="281"/>
      <c r="W55" s="177"/>
      <c r="X55" t="s">
        <v>926</v>
      </c>
      <c r="AK55">
        <f t="shared" si="4"/>
        <v>36</v>
      </c>
      <c r="AL55" t="s">
        <v>918</v>
      </c>
    </row>
    <row r="56" spans="1:38" x14ac:dyDescent="0.25">
      <c r="A56" s="306"/>
      <c r="B56" s="17"/>
      <c r="C56" s="17"/>
      <c r="D56" s="17"/>
      <c r="E56" s="17"/>
      <c r="F56" s="40"/>
      <c r="G56" s="17"/>
      <c r="H56" s="17"/>
      <c r="I56" s="17"/>
      <c r="J56" s="17"/>
      <c r="K56" s="17"/>
      <c r="L56" s="40"/>
      <c r="W56" s="177"/>
      <c r="AK56">
        <f t="shared" si="4"/>
        <v>37</v>
      </c>
      <c r="AL56" t="s">
        <v>920</v>
      </c>
    </row>
    <row r="57" spans="1:38" x14ac:dyDescent="0.25">
      <c r="A57" s="351"/>
      <c r="B57" s="18"/>
      <c r="C57" s="18"/>
      <c r="D57" s="18"/>
      <c r="F57" s="45"/>
      <c r="L57" s="41"/>
      <c r="W57" s="177"/>
      <c r="AK57">
        <f t="shared" si="4"/>
        <v>38</v>
      </c>
      <c r="AL57" t="s">
        <v>923</v>
      </c>
    </row>
    <row r="58" spans="1:38" x14ac:dyDescent="0.25">
      <c r="A58" s="1061" t="s">
        <v>927</v>
      </c>
      <c r="B58" s="1062"/>
      <c r="C58" s="1063" t="s">
        <v>818</v>
      </c>
      <c r="D58" s="1064"/>
      <c r="E58" s="1063" t="s">
        <v>819</v>
      </c>
      <c r="F58" s="1065"/>
      <c r="L58" s="41"/>
      <c r="W58" s="177"/>
      <c r="AK58">
        <f t="shared" si="4"/>
        <v>39</v>
      </c>
      <c r="AL58" t="s">
        <v>925</v>
      </c>
    </row>
    <row r="59" spans="1:38" x14ac:dyDescent="0.25">
      <c r="A59" s="1055" t="s">
        <v>928</v>
      </c>
      <c r="B59" s="1056" t="s">
        <v>929</v>
      </c>
      <c r="C59" s="1057">
        <f>SUM(C17:C55)</f>
        <v>0</v>
      </c>
      <c r="D59" s="1058"/>
      <c r="E59" s="1057">
        <f>SUM(E17:E55)</f>
        <v>0</v>
      </c>
      <c r="F59" s="1058"/>
      <c r="G59" s="345"/>
      <c r="H59" s="346"/>
      <c r="I59" s="346"/>
      <c r="J59" s="346"/>
      <c r="K59" s="346"/>
      <c r="L59" s="347"/>
      <c r="W59" s="177"/>
      <c r="AA59" s="176"/>
      <c r="AB59" s="169"/>
      <c r="AK59">
        <f t="shared" si="4"/>
        <v>40</v>
      </c>
      <c r="AL59" t="s">
        <v>926</v>
      </c>
    </row>
    <row r="60" spans="1:38" x14ac:dyDescent="0.25">
      <c r="A60" s="1055" t="s">
        <v>930</v>
      </c>
      <c r="B60" s="1056" t="s">
        <v>931</v>
      </c>
      <c r="C60" s="1068">
        <f>IFERROR(C59/C15,0)</f>
        <v>0</v>
      </c>
      <c r="D60" s="1069"/>
      <c r="E60" s="1068">
        <f>IFERROR(E59/E15,0)</f>
        <v>0</v>
      </c>
      <c r="F60" s="1069"/>
      <c r="G60" s="348"/>
      <c r="H60" s="349"/>
      <c r="I60" s="349"/>
      <c r="J60" s="349"/>
      <c r="K60" s="349"/>
      <c r="L60" s="350"/>
      <c r="W60" s="177"/>
      <c r="AA60" s="176"/>
      <c r="AB60" s="169"/>
    </row>
    <row r="61" spans="1:38" x14ac:dyDescent="0.25">
      <c r="W61" s="177"/>
    </row>
    <row r="62" spans="1:38" hidden="1" x14ac:dyDescent="0.25">
      <c r="P62" s="228"/>
      <c r="W62" s="177"/>
    </row>
    <row r="63" spans="1:38" hidden="1" x14ac:dyDescent="0.25">
      <c r="A63" s="396" t="s">
        <v>568</v>
      </c>
      <c r="W63" s="177"/>
    </row>
    <row r="64" spans="1:38" hidden="1" x14ac:dyDescent="0.25">
      <c r="W64" s="177"/>
    </row>
    <row r="65" spans="1:24" hidden="1" x14ac:dyDescent="0.25">
      <c r="W65" s="177"/>
      <c r="X65" s="106" t="str">
        <f>" - "&amp;TEXT($A$2,$X$11)&amp;"-"&amp;TEXT($A$3,$X$11)&amp;" "</f>
        <v xml:space="preserve"> - 01.01.2026-31.12.2026 </v>
      </c>
    </row>
    <row r="66" spans="1:24" hidden="1" x14ac:dyDescent="0.25">
      <c r="A66" s="205" t="str">
        <f>X68&amp;W2&amp;" " &amp;X12</f>
        <v>Kaikki asiakkaat: Toimintamenetelmät ja valmennuspalvelut vuonna 2026 (Kaikki kunnat, Kaikki yksiköt)</v>
      </c>
      <c r="C66" s="307"/>
      <c r="W66" s="177"/>
      <c r="X66" s="107" t="s">
        <v>55</v>
      </c>
    </row>
    <row r="67" spans="1:24" hidden="1" x14ac:dyDescent="0.25">
      <c r="A67" s="1070" t="s">
        <v>932</v>
      </c>
      <c r="B67" s="1071"/>
      <c r="C67" s="1066" t="s">
        <v>933</v>
      </c>
      <c r="D67" s="1074"/>
      <c r="E67" s="1074"/>
      <c r="F67" s="1074"/>
      <c r="G67" s="1074"/>
      <c r="H67" s="1074"/>
      <c r="I67" s="1074"/>
      <c r="J67" s="1074"/>
      <c r="K67" s="1074"/>
      <c r="L67" s="1074"/>
      <c r="M67" s="1074"/>
      <c r="N67" s="1067"/>
      <c r="O67" s="503" t="s">
        <v>11</v>
      </c>
      <c r="P67" s="537" t="str">
        <f>W2-1&amp;"-"</f>
        <v>2025-</v>
      </c>
      <c r="Q67" s="503" t="s">
        <v>243</v>
      </c>
      <c r="W67" s="177"/>
      <c r="X67" s="107" t="str">
        <f>"("&amp;A59&amp;")"</f>
        <v>(Palveluiden määrä hakuajalla)</v>
      </c>
    </row>
    <row r="68" spans="1:24" hidden="1" x14ac:dyDescent="0.25">
      <c r="A68" s="1072"/>
      <c r="B68" s="1073"/>
      <c r="C68" s="342" t="s">
        <v>694</v>
      </c>
      <c r="D68" s="342" t="s">
        <v>695</v>
      </c>
      <c r="E68" s="342" t="s">
        <v>696</v>
      </c>
      <c r="F68" s="342" t="s">
        <v>697</v>
      </c>
      <c r="G68" s="342" t="s">
        <v>698</v>
      </c>
      <c r="H68" s="342" t="s">
        <v>699</v>
      </c>
      <c r="I68" s="342" t="s">
        <v>700</v>
      </c>
      <c r="J68" s="342" t="s">
        <v>701</v>
      </c>
      <c r="K68" s="342" t="s">
        <v>702</v>
      </c>
      <c r="L68" s="342" t="s">
        <v>703</v>
      </c>
      <c r="M68" s="342" t="s">
        <v>704</v>
      </c>
      <c r="N68" s="342" t="s">
        <v>705</v>
      </c>
      <c r="O68" s="504" t="s">
        <v>186</v>
      </c>
      <c r="P68" s="538" t="s">
        <v>709</v>
      </c>
      <c r="Q68" s="504" t="str">
        <f>W2</f>
        <v>2026</v>
      </c>
      <c r="W68" s="177"/>
      <c r="X68" s="397" t="s">
        <v>934</v>
      </c>
    </row>
    <row r="69" spans="1:24" hidden="1" x14ac:dyDescent="0.25">
      <c r="A69" s="286"/>
      <c r="B69" s="435" t="s">
        <v>815</v>
      </c>
      <c r="C69" s="430">
        <f>SUM(C71:C109)</f>
        <v>0</v>
      </c>
      <c r="D69" s="430">
        <f t="shared" ref="D69:N69" si="7">SUM(D71:D109)</f>
        <v>0</v>
      </c>
      <c r="E69" s="430">
        <f t="shared" si="7"/>
        <v>0</v>
      </c>
      <c r="F69" s="430">
        <f t="shared" si="7"/>
        <v>0</v>
      </c>
      <c r="G69" s="430">
        <f t="shared" si="7"/>
        <v>0</v>
      </c>
      <c r="H69" s="430">
        <f t="shared" si="7"/>
        <v>0</v>
      </c>
      <c r="I69" s="430">
        <f t="shared" si="7"/>
        <v>0</v>
      </c>
      <c r="J69" s="430">
        <f t="shared" si="7"/>
        <v>0</v>
      </c>
      <c r="K69" s="430">
        <f t="shared" si="7"/>
        <v>0</v>
      </c>
      <c r="L69" s="430">
        <f t="shared" si="7"/>
        <v>0</v>
      </c>
      <c r="M69" s="430">
        <f t="shared" si="7"/>
        <v>0</v>
      </c>
      <c r="N69" s="430">
        <f t="shared" si="7"/>
        <v>0</v>
      </c>
      <c r="O69" s="430">
        <f>SUM(C69:N69)</f>
        <v>0</v>
      </c>
      <c r="P69" s="432">
        <f>SUM(P71:P109)</f>
        <v>0</v>
      </c>
      <c r="Q69" s="432">
        <f>SUM(Q71:Q109)</f>
        <v>0</v>
      </c>
      <c r="W69" s="177"/>
      <c r="X69" t="s">
        <v>837</v>
      </c>
    </row>
    <row r="70" spans="1:24" hidden="1" x14ac:dyDescent="0.25">
      <c r="A70" s="291"/>
      <c r="B70" s="338"/>
      <c r="C70" s="314"/>
      <c r="D70" s="314"/>
      <c r="E70" s="314"/>
      <c r="F70" s="314"/>
      <c r="G70" s="314"/>
      <c r="H70" s="314"/>
      <c r="I70" s="314"/>
      <c r="J70" s="314"/>
      <c r="K70" s="314"/>
      <c r="L70" s="314"/>
      <c r="M70" s="314"/>
      <c r="N70" s="314"/>
      <c r="O70" s="501"/>
      <c r="P70" s="539"/>
      <c r="Q70" s="434"/>
      <c r="W70" s="177"/>
      <c r="X70" t="s">
        <v>840</v>
      </c>
    </row>
    <row r="71" spans="1:24" hidden="1" x14ac:dyDescent="0.25">
      <c r="A71" s="1043" t="s">
        <v>842</v>
      </c>
      <c r="B71" s="295" t="s">
        <v>843</v>
      </c>
      <c r="C71" s="439">
        <f>SUMIFS(TP!$P:$P,TP!$R:$R,$X$9,TP!$U:$U,Toimintamenetelmät!$X71,TP!$AH:$AH,$Y$6,TP!$X:$X,$Y$1,TP!AV:AV,"OK")</f>
        <v>0</v>
      </c>
      <c r="D71" s="439">
        <f>SUMIFS(TP!$P:$P,TP!$R:$R,$X$9,TP!$U:$U,Toimintamenetelmät!$X71,TP!$AH:$AH,$Y$6,TP!$X:$X,$Y$1,TP!AW:AW,"OK")</f>
        <v>0</v>
      </c>
      <c r="E71" s="439">
        <f>SUMIFS(TP!$P:$P,TP!$R:$R,$X$9,TP!$U:$U,Toimintamenetelmät!$X71,TP!$AH:$AH,$Y$6,TP!$X:$X,$Y$1,TP!AX:AX,"OK")</f>
        <v>0</v>
      </c>
      <c r="F71" s="439">
        <f>SUMIFS(TP!$P:$P,TP!$R:$R,$X$9,TP!$U:$U,Toimintamenetelmät!$X71,TP!$AH:$AH,$Y$6,TP!$X:$X,$Y$1,TP!AY:AY,"OK")</f>
        <v>0</v>
      </c>
      <c r="G71" s="439">
        <f>SUMIFS(TP!$P:$P,TP!$R:$R,$X$9,TP!$U:$U,Toimintamenetelmät!$X71,TP!$AH:$AH,$Y$6,TP!$X:$X,$Y$1,TP!AZ:AZ,"OK")</f>
        <v>0</v>
      </c>
      <c r="H71" s="439">
        <f>SUMIFS(TP!$P:$P,TP!$R:$R,$X$9,TP!$U:$U,Toimintamenetelmät!$X71,TP!$AH:$AH,$Y$6,TP!$X:$X,$Y$1,TP!BA:BA,"OK")</f>
        <v>0</v>
      </c>
      <c r="I71" s="439">
        <f>SUMIFS(TP!$P:$P,TP!$R:$R,$X$9,TP!$U:$U,Toimintamenetelmät!$X71,TP!$AH:$AH,$Y$6,TP!$X:$X,$Y$1,TP!BB:BB,"OK")</f>
        <v>0</v>
      </c>
      <c r="J71" s="439">
        <f>SUMIFS(TP!$P:$P,TP!$R:$R,$X$9,TP!$U:$U,Toimintamenetelmät!$X71,TP!$AH:$AH,$Y$6,TP!$X:$X,$Y$1,TP!BC:BC,"OK")</f>
        <v>0</v>
      </c>
      <c r="K71" s="439">
        <f>SUMIFS(TP!$P:$P,TP!$R:$R,$X$9,TP!$U:$U,Toimintamenetelmät!$X71,TP!$AH:$AH,$Y$6,TP!$X:$X,$Y$1,TP!BD:BD,"OK")</f>
        <v>0</v>
      </c>
      <c r="L71" s="439">
        <f>SUMIFS(TP!$P:$P,TP!$R:$R,$X$9,TP!$U:$U,Toimintamenetelmät!$X71,TP!$AH:$AH,$Y$6,TP!$X:$X,$Y$1,TP!BE:BE,"OK")</f>
        <v>0</v>
      </c>
      <c r="M71" s="439">
        <f>SUMIFS(TP!$P:$P,TP!$R:$R,$X$9,TP!$U:$U,Toimintamenetelmät!$X71,TP!$AH:$AH,$Y$6,TP!$X:$X,$Y$1,TP!BF:BF,"OK")</f>
        <v>0</v>
      </c>
      <c r="N71" s="439">
        <f>SUMIFS(TP!$P:$P,TP!$R:$R,$X$9,TP!$U:$U,Toimintamenetelmät!$X71,TP!$AH:$AH,$Y$6,TP!$X:$X,$Y$1,TP!BG:BG,"OK")</f>
        <v>0</v>
      </c>
      <c r="O71" s="535">
        <f>SUM(C71:N71)</f>
        <v>0</v>
      </c>
      <c r="P71" s="540">
        <f>IFERROR(Q71-O71,0)</f>
        <v>0</v>
      </c>
      <c r="Q71" s="535">
        <f>IF($W$3="12",SUMIFS(TP!$P:$P,TP!$AD:$AD,"OK",TP!$R:$R,$X$9,TP!$U:$U,Toimintamenetelmät!$X71,TP!$AH:$AH,$Y$6,TP!$X:$X,$Y$1),"ks. aika")</f>
        <v>0</v>
      </c>
      <c r="W71" s="177"/>
      <c r="X71" t="s">
        <v>844</v>
      </c>
    </row>
    <row r="72" spans="1:24" hidden="1" x14ac:dyDescent="0.25">
      <c r="A72" s="1044"/>
      <c r="B72" s="296" t="s">
        <v>846</v>
      </c>
      <c r="C72" s="439">
        <f>SUMIFS(TP!$P:$P,TP!$R:$R,$X$9,TP!$U:$U,Toimintamenetelmät!$X72,TP!$AH:$AH,$Y$6,TP!$X:$X,$Y$1,TP!AV:AV,"OK")</f>
        <v>0</v>
      </c>
      <c r="D72" s="439">
        <f>SUMIFS(TP!$P:$P,TP!$R:$R,$X$9,TP!$U:$U,Toimintamenetelmät!$X72,TP!$AH:$AH,$Y$6,TP!$X:$X,$Y$1,TP!AW:AW,"OK")</f>
        <v>0</v>
      </c>
      <c r="E72" s="439">
        <f>SUMIFS(TP!$P:$P,TP!$R:$R,$X$9,TP!$U:$U,Toimintamenetelmät!$X72,TP!$AH:$AH,$Y$6,TP!$X:$X,$Y$1,TP!AX:AX,"OK")</f>
        <v>0</v>
      </c>
      <c r="F72" s="439">
        <f>SUMIFS(TP!$P:$P,TP!$R:$R,$X$9,TP!$U:$U,Toimintamenetelmät!$X72,TP!$AH:$AH,$Y$6,TP!$X:$X,$Y$1,TP!AY:AY,"OK")</f>
        <v>0</v>
      </c>
      <c r="G72" s="439">
        <f>SUMIFS(TP!$P:$P,TP!$R:$R,$X$9,TP!$U:$U,Toimintamenetelmät!$X72,TP!$AH:$AH,$Y$6,TP!$X:$X,$Y$1,TP!AZ:AZ,"OK")</f>
        <v>0</v>
      </c>
      <c r="H72" s="439">
        <f>SUMIFS(TP!$P:$P,TP!$R:$R,$X$9,TP!$U:$U,Toimintamenetelmät!$X72,TP!$AH:$AH,$Y$6,TP!$X:$X,$Y$1,TP!BA:BA,"OK")</f>
        <v>0</v>
      </c>
      <c r="I72" s="439">
        <f>SUMIFS(TP!$P:$P,TP!$R:$R,$X$9,TP!$U:$U,Toimintamenetelmät!$X72,TP!$AH:$AH,$Y$6,TP!$X:$X,$Y$1,TP!BB:BB,"OK")</f>
        <v>0</v>
      </c>
      <c r="J72" s="439">
        <f>SUMIFS(TP!$P:$P,TP!$R:$R,$X$9,TP!$U:$U,Toimintamenetelmät!$X72,TP!$AH:$AH,$Y$6,TP!$X:$X,$Y$1,TP!BC:BC,"OK")</f>
        <v>0</v>
      </c>
      <c r="K72" s="439">
        <f>SUMIFS(TP!$P:$P,TP!$R:$R,$X$9,TP!$U:$U,Toimintamenetelmät!$X72,TP!$AH:$AH,$Y$6,TP!$X:$X,$Y$1,TP!BD:BD,"OK")</f>
        <v>0</v>
      </c>
      <c r="L72" s="439">
        <f>SUMIFS(TP!$P:$P,TP!$R:$R,$X$9,TP!$U:$U,Toimintamenetelmät!$X72,TP!$AH:$AH,$Y$6,TP!$X:$X,$Y$1,TP!BE:BE,"OK")</f>
        <v>0</v>
      </c>
      <c r="M72" s="439">
        <f>SUMIFS(TP!$P:$P,TP!$R:$R,$X$9,TP!$U:$U,Toimintamenetelmät!$X72,TP!$AH:$AH,$Y$6,TP!$X:$X,$Y$1,TP!BF:BF,"OK")</f>
        <v>0</v>
      </c>
      <c r="N72" s="439">
        <f>SUMIFS(TP!$P:$P,TP!$R:$R,$X$9,TP!$U:$U,Toimintamenetelmät!$X72,TP!$AH:$AH,$Y$6,TP!$X:$X,$Y$1,TP!BG:BG,"OK")</f>
        <v>0</v>
      </c>
      <c r="O72" s="535">
        <f t="shared" ref="O72:O109" si="8">SUM(C72:N72)</f>
        <v>0</v>
      </c>
      <c r="P72" s="540">
        <f t="shared" ref="P72:P109" si="9">IFERROR(Q72-O72,0)</f>
        <v>0</v>
      </c>
      <c r="Q72" s="535">
        <f>IF($W$3="12",SUMIFS(TP!$P:$P,TP!$AD:$AD,"OK",TP!$R:$R,$X$9,TP!$U:$U,Toimintamenetelmät!$X72,TP!$AH:$AH,$Y$6,TP!$X:$X,$Y$1),0)</f>
        <v>0</v>
      </c>
      <c r="W72" s="177"/>
      <c r="X72" t="s">
        <v>847</v>
      </c>
    </row>
    <row r="73" spans="1:24" hidden="1" x14ac:dyDescent="0.25">
      <c r="A73" s="1044"/>
      <c r="B73" s="296" t="s">
        <v>848</v>
      </c>
      <c r="C73" s="439">
        <f>SUMIFS(TP!$P:$P,TP!$R:$R,$X$9,TP!$U:$U,Toimintamenetelmät!$X73,TP!$AH:$AH,$Y$6,TP!$X:$X,$Y$1,TP!AV:AV,"OK")</f>
        <v>0</v>
      </c>
      <c r="D73" s="439">
        <f>SUMIFS(TP!$P:$P,TP!$R:$R,$X$9,TP!$U:$U,Toimintamenetelmät!$X73,TP!$AH:$AH,$Y$6,TP!$X:$X,$Y$1,TP!AW:AW,"OK")</f>
        <v>0</v>
      </c>
      <c r="E73" s="439">
        <f>SUMIFS(TP!$P:$P,TP!$R:$R,$X$9,TP!$U:$U,Toimintamenetelmät!$X73,TP!$AH:$AH,$Y$6,TP!$X:$X,$Y$1,TP!AX:AX,"OK")</f>
        <v>0</v>
      </c>
      <c r="F73" s="439">
        <f>SUMIFS(TP!$P:$P,TP!$R:$R,$X$9,TP!$U:$U,Toimintamenetelmät!$X73,TP!$AH:$AH,$Y$6,TP!$X:$X,$Y$1,TP!AY:AY,"OK")</f>
        <v>0</v>
      </c>
      <c r="G73" s="439">
        <f>SUMIFS(TP!$P:$P,TP!$R:$R,$X$9,TP!$U:$U,Toimintamenetelmät!$X73,TP!$AH:$AH,$Y$6,TP!$X:$X,$Y$1,TP!AZ:AZ,"OK")</f>
        <v>0</v>
      </c>
      <c r="H73" s="439">
        <f>SUMIFS(TP!$P:$P,TP!$R:$R,$X$9,TP!$U:$U,Toimintamenetelmät!$X73,TP!$AH:$AH,$Y$6,TP!$X:$X,$Y$1,TP!BA:BA,"OK")</f>
        <v>0</v>
      </c>
      <c r="I73" s="439">
        <f>SUMIFS(TP!$P:$P,TP!$R:$R,$X$9,TP!$U:$U,Toimintamenetelmät!$X73,TP!$AH:$AH,$Y$6,TP!$X:$X,$Y$1,TP!BB:BB,"OK")</f>
        <v>0</v>
      </c>
      <c r="J73" s="439">
        <f>SUMIFS(TP!$P:$P,TP!$R:$R,$X$9,TP!$U:$U,Toimintamenetelmät!$X73,TP!$AH:$AH,$Y$6,TP!$X:$X,$Y$1,TP!BC:BC,"OK")</f>
        <v>0</v>
      </c>
      <c r="K73" s="439">
        <f>SUMIFS(TP!$P:$P,TP!$R:$R,$X$9,TP!$U:$U,Toimintamenetelmät!$X73,TP!$AH:$AH,$Y$6,TP!$X:$X,$Y$1,TP!BD:BD,"OK")</f>
        <v>0</v>
      </c>
      <c r="L73" s="439">
        <f>SUMIFS(TP!$P:$P,TP!$R:$R,$X$9,TP!$U:$U,Toimintamenetelmät!$X73,TP!$AH:$AH,$Y$6,TP!$X:$X,$Y$1,TP!BE:BE,"OK")</f>
        <v>0</v>
      </c>
      <c r="M73" s="439">
        <f>SUMIFS(TP!$P:$P,TP!$R:$R,$X$9,TP!$U:$U,Toimintamenetelmät!$X73,TP!$AH:$AH,$Y$6,TP!$X:$X,$Y$1,TP!BF:BF,"OK")</f>
        <v>0</v>
      </c>
      <c r="N73" s="439">
        <f>SUMIFS(TP!$P:$P,TP!$R:$R,$X$9,TP!$U:$U,Toimintamenetelmät!$X73,TP!$AH:$AH,$Y$6,TP!$X:$X,$Y$1,TP!BG:BG,"OK")</f>
        <v>0</v>
      </c>
      <c r="O73" s="535">
        <f t="shared" si="8"/>
        <v>0</v>
      </c>
      <c r="P73" s="540">
        <f t="shared" si="9"/>
        <v>0</v>
      </c>
      <c r="Q73" s="535">
        <f>IF($W$3="12",SUMIFS(TP!$P:$P,TP!$AD:$AD,"OK",TP!$R:$R,$X$9,TP!$U:$U,Toimintamenetelmät!$X73,TP!$AH:$AH,$Y$6,TP!$X:$X,$Y$1),0)</f>
        <v>0</v>
      </c>
      <c r="W73" s="177"/>
      <c r="X73" t="s">
        <v>849</v>
      </c>
    </row>
    <row r="74" spans="1:24" hidden="1" x14ac:dyDescent="0.25">
      <c r="A74" s="1044"/>
      <c r="B74" s="296" t="s">
        <v>850</v>
      </c>
      <c r="C74" s="439">
        <f>SUMIFS(TP!$P:$P,TP!$R:$R,$X$9,TP!$U:$U,Toimintamenetelmät!$X74,TP!$AH:$AH,$Y$6,TP!$X:$X,$Y$1,TP!AV:AV,"OK")</f>
        <v>0</v>
      </c>
      <c r="D74" s="439">
        <f>SUMIFS(TP!$P:$P,TP!$R:$R,$X$9,TP!$U:$U,Toimintamenetelmät!$X74,TP!$AH:$AH,$Y$6,TP!$X:$X,$Y$1,TP!AW:AW,"OK")</f>
        <v>0</v>
      </c>
      <c r="E74" s="439">
        <f>SUMIFS(TP!$P:$P,TP!$R:$R,$X$9,TP!$U:$U,Toimintamenetelmät!$X74,TP!$AH:$AH,$Y$6,TP!$X:$X,$Y$1,TP!AX:AX,"OK")</f>
        <v>0</v>
      </c>
      <c r="F74" s="439">
        <f>SUMIFS(TP!$P:$P,TP!$R:$R,$X$9,TP!$U:$U,Toimintamenetelmät!$X74,TP!$AH:$AH,$Y$6,TP!$X:$X,$Y$1,TP!AY:AY,"OK")</f>
        <v>0</v>
      </c>
      <c r="G74" s="439">
        <f>SUMIFS(TP!$P:$P,TP!$R:$R,$X$9,TP!$U:$U,Toimintamenetelmät!$X74,TP!$AH:$AH,$Y$6,TP!$X:$X,$Y$1,TP!AZ:AZ,"OK")</f>
        <v>0</v>
      </c>
      <c r="H74" s="439">
        <f>SUMIFS(TP!$P:$P,TP!$R:$R,$X$9,TP!$U:$U,Toimintamenetelmät!$X74,TP!$AH:$AH,$Y$6,TP!$X:$X,$Y$1,TP!BA:BA,"OK")</f>
        <v>0</v>
      </c>
      <c r="I74" s="439">
        <f>SUMIFS(TP!$P:$P,TP!$R:$R,$X$9,TP!$U:$U,Toimintamenetelmät!$X74,TP!$AH:$AH,$Y$6,TP!$X:$X,$Y$1,TP!BB:BB,"OK")</f>
        <v>0</v>
      </c>
      <c r="J74" s="439">
        <f>SUMIFS(TP!$P:$P,TP!$R:$R,$X$9,TP!$U:$U,Toimintamenetelmät!$X74,TP!$AH:$AH,$Y$6,TP!$X:$X,$Y$1,TP!BC:BC,"OK")</f>
        <v>0</v>
      </c>
      <c r="K74" s="439">
        <f>SUMIFS(TP!$P:$P,TP!$R:$R,$X$9,TP!$U:$U,Toimintamenetelmät!$X74,TP!$AH:$AH,$Y$6,TP!$X:$X,$Y$1,TP!BD:BD,"OK")</f>
        <v>0</v>
      </c>
      <c r="L74" s="439">
        <f>SUMIFS(TP!$P:$P,TP!$R:$R,$X$9,TP!$U:$U,Toimintamenetelmät!$X74,TP!$AH:$AH,$Y$6,TP!$X:$X,$Y$1,TP!BE:BE,"OK")</f>
        <v>0</v>
      </c>
      <c r="M74" s="439">
        <f>SUMIFS(TP!$P:$P,TP!$R:$R,$X$9,TP!$U:$U,Toimintamenetelmät!$X74,TP!$AH:$AH,$Y$6,TP!$X:$X,$Y$1,TP!BF:BF,"OK")</f>
        <v>0</v>
      </c>
      <c r="N74" s="439">
        <f>SUMIFS(TP!$P:$P,TP!$R:$R,$X$9,TP!$U:$U,Toimintamenetelmät!$X74,TP!$AH:$AH,$Y$6,TP!$X:$X,$Y$1,TP!BG:BG,"OK")</f>
        <v>0</v>
      </c>
      <c r="O74" s="535">
        <f t="shared" si="8"/>
        <v>0</v>
      </c>
      <c r="P74" s="540">
        <f t="shared" si="9"/>
        <v>0</v>
      </c>
      <c r="Q74" s="535">
        <f>IF($W$3="12",SUMIFS(TP!$P:$P,TP!$AD:$AD,"OK",TP!$R:$R,$X$9,TP!$U:$U,Toimintamenetelmät!$X74,TP!$AH:$AH,$Y$6,TP!$X:$X,$Y$1),0)</f>
        <v>0</v>
      </c>
      <c r="W74" s="177"/>
      <c r="X74" t="s">
        <v>851</v>
      </c>
    </row>
    <row r="75" spans="1:24" hidden="1" x14ac:dyDescent="0.25">
      <c r="A75" s="1045"/>
      <c r="B75" s="296" t="s">
        <v>852</v>
      </c>
      <c r="C75" s="439">
        <f>SUMIFS(TP!$P:$P,TP!$R:$R,$X$9,TP!$U:$U,Toimintamenetelmät!$X75,TP!$AH:$AH,$Y$6,TP!$X:$X,$Y$1,TP!AV:AV,"OK")</f>
        <v>0</v>
      </c>
      <c r="D75" s="439">
        <f>SUMIFS(TP!$P:$P,TP!$R:$R,$X$9,TP!$U:$U,Toimintamenetelmät!$X75,TP!$AH:$AH,$Y$6,TP!$X:$X,$Y$1,TP!AW:AW,"OK")</f>
        <v>0</v>
      </c>
      <c r="E75" s="439">
        <f>SUMIFS(TP!$P:$P,TP!$R:$R,$X$9,TP!$U:$U,Toimintamenetelmät!$X75,TP!$AH:$AH,$Y$6,TP!$X:$X,$Y$1,TP!AX:AX,"OK")</f>
        <v>0</v>
      </c>
      <c r="F75" s="439">
        <f>SUMIFS(TP!$P:$P,TP!$R:$R,$X$9,TP!$U:$U,Toimintamenetelmät!$X75,TP!$AH:$AH,$Y$6,TP!$X:$X,$Y$1,TP!AY:AY,"OK")</f>
        <v>0</v>
      </c>
      <c r="G75" s="439">
        <f>SUMIFS(TP!$P:$P,TP!$R:$R,$X$9,TP!$U:$U,Toimintamenetelmät!$X75,TP!$AH:$AH,$Y$6,TP!$X:$X,$Y$1,TP!AZ:AZ,"OK")</f>
        <v>0</v>
      </c>
      <c r="H75" s="439">
        <f>SUMIFS(TP!$P:$P,TP!$R:$R,$X$9,TP!$U:$U,Toimintamenetelmät!$X75,TP!$AH:$AH,$Y$6,TP!$X:$X,$Y$1,TP!BA:BA,"OK")</f>
        <v>0</v>
      </c>
      <c r="I75" s="439">
        <f>SUMIFS(TP!$P:$P,TP!$R:$R,$X$9,TP!$U:$U,Toimintamenetelmät!$X75,TP!$AH:$AH,$Y$6,TP!$X:$X,$Y$1,TP!BB:BB,"OK")</f>
        <v>0</v>
      </c>
      <c r="J75" s="439">
        <f>SUMIFS(TP!$P:$P,TP!$R:$R,$X$9,TP!$U:$U,Toimintamenetelmät!$X75,TP!$AH:$AH,$Y$6,TP!$X:$X,$Y$1,TP!BC:BC,"OK")</f>
        <v>0</v>
      </c>
      <c r="K75" s="439">
        <f>SUMIFS(TP!$P:$P,TP!$R:$R,$X$9,TP!$U:$U,Toimintamenetelmät!$X75,TP!$AH:$AH,$Y$6,TP!$X:$X,$Y$1,TP!BD:BD,"OK")</f>
        <v>0</v>
      </c>
      <c r="L75" s="439">
        <f>SUMIFS(TP!$P:$P,TP!$R:$R,$X$9,TP!$U:$U,Toimintamenetelmät!$X75,TP!$AH:$AH,$Y$6,TP!$X:$X,$Y$1,TP!BE:BE,"OK")</f>
        <v>0</v>
      </c>
      <c r="M75" s="439">
        <f>SUMIFS(TP!$P:$P,TP!$R:$R,$X$9,TP!$U:$U,Toimintamenetelmät!$X75,TP!$AH:$AH,$Y$6,TP!$X:$X,$Y$1,TP!BF:BF,"OK")</f>
        <v>0</v>
      </c>
      <c r="N75" s="439">
        <f>SUMIFS(TP!$P:$P,TP!$R:$R,$X$9,TP!$U:$U,Toimintamenetelmät!$X75,TP!$AH:$AH,$Y$6,TP!$X:$X,$Y$1,TP!BG:BG,"OK")</f>
        <v>0</v>
      </c>
      <c r="O75" s="535">
        <f t="shared" si="8"/>
        <v>0</v>
      </c>
      <c r="P75" s="540">
        <f t="shared" si="9"/>
        <v>0</v>
      </c>
      <c r="Q75" s="535">
        <f>IF($W$3="12",SUMIFS(TP!$P:$P,TP!$AD:$AD,"OK",TP!$R:$R,$X$9,TP!$U:$U,Toimintamenetelmät!$X75,TP!$AH:$AH,$Y$6,TP!$X:$X,$Y$1),0)</f>
        <v>0</v>
      </c>
      <c r="W75" s="177"/>
      <c r="X75" t="s">
        <v>853</v>
      </c>
    </row>
    <row r="76" spans="1:24" hidden="1" x14ac:dyDescent="0.25">
      <c r="A76" s="292"/>
      <c r="B76" s="294"/>
      <c r="C76" s="438"/>
      <c r="D76" s="438"/>
      <c r="E76" s="438"/>
      <c r="F76" s="438"/>
      <c r="G76" s="438"/>
      <c r="H76" s="438"/>
      <c r="I76" s="438"/>
      <c r="J76" s="438"/>
      <c r="K76" s="438"/>
      <c r="L76" s="438"/>
      <c r="M76" s="438"/>
      <c r="N76" s="438"/>
      <c r="O76" s="536"/>
      <c r="P76" s="541"/>
      <c r="Q76" s="536">
        <f>IF($W$3="12",SUMIFS(TP!$P:$P,TP!$AD:$AD,"OK",TP!$R:$R,$X$9,TP!$U:$U,Toimintamenetelmät!$X76,TP!$AH:$AH,$Y$6,TP!$X:$X,$Y$1),0)</f>
        <v>0</v>
      </c>
      <c r="W76" s="177"/>
      <c r="X76" t="s">
        <v>854</v>
      </c>
    </row>
    <row r="77" spans="1:24" hidden="1" x14ac:dyDescent="0.25">
      <c r="A77" s="1043" t="s">
        <v>855</v>
      </c>
      <c r="B77" s="295" t="s">
        <v>856</v>
      </c>
      <c r="C77" s="439">
        <f>SUMIFS(TP!$P:$P,TP!$R:$R,$X$9,TP!$U:$U,Toimintamenetelmät!$X77,TP!$AH:$AH,$Y$6,TP!$X:$X,$Y$1,TP!AV:AV,"OK")</f>
        <v>0</v>
      </c>
      <c r="D77" s="439">
        <f>SUMIFS(TP!$P:$P,TP!$R:$R,$X$9,TP!$U:$U,Toimintamenetelmät!$X77,TP!$AH:$AH,$Y$6,TP!$X:$X,$Y$1,TP!AW:AW,"OK")</f>
        <v>0</v>
      </c>
      <c r="E77" s="439">
        <f>SUMIFS(TP!$P:$P,TP!$R:$R,$X$9,TP!$U:$U,Toimintamenetelmät!$X77,TP!$AH:$AH,$Y$6,TP!$X:$X,$Y$1,TP!AX:AX,"OK")</f>
        <v>0</v>
      </c>
      <c r="F77" s="439">
        <f>SUMIFS(TP!$P:$P,TP!$R:$R,$X$9,TP!$U:$U,Toimintamenetelmät!$X77,TP!$AH:$AH,$Y$6,TP!$X:$X,$Y$1,TP!AY:AY,"OK")</f>
        <v>0</v>
      </c>
      <c r="G77" s="439">
        <f>SUMIFS(TP!$P:$P,TP!$R:$R,$X$9,TP!$U:$U,Toimintamenetelmät!$X77,TP!$AH:$AH,$Y$6,TP!$X:$X,$Y$1,TP!AZ:AZ,"OK")</f>
        <v>0</v>
      </c>
      <c r="H77" s="439">
        <f>SUMIFS(TP!$P:$P,TP!$R:$R,$X$9,TP!$U:$U,Toimintamenetelmät!$X77,TP!$AH:$AH,$Y$6,TP!$X:$X,$Y$1,TP!BA:BA,"OK")</f>
        <v>0</v>
      </c>
      <c r="I77" s="439">
        <f>SUMIFS(TP!$P:$P,TP!$R:$R,$X$9,TP!$U:$U,Toimintamenetelmät!$X77,TP!$AH:$AH,$Y$6,TP!$X:$X,$Y$1,TP!BB:BB,"OK")</f>
        <v>0</v>
      </c>
      <c r="J77" s="439">
        <f>SUMIFS(TP!$P:$P,TP!$R:$R,$X$9,TP!$U:$U,Toimintamenetelmät!$X77,TP!$AH:$AH,$Y$6,TP!$X:$X,$Y$1,TP!BC:BC,"OK")</f>
        <v>0</v>
      </c>
      <c r="K77" s="439">
        <f>SUMIFS(TP!$P:$P,TP!$R:$R,$X$9,TP!$U:$U,Toimintamenetelmät!$X77,TP!$AH:$AH,$Y$6,TP!$X:$X,$Y$1,TP!BD:BD,"OK")</f>
        <v>0</v>
      </c>
      <c r="L77" s="439">
        <f>SUMIFS(TP!$P:$P,TP!$R:$R,$X$9,TP!$U:$U,Toimintamenetelmät!$X77,TP!$AH:$AH,$Y$6,TP!$X:$X,$Y$1,TP!BE:BE,"OK")</f>
        <v>0</v>
      </c>
      <c r="M77" s="439">
        <f>SUMIFS(TP!$P:$P,TP!$R:$R,$X$9,TP!$U:$U,Toimintamenetelmät!$X77,TP!$AH:$AH,$Y$6,TP!$X:$X,$Y$1,TP!BF:BF,"OK")</f>
        <v>0</v>
      </c>
      <c r="N77" s="439">
        <f>SUMIFS(TP!$P:$P,TP!$R:$R,$X$9,TP!$U:$U,Toimintamenetelmät!$X77,TP!$AH:$AH,$Y$6,TP!$X:$X,$Y$1,TP!BG:BG,"OK")</f>
        <v>0</v>
      </c>
      <c r="O77" s="535">
        <f t="shared" si="8"/>
        <v>0</v>
      </c>
      <c r="P77" s="540">
        <f t="shared" si="9"/>
        <v>0</v>
      </c>
      <c r="Q77" s="535">
        <f>IF($W$3="12",SUMIFS(TP!$P:$P,TP!$AD:$AD,"OK",TP!$R:$R,$X$9,TP!$U:$U,Toimintamenetelmät!$X77,TP!$AH:$AH,$Y$6,TP!$X:$X,$Y$1),0)</f>
        <v>0</v>
      </c>
      <c r="W77" s="177"/>
      <c r="X77" t="s">
        <v>857</v>
      </c>
    </row>
    <row r="78" spans="1:24" hidden="1" x14ac:dyDescent="0.25">
      <c r="A78" s="1044"/>
      <c r="B78" s="296" t="s">
        <v>859</v>
      </c>
      <c r="C78" s="439">
        <f>SUMIFS(TP!$P:$P,TP!$R:$R,$X$9,TP!$U:$U,Toimintamenetelmät!$X78,TP!$AH:$AH,$Y$6,TP!$X:$X,$Y$1,TP!AV:AV,"OK")</f>
        <v>0</v>
      </c>
      <c r="D78" s="439">
        <f>SUMIFS(TP!$P:$P,TP!$R:$R,$X$9,TP!$U:$U,Toimintamenetelmät!$X78,TP!$AH:$AH,$Y$6,TP!$X:$X,$Y$1,TP!AW:AW,"OK")</f>
        <v>0</v>
      </c>
      <c r="E78" s="439">
        <f>SUMIFS(TP!$P:$P,TP!$R:$R,$X$9,TP!$U:$U,Toimintamenetelmät!$X78,TP!$AH:$AH,$Y$6,TP!$X:$X,$Y$1,TP!AX:AX,"OK")</f>
        <v>0</v>
      </c>
      <c r="F78" s="439">
        <f>SUMIFS(TP!$P:$P,TP!$R:$R,$X$9,TP!$U:$U,Toimintamenetelmät!$X78,TP!$AH:$AH,$Y$6,TP!$X:$X,$Y$1,TP!AY:AY,"OK")</f>
        <v>0</v>
      </c>
      <c r="G78" s="439">
        <f>SUMIFS(TP!$P:$P,TP!$R:$R,$X$9,TP!$U:$U,Toimintamenetelmät!$X78,TP!$AH:$AH,$Y$6,TP!$X:$X,$Y$1,TP!AZ:AZ,"OK")</f>
        <v>0</v>
      </c>
      <c r="H78" s="439">
        <f>SUMIFS(TP!$P:$P,TP!$R:$R,$X$9,TP!$U:$U,Toimintamenetelmät!$X78,TP!$AH:$AH,$Y$6,TP!$X:$X,$Y$1,TP!BA:BA,"OK")</f>
        <v>0</v>
      </c>
      <c r="I78" s="439">
        <f>SUMIFS(TP!$P:$P,TP!$R:$R,$X$9,TP!$U:$U,Toimintamenetelmät!$X78,TP!$AH:$AH,$Y$6,TP!$X:$X,$Y$1,TP!BB:BB,"OK")</f>
        <v>0</v>
      </c>
      <c r="J78" s="439">
        <f>SUMIFS(TP!$P:$P,TP!$R:$R,$X$9,TP!$U:$U,Toimintamenetelmät!$X78,TP!$AH:$AH,$Y$6,TP!$X:$X,$Y$1,TP!BC:BC,"OK")</f>
        <v>0</v>
      </c>
      <c r="K78" s="439">
        <f>SUMIFS(TP!$P:$P,TP!$R:$R,$X$9,TP!$U:$U,Toimintamenetelmät!$X78,TP!$AH:$AH,$Y$6,TP!$X:$X,$Y$1,TP!BD:BD,"OK")</f>
        <v>0</v>
      </c>
      <c r="L78" s="439">
        <f>SUMIFS(TP!$P:$P,TP!$R:$R,$X$9,TP!$U:$U,Toimintamenetelmät!$X78,TP!$AH:$AH,$Y$6,TP!$X:$X,$Y$1,TP!BE:BE,"OK")</f>
        <v>0</v>
      </c>
      <c r="M78" s="439">
        <f>SUMIFS(TP!$P:$P,TP!$R:$R,$X$9,TP!$U:$U,Toimintamenetelmät!$X78,TP!$AH:$AH,$Y$6,TP!$X:$X,$Y$1,TP!BF:BF,"OK")</f>
        <v>0</v>
      </c>
      <c r="N78" s="439">
        <f>SUMIFS(TP!$P:$P,TP!$R:$R,$X$9,TP!$U:$U,Toimintamenetelmät!$X78,TP!$AH:$AH,$Y$6,TP!$X:$X,$Y$1,TP!BG:BG,"OK")</f>
        <v>0</v>
      </c>
      <c r="O78" s="535">
        <f t="shared" si="8"/>
        <v>0</v>
      </c>
      <c r="P78" s="540">
        <f t="shared" si="9"/>
        <v>0</v>
      </c>
      <c r="Q78" s="535">
        <f>IF($W$3="12",SUMIFS(TP!$P:$P,TP!$AD:$AD,"OK",TP!$R:$R,$X$9,TP!$U:$U,Toimintamenetelmät!$X78,TP!$AH:$AH,$Y$6,TP!$X:$X,$Y$1),0)</f>
        <v>0</v>
      </c>
      <c r="W78" s="177"/>
      <c r="X78" t="s">
        <v>860</v>
      </c>
    </row>
    <row r="79" spans="1:24" hidden="1" x14ac:dyDescent="0.25">
      <c r="A79" s="1044"/>
      <c r="B79" s="296" t="s">
        <v>861</v>
      </c>
      <c r="C79" s="439">
        <f>SUMIFS(TP!$P:$P,TP!$R:$R,$X$9,TP!$U:$U,Toimintamenetelmät!$X79,TP!$AH:$AH,$Y$6,TP!$X:$X,$Y$1,TP!AV:AV,"OK")</f>
        <v>0</v>
      </c>
      <c r="D79" s="439">
        <f>SUMIFS(TP!$P:$P,TP!$R:$R,$X$9,TP!$U:$U,Toimintamenetelmät!$X79,TP!$AH:$AH,$Y$6,TP!$X:$X,$Y$1,TP!AW:AW,"OK")</f>
        <v>0</v>
      </c>
      <c r="E79" s="439">
        <f>SUMIFS(TP!$P:$P,TP!$R:$R,$X$9,TP!$U:$U,Toimintamenetelmät!$X79,TP!$AH:$AH,$Y$6,TP!$X:$X,$Y$1,TP!AX:AX,"OK")</f>
        <v>0</v>
      </c>
      <c r="F79" s="439">
        <f>SUMIFS(TP!$P:$P,TP!$R:$R,$X$9,TP!$U:$U,Toimintamenetelmät!$X79,TP!$AH:$AH,$Y$6,TP!$X:$X,$Y$1,TP!AY:AY,"OK")</f>
        <v>0</v>
      </c>
      <c r="G79" s="439">
        <f>SUMIFS(TP!$P:$P,TP!$R:$R,$X$9,TP!$U:$U,Toimintamenetelmät!$X79,TP!$AH:$AH,$Y$6,TP!$X:$X,$Y$1,TP!AZ:AZ,"OK")</f>
        <v>0</v>
      </c>
      <c r="H79" s="439">
        <f>SUMIFS(TP!$P:$P,TP!$R:$R,$X$9,TP!$U:$U,Toimintamenetelmät!$X79,TP!$AH:$AH,$Y$6,TP!$X:$X,$Y$1,TP!BA:BA,"OK")</f>
        <v>0</v>
      </c>
      <c r="I79" s="439">
        <f>SUMIFS(TP!$P:$P,TP!$R:$R,$X$9,TP!$U:$U,Toimintamenetelmät!$X79,TP!$AH:$AH,$Y$6,TP!$X:$X,$Y$1,TP!BB:BB,"OK")</f>
        <v>0</v>
      </c>
      <c r="J79" s="439">
        <f>SUMIFS(TP!$P:$P,TP!$R:$R,$X$9,TP!$U:$U,Toimintamenetelmät!$X79,TP!$AH:$AH,$Y$6,TP!$X:$X,$Y$1,TP!BC:BC,"OK")</f>
        <v>0</v>
      </c>
      <c r="K79" s="439">
        <f>SUMIFS(TP!$P:$P,TP!$R:$R,$X$9,TP!$U:$U,Toimintamenetelmät!$X79,TP!$AH:$AH,$Y$6,TP!$X:$X,$Y$1,TP!BD:BD,"OK")</f>
        <v>0</v>
      </c>
      <c r="L79" s="439">
        <f>SUMIFS(TP!$P:$P,TP!$R:$R,$X$9,TP!$U:$U,Toimintamenetelmät!$X79,TP!$AH:$AH,$Y$6,TP!$X:$X,$Y$1,TP!BE:BE,"OK")</f>
        <v>0</v>
      </c>
      <c r="M79" s="439">
        <f>SUMIFS(TP!$P:$P,TP!$R:$R,$X$9,TP!$U:$U,Toimintamenetelmät!$X79,TP!$AH:$AH,$Y$6,TP!$X:$X,$Y$1,TP!BF:BF,"OK")</f>
        <v>0</v>
      </c>
      <c r="N79" s="439">
        <f>SUMIFS(TP!$P:$P,TP!$R:$R,$X$9,TP!$U:$U,Toimintamenetelmät!$X79,TP!$AH:$AH,$Y$6,TP!$X:$X,$Y$1,TP!BG:BG,"OK")</f>
        <v>0</v>
      </c>
      <c r="O79" s="535">
        <f t="shared" si="8"/>
        <v>0</v>
      </c>
      <c r="P79" s="540">
        <f t="shared" si="9"/>
        <v>0</v>
      </c>
      <c r="Q79" s="535">
        <f>IF($W$3="12",SUMIFS(TP!$P:$P,TP!$AD:$AD,"OK",TP!$R:$R,$X$9,TP!$U:$U,Toimintamenetelmät!$X79,TP!$AH:$AH,$Y$6,TP!$X:$X,$Y$1),0)</f>
        <v>0</v>
      </c>
      <c r="W79" s="177"/>
      <c r="X79" t="s">
        <v>862</v>
      </c>
    </row>
    <row r="80" spans="1:24" hidden="1" x14ac:dyDescent="0.25">
      <c r="A80" s="1044"/>
      <c r="B80" s="296" t="s">
        <v>863</v>
      </c>
      <c r="C80" s="439">
        <f>SUMIFS(TP!$P:$P,TP!$R:$R,$X$9,TP!$U:$U,Toimintamenetelmät!$X80,TP!$AH:$AH,$Y$6,TP!$X:$X,$Y$1,TP!AV:AV,"OK")</f>
        <v>0</v>
      </c>
      <c r="D80" s="439">
        <f>SUMIFS(TP!$P:$P,TP!$R:$R,$X$9,TP!$U:$U,Toimintamenetelmät!$X80,TP!$AH:$AH,$Y$6,TP!$X:$X,$Y$1,TP!AW:AW,"OK")</f>
        <v>0</v>
      </c>
      <c r="E80" s="439">
        <f>SUMIFS(TP!$P:$P,TP!$R:$R,$X$9,TP!$U:$U,Toimintamenetelmät!$X80,TP!$AH:$AH,$Y$6,TP!$X:$X,$Y$1,TP!AX:AX,"OK")</f>
        <v>0</v>
      </c>
      <c r="F80" s="439">
        <f>SUMIFS(TP!$P:$P,TP!$R:$R,$X$9,TP!$U:$U,Toimintamenetelmät!$X80,TP!$AH:$AH,$Y$6,TP!$X:$X,$Y$1,TP!AY:AY,"OK")</f>
        <v>0</v>
      </c>
      <c r="G80" s="439">
        <f>SUMIFS(TP!$P:$P,TP!$R:$R,$X$9,TP!$U:$U,Toimintamenetelmät!$X80,TP!$AH:$AH,$Y$6,TP!$X:$X,$Y$1,TP!AZ:AZ,"OK")</f>
        <v>0</v>
      </c>
      <c r="H80" s="439">
        <f>SUMIFS(TP!$P:$P,TP!$R:$R,$X$9,TP!$U:$U,Toimintamenetelmät!$X80,TP!$AH:$AH,$Y$6,TP!$X:$X,$Y$1,TP!BA:BA,"OK")</f>
        <v>0</v>
      </c>
      <c r="I80" s="439">
        <f>SUMIFS(TP!$P:$P,TP!$R:$R,$X$9,TP!$U:$U,Toimintamenetelmät!$X80,TP!$AH:$AH,$Y$6,TP!$X:$X,$Y$1,TP!BB:BB,"OK")</f>
        <v>0</v>
      </c>
      <c r="J80" s="439">
        <f>SUMIFS(TP!$P:$P,TP!$R:$R,$X$9,TP!$U:$U,Toimintamenetelmät!$X80,TP!$AH:$AH,$Y$6,TP!$X:$X,$Y$1,TP!BC:BC,"OK")</f>
        <v>0</v>
      </c>
      <c r="K80" s="439">
        <f>SUMIFS(TP!$P:$P,TP!$R:$R,$X$9,TP!$U:$U,Toimintamenetelmät!$X80,TP!$AH:$AH,$Y$6,TP!$X:$X,$Y$1,TP!BD:BD,"OK")</f>
        <v>0</v>
      </c>
      <c r="L80" s="439">
        <f>SUMIFS(TP!$P:$P,TP!$R:$R,$X$9,TP!$U:$U,Toimintamenetelmät!$X80,TP!$AH:$AH,$Y$6,TP!$X:$X,$Y$1,TP!BE:BE,"OK")</f>
        <v>0</v>
      </c>
      <c r="M80" s="439">
        <f>SUMIFS(TP!$P:$P,TP!$R:$R,$X$9,TP!$U:$U,Toimintamenetelmät!$X80,TP!$AH:$AH,$Y$6,TP!$X:$X,$Y$1,TP!BF:BF,"OK")</f>
        <v>0</v>
      </c>
      <c r="N80" s="439">
        <f>SUMIFS(TP!$P:$P,TP!$R:$R,$X$9,TP!$U:$U,Toimintamenetelmät!$X80,TP!$AH:$AH,$Y$6,TP!$X:$X,$Y$1,TP!BG:BG,"OK")</f>
        <v>0</v>
      </c>
      <c r="O80" s="535">
        <f t="shared" si="8"/>
        <v>0</v>
      </c>
      <c r="P80" s="540">
        <f t="shared" si="9"/>
        <v>0</v>
      </c>
      <c r="Q80" s="535">
        <f>IF($W$3="12",SUMIFS(TP!$P:$P,TP!$AD:$AD,"OK",TP!$R:$R,$X$9,TP!$U:$U,Toimintamenetelmät!$X80,TP!$AH:$AH,$Y$6,TP!$X:$X,$Y$1),0)</f>
        <v>0</v>
      </c>
      <c r="W80" s="177"/>
      <c r="X80" t="s">
        <v>864</v>
      </c>
    </row>
    <row r="81" spans="1:24" hidden="1" x14ac:dyDescent="0.25">
      <c r="A81" s="1045"/>
      <c r="B81" s="297" t="s">
        <v>865</v>
      </c>
      <c r="C81" s="439">
        <f>SUMIFS(TP!$P:$P,TP!$R:$R,$X$9,TP!$U:$U,Toimintamenetelmät!$X81,TP!$AH:$AH,$Y$6,TP!$X:$X,$Y$1,TP!AV:AV,"OK")</f>
        <v>0</v>
      </c>
      <c r="D81" s="439">
        <f>SUMIFS(TP!$P:$P,TP!$R:$R,$X$9,TP!$U:$U,Toimintamenetelmät!$X81,TP!$AH:$AH,$Y$6,TP!$X:$X,$Y$1,TP!AW:AW,"OK")</f>
        <v>0</v>
      </c>
      <c r="E81" s="439">
        <f>SUMIFS(TP!$P:$P,TP!$R:$R,$X$9,TP!$U:$U,Toimintamenetelmät!$X81,TP!$AH:$AH,$Y$6,TP!$X:$X,$Y$1,TP!AX:AX,"OK")</f>
        <v>0</v>
      </c>
      <c r="F81" s="439">
        <f>SUMIFS(TP!$P:$P,TP!$R:$R,$X$9,TP!$U:$U,Toimintamenetelmät!$X81,TP!$AH:$AH,$Y$6,TP!$X:$X,$Y$1,TP!AY:AY,"OK")</f>
        <v>0</v>
      </c>
      <c r="G81" s="439">
        <f>SUMIFS(TP!$P:$P,TP!$R:$R,$X$9,TP!$U:$U,Toimintamenetelmät!$X81,TP!$AH:$AH,$Y$6,TP!$X:$X,$Y$1,TP!AZ:AZ,"OK")</f>
        <v>0</v>
      </c>
      <c r="H81" s="439">
        <f>SUMIFS(TP!$P:$P,TP!$R:$R,$X$9,TP!$U:$U,Toimintamenetelmät!$X81,TP!$AH:$AH,$Y$6,TP!$X:$X,$Y$1,TP!BA:BA,"OK")</f>
        <v>0</v>
      </c>
      <c r="I81" s="439">
        <f>SUMIFS(TP!$P:$P,TP!$R:$R,$X$9,TP!$U:$U,Toimintamenetelmät!$X81,TP!$AH:$AH,$Y$6,TP!$X:$X,$Y$1,TP!BB:BB,"OK")</f>
        <v>0</v>
      </c>
      <c r="J81" s="439">
        <f>SUMIFS(TP!$P:$P,TP!$R:$R,$X$9,TP!$U:$U,Toimintamenetelmät!$X81,TP!$AH:$AH,$Y$6,TP!$X:$X,$Y$1,TP!BC:BC,"OK")</f>
        <v>0</v>
      </c>
      <c r="K81" s="439">
        <f>SUMIFS(TP!$P:$P,TP!$R:$R,$X$9,TP!$U:$U,Toimintamenetelmät!$X81,TP!$AH:$AH,$Y$6,TP!$X:$X,$Y$1,TP!BD:BD,"OK")</f>
        <v>0</v>
      </c>
      <c r="L81" s="439">
        <f>SUMIFS(TP!$P:$P,TP!$R:$R,$X$9,TP!$U:$U,Toimintamenetelmät!$X81,TP!$AH:$AH,$Y$6,TP!$X:$X,$Y$1,TP!BE:BE,"OK")</f>
        <v>0</v>
      </c>
      <c r="M81" s="439">
        <f>SUMIFS(TP!$P:$P,TP!$R:$R,$X$9,TP!$U:$U,Toimintamenetelmät!$X81,TP!$AH:$AH,$Y$6,TP!$X:$X,$Y$1,TP!BF:BF,"OK")</f>
        <v>0</v>
      </c>
      <c r="N81" s="439">
        <f>SUMIFS(TP!$P:$P,TP!$R:$R,$X$9,TP!$U:$U,Toimintamenetelmät!$X81,TP!$AH:$AH,$Y$6,TP!$X:$X,$Y$1,TP!BG:BG,"OK")</f>
        <v>0</v>
      </c>
      <c r="O81" s="535">
        <f t="shared" si="8"/>
        <v>0</v>
      </c>
      <c r="P81" s="540">
        <f t="shared" si="9"/>
        <v>0</v>
      </c>
      <c r="Q81" s="535">
        <f>IF($W$3="12",SUMIFS(TP!$P:$P,TP!$AD:$AD,"OK",TP!$R:$R,$X$9,TP!$U:$U,Toimintamenetelmät!$X81,TP!$AH:$AH,$Y$6,TP!$X:$X,$Y$1),0)</f>
        <v>0</v>
      </c>
      <c r="W81" s="177"/>
      <c r="X81" t="s">
        <v>866</v>
      </c>
    </row>
    <row r="82" spans="1:24" hidden="1" x14ac:dyDescent="0.25">
      <c r="A82" s="293"/>
      <c r="B82" s="294"/>
      <c r="C82" s="438"/>
      <c r="D82" s="438"/>
      <c r="E82" s="438"/>
      <c r="F82" s="438"/>
      <c r="G82" s="438"/>
      <c r="H82" s="438"/>
      <c r="I82" s="438"/>
      <c r="J82" s="438"/>
      <c r="K82" s="438"/>
      <c r="L82" s="438"/>
      <c r="M82" s="438"/>
      <c r="N82" s="438"/>
      <c r="O82" s="536"/>
      <c r="P82" s="541"/>
      <c r="Q82" s="536">
        <f>IF($W$3="12",SUMIFS(TP!$P:$P,TP!$AD:$AD,"OK",TP!$R:$R,$X$9,TP!$U:$U,Toimintamenetelmät!$X82,TP!$AH:$AH,$Y$6,TP!$X:$X,$Y$1),0)</f>
        <v>0</v>
      </c>
      <c r="W82" s="177"/>
      <c r="X82" t="s">
        <v>867</v>
      </c>
    </row>
    <row r="83" spans="1:24" hidden="1" x14ac:dyDescent="0.25">
      <c r="A83" s="1043" t="s">
        <v>868</v>
      </c>
      <c r="B83" s="298" t="s">
        <v>869</v>
      </c>
      <c r="C83" s="439">
        <f>SUMIFS(TP!$P:$P,TP!$R:$R,$X$9,TP!$U:$U,Toimintamenetelmät!$X83,TP!$AH:$AH,$Y$6,TP!$X:$X,$Y$1,TP!AV:AV,"OK")</f>
        <v>0</v>
      </c>
      <c r="D83" s="439">
        <f>SUMIFS(TP!$P:$P,TP!$R:$R,$X$9,TP!$U:$U,Toimintamenetelmät!$X83,TP!$AH:$AH,$Y$6,TP!$X:$X,$Y$1,TP!AW:AW,"OK")</f>
        <v>0</v>
      </c>
      <c r="E83" s="439">
        <f>SUMIFS(TP!$P:$P,TP!$R:$R,$X$9,TP!$U:$U,Toimintamenetelmät!$X83,TP!$AH:$AH,$Y$6,TP!$X:$X,$Y$1,TP!AX:AX,"OK")</f>
        <v>0</v>
      </c>
      <c r="F83" s="439">
        <f>SUMIFS(TP!$P:$P,TP!$R:$R,$X$9,TP!$U:$U,Toimintamenetelmät!$X83,TP!$AH:$AH,$Y$6,TP!$X:$X,$Y$1,TP!AY:AY,"OK")</f>
        <v>0</v>
      </c>
      <c r="G83" s="439">
        <f>SUMIFS(TP!$P:$P,TP!$R:$R,$X$9,TP!$U:$U,Toimintamenetelmät!$X83,TP!$AH:$AH,$Y$6,TP!$X:$X,$Y$1,TP!AZ:AZ,"OK")</f>
        <v>0</v>
      </c>
      <c r="H83" s="439">
        <f>SUMIFS(TP!$P:$P,TP!$R:$R,$X$9,TP!$U:$U,Toimintamenetelmät!$X83,TP!$AH:$AH,$Y$6,TP!$X:$X,$Y$1,TP!BA:BA,"OK")</f>
        <v>0</v>
      </c>
      <c r="I83" s="439">
        <f>SUMIFS(TP!$P:$P,TP!$R:$R,$X$9,TP!$U:$U,Toimintamenetelmät!$X83,TP!$AH:$AH,$Y$6,TP!$X:$X,$Y$1,TP!BB:BB,"OK")</f>
        <v>0</v>
      </c>
      <c r="J83" s="439">
        <f>SUMIFS(TP!$P:$P,TP!$R:$R,$X$9,TP!$U:$U,Toimintamenetelmät!$X83,TP!$AH:$AH,$Y$6,TP!$X:$X,$Y$1,TP!BC:BC,"OK")</f>
        <v>0</v>
      </c>
      <c r="K83" s="439">
        <f>SUMIFS(TP!$P:$P,TP!$R:$R,$X$9,TP!$U:$U,Toimintamenetelmät!$X83,TP!$AH:$AH,$Y$6,TP!$X:$X,$Y$1,TP!BD:BD,"OK")</f>
        <v>0</v>
      </c>
      <c r="L83" s="439">
        <f>SUMIFS(TP!$P:$P,TP!$R:$R,$X$9,TP!$U:$U,Toimintamenetelmät!$X83,TP!$AH:$AH,$Y$6,TP!$X:$X,$Y$1,TP!BE:BE,"OK")</f>
        <v>0</v>
      </c>
      <c r="M83" s="439">
        <f>SUMIFS(TP!$P:$P,TP!$R:$R,$X$9,TP!$U:$U,Toimintamenetelmät!$X83,TP!$AH:$AH,$Y$6,TP!$X:$X,$Y$1,TP!BF:BF,"OK")</f>
        <v>0</v>
      </c>
      <c r="N83" s="439">
        <f>SUMIFS(TP!$P:$P,TP!$R:$R,$X$9,TP!$U:$U,Toimintamenetelmät!$X83,TP!$AH:$AH,$Y$6,TP!$X:$X,$Y$1,TP!BG:BG,"OK")</f>
        <v>0</v>
      </c>
      <c r="O83" s="535">
        <f t="shared" si="8"/>
        <v>0</v>
      </c>
      <c r="P83" s="540">
        <f t="shared" si="9"/>
        <v>0</v>
      </c>
      <c r="Q83" s="535">
        <f>IF($W$3="12",SUMIFS(TP!$P:$P,TP!$AD:$AD,"OK",TP!$R:$R,$X$9,TP!$U:$U,Toimintamenetelmät!$X83,TP!$AH:$AH,$Y$6,TP!$X:$X,$Y$1),0)</f>
        <v>0</v>
      </c>
      <c r="W83" s="177"/>
      <c r="X83" s="228" t="s">
        <v>870</v>
      </c>
    </row>
    <row r="84" spans="1:24" hidden="1" x14ac:dyDescent="0.25">
      <c r="A84" s="1044"/>
      <c r="B84" s="299" t="s">
        <v>872</v>
      </c>
      <c r="C84" s="439">
        <f>SUMIFS(TP!$P:$P,TP!$R:$R,$X$9,TP!$U:$U,Toimintamenetelmät!$X84,TP!$AH:$AH,$Y$6,TP!$X:$X,$Y$1,TP!AV:AV,"OK")</f>
        <v>0</v>
      </c>
      <c r="D84" s="439">
        <f>SUMIFS(TP!$P:$P,TP!$R:$R,$X$9,TP!$U:$U,Toimintamenetelmät!$X84,TP!$AH:$AH,$Y$6,TP!$X:$X,$Y$1,TP!AW:AW,"OK")</f>
        <v>0</v>
      </c>
      <c r="E84" s="439">
        <f>SUMIFS(TP!$P:$P,TP!$R:$R,$X$9,TP!$U:$U,Toimintamenetelmät!$X84,TP!$AH:$AH,$Y$6,TP!$X:$X,$Y$1,TP!AX:AX,"OK")</f>
        <v>0</v>
      </c>
      <c r="F84" s="439">
        <f>SUMIFS(TP!$P:$P,TP!$R:$R,$X$9,TP!$U:$U,Toimintamenetelmät!$X84,TP!$AH:$AH,$Y$6,TP!$X:$X,$Y$1,TP!AY:AY,"OK")</f>
        <v>0</v>
      </c>
      <c r="G84" s="439">
        <f>SUMIFS(TP!$P:$P,TP!$R:$R,$X$9,TP!$U:$U,Toimintamenetelmät!$X84,TP!$AH:$AH,$Y$6,TP!$X:$X,$Y$1,TP!AZ:AZ,"OK")</f>
        <v>0</v>
      </c>
      <c r="H84" s="439">
        <f>SUMIFS(TP!$P:$P,TP!$R:$R,$X$9,TP!$U:$U,Toimintamenetelmät!$X84,TP!$AH:$AH,$Y$6,TP!$X:$X,$Y$1,TP!BA:BA,"OK")</f>
        <v>0</v>
      </c>
      <c r="I84" s="439">
        <f>SUMIFS(TP!$P:$P,TP!$R:$R,$X$9,TP!$U:$U,Toimintamenetelmät!$X84,TP!$AH:$AH,$Y$6,TP!$X:$X,$Y$1,TP!BB:BB,"OK")</f>
        <v>0</v>
      </c>
      <c r="J84" s="439">
        <f>SUMIFS(TP!$P:$P,TP!$R:$R,$X$9,TP!$U:$U,Toimintamenetelmät!$X84,TP!$AH:$AH,$Y$6,TP!$X:$X,$Y$1,TP!BC:BC,"OK")</f>
        <v>0</v>
      </c>
      <c r="K84" s="439">
        <f>SUMIFS(TP!$P:$P,TP!$R:$R,$X$9,TP!$U:$U,Toimintamenetelmät!$X84,TP!$AH:$AH,$Y$6,TP!$X:$X,$Y$1,TP!BD:BD,"OK")</f>
        <v>0</v>
      </c>
      <c r="L84" s="439">
        <f>SUMIFS(TP!$P:$P,TP!$R:$R,$X$9,TP!$U:$U,Toimintamenetelmät!$X84,TP!$AH:$AH,$Y$6,TP!$X:$X,$Y$1,TP!BE:BE,"OK")</f>
        <v>0</v>
      </c>
      <c r="M84" s="439">
        <f>SUMIFS(TP!$P:$P,TP!$R:$R,$X$9,TP!$U:$U,Toimintamenetelmät!$X84,TP!$AH:$AH,$Y$6,TP!$X:$X,$Y$1,TP!BF:BF,"OK")</f>
        <v>0</v>
      </c>
      <c r="N84" s="439">
        <f>SUMIFS(TP!$P:$P,TP!$R:$R,$X$9,TP!$U:$U,Toimintamenetelmät!$X84,TP!$AH:$AH,$Y$6,TP!$X:$X,$Y$1,TP!BG:BG,"OK")</f>
        <v>0</v>
      </c>
      <c r="O84" s="535">
        <f t="shared" si="8"/>
        <v>0</v>
      </c>
      <c r="P84" s="540">
        <f t="shared" si="9"/>
        <v>0</v>
      </c>
      <c r="Q84" s="535">
        <f>IF($W$3="12",SUMIFS(TP!$P:$P,TP!$AD:$AD,"OK",TP!$R:$R,$X$9,TP!$U:$U,Toimintamenetelmät!$X84,TP!$AH:$AH,$Y$6,TP!$X:$X,$Y$1),0)</f>
        <v>0</v>
      </c>
      <c r="W84" s="177"/>
      <c r="X84" s="228" t="s">
        <v>873</v>
      </c>
    </row>
    <row r="85" spans="1:24" hidden="1" x14ac:dyDescent="0.25">
      <c r="A85" s="1044"/>
      <c r="B85" s="299" t="s">
        <v>874</v>
      </c>
      <c r="C85" s="439">
        <f>SUMIFS(TP!$P:$P,TP!$R:$R,$X$9,TP!$U:$U,Toimintamenetelmät!$X85,TP!$AH:$AH,$Y$6,TP!$X:$X,$Y$1,TP!AV:AV,"OK")</f>
        <v>0</v>
      </c>
      <c r="D85" s="439">
        <f>SUMIFS(TP!$P:$P,TP!$R:$R,$X$9,TP!$U:$U,Toimintamenetelmät!$X85,TP!$AH:$AH,$Y$6,TP!$X:$X,$Y$1,TP!AW:AW,"OK")</f>
        <v>0</v>
      </c>
      <c r="E85" s="439">
        <f>SUMIFS(TP!$P:$P,TP!$R:$R,$X$9,TP!$U:$U,Toimintamenetelmät!$X85,TP!$AH:$AH,$Y$6,TP!$X:$X,$Y$1,TP!AX:AX,"OK")</f>
        <v>0</v>
      </c>
      <c r="F85" s="439">
        <f>SUMIFS(TP!$P:$P,TP!$R:$R,$X$9,TP!$U:$U,Toimintamenetelmät!$X85,TP!$AH:$AH,$Y$6,TP!$X:$X,$Y$1,TP!AY:AY,"OK")</f>
        <v>0</v>
      </c>
      <c r="G85" s="439">
        <f>SUMIFS(TP!$P:$P,TP!$R:$R,$X$9,TP!$U:$U,Toimintamenetelmät!$X85,TP!$AH:$AH,$Y$6,TP!$X:$X,$Y$1,TP!AZ:AZ,"OK")</f>
        <v>0</v>
      </c>
      <c r="H85" s="439">
        <f>SUMIFS(TP!$P:$P,TP!$R:$R,$X$9,TP!$U:$U,Toimintamenetelmät!$X85,TP!$AH:$AH,$Y$6,TP!$X:$X,$Y$1,TP!BA:BA,"OK")</f>
        <v>0</v>
      </c>
      <c r="I85" s="439">
        <f>SUMIFS(TP!$P:$P,TP!$R:$R,$X$9,TP!$U:$U,Toimintamenetelmät!$X85,TP!$AH:$AH,$Y$6,TP!$X:$X,$Y$1,TP!BB:BB,"OK")</f>
        <v>0</v>
      </c>
      <c r="J85" s="439">
        <f>SUMIFS(TP!$P:$P,TP!$R:$R,$X$9,TP!$U:$U,Toimintamenetelmät!$X85,TP!$AH:$AH,$Y$6,TP!$X:$X,$Y$1,TP!BC:BC,"OK")</f>
        <v>0</v>
      </c>
      <c r="K85" s="439">
        <f>SUMIFS(TP!$P:$P,TP!$R:$R,$X$9,TP!$U:$U,Toimintamenetelmät!$X85,TP!$AH:$AH,$Y$6,TP!$X:$X,$Y$1,TP!BD:BD,"OK")</f>
        <v>0</v>
      </c>
      <c r="L85" s="439">
        <f>SUMIFS(TP!$P:$P,TP!$R:$R,$X$9,TP!$U:$U,Toimintamenetelmät!$X85,TP!$AH:$AH,$Y$6,TP!$X:$X,$Y$1,TP!BE:BE,"OK")</f>
        <v>0</v>
      </c>
      <c r="M85" s="439">
        <f>SUMIFS(TP!$P:$P,TP!$R:$R,$X$9,TP!$U:$U,Toimintamenetelmät!$X85,TP!$AH:$AH,$Y$6,TP!$X:$X,$Y$1,TP!BF:BF,"OK")</f>
        <v>0</v>
      </c>
      <c r="N85" s="439">
        <f>SUMIFS(TP!$P:$P,TP!$R:$R,$X$9,TP!$U:$U,Toimintamenetelmät!$X85,TP!$AH:$AH,$Y$6,TP!$X:$X,$Y$1,TP!BG:BG,"OK")</f>
        <v>0</v>
      </c>
      <c r="O85" s="535">
        <f t="shared" ref="O85" si="10">SUM(C85:N85)</f>
        <v>0</v>
      </c>
      <c r="P85" s="540">
        <f t="shared" ref="P85" si="11">IFERROR(Q85-O85,0)</f>
        <v>0</v>
      </c>
      <c r="Q85" s="535">
        <f>IF($W$3="12",SUMIFS(TP!$P:$P,TP!$AD:$AD,"OK",TP!$R:$R,$X$9,TP!$U:$U,Toimintamenetelmät!$X85,TP!$AH:$AH,$Y$6,TP!$X:$X,$Y$1),0)</f>
        <v>0</v>
      </c>
      <c r="W85" s="177">
        <v>2020</v>
      </c>
      <c r="X85" s="568" t="s">
        <v>875</v>
      </c>
    </row>
    <row r="86" spans="1:24" hidden="1" x14ac:dyDescent="0.25">
      <c r="A86" s="1044"/>
      <c r="B86" s="299" t="s">
        <v>876</v>
      </c>
      <c r="C86" s="439">
        <f>SUMIFS(TP!$P:$P,TP!$R:$R,$X$9,TP!$U:$U,Toimintamenetelmät!$X86,TP!$AH:$AH,$Y$6,TP!$X:$X,$Y$1,TP!AV:AV,"OK")</f>
        <v>0</v>
      </c>
      <c r="D86" s="439">
        <f>SUMIFS(TP!$P:$P,TP!$R:$R,$X$9,TP!$U:$U,Toimintamenetelmät!$X86,TP!$AH:$AH,$Y$6,TP!$X:$X,$Y$1,TP!AW:AW,"OK")</f>
        <v>0</v>
      </c>
      <c r="E86" s="439">
        <f>SUMIFS(TP!$P:$P,TP!$R:$R,$X$9,TP!$U:$U,Toimintamenetelmät!$X86,TP!$AH:$AH,$Y$6,TP!$X:$X,$Y$1,TP!AX:AX,"OK")</f>
        <v>0</v>
      </c>
      <c r="F86" s="439">
        <f>SUMIFS(TP!$P:$P,TP!$R:$R,$X$9,TP!$U:$U,Toimintamenetelmät!$X86,TP!$AH:$AH,$Y$6,TP!$X:$X,$Y$1,TP!AY:AY,"OK")</f>
        <v>0</v>
      </c>
      <c r="G86" s="439">
        <f>SUMIFS(TP!$P:$P,TP!$R:$R,$X$9,TP!$U:$U,Toimintamenetelmät!$X86,TP!$AH:$AH,$Y$6,TP!$X:$X,$Y$1,TP!AZ:AZ,"OK")</f>
        <v>0</v>
      </c>
      <c r="H86" s="439">
        <f>SUMIFS(TP!$P:$P,TP!$R:$R,$X$9,TP!$U:$U,Toimintamenetelmät!$X86,TP!$AH:$AH,$Y$6,TP!$X:$X,$Y$1,TP!BA:BA,"OK")</f>
        <v>0</v>
      </c>
      <c r="I86" s="439">
        <f>SUMIFS(TP!$P:$P,TP!$R:$R,$X$9,TP!$U:$U,Toimintamenetelmät!$X86,TP!$AH:$AH,$Y$6,TP!$X:$X,$Y$1,TP!BB:BB,"OK")</f>
        <v>0</v>
      </c>
      <c r="J86" s="439">
        <f>SUMIFS(TP!$P:$P,TP!$R:$R,$X$9,TP!$U:$U,Toimintamenetelmät!$X86,TP!$AH:$AH,$Y$6,TP!$X:$X,$Y$1,TP!BC:BC,"OK")</f>
        <v>0</v>
      </c>
      <c r="K86" s="439">
        <f>SUMIFS(TP!$P:$P,TP!$R:$R,$X$9,TP!$U:$U,Toimintamenetelmät!$X86,TP!$AH:$AH,$Y$6,TP!$X:$X,$Y$1,TP!BD:BD,"OK")</f>
        <v>0</v>
      </c>
      <c r="L86" s="439">
        <f>SUMIFS(TP!$P:$P,TP!$R:$R,$X$9,TP!$U:$U,Toimintamenetelmät!$X86,TP!$AH:$AH,$Y$6,TP!$X:$X,$Y$1,TP!BE:BE,"OK")</f>
        <v>0</v>
      </c>
      <c r="M86" s="439">
        <f>SUMIFS(TP!$P:$P,TP!$R:$R,$X$9,TP!$U:$U,Toimintamenetelmät!$X86,TP!$AH:$AH,$Y$6,TP!$X:$X,$Y$1,TP!BF:BF,"OK")</f>
        <v>0</v>
      </c>
      <c r="N86" s="439">
        <f>SUMIFS(TP!$P:$P,TP!$R:$R,$X$9,TP!$U:$U,Toimintamenetelmät!$X86,TP!$AH:$AH,$Y$6,TP!$X:$X,$Y$1,TP!BG:BG,"OK")</f>
        <v>0</v>
      </c>
      <c r="O86" s="535">
        <f t="shared" si="8"/>
        <v>0</v>
      </c>
      <c r="P86" s="540">
        <f t="shared" si="9"/>
        <v>0</v>
      </c>
      <c r="Q86" s="535">
        <f>IF($W$3="12",SUMIFS(TP!$P:$P,TP!$AD:$AD,"OK",TP!$R:$R,$X$9,TP!$U:$U,Toimintamenetelmät!$X86,TP!$AH:$AH,$Y$6,TP!$X:$X,$Y$1),0)</f>
        <v>0</v>
      </c>
      <c r="W86" s="177"/>
      <c r="X86" s="228" t="s">
        <v>877</v>
      </c>
    </row>
    <row r="87" spans="1:24" hidden="1" x14ac:dyDescent="0.25">
      <c r="A87" s="1044"/>
      <c r="B87" s="299" t="s">
        <v>878</v>
      </c>
      <c r="C87" s="439">
        <f>SUMIFS(TP!$P:$P,TP!$R:$R,$X$9,TP!$U:$U,Toimintamenetelmät!$X87,TP!$AH:$AH,$Y$6,TP!$X:$X,$Y$1,TP!AV:AV,"OK")</f>
        <v>0</v>
      </c>
      <c r="D87" s="439">
        <f>SUMIFS(TP!$P:$P,TP!$R:$R,$X$9,TP!$U:$U,Toimintamenetelmät!$X87,TP!$AH:$AH,$Y$6,TP!$X:$X,$Y$1,TP!AW:AW,"OK")</f>
        <v>0</v>
      </c>
      <c r="E87" s="439">
        <f>SUMIFS(TP!$P:$P,TP!$R:$R,$X$9,TP!$U:$U,Toimintamenetelmät!$X87,TP!$AH:$AH,$Y$6,TP!$X:$X,$Y$1,TP!AX:AX,"OK")</f>
        <v>0</v>
      </c>
      <c r="F87" s="439">
        <f>SUMIFS(TP!$P:$P,TP!$R:$R,$X$9,TP!$U:$U,Toimintamenetelmät!$X87,TP!$AH:$AH,$Y$6,TP!$X:$X,$Y$1,TP!AY:AY,"OK")</f>
        <v>0</v>
      </c>
      <c r="G87" s="439">
        <f>SUMIFS(TP!$P:$P,TP!$R:$R,$X$9,TP!$U:$U,Toimintamenetelmät!$X87,TP!$AH:$AH,$Y$6,TP!$X:$X,$Y$1,TP!AZ:AZ,"OK")</f>
        <v>0</v>
      </c>
      <c r="H87" s="439">
        <f>SUMIFS(TP!$P:$P,TP!$R:$R,$X$9,TP!$U:$U,Toimintamenetelmät!$X87,TP!$AH:$AH,$Y$6,TP!$X:$X,$Y$1,TP!BA:BA,"OK")</f>
        <v>0</v>
      </c>
      <c r="I87" s="439">
        <f>SUMIFS(TP!$P:$P,TP!$R:$R,$X$9,TP!$U:$U,Toimintamenetelmät!$X87,TP!$AH:$AH,$Y$6,TP!$X:$X,$Y$1,TP!BB:BB,"OK")</f>
        <v>0</v>
      </c>
      <c r="J87" s="439">
        <f>SUMIFS(TP!$P:$P,TP!$R:$R,$X$9,TP!$U:$U,Toimintamenetelmät!$X87,TP!$AH:$AH,$Y$6,TP!$X:$X,$Y$1,TP!BC:BC,"OK")</f>
        <v>0</v>
      </c>
      <c r="K87" s="439">
        <f>SUMIFS(TP!$P:$P,TP!$R:$R,$X$9,TP!$U:$U,Toimintamenetelmät!$X87,TP!$AH:$AH,$Y$6,TP!$X:$X,$Y$1,TP!BD:BD,"OK")</f>
        <v>0</v>
      </c>
      <c r="L87" s="439">
        <f>SUMIFS(TP!$P:$P,TP!$R:$R,$X$9,TP!$U:$U,Toimintamenetelmät!$X87,TP!$AH:$AH,$Y$6,TP!$X:$X,$Y$1,TP!BE:BE,"OK")</f>
        <v>0</v>
      </c>
      <c r="M87" s="439">
        <f>SUMIFS(TP!$P:$P,TP!$R:$R,$X$9,TP!$U:$U,Toimintamenetelmät!$X87,TP!$AH:$AH,$Y$6,TP!$X:$X,$Y$1,TP!BF:BF,"OK")</f>
        <v>0</v>
      </c>
      <c r="N87" s="439">
        <f>SUMIFS(TP!$P:$P,TP!$R:$R,$X$9,TP!$U:$U,Toimintamenetelmät!$X87,TP!$AH:$AH,$Y$6,TP!$X:$X,$Y$1,TP!BG:BG,"OK")</f>
        <v>0</v>
      </c>
      <c r="O87" s="535">
        <f t="shared" si="8"/>
        <v>0</v>
      </c>
      <c r="P87" s="540">
        <f t="shared" si="9"/>
        <v>0</v>
      </c>
      <c r="Q87" s="535">
        <f>IF($W$3="12",SUMIFS(TP!$P:$P,TP!$AD:$AD,"OK",TP!$R:$R,$X$9,TP!$U:$U,Toimintamenetelmät!$X87,TP!$AH:$AH,$Y$6,TP!$X:$X,$Y$1),0)</f>
        <v>0</v>
      </c>
      <c r="W87" s="177"/>
      <c r="X87" t="s">
        <v>879</v>
      </c>
    </row>
    <row r="88" spans="1:24" hidden="1" x14ac:dyDescent="0.25">
      <c r="A88" s="1044"/>
      <c r="B88" s="299" t="s">
        <v>880</v>
      </c>
      <c r="C88" s="439">
        <f>SUMIFS(TP!$P:$P,TP!$R:$R,$X$9,TP!$U:$U,Toimintamenetelmät!$W88,TP!$AH:$AH,$Y$6,TP!$X:$X,$Y$1,TP!AV:AV,"OK")+SUMIFS(TP!$P:$P,TP!$R:$R,$X$9,TP!$U:$U,Toimintamenetelmät!$X88,TP!$AH:$AH,$Y$6,TP!$X:$X,$Y$1,TP!AV:AV,"OK")</f>
        <v>0</v>
      </c>
      <c r="D88" s="439">
        <f>SUMIFS(TP!$P:$P,TP!$R:$R,$X$9,TP!$U:$U,Toimintamenetelmät!$W88,TP!$AH:$AH,$Y$6,TP!$X:$X,$Y$1,TP!AW:AW,"OK")+SUMIFS(TP!$P:$P,TP!$R:$R,$X$9,TP!$U:$U,Toimintamenetelmät!$X88,TP!$AH:$AH,$Y$6,TP!$X:$X,$Y$1,TP!AW:AW,"OK")</f>
        <v>0</v>
      </c>
      <c r="E88" s="439">
        <f>SUMIFS(TP!$P:$P,TP!$R:$R,$X$9,TP!$U:$U,Toimintamenetelmät!$W88,TP!$AH:$AH,$Y$6,TP!$X:$X,$Y$1,TP!AX:AX,"OK")+SUMIFS(TP!$P:$P,TP!$R:$R,$X$9,TP!$U:$U,Toimintamenetelmät!$X88,TP!$AH:$AH,$Y$6,TP!$X:$X,$Y$1,TP!AX:AX,"OK")</f>
        <v>0</v>
      </c>
      <c r="F88" s="439">
        <f>SUMIFS(TP!$P:$P,TP!$R:$R,$X$9,TP!$U:$U,Toimintamenetelmät!$W88,TP!$AH:$AH,$Y$6,TP!$X:$X,$Y$1,TP!AY:AY,"OK")+SUMIFS(TP!$P:$P,TP!$R:$R,$X$9,TP!$U:$U,Toimintamenetelmät!$X88,TP!$AH:$AH,$Y$6,TP!$X:$X,$Y$1,TP!AY:AY,"OK")</f>
        <v>0</v>
      </c>
      <c r="G88" s="439">
        <f>SUMIFS(TP!$P:$P,TP!$R:$R,$X$9,TP!$U:$U,Toimintamenetelmät!$W88,TP!$AH:$AH,$Y$6,TP!$X:$X,$Y$1,TP!AZ:AZ,"OK")+SUMIFS(TP!$P:$P,TP!$R:$R,$X$9,TP!$U:$U,Toimintamenetelmät!$X88,TP!$AH:$AH,$Y$6,TP!$X:$X,$Y$1,TP!AZ:AZ,"OK")</f>
        <v>0</v>
      </c>
      <c r="H88" s="439">
        <f>SUMIFS(TP!$P:$P,TP!$R:$R,$X$9,TP!$U:$U,Toimintamenetelmät!$W88,TP!$AH:$AH,$Y$6,TP!$X:$X,$Y$1,TP!BA:BA,"OK")+SUMIFS(TP!$P:$P,TP!$R:$R,$X$9,TP!$U:$U,Toimintamenetelmät!$X88,TP!$AH:$AH,$Y$6,TP!$X:$X,$Y$1,TP!BA:BA,"OK")</f>
        <v>0</v>
      </c>
      <c r="I88" s="439">
        <f>SUMIFS(TP!$P:$P,TP!$R:$R,$X$9,TP!$U:$U,Toimintamenetelmät!$W88,TP!$AH:$AH,$Y$6,TP!$X:$X,$Y$1,TP!BB:BB,"OK")+SUMIFS(TP!$P:$P,TP!$R:$R,$X$9,TP!$U:$U,Toimintamenetelmät!$X88,TP!$AH:$AH,$Y$6,TP!$X:$X,$Y$1,TP!BB:BB,"OK")</f>
        <v>0</v>
      </c>
      <c r="J88" s="439">
        <f>SUMIFS(TP!$P:$P,TP!$R:$R,$X$9,TP!$U:$U,Toimintamenetelmät!$W88,TP!$AH:$AH,$Y$6,TP!$X:$X,$Y$1,TP!BC:BC,"OK")+SUMIFS(TP!$P:$P,TP!$R:$R,$X$9,TP!$U:$U,Toimintamenetelmät!$X88,TP!$AH:$AH,$Y$6,TP!$X:$X,$Y$1,TP!BC:BC,"OK")</f>
        <v>0</v>
      </c>
      <c r="K88" s="439">
        <f>SUMIFS(TP!$P:$P,TP!$R:$R,$X$9,TP!$U:$U,Toimintamenetelmät!$W88,TP!$AH:$AH,$Y$6,TP!$X:$X,$Y$1,TP!BD:BD,"OK")+SUMIFS(TP!$P:$P,TP!$R:$R,$X$9,TP!$U:$U,Toimintamenetelmät!$X88,TP!$AH:$AH,$Y$6,TP!$X:$X,$Y$1,TP!BD:BD,"OK")</f>
        <v>0</v>
      </c>
      <c r="L88" s="439">
        <f>SUMIFS(TP!$P:$P,TP!$R:$R,$X$9,TP!$U:$U,Toimintamenetelmät!$W88,TP!$AH:$AH,$Y$6,TP!$X:$X,$Y$1,TP!BE:BE,"OK")+SUMIFS(TP!$P:$P,TP!$R:$R,$X$9,TP!$U:$U,Toimintamenetelmät!$X88,TP!$AH:$AH,$Y$6,TP!$X:$X,$Y$1,TP!BE:BE,"OK")</f>
        <v>0</v>
      </c>
      <c r="M88" s="439">
        <f>SUMIFS(TP!$P:$P,TP!$R:$R,$X$9,TP!$U:$U,Toimintamenetelmät!$W88,TP!$AH:$AH,$Y$6,TP!$X:$X,$Y$1,TP!BF:BF,"OK")+SUMIFS(TP!$P:$P,TP!$R:$R,$X$9,TP!$U:$U,Toimintamenetelmät!$X88,TP!$AH:$AH,$Y$6,TP!$X:$X,$Y$1,TP!BF:BF,"OK")</f>
        <v>0</v>
      </c>
      <c r="N88" s="439">
        <f>SUMIFS(TP!$P:$P,TP!$R:$R,$X$9,TP!$U:$U,Toimintamenetelmät!$W88,TP!$AH:$AH,$Y$6,TP!$X:$X,$Y$1,TP!BG:BG,"OK")+SUMIFS(TP!$P:$P,TP!$R:$R,$X$9,TP!$U:$U,Toimintamenetelmät!$X88,TP!$AH:$AH,$Y$6,TP!$X:$X,$Y$1,TP!BG:BG,"OK")</f>
        <v>0</v>
      </c>
      <c r="O88" s="535">
        <f>SUM(C88:N88)</f>
        <v>0</v>
      </c>
      <c r="P88" s="540">
        <f>IFERROR(Q88-O88,0)</f>
        <v>0</v>
      </c>
      <c r="Q88" s="535">
        <f>IF($W$3="12",SUMIFS(TP!$P:$P,TP!$AD:$AD,"OK",TP!$R:$R,$X$9,TP!$U:$U,Toimintamenetelmät!$W88,TP!$AH:$AH,$Y$6,TP!$X:$X,$Y$1),0)+IF($W$3="12",SUMIFS(TP!$P:$P,TP!$AD:$AD,"OK",TP!$R:$R,$X$9,TP!$U:$U,Toimintamenetelmät!$X88,TP!$AH:$AH,$Y$6,TP!$X:$X,$Y$1),0)</f>
        <v>0</v>
      </c>
      <c r="W88" s="86" t="s">
        <v>881</v>
      </c>
      <c r="X88" s="706" t="s">
        <v>882</v>
      </c>
    </row>
    <row r="89" spans="1:24" hidden="1" x14ac:dyDescent="0.25">
      <c r="A89" s="1044"/>
      <c r="B89" s="299" t="s">
        <v>883</v>
      </c>
      <c r="C89" s="439">
        <f>SUMIFS(TP!$P:$P,TP!$R:$R,$X$9,TP!$U:$U,Toimintamenetelmät!$X89,TP!$AH:$AH,$Y$6,TP!$X:$X,$Y$1,TP!AV:AV,"OK")</f>
        <v>0</v>
      </c>
      <c r="D89" s="439">
        <f>SUMIFS(TP!$P:$P,TP!$R:$R,$X$9,TP!$U:$U,Toimintamenetelmät!$X89,TP!$AH:$AH,$Y$6,TP!$X:$X,$Y$1,TP!AW:AW,"OK")</f>
        <v>0</v>
      </c>
      <c r="E89" s="439">
        <f>SUMIFS(TP!$P:$P,TP!$R:$R,$X$9,TP!$U:$U,Toimintamenetelmät!$X89,TP!$AH:$AH,$Y$6,TP!$X:$X,$Y$1,TP!AX:AX,"OK")</f>
        <v>0</v>
      </c>
      <c r="F89" s="439">
        <f>SUMIFS(TP!$P:$P,TP!$R:$R,$X$9,TP!$U:$U,Toimintamenetelmät!$X89,TP!$AH:$AH,$Y$6,TP!$X:$X,$Y$1,TP!AY:AY,"OK")</f>
        <v>0</v>
      </c>
      <c r="G89" s="439">
        <f>SUMIFS(TP!$P:$P,TP!$R:$R,$X$9,TP!$U:$U,Toimintamenetelmät!$X89,TP!$AH:$AH,$Y$6,TP!$X:$X,$Y$1,TP!AZ:AZ,"OK")</f>
        <v>0</v>
      </c>
      <c r="H89" s="439">
        <f>SUMIFS(TP!$P:$P,TP!$R:$R,$X$9,TP!$U:$U,Toimintamenetelmät!$X89,TP!$AH:$AH,$Y$6,TP!$X:$X,$Y$1,TP!BA:BA,"OK")</f>
        <v>0</v>
      </c>
      <c r="I89" s="439">
        <f>SUMIFS(TP!$P:$P,TP!$R:$R,$X$9,TP!$U:$U,Toimintamenetelmät!$X89,TP!$AH:$AH,$Y$6,TP!$X:$X,$Y$1,TP!BB:BB,"OK")</f>
        <v>0</v>
      </c>
      <c r="J89" s="439">
        <f>SUMIFS(TP!$P:$P,TP!$R:$R,$X$9,TP!$U:$U,Toimintamenetelmät!$X89,TP!$AH:$AH,$Y$6,TP!$X:$X,$Y$1,TP!BC:BC,"OK")</f>
        <v>0</v>
      </c>
      <c r="K89" s="439">
        <f>SUMIFS(TP!$P:$P,TP!$R:$R,$X$9,TP!$U:$U,Toimintamenetelmät!$X89,TP!$AH:$AH,$Y$6,TP!$X:$X,$Y$1,TP!BD:BD,"OK")</f>
        <v>0</v>
      </c>
      <c r="L89" s="439">
        <f>SUMIFS(TP!$P:$P,TP!$R:$R,$X$9,TP!$U:$U,Toimintamenetelmät!$X89,TP!$AH:$AH,$Y$6,TP!$X:$X,$Y$1,TP!BE:BE,"OK")</f>
        <v>0</v>
      </c>
      <c r="M89" s="439">
        <f>SUMIFS(TP!$P:$P,TP!$R:$R,$X$9,TP!$U:$U,Toimintamenetelmät!$X89,TP!$AH:$AH,$Y$6,TP!$X:$X,$Y$1,TP!BF:BF,"OK")</f>
        <v>0</v>
      </c>
      <c r="N89" s="439">
        <f>SUMIFS(TP!$P:$P,TP!$R:$R,$X$9,TP!$U:$U,Toimintamenetelmät!$X89,TP!$AH:$AH,$Y$6,TP!$X:$X,$Y$1,TP!BG:BG,"OK")</f>
        <v>0</v>
      </c>
      <c r="O89" s="535">
        <f>SUM(C89:N89)</f>
        <v>0</v>
      </c>
      <c r="P89" s="540">
        <f>IFERROR(Q89-O89,0)</f>
        <v>0</v>
      </c>
      <c r="Q89" s="535">
        <f>IF($W$3="12",SUMIFS(TP!$P:$P,TP!$AD:$AD,"OK",TP!$R:$R,$X$9,TP!$U:$U,Toimintamenetelmät!$X89,TP!$AH:$AH,$Y$6,TP!$X:$X,$Y$1),0)</f>
        <v>0</v>
      </c>
      <c r="W89" s="177">
        <v>2020</v>
      </c>
      <c r="X89" s="86" t="s">
        <v>884</v>
      </c>
    </row>
    <row r="90" spans="1:24" hidden="1" x14ac:dyDescent="0.25">
      <c r="A90" s="1044"/>
      <c r="B90" s="299" t="s">
        <v>885</v>
      </c>
      <c r="C90" s="439">
        <f>SUMIFS(TP!$P:$P,TP!$R:$R,$X$9,TP!$U:$U,Toimintamenetelmät!$X90,TP!$AH:$AH,$Y$6,TP!$X:$X,$Y$1,TP!AV:AV,"OK")</f>
        <v>0</v>
      </c>
      <c r="D90" s="439">
        <f>SUMIFS(TP!$P:$P,TP!$R:$R,$X$9,TP!$U:$U,Toimintamenetelmät!$X90,TP!$AH:$AH,$Y$6,TP!$X:$X,$Y$1,TP!AW:AW,"OK")</f>
        <v>0</v>
      </c>
      <c r="E90" s="439">
        <f>SUMIFS(TP!$P:$P,TP!$R:$R,$X$9,TP!$U:$U,Toimintamenetelmät!$X90,TP!$AH:$AH,$Y$6,TP!$X:$X,$Y$1,TP!AX:AX,"OK")</f>
        <v>0</v>
      </c>
      <c r="F90" s="439">
        <f>SUMIFS(TP!$P:$P,TP!$R:$R,$X$9,TP!$U:$U,Toimintamenetelmät!$X90,TP!$AH:$AH,$Y$6,TP!$X:$X,$Y$1,TP!AY:AY,"OK")</f>
        <v>0</v>
      </c>
      <c r="G90" s="439">
        <f>SUMIFS(TP!$P:$P,TP!$R:$R,$X$9,TP!$U:$U,Toimintamenetelmät!$X90,TP!$AH:$AH,$Y$6,TP!$X:$X,$Y$1,TP!AZ:AZ,"OK")</f>
        <v>0</v>
      </c>
      <c r="H90" s="439">
        <f>SUMIFS(TP!$P:$P,TP!$R:$R,$X$9,TP!$U:$U,Toimintamenetelmät!$X90,TP!$AH:$AH,$Y$6,TP!$X:$X,$Y$1,TP!BA:BA,"OK")</f>
        <v>0</v>
      </c>
      <c r="I90" s="439">
        <f>SUMIFS(TP!$P:$P,TP!$R:$R,$X$9,TP!$U:$U,Toimintamenetelmät!$X90,TP!$AH:$AH,$Y$6,TP!$X:$X,$Y$1,TP!BB:BB,"OK")</f>
        <v>0</v>
      </c>
      <c r="J90" s="439">
        <f>SUMIFS(TP!$P:$P,TP!$R:$R,$X$9,TP!$U:$U,Toimintamenetelmät!$X90,TP!$AH:$AH,$Y$6,TP!$X:$X,$Y$1,TP!BC:BC,"OK")</f>
        <v>0</v>
      </c>
      <c r="K90" s="439">
        <f>SUMIFS(TP!$P:$P,TP!$R:$R,$X$9,TP!$U:$U,Toimintamenetelmät!$X90,TP!$AH:$AH,$Y$6,TP!$X:$X,$Y$1,TP!BD:BD,"OK")</f>
        <v>0</v>
      </c>
      <c r="L90" s="439">
        <f>SUMIFS(TP!$P:$P,TP!$R:$R,$X$9,TP!$U:$U,Toimintamenetelmät!$X90,TP!$AH:$AH,$Y$6,TP!$X:$X,$Y$1,TP!BE:BE,"OK")</f>
        <v>0</v>
      </c>
      <c r="M90" s="439">
        <f>SUMIFS(TP!$P:$P,TP!$R:$R,$X$9,TP!$U:$U,Toimintamenetelmät!$X90,TP!$AH:$AH,$Y$6,TP!$X:$X,$Y$1,TP!BF:BF,"OK")</f>
        <v>0</v>
      </c>
      <c r="N90" s="439">
        <f>SUMIFS(TP!$P:$P,TP!$R:$R,$X$9,TP!$U:$U,Toimintamenetelmät!$X90,TP!$AH:$AH,$Y$6,TP!$X:$X,$Y$1,TP!BG:BG,"OK")</f>
        <v>0</v>
      </c>
      <c r="O90" s="535">
        <f>SUM(C90:N90)</f>
        <v>0</v>
      </c>
      <c r="P90" s="540">
        <f>IFERROR(Q90-O90,0)</f>
        <v>0</v>
      </c>
      <c r="Q90" s="535">
        <f>IF($W$3="12",SUMIFS(TP!$P:$P,TP!$AD:$AD,"OK",TP!$R:$R,$X$9,TP!$U:$U,Toimintamenetelmät!$X90,TP!$AH:$AH,$Y$6,TP!$X:$X,$Y$1),0)</f>
        <v>0</v>
      </c>
      <c r="W90" s="177">
        <v>2024</v>
      </c>
      <c r="X90" s="302" t="s">
        <v>886</v>
      </c>
    </row>
    <row r="91" spans="1:24" hidden="1" x14ac:dyDescent="0.25">
      <c r="A91" s="1045"/>
      <c r="B91" s="299" t="s">
        <v>887</v>
      </c>
      <c r="C91" s="439">
        <f>SUMIFS(TP!$P:$P,TP!$R:$R,$X$9,TP!$U:$U,Toimintamenetelmät!$X91,TP!$AH:$AH,$Y$6,TP!$X:$X,$Y$1,TP!AV:AV,"OK")</f>
        <v>0</v>
      </c>
      <c r="D91" s="439">
        <f>SUMIFS(TP!$P:$P,TP!$R:$R,$X$9,TP!$U:$U,Toimintamenetelmät!$X91,TP!$AH:$AH,$Y$6,TP!$X:$X,$Y$1,TP!AW:AW,"OK")</f>
        <v>0</v>
      </c>
      <c r="E91" s="439">
        <f>SUMIFS(TP!$P:$P,TP!$R:$R,$X$9,TP!$U:$U,Toimintamenetelmät!$X91,TP!$AH:$AH,$Y$6,TP!$X:$X,$Y$1,TP!AX:AX,"OK")</f>
        <v>0</v>
      </c>
      <c r="F91" s="439">
        <f>SUMIFS(TP!$P:$P,TP!$R:$R,$X$9,TP!$U:$U,Toimintamenetelmät!$X91,TP!$AH:$AH,$Y$6,TP!$X:$X,$Y$1,TP!AY:AY,"OK")</f>
        <v>0</v>
      </c>
      <c r="G91" s="439">
        <f>SUMIFS(TP!$P:$P,TP!$R:$R,$X$9,TP!$U:$U,Toimintamenetelmät!$X91,TP!$AH:$AH,$Y$6,TP!$X:$X,$Y$1,TP!AZ:AZ,"OK")</f>
        <v>0</v>
      </c>
      <c r="H91" s="439">
        <f>SUMIFS(TP!$P:$P,TP!$R:$R,$X$9,TP!$U:$U,Toimintamenetelmät!$X91,TP!$AH:$AH,$Y$6,TP!$X:$X,$Y$1,TP!BA:BA,"OK")</f>
        <v>0</v>
      </c>
      <c r="I91" s="439">
        <f>SUMIFS(TP!$P:$P,TP!$R:$R,$X$9,TP!$U:$U,Toimintamenetelmät!$X91,TP!$AH:$AH,$Y$6,TP!$X:$X,$Y$1,TP!BB:BB,"OK")</f>
        <v>0</v>
      </c>
      <c r="J91" s="439">
        <f>SUMIFS(TP!$P:$P,TP!$R:$R,$X$9,TP!$U:$U,Toimintamenetelmät!$X91,TP!$AH:$AH,$Y$6,TP!$X:$X,$Y$1,TP!BC:BC,"OK")</f>
        <v>0</v>
      </c>
      <c r="K91" s="439">
        <f>SUMIFS(TP!$P:$P,TP!$R:$R,$X$9,TP!$U:$U,Toimintamenetelmät!$X91,TP!$AH:$AH,$Y$6,TP!$X:$X,$Y$1,TP!BD:BD,"OK")</f>
        <v>0</v>
      </c>
      <c r="L91" s="439">
        <f>SUMIFS(TP!$P:$P,TP!$R:$R,$X$9,TP!$U:$U,Toimintamenetelmät!$X91,TP!$AH:$AH,$Y$6,TP!$X:$X,$Y$1,TP!BE:BE,"OK")</f>
        <v>0</v>
      </c>
      <c r="M91" s="439">
        <f>SUMIFS(TP!$P:$P,TP!$R:$R,$X$9,TP!$U:$U,Toimintamenetelmät!$X91,TP!$AH:$AH,$Y$6,TP!$X:$X,$Y$1,TP!BF:BF,"OK")</f>
        <v>0</v>
      </c>
      <c r="N91" s="439">
        <f>SUMIFS(TP!$P:$P,TP!$R:$R,$X$9,TP!$U:$U,Toimintamenetelmät!$X91,TP!$AH:$AH,$Y$6,TP!$X:$X,$Y$1,TP!BG:BG,"OK")</f>
        <v>0</v>
      </c>
      <c r="O91" s="535">
        <f t="shared" si="8"/>
        <v>0</v>
      </c>
      <c r="P91" s="540">
        <f t="shared" si="9"/>
        <v>0</v>
      </c>
      <c r="Q91" s="535">
        <f>IF($W$3="12",SUMIFS(TP!$P:$P,TP!$AD:$AD,"OK",TP!$R:$R,$X$9,TP!$U:$U,Toimintamenetelmät!$X91,TP!$AH:$AH,$Y$6,TP!$X:$X,$Y$1),0)</f>
        <v>0</v>
      </c>
      <c r="W91" s="177"/>
      <c r="X91" t="s">
        <v>888</v>
      </c>
    </row>
    <row r="92" spans="1:24" hidden="1" x14ac:dyDescent="0.25">
      <c r="A92" s="292"/>
      <c r="B92" s="294"/>
      <c r="C92" s="438"/>
      <c r="D92" s="438"/>
      <c r="E92" s="438"/>
      <c r="F92" s="438"/>
      <c r="G92" s="438"/>
      <c r="H92" s="438"/>
      <c r="I92" s="438"/>
      <c r="J92" s="438"/>
      <c r="K92" s="438"/>
      <c r="L92" s="438"/>
      <c r="M92" s="438"/>
      <c r="N92" s="438"/>
      <c r="O92" s="536"/>
      <c r="P92" s="541"/>
      <c r="Q92" s="536">
        <f>IF($W$3="12",SUMIFS(TP!$P:$P,TP!$AD:$AD,"OK",TP!$R:$R,$X$9,TP!$U:$U,Toimintamenetelmät!$X92,TP!$AH:$AH,$Y$6,TP!$X:$X,$Y$1),0)</f>
        <v>0</v>
      </c>
      <c r="W92" s="177"/>
      <c r="X92" t="s">
        <v>889</v>
      </c>
    </row>
    <row r="93" spans="1:24" hidden="1" x14ac:dyDescent="0.25">
      <c r="A93" s="1043" t="s">
        <v>890</v>
      </c>
      <c r="B93" s="298" t="s">
        <v>891</v>
      </c>
      <c r="C93" s="439">
        <f>SUMIFS(TP!$P:$P,TP!$R:$R,$X$9,TP!$U:$U,Toimintamenetelmät!$X93,TP!$AH:$AH,$Y$6,TP!$X:$X,$Y$1,TP!AV:AV,"OK")</f>
        <v>0</v>
      </c>
      <c r="D93" s="439">
        <f>SUMIFS(TP!$P:$P,TP!$R:$R,$X$9,TP!$U:$U,Toimintamenetelmät!$X93,TP!$AH:$AH,$Y$6,TP!$X:$X,$Y$1,TP!AW:AW,"OK")</f>
        <v>0</v>
      </c>
      <c r="E93" s="439">
        <f>SUMIFS(TP!$P:$P,TP!$R:$R,$X$9,TP!$U:$U,Toimintamenetelmät!$X93,TP!$AH:$AH,$Y$6,TP!$X:$X,$Y$1,TP!AX:AX,"OK")</f>
        <v>0</v>
      </c>
      <c r="F93" s="439">
        <f>SUMIFS(TP!$P:$P,TP!$R:$R,$X$9,TP!$U:$U,Toimintamenetelmät!$X93,TP!$AH:$AH,$Y$6,TP!$X:$X,$Y$1,TP!AY:AY,"OK")</f>
        <v>0</v>
      </c>
      <c r="G93" s="439">
        <f>SUMIFS(TP!$P:$P,TP!$R:$R,$X$9,TP!$U:$U,Toimintamenetelmät!$X93,TP!$AH:$AH,$Y$6,TP!$X:$X,$Y$1,TP!AZ:AZ,"OK")</f>
        <v>0</v>
      </c>
      <c r="H93" s="439">
        <f>SUMIFS(TP!$P:$P,TP!$R:$R,$X$9,TP!$U:$U,Toimintamenetelmät!$X93,TP!$AH:$AH,$Y$6,TP!$X:$X,$Y$1,TP!BA:BA,"OK")</f>
        <v>0</v>
      </c>
      <c r="I93" s="439">
        <f>SUMIFS(TP!$P:$P,TP!$R:$R,$X$9,TP!$U:$U,Toimintamenetelmät!$X93,TP!$AH:$AH,$Y$6,TP!$X:$X,$Y$1,TP!BB:BB,"OK")</f>
        <v>0</v>
      </c>
      <c r="J93" s="439">
        <f>SUMIFS(TP!$P:$P,TP!$R:$R,$X$9,TP!$U:$U,Toimintamenetelmät!$X93,TP!$AH:$AH,$Y$6,TP!$X:$X,$Y$1,TP!BC:BC,"OK")</f>
        <v>0</v>
      </c>
      <c r="K93" s="439">
        <f>SUMIFS(TP!$P:$P,TP!$R:$R,$X$9,TP!$U:$U,Toimintamenetelmät!$X93,TP!$AH:$AH,$Y$6,TP!$X:$X,$Y$1,TP!BD:BD,"OK")</f>
        <v>0</v>
      </c>
      <c r="L93" s="439">
        <f>SUMIFS(TP!$P:$P,TP!$R:$R,$X$9,TP!$U:$U,Toimintamenetelmät!$X93,TP!$AH:$AH,$Y$6,TP!$X:$X,$Y$1,TP!BE:BE,"OK")</f>
        <v>0</v>
      </c>
      <c r="M93" s="439">
        <f>SUMIFS(TP!$P:$P,TP!$R:$R,$X$9,TP!$U:$U,Toimintamenetelmät!$X93,TP!$AH:$AH,$Y$6,TP!$X:$X,$Y$1,TP!BF:BF,"OK")</f>
        <v>0</v>
      </c>
      <c r="N93" s="439">
        <f>SUMIFS(TP!$P:$P,TP!$R:$R,$X$9,TP!$U:$U,Toimintamenetelmät!$X93,TP!$AH:$AH,$Y$6,TP!$X:$X,$Y$1,TP!BG:BG,"OK")</f>
        <v>0</v>
      </c>
      <c r="O93" s="535">
        <f t="shared" si="8"/>
        <v>0</v>
      </c>
      <c r="P93" s="540">
        <f t="shared" si="9"/>
        <v>0</v>
      </c>
      <c r="Q93" s="535">
        <f>IF($W$3="12",SUMIFS(TP!$P:$P,TP!$AD:$AD,"OK",TP!$R:$R,$X$9,TP!$U:$U,Toimintamenetelmät!$X93,TP!$AH:$AH,$Y$6,TP!$X:$X,$Y$1),0)</f>
        <v>0</v>
      </c>
      <c r="W93" s="177"/>
      <c r="X93" t="s">
        <v>892</v>
      </c>
    </row>
    <row r="94" spans="1:24" hidden="1" x14ac:dyDescent="0.25">
      <c r="A94" s="1044"/>
      <c r="B94" s="299" t="s">
        <v>893</v>
      </c>
      <c r="C94" s="439">
        <f>SUMIFS(TP!$P:$P,TP!$R:$R,$X$9,TP!$U:$U,Toimintamenetelmät!$X94,TP!$AH:$AH,$Y$6,TP!$X:$X,$Y$1,TP!AV:AV,"OK")</f>
        <v>0</v>
      </c>
      <c r="D94" s="439">
        <f>SUMIFS(TP!$P:$P,TP!$R:$R,$X$9,TP!$U:$U,Toimintamenetelmät!$X94,TP!$AH:$AH,$Y$6,TP!$X:$X,$Y$1,TP!AW:AW,"OK")</f>
        <v>0</v>
      </c>
      <c r="E94" s="439">
        <f>SUMIFS(TP!$P:$P,TP!$R:$R,$X$9,TP!$U:$U,Toimintamenetelmät!$X94,TP!$AH:$AH,$Y$6,TP!$X:$X,$Y$1,TP!AX:AX,"OK")</f>
        <v>0</v>
      </c>
      <c r="F94" s="439">
        <f>SUMIFS(TP!$P:$P,TP!$R:$R,$X$9,TP!$U:$U,Toimintamenetelmät!$X94,TP!$AH:$AH,$Y$6,TP!$X:$X,$Y$1,TP!AY:AY,"OK")</f>
        <v>0</v>
      </c>
      <c r="G94" s="439">
        <f>SUMIFS(TP!$P:$P,TP!$R:$R,$X$9,TP!$U:$U,Toimintamenetelmät!$X94,TP!$AH:$AH,$Y$6,TP!$X:$X,$Y$1,TP!AZ:AZ,"OK")</f>
        <v>0</v>
      </c>
      <c r="H94" s="439">
        <f>SUMIFS(TP!$P:$P,TP!$R:$R,$X$9,TP!$U:$U,Toimintamenetelmät!$X94,TP!$AH:$AH,$Y$6,TP!$X:$X,$Y$1,TP!BA:BA,"OK")</f>
        <v>0</v>
      </c>
      <c r="I94" s="439">
        <f>SUMIFS(TP!$P:$P,TP!$R:$R,$X$9,TP!$U:$U,Toimintamenetelmät!$X94,TP!$AH:$AH,$Y$6,TP!$X:$X,$Y$1,TP!BB:BB,"OK")</f>
        <v>0</v>
      </c>
      <c r="J94" s="439">
        <f>SUMIFS(TP!$P:$P,TP!$R:$R,$X$9,TP!$U:$U,Toimintamenetelmät!$X94,TP!$AH:$AH,$Y$6,TP!$X:$X,$Y$1,TP!BC:BC,"OK")</f>
        <v>0</v>
      </c>
      <c r="K94" s="439">
        <f>SUMIFS(TP!$P:$P,TP!$R:$R,$X$9,TP!$U:$U,Toimintamenetelmät!$X94,TP!$AH:$AH,$Y$6,TP!$X:$X,$Y$1,TP!BD:BD,"OK")</f>
        <v>0</v>
      </c>
      <c r="L94" s="439">
        <f>SUMIFS(TP!$P:$P,TP!$R:$R,$X$9,TP!$U:$U,Toimintamenetelmät!$X94,TP!$AH:$AH,$Y$6,TP!$X:$X,$Y$1,TP!BE:BE,"OK")</f>
        <v>0</v>
      </c>
      <c r="M94" s="439">
        <f>SUMIFS(TP!$P:$P,TP!$R:$R,$X$9,TP!$U:$U,Toimintamenetelmät!$X94,TP!$AH:$AH,$Y$6,TP!$X:$X,$Y$1,TP!BF:BF,"OK")</f>
        <v>0</v>
      </c>
      <c r="N94" s="439">
        <f>SUMIFS(TP!$P:$P,TP!$R:$R,$X$9,TP!$U:$U,Toimintamenetelmät!$X94,TP!$AH:$AH,$Y$6,TP!$X:$X,$Y$1,TP!BG:BG,"OK")</f>
        <v>0</v>
      </c>
      <c r="O94" s="535">
        <f t="shared" si="8"/>
        <v>0</v>
      </c>
      <c r="P94" s="540">
        <f t="shared" si="9"/>
        <v>0</v>
      </c>
      <c r="Q94" s="535">
        <f>IF($W$3="12",SUMIFS(TP!$P:$P,TP!$AD:$AD,"OK",TP!$R:$R,$X$9,TP!$U:$U,Toimintamenetelmät!$X94,TP!$AH:$AH,$Y$6,TP!$X:$X,$Y$1),0)</f>
        <v>0</v>
      </c>
      <c r="W94" s="177"/>
      <c r="X94" t="s">
        <v>894</v>
      </c>
    </row>
    <row r="95" spans="1:24" hidden="1" x14ac:dyDescent="0.25">
      <c r="A95" s="1044"/>
      <c r="B95" s="299" t="s">
        <v>895</v>
      </c>
      <c r="C95" s="439">
        <f>SUMIFS(TP!$P:$P,TP!$R:$R,$X$9,TP!$U:$U,Toimintamenetelmät!$X95,TP!$AH:$AH,$Y$6,TP!$X:$X,$Y$1,TP!AV:AV,"OK")</f>
        <v>0</v>
      </c>
      <c r="D95" s="439">
        <f>SUMIFS(TP!$P:$P,TP!$R:$R,$X$9,TP!$U:$U,Toimintamenetelmät!$X95,TP!$AH:$AH,$Y$6,TP!$X:$X,$Y$1,TP!AW:AW,"OK")</f>
        <v>0</v>
      </c>
      <c r="E95" s="439">
        <f>SUMIFS(TP!$P:$P,TP!$R:$R,$X$9,TP!$U:$U,Toimintamenetelmät!$X95,TP!$AH:$AH,$Y$6,TP!$X:$X,$Y$1,TP!AX:AX,"OK")</f>
        <v>0</v>
      </c>
      <c r="F95" s="439">
        <f>SUMIFS(TP!$P:$P,TP!$R:$R,$X$9,TP!$U:$U,Toimintamenetelmät!$X95,TP!$AH:$AH,$Y$6,TP!$X:$X,$Y$1,TP!AY:AY,"OK")</f>
        <v>0</v>
      </c>
      <c r="G95" s="439">
        <f>SUMIFS(TP!$P:$P,TP!$R:$R,$X$9,TP!$U:$U,Toimintamenetelmät!$X95,TP!$AH:$AH,$Y$6,TP!$X:$X,$Y$1,TP!AZ:AZ,"OK")</f>
        <v>0</v>
      </c>
      <c r="H95" s="439">
        <f>SUMIFS(TP!$P:$P,TP!$R:$R,$X$9,TP!$U:$U,Toimintamenetelmät!$X95,TP!$AH:$AH,$Y$6,TP!$X:$X,$Y$1,TP!BA:BA,"OK")</f>
        <v>0</v>
      </c>
      <c r="I95" s="439">
        <f>SUMIFS(TP!$P:$P,TP!$R:$R,$X$9,TP!$U:$U,Toimintamenetelmät!$X95,TP!$AH:$AH,$Y$6,TP!$X:$X,$Y$1,TP!BB:BB,"OK")</f>
        <v>0</v>
      </c>
      <c r="J95" s="439">
        <f>SUMIFS(TP!$P:$P,TP!$R:$R,$X$9,TP!$U:$U,Toimintamenetelmät!$X95,TP!$AH:$AH,$Y$6,TP!$X:$X,$Y$1,TP!BC:BC,"OK")</f>
        <v>0</v>
      </c>
      <c r="K95" s="439">
        <f>SUMIFS(TP!$P:$P,TP!$R:$R,$X$9,TP!$U:$U,Toimintamenetelmät!$X95,TP!$AH:$AH,$Y$6,TP!$X:$X,$Y$1,TP!BD:BD,"OK")</f>
        <v>0</v>
      </c>
      <c r="L95" s="439">
        <f>SUMIFS(TP!$P:$P,TP!$R:$R,$X$9,TP!$U:$U,Toimintamenetelmät!$X95,TP!$AH:$AH,$Y$6,TP!$X:$X,$Y$1,TP!BE:BE,"OK")</f>
        <v>0</v>
      </c>
      <c r="M95" s="439">
        <f>SUMIFS(TP!$P:$P,TP!$R:$R,$X$9,TP!$U:$U,Toimintamenetelmät!$X95,TP!$AH:$AH,$Y$6,TP!$X:$X,$Y$1,TP!BF:BF,"OK")</f>
        <v>0</v>
      </c>
      <c r="N95" s="439">
        <f>SUMIFS(TP!$P:$P,TP!$R:$R,$X$9,TP!$U:$U,Toimintamenetelmät!$X95,TP!$AH:$AH,$Y$6,TP!$X:$X,$Y$1,TP!BG:BG,"OK")</f>
        <v>0</v>
      </c>
      <c r="O95" s="535">
        <f t="shared" si="8"/>
        <v>0</v>
      </c>
      <c r="P95" s="540">
        <f t="shared" si="9"/>
        <v>0</v>
      </c>
      <c r="Q95" s="535">
        <f>IF($W$3="12",SUMIFS(TP!$P:$P,TP!$AD:$AD,"OK",TP!$R:$R,$X$9,TP!$U:$U,Toimintamenetelmät!$X95,TP!$AH:$AH,$Y$6,TP!$X:$X,$Y$1),0)</f>
        <v>0</v>
      </c>
      <c r="W95" s="177"/>
      <c r="X95" t="s">
        <v>896</v>
      </c>
    </row>
    <row r="96" spans="1:24" hidden="1" x14ac:dyDescent="0.25">
      <c r="A96" s="1045"/>
      <c r="B96" s="299" t="s">
        <v>897</v>
      </c>
      <c r="C96" s="439">
        <f>SUMIFS(TP!$P:$P,TP!$R:$R,$X$9,TP!$U:$U,Toimintamenetelmät!$X96,TP!$AH:$AH,$Y$6,TP!$X:$X,$Y$1,TP!AV:AV,"OK")</f>
        <v>0</v>
      </c>
      <c r="D96" s="439">
        <f>SUMIFS(TP!$P:$P,TP!$R:$R,$X$9,TP!$U:$U,Toimintamenetelmät!$X96,TP!$AH:$AH,$Y$6,TP!$X:$X,$Y$1,TP!AW:AW,"OK")</f>
        <v>0</v>
      </c>
      <c r="E96" s="439">
        <f>SUMIFS(TP!$P:$P,TP!$R:$R,$X$9,TP!$U:$U,Toimintamenetelmät!$X96,TP!$AH:$AH,$Y$6,TP!$X:$X,$Y$1,TP!AX:AX,"OK")</f>
        <v>0</v>
      </c>
      <c r="F96" s="439">
        <f>SUMIFS(TP!$P:$P,TP!$R:$R,$X$9,TP!$U:$U,Toimintamenetelmät!$X96,TP!$AH:$AH,$Y$6,TP!$X:$X,$Y$1,TP!AY:AY,"OK")</f>
        <v>0</v>
      </c>
      <c r="G96" s="439">
        <f>SUMIFS(TP!$P:$P,TP!$R:$R,$X$9,TP!$U:$U,Toimintamenetelmät!$X96,TP!$AH:$AH,$Y$6,TP!$X:$X,$Y$1,TP!AZ:AZ,"OK")</f>
        <v>0</v>
      </c>
      <c r="H96" s="439">
        <f>SUMIFS(TP!$P:$P,TP!$R:$R,$X$9,TP!$U:$U,Toimintamenetelmät!$X96,TP!$AH:$AH,$Y$6,TP!$X:$X,$Y$1,TP!BA:BA,"OK")</f>
        <v>0</v>
      </c>
      <c r="I96" s="439">
        <f>SUMIFS(TP!$P:$P,TP!$R:$R,$X$9,TP!$U:$U,Toimintamenetelmät!$X96,TP!$AH:$AH,$Y$6,TP!$X:$X,$Y$1,TP!BB:BB,"OK")</f>
        <v>0</v>
      </c>
      <c r="J96" s="439">
        <f>SUMIFS(TP!$P:$P,TP!$R:$R,$X$9,TP!$U:$U,Toimintamenetelmät!$X96,TP!$AH:$AH,$Y$6,TP!$X:$X,$Y$1,TP!BC:BC,"OK")</f>
        <v>0</v>
      </c>
      <c r="K96" s="439">
        <f>SUMIFS(TP!$P:$P,TP!$R:$R,$X$9,TP!$U:$U,Toimintamenetelmät!$X96,TP!$AH:$AH,$Y$6,TP!$X:$X,$Y$1,TP!BD:BD,"OK")</f>
        <v>0</v>
      </c>
      <c r="L96" s="439">
        <f>SUMIFS(TP!$P:$P,TP!$R:$R,$X$9,TP!$U:$U,Toimintamenetelmät!$X96,TP!$AH:$AH,$Y$6,TP!$X:$X,$Y$1,TP!BE:BE,"OK")</f>
        <v>0</v>
      </c>
      <c r="M96" s="439">
        <f>SUMIFS(TP!$P:$P,TP!$R:$R,$X$9,TP!$U:$U,Toimintamenetelmät!$X96,TP!$AH:$AH,$Y$6,TP!$X:$X,$Y$1,TP!BF:BF,"OK")</f>
        <v>0</v>
      </c>
      <c r="N96" s="439">
        <f>SUMIFS(TP!$P:$P,TP!$R:$R,$X$9,TP!$U:$U,Toimintamenetelmät!$X96,TP!$AH:$AH,$Y$6,TP!$X:$X,$Y$1,TP!BG:BG,"OK")</f>
        <v>0</v>
      </c>
      <c r="O96" s="535">
        <f t="shared" si="8"/>
        <v>0</v>
      </c>
      <c r="P96" s="540">
        <f t="shared" si="9"/>
        <v>0</v>
      </c>
      <c r="Q96" s="535">
        <f>IF($W$3="12",SUMIFS(TP!$P:$P,TP!$AD:$AD,"OK",TP!$R:$R,$X$9,TP!$U:$U,Toimintamenetelmät!$X96,TP!$AH:$AH,$Y$6,TP!$X:$X,$Y$1),0)</f>
        <v>0</v>
      </c>
      <c r="W96" s="177"/>
      <c r="X96" t="s">
        <v>898</v>
      </c>
    </row>
    <row r="97" spans="1:24" hidden="1" x14ac:dyDescent="0.25">
      <c r="A97" s="292"/>
      <c r="B97" s="294"/>
      <c r="C97" s="438"/>
      <c r="D97" s="438"/>
      <c r="E97" s="438"/>
      <c r="F97" s="438"/>
      <c r="G97" s="438"/>
      <c r="H97" s="438"/>
      <c r="I97" s="438"/>
      <c r="J97" s="438"/>
      <c r="K97" s="438"/>
      <c r="L97" s="438"/>
      <c r="M97" s="438"/>
      <c r="N97" s="438"/>
      <c r="O97" s="536"/>
      <c r="P97" s="541"/>
      <c r="Q97" s="536">
        <f>IF($W$3="12",SUMIFS(TP!$P:$P,TP!$AD:$AD,"OK",TP!$R:$R,$X$9,TP!$U:$U,Toimintamenetelmät!$X97,TP!$AH:$AH,$Y$6,TP!$X:$X,$Y$1),0)</f>
        <v>0</v>
      </c>
      <c r="W97" s="177"/>
      <c r="X97" t="s">
        <v>900</v>
      </c>
    </row>
    <row r="98" spans="1:24" hidden="1" x14ac:dyDescent="0.25">
      <c r="A98" s="1043" t="s">
        <v>901</v>
      </c>
      <c r="B98" s="298" t="s">
        <v>902</v>
      </c>
      <c r="C98" s="439">
        <f>SUMIFS(TP!$P:$P,TP!$R:$R,$X$9,TP!$U:$U,Toimintamenetelmät!$X98,TP!$AH:$AH,$Y$6,TP!$X:$X,$Y$1,TP!AV:AV,"OK")</f>
        <v>0</v>
      </c>
      <c r="D98" s="439">
        <f>SUMIFS(TP!$P:$P,TP!$R:$R,$X$9,TP!$U:$U,Toimintamenetelmät!$X98,TP!$AH:$AH,$Y$6,TP!$X:$X,$Y$1,TP!AW:AW,"OK")</f>
        <v>0</v>
      </c>
      <c r="E98" s="439">
        <f>SUMIFS(TP!$P:$P,TP!$R:$R,$X$9,TP!$U:$U,Toimintamenetelmät!$X98,TP!$AH:$AH,$Y$6,TP!$X:$X,$Y$1,TP!AX:AX,"OK")</f>
        <v>0</v>
      </c>
      <c r="F98" s="439">
        <f>SUMIFS(TP!$P:$P,TP!$R:$R,$X$9,TP!$U:$U,Toimintamenetelmät!$X98,TP!$AH:$AH,$Y$6,TP!$X:$X,$Y$1,TP!AY:AY,"OK")</f>
        <v>0</v>
      </c>
      <c r="G98" s="439">
        <f>SUMIFS(TP!$P:$P,TP!$R:$R,$X$9,TP!$U:$U,Toimintamenetelmät!$X98,TP!$AH:$AH,$Y$6,TP!$X:$X,$Y$1,TP!AZ:AZ,"OK")</f>
        <v>0</v>
      </c>
      <c r="H98" s="439">
        <f>SUMIFS(TP!$P:$P,TP!$R:$R,$X$9,TP!$U:$U,Toimintamenetelmät!$X98,TP!$AH:$AH,$Y$6,TP!$X:$X,$Y$1,TP!BA:BA,"OK")</f>
        <v>0</v>
      </c>
      <c r="I98" s="439">
        <f>SUMIFS(TP!$P:$P,TP!$R:$R,$X$9,TP!$U:$U,Toimintamenetelmät!$X98,TP!$AH:$AH,$Y$6,TP!$X:$X,$Y$1,TP!BB:BB,"OK")</f>
        <v>0</v>
      </c>
      <c r="J98" s="439">
        <f>SUMIFS(TP!$P:$P,TP!$R:$R,$X$9,TP!$U:$U,Toimintamenetelmät!$X98,TP!$AH:$AH,$Y$6,TP!$X:$X,$Y$1,TP!BC:BC,"OK")</f>
        <v>0</v>
      </c>
      <c r="K98" s="439">
        <f>SUMIFS(TP!$P:$P,TP!$R:$R,$X$9,TP!$U:$U,Toimintamenetelmät!$X98,TP!$AH:$AH,$Y$6,TP!$X:$X,$Y$1,TP!BD:BD,"OK")</f>
        <v>0</v>
      </c>
      <c r="L98" s="439">
        <f>SUMIFS(TP!$P:$P,TP!$R:$R,$X$9,TP!$U:$U,Toimintamenetelmät!$X98,TP!$AH:$AH,$Y$6,TP!$X:$X,$Y$1,TP!BE:BE,"OK")</f>
        <v>0</v>
      </c>
      <c r="M98" s="439">
        <f>SUMIFS(TP!$P:$P,TP!$R:$R,$X$9,TP!$U:$U,Toimintamenetelmät!$X98,TP!$AH:$AH,$Y$6,TP!$X:$X,$Y$1,TP!BF:BF,"OK")</f>
        <v>0</v>
      </c>
      <c r="N98" s="439">
        <f>SUMIFS(TP!$P:$P,TP!$R:$R,$X$9,TP!$U:$U,Toimintamenetelmät!$X98,TP!$AH:$AH,$Y$6,TP!$X:$X,$Y$1,TP!BG:BG,"OK")</f>
        <v>0</v>
      </c>
      <c r="O98" s="535">
        <f t="shared" si="8"/>
        <v>0</v>
      </c>
      <c r="P98" s="540">
        <f t="shared" si="9"/>
        <v>0</v>
      </c>
      <c r="Q98" s="535">
        <f>IF($W$3="12",SUMIFS(TP!$P:$P,TP!$AD:$AD,"OK",TP!$R:$R,$X$9,TP!$U:$U,Toimintamenetelmät!$X98,TP!$AH:$AH,$Y$6,TP!$X:$X,$Y$1),0)</f>
        <v>0</v>
      </c>
      <c r="W98" s="177"/>
      <c r="X98" t="s">
        <v>903</v>
      </c>
    </row>
    <row r="99" spans="1:24" hidden="1" x14ac:dyDescent="0.25">
      <c r="A99" s="1044"/>
      <c r="B99" s="299" t="s">
        <v>904</v>
      </c>
      <c r="C99" s="439">
        <f>SUMIFS(TP!$P:$P,TP!$R:$R,$X$9,TP!$U:$U,Toimintamenetelmät!$X99,TP!$AH:$AH,$Y$6,TP!$X:$X,$Y$1,TP!AV:AV,"OK")</f>
        <v>0</v>
      </c>
      <c r="D99" s="439">
        <f>SUMIFS(TP!$P:$P,TP!$R:$R,$X$9,TP!$U:$U,Toimintamenetelmät!$X99,TP!$AH:$AH,$Y$6,TP!$X:$X,$Y$1,TP!AW:AW,"OK")</f>
        <v>0</v>
      </c>
      <c r="E99" s="439">
        <f>SUMIFS(TP!$P:$P,TP!$R:$R,$X$9,TP!$U:$U,Toimintamenetelmät!$X99,TP!$AH:$AH,$Y$6,TP!$X:$X,$Y$1,TP!AX:AX,"OK")</f>
        <v>0</v>
      </c>
      <c r="F99" s="439">
        <f>SUMIFS(TP!$P:$P,TP!$R:$R,$X$9,TP!$U:$U,Toimintamenetelmät!$X99,TP!$AH:$AH,$Y$6,TP!$X:$X,$Y$1,TP!AY:AY,"OK")</f>
        <v>0</v>
      </c>
      <c r="G99" s="439">
        <f>SUMIFS(TP!$P:$P,TP!$R:$R,$X$9,TP!$U:$U,Toimintamenetelmät!$X99,TP!$AH:$AH,$Y$6,TP!$X:$X,$Y$1,TP!AZ:AZ,"OK")</f>
        <v>0</v>
      </c>
      <c r="H99" s="439">
        <f>SUMIFS(TP!$P:$P,TP!$R:$R,$X$9,TP!$U:$U,Toimintamenetelmät!$X99,TP!$AH:$AH,$Y$6,TP!$X:$X,$Y$1,TP!BA:BA,"OK")</f>
        <v>0</v>
      </c>
      <c r="I99" s="439">
        <f>SUMIFS(TP!$P:$P,TP!$R:$R,$X$9,TP!$U:$U,Toimintamenetelmät!$X99,TP!$AH:$AH,$Y$6,TP!$X:$X,$Y$1,TP!BB:BB,"OK")</f>
        <v>0</v>
      </c>
      <c r="J99" s="439">
        <f>SUMIFS(TP!$P:$P,TP!$R:$R,$X$9,TP!$U:$U,Toimintamenetelmät!$X99,TP!$AH:$AH,$Y$6,TP!$X:$X,$Y$1,TP!BC:BC,"OK")</f>
        <v>0</v>
      </c>
      <c r="K99" s="439">
        <f>SUMIFS(TP!$P:$P,TP!$R:$R,$X$9,TP!$U:$U,Toimintamenetelmät!$X99,TP!$AH:$AH,$Y$6,TP!$X:$X,$Y$1,TP!BD:BD,"OK")</f>
        <v>0</v>
      </c>
      <c r="L99" s="439">
        <f>SUMIFS(TP!$P:$P,TP!$R:$R,$X$9,TP!$U:$U,Toimintamenetelmät!$X99,TP!$AH:$AH,$Y$6,TP!$X:$X,$Y$1,TP!BE:BE,"OK")</f>
        <v>0</v>
      </c>
      <c r="M99" s="439">
        <f>SUMIFS(TP!$P:$P,TP!$R:$R,$X$9,TP!$U:$U,Toimintamenetelmät!$X99,TP!$AH:$AH,$Y$6,TP!$X:$X,$Y$1,TP!BF:BF,"OK")</f>
        <v>0</v>
      </c>
      <c r="N99" s="439">
        <f>SUMIFS(TP!$P:$P,TP!$R:$R,$X$9,TP!$U:$U,Toimintamenetelmät!$X99,TP!$AH:$AH,$Y$6,TP!$X:$X,$Y$1,TP!BG:BG,"OK")</f>
        <v>0</v>
      </c>
      <c r="O99" s="535">
        <f t="shared" si="8"/>
        <v>0</v>
      </c>
      <c r="P99" s="540">
        <f t="shared" si="9"/>
        <v>0</v>
      </c>
      <c r="Q99" s="535">
        <f>IF($W$3="12",SUMIFS(TP!$P:$P,TP!$AD:$AD,"OK",TP!$R:$R,$X$9,TP!$U:$U,Toimintamenetelmät!$X99,TP!$AH:$AH,$Y$6,TP!$X:$X,$Y$1),0)</f>
        <v>0</v>
      </c>
      <c r="W99" s="177"/>
      <c r="X99" t="s">
        <v>905</v>
      </c>
    </row>
    <row r="100" spans="1:24" hidden="1" x14ac:dyDescent="0.25">
      <c r="A100" s="1044"/>
      <c r="B100" s="299" t="s">
        <v>906</v>
      </c>
      <c r="C100" s="439">
        <f>SUMIFS(TP!$P:$P,TP!$R:$R,$X$9,TP!$U:$U,Toimintamenetelmät!$X100,TP!$AH:$AH,$Y$6,TP!$X:$X,$Y$1,TP!AV:AV,"OK")</f>
        <v>0</v>
      </c>
      <c r="D100" s="439">
        <f>SUMIFS(TP!$P:$P,TP!$R:$R,$X$9,TP!$U:$U,Toimintamenetelmät!$X100,TP!$AH:$AH,$Y$6,TP!$X:$X,$Y$1,TP!AW:AW,"OK")</f>
        <v>0</v>
      </c>
      <c r="E100" s="439">
        <f>SUMIFS(TP!$P:$P,TP!$R:$R,$X$9,TP!$U:$U,Toimintamenetelmät!$X100,TP!$AH:$AH,$Y$6,TP!$X:$X,$Y$1,TP!AX:AX,"OK")</f>
        <v>0</v>
      </c>
      <c r="F100" s="439">
        <f>SUMIFS(TP!$P:$P,TP!$R:$R,$X$9,TP!$U:$U,Toimintamenetelmät!$X100,TP!$AH:$AH,$Y$6,TP!$X:$X,$Y$1,TP!AY:AY,"OK")</f>
        <v>0</v>
      </c>
      <c r="G100" s="439">
        <f>SUMIFS(TP!$P:$P,TP!$R:$R,$X$9,TP!$U:$U,Toimintamenetelmät!$X100,TP!$AH:$AH,$Y$6,TP!$X:$X,$Y$1,TP!AZ:AZ,"OK")</f>
        <v>0</v>
      </c>
      <c r="H100" s="439">
        <f>SUMIFS(TP!$P:$P,TP!$R:$R,$X$9,TP!$U:$U,Toimintamenetelmät!$X100,TP!$AH:$AH,$Y$6,TP!$X:$X,$Y$1,TP!BA:BA,"OK")</f>
        <v>0</v>
      </c>
      <c r="I100" s="439">
        <f>SUMIFS(TP!$P:$P,TP!$R:$R,$X$9,TP!$U:$U,Toimintamenetelmät!$X100,TP!$AH:$AH,$Y$6,TP!$X:$X,$Y$1,TP!BB:BB,"OK")</f>
        <v>0</v>
      </c>
      <c r="J100" s="439">
        <f>SUMIFS(TP!$P:$P,TP!$R:$R,$X$9,TP!$U:$U,Toimintamenetelmät!$X100,TP!$AH:$AH,$Y$6,TP!$X:$X,$Y$1,TP!BC:BC,"OK")</f>
        <v>0</v>
      </c>
      <c r="K100" s="439">
        <f>SUMIFS(TP!$P:$P,TP!$R:$R,$X$9,TP!$U:$U,Toimintamenetelmät!$X100,TP!$AH:$AH,$Y$6,TP!$X:$X,$Y$1,TP!BD:BD,"OK")</f>
        <v>0</v>
      </c>
      <c r="L100" s="439">
        <f>SUMIFS(TP!$P:$P,TP!$R:$R,$X$9,TP!$U:$U,Toimintamenetelmät!$X100,TP!$AH:$AH,$Y$6,TP!$X:$X,$Y$1,TP!BE:BE,"OK")</f>
        <v>0</v>
      </c>
      <c r="M100" s="439">
        <f>SUMIFS(TP!$P:$P,TP!$R:$R,$X$9,TP!$U:$U,Toimintamenetelmät!$X100,TP!$AH:$AH,$Y$6,TP!$X:$X,$Y$1,TP!BF:BF,"OK")</f>
        <v>0</v>
      </c>
      <c r="N100" s="439">
        <f>SUMIFS(TP!$P:$P,TP!$R:$R,$X$9,TP!$U:$U,Toimintamenetelmät!$X100,TP!$AH:$AH,$Y$6,TP!$X:$X,$Y$1,TP!BG:BG,"OK")</f>
        <v>0</v>
      </c>
      <c r="O100" s="535">
        <f t="shared" ref="O100" si="12">SUM(C100:N100)</f>
        <v>0</v>
      </c>
      <c r="P100" s="540">
        <f t="shared" ref="P100" si="13">IFERROR(Q100-O100,0)</f>
        <v>0</v>
      </c>
      <c r="Q100" s="535">
        <f>IF($W$3="12",SUMIFS(TP!$P:$P,TP!$AD:$AD,"OK",TP!$R:$R,$X$9,TP!$U:$U,Toimintamenetelmät!$X100,TP!$AH:$AH,$Y$6,TP!$X:$X,$Y$1),0)</f>
        <v>0</v>
      </c>
      <c r="W100" s="177"/>
      <c r="X100" s="302" t="s">
        <v>907</v>
      </c>
    </row>
    <row r="101" spans="1:24" hidden="1" x14ac:dyDescent="0.25">
      <c r="A101" s="1045"/>
      <c r="B101" s="299" t="s">
        <v>908</v>
      </c>
      <c r="C101" s="439">
        <f>SUMIFS(TP!$P:$P,TP!$R:$R,$X$9,TP!$U:$U,Toimintamenetelmät!$X101,TP!$AH:$AH,$Y$6,TP!$X:$X,$Y$1,TP!AV:AV,"OK")</f>
        <v>0</v>
      </c>
      <c r="D101" s="439">
        <f>SUMIFS(TP!$P:$P,TP!$R:$R,$X$9,TP!$U:$U,Toimintamenetelmät!$X101,TP!$AH:$AH,$Y$6,TP!$X:$X,$Y$1,TP!AW:AW,"OK")</f>
        <v>0</v>
      </c>
      <c r="E101" s="439">
        <f>SUMIFS(TP!$P:$P,TP!$R:$R,$X$9,TP!$U:$U,Toimintamenetelmät!$X101,TP!$AH:$AH,$Y$6,TP!$X:$X,$Y$1,TP!AX:AX,"OK")</f>
        <v>0</v>
      </c>
      <c r="F101" s="439">
        <f>SUMIFS(TP!$P:$P,TP!$R:$R,$X$9,TP!$U:$U,Toimintamenetelmät!$X101,TP!$AH:$AH,$Y$6,TP!$X:$X,$Y$1,TP!AY:AY,"OK")</f>
        <v>0</v>
      </c>
      <c r="G101" s="439">
        <f>SUMIFS(TP!$P:$P,TP!$R:$R,$X$9,TP!$U:$U,Toimintamenetelmät!$X101,TP!$AH:$AH,$Y$6,TP!$X:$X,$Y$1,TP!AZ:AZ,"OK")</f>
        <v>0</v>
      </c>
      <c r="H101" s="439">
        <f>SUMIFS(TP!$P:$P,TP!$R:$R,$X$9,TP!$U:$U,Toimintamenetelmät!$X101,TP!$AH:$AH,$Y$6,TP!$X:$X,$Y$1,TP!BA:BA,"OK")</f>
        <v>0</v>
      </c>
      <c r="I101" s="439">
        <f>SUMIFS(TP!$P:$P,TP!$R:$R,$X$9,TP!$U:$U,Toimintamenetelmät!$X101,TP!$AH:$AH,$Y$6,TP!$X:$X,$Y$1,TP!BB:BB,"OK")</f>
        <v>0</v>
      </c>
      <c r="J101" s="439">
        <f>SUMIFS(TP!$P:$P,TP!$R:$R,$X$9,TP!$U:$U,Toimintamenetelmät!$X101,TP!$AH:$AH,$Y$6,TP!$X:$X,$Y$1,TP!BC:BC,"OK")</f>
        <v>0</v>
      </c>
      <c r="K101" s="439">
        <f>SUMIFS(TP!$P:$P,TP!$R:$R,$X$9,TP!$U:$U,Toimintamenetelmät!$X101,TP!$AH:$AH,$Y$6,TP!$X:$X,$Y$1,TP!BD:BD,"OK")</f>
        <v>0</v>
      </c>
      <c r="L101" s="439">
        <f>SUMIFS(TP!$P:$P,TP!$R:$R,$X$9,TP!$U:$U,Toimintamenetelmät!$X101,TP!$AH:$AH,$Y$6,TP!$X:$X,$Y$1,TP!BE:BE,"OK")</f>
        <v>0</v>
      </c>
      <c r="M101" s="439">
        <f>SUMIFS(TP!$P:$P,TP!$R:$R,$X$9,TP!$U:$U,Toimintamenetelmät!$X101,TP!$AH:$AH,$Y$6,TP!$X:$X,$Y$1,TP!BF:BF,"OK")</f>
        <v>0</v>
      </c>
      <c r="N101" s="439">
        <f>SUMIFS(TP!$P:$P,TP!$R:$R,$X$9,TP!$U:$U,Toimintamenetelmät!$X101,TP!$AH:$AH,$Y$6,TP!$X:$X,$Y$1,TP!BG:BG,"OK")</f>
        <v>0</v>
      </c>
      <c r="O101" s="535">
        <f t="shared" si="8"/>
        <v>0</v>
      </c>
      <c r="P101" s="540">
        <f t="shared" si="9"/>
        <v>0</v>
      </c>
      <c r="Q101" s="535">
        <f>IF($W$3="12",SUMIFS(TP!$P:$P,TP!$AD:$AD,"OK",TP!$R:$R,$X$9,TP!$U:$U,Toimintamenetelmät!$X101,TP!$AH:$AH,$Y$6,TP!$X:$X,$Y$1),0)</f>
        <v>0</v>
      </c>
      <c r="W101" s="177"/>
      <c r="X101" t="s">
        <v>909</v>
      </c>
    </row>
    <row r="102" spans="1:24" hidden="1" x14ac:dyDescent="0.25">
      <c r="A102" s="292"/>
      <c r="B102" s="294"/>
      <c r="C102" s="438"/>
      <c r="D102" s="438"/>
      <c r="E102" s="438"/>
      <c r="F102" s="438"/>
      <c r="G102" s="438"/>
      <c r="H102" s="438"/>
      <c r="I102" s="438"/>
      <c r="J102" s="438"/>
      <c r="K102" s="438"/>
      <c r="L102" s="438"/>
      <c r="M102" s="438"/>
      <c r="N102" s="438"/>
      <c r="O102" s="536"/>
      <c r="P102" s="541"/>
      <c r="Q102" s="536">
        <f>IF($W$3="12",SUMIFS(TP!$P:$P,TP!$AD:$AD,"OK",TP!$R:$R,$X$9,TP!$U:$U,Toimintamenetelmät!$X102,TP!$AH:$AH,$Y$6,TP!$X:$X,$Y$1),0)</f>
        <v>0</v>
      </c>
      <c r="W102" s="177"/>
      <c r="X102" t="s">
        <v>910</v>
      </c>
    </row>
    <row r="103" spans="1:24" hidden="1" x14ac:dyDescent="0.25">
      <c r="A103" s="1043" t="s">
        <v>912</v>
      </c>
      <c r="B103" s="298" t="s">
        <v>913</v>
      </c>
      <c r="C103" s="439">
        <f>SUMIFS(TP!$P:$P,TP!$R:$R,$X$9,TP!$U:$U,Toimintamenetelmät!$X103,TP!$AH:$AH,$Y$6,TP!$X:$X,$Y$1,TP!AV:AV,"OK")</f>
        <v>0</v>
      </c>
      <c r="D103" s="439">
        <f>SUMIFS(TP!$P:$P,TP!$R:$R,$X$9,TP!$U:$U,Toimintamenetelmät!$X103,TP!$AH:$AH,$Y$6,TP!$X:$X,$Y$1,TP!AW:AW,"OK")</f>
        <v>0</v>
      </c>
      <c r="E103" s="439">
        <f>SUMIFS(TP!$P:$P,TP!$R:$R,$X$9,TP!$U:$U,Toimintamenetelmät!$X103,TP!$AH:$AH,$Y$6,TP!$X:$X,$Y$1,TP!AX:AX,"OK")</f>
        <v>0</v>
      </c>
      <c r="F103" s="439">
        <f>SUMIFS(TP!$P:$P,TP!$R:$R,$X$9,TP!$U:$U,Toimintamenetelmät!$X103,TP!$AH:$AH,$Y$6,TP!$X:$X,$Y$1,TP!AY:AY,"OK")</f>
        <v>0</v>
      </c>
      <c r="G103" s="439">
        <f>SUMIFS(TP!$P:$P,TP!$R:$R,$X$9,TP!$U:$U,Toimintamenetelmät!$X103,TP!$AH:$AH,$Y$6,TP!$X:$X,$Y$1,TP!AZ:AZ,"OK")</f>
        <v>0</v>
      </c>
      <c r="H103" s="439">
        <f>SUMIFS(TP!$P:$P,TP!$R:$R,$X$9,TP!$U:$U,Toimintamenetelmät!$X103,TP!$AH:$AH,$Y$6,TP!$X:$X,$Y$1,TP!BA:BA,"OK")</f>
        <v>0</v>
      </c>
      <c r="I103" s="439">
        <f>SUMIFS(TP!$P:$P,TP!$R:$R,$X$9,TP!$U:$U,Toimintamenetelmät!$X103,TP!$AH:$AH,$Y$6,TP!$X:$X,$Y$1,TP!BB:BB,"OK")</f>
        <v>0</v>
      </c>
      <c r="J103" s="439">
        <f>SUMIFS(TP!$P:$P,TP!$R:$R,$X$9,TP!$U:$U,Toimintamenetelmät!$X103,TP!$AH:$AH,$Y$6,TP!$X:$X,$Y$1,TP!BC:BC,"OK")</f>
        <v>0</v>
      </c>
      <c r="K103" s="439">
        <f>SUMIFS(TP!$P:$P,TP!$R:$R,$X$9,TP!$U:$U,Toimintamenetelmät!$X103,TP!$AH:$AH,$Y$6,TP!$X:$X,$Y$1,TP!BD:BD,"OK")</f>
        <v>0</v>
      </c>
      <c r="L103" s="439">
        <f>SUMIFS(TP!$P:$P,TP!$R:$R,$X$9,TP!$U:$U,Toimintamenetelmät!$X103,TP!$AH:$AH,$Y$6,TP!$X:$X,$Y$1,TP!BE:BE,"OK")</f>
        <v>0</v>
      </c>
      <c r="M103" s="439">
        <f>SUMIFS(TP!$P:$P,TP!$R:$R,$X$9,TP!$U:$U,Toimintamenetelmät!$X103,TP!$AH:$AH,$Y$6,TP!$X:$X,$Y$1,TP!BF:BF,"OK")</f>
        <v>0</v>
      </c>
      <c r="N103" s="439">
        <f>SUMIFS(TP!$P:$P,TP!$R:$R,$X$9,TP!$U:$U,Toimintamenetelmät!$X103,TP!$AH:$AH,$Y$6,TP!$X:$X,$Y$1,TP!BG:BG,"OK")</f>
        <v>0</v>
      </c>
      <c r="O103" s="535">
        <f t="shared" si="8"/>
        <v>0</v>
      </c>
      <c r="P103" s="540">
        <f t="shared" si="9"/>
        <v>0</v>
      </c>
      <c r="Q103" s="535">
        <f>IF($W$3="12",SUMIFS(TP!$P:$P,TP!$AD:$AD,"OK",TP!$R:$R,$X$9,TP!$U:$U,Toimintamenetelmät!$X103,TP!$AH:$AH,$Y$6,TP!$X:$X,$Y$1),0)</f>
        <v>0</v>
      </c>
      <c r="W103" s="177"/>
      <c r="X103" t="s">
        <v>914</v>
      </c>
    </row>
    <row r="104" spans="1:24" hidden="1" x14ac:dyDescent="0.25">
      <c r="A104" s="1044"/>
      <c r="B104" s="299" t="s">
        <v>915</v>
      </c>
      <c r="C104" s="439">
        <f>SUMIFS(TP!$P:$P,TP!$R:$R,$X$9,TP!$U:$U,Toimintamenetelmät!$X104,TP!$AH:$AH,$Y$6,TP!$X:$X,$Y$1,TP!AV:AV,"OK")</f>
        <v>0</v>
      </c>
      <c r="D104" s="439">
        <f>SUMIFS(TP!$P:$P,TP!$R:$R,$X$9,TP!$U:$U,Toimintamenetelmät!$X104,TP!$AH:$AH,$Y$6,TP!$X:$X,$Y$1,TP!AW:AW,"OK")</f>
        <v>0</v>
      </c>
      <c r="E104" s="439">
        <f>SUMIFS(TP!$P:$P,TP!$R:$R,$X$9,TP!$U:$U,Toimintamenetelmät!$X104,TP!$AH:$AH,$Y$6,TP!$X:$X,$Y$1,TP!AX:AX,"OK")</f>
        <v>0</v>
      </c>
      <c r="F104" s="439">
        <f>SUMIFS(TP!$P:$P,TP!$R:$R,$X$9,TP!$U:$U,Toimintamenetelmät!$X104,TP!$AH:$AH,$Y$6,TP!$X:$X,$Y$1,TP!AY:AY,"OK")</f>
        <v>0</v>
      </c>
      <c r="G104" s="439">
        <f>SUMIFS(TP!$P:$P,TP!$R:$R,$X$9,TP!$U:$U,Toimintamenetelmät!$X104,TP!$AH:$AH,$Y$6,TP!$X:$X,$Y$1,TP!AZ:AZ,"OK")</f>
        <v>0</v>
      </c>
      <c r="H104" s="439">
        <f>SUMIFS(TP!$P:$P,TP!$R:$R,$X$9,TP!$U:$U,Toimintamenetelmät!$X104,TP!$AH:$AH,$Y$6,TP!$X:$X,$Y$1,TP!BA:BA,"OK")</f>
        <v>0</v>
      </c>
      <c r="I104" s="439">
        <f>SUMIFS(TP!$P:$P,TP!$R:$R,$X$9,TP!$U:$U,Toimintamenetelmät!$X104,TP!$AH:$AH,$Y$6,TP!$X:$X,$Y$1,TP!BB:BB,"OK")</f>
        <v>0</v>
      </c>
      <c r="J104" s="439">
        <f>SUMIFS(TP!$P:$P,TP!$R:$R,$X$9,TP!$U:$U,Toimintamenetelmät!$X104,TP!$AH:$AH,$Y$6,TP!$X:$X,$Y$1,TP!BC:BC,"OK")</f>
        <v>0</v>
      </c>
      <c r="K104" s="439">
        <f>SUMIFS(TP!$P:$P,TP!$R:$R,$X$9,TP!$U:$U,Toimintamenetelmät!$X104,TP!$AH:$AH,$Y$6,TP!$X:$X,$Y$1,TP!BD:BD,"OK")</f>
        <v>0</v>
      </c>
      <c r="L104" s="439">
        <f>SUMIFS(TP!$P:$P,TP!$R:$R,$X$9,TP!$U:$U,Toimintamenetelmät!$X104,TP!$AH:$AH,$Y$6,TP!$X:$X,$Y$1,TP!BE:BE,"OK")</f>
        <v>0</v>
      </c>
      <c r="M104" s="439">
        <f>SUMIFS(TP!$P:$P,TP!$R:$R,$X$9,TP!$U:$U,Toimintamenetelmät!$X104,TP!$AH:$AH,$Y$6,TP!$X:$X,$Y$1,TP!BF:BF,"OK")</f>
        <v>0</v>
      </c>
      <c r="N104" s="439">
        <f>SUMIFS(TP!$P:$P,TP!$R:$R,$X$9,TP!$U:$U,Toimintamenetelmät!$X104,TP!$AH:$AH,$Y$6,TP!$X:$X,$Y$1,TP!BG:BG,"OK")</f>
        <v>0</v>
      </c>
      <c r="O104" s="535">
        <f t="shared" si="8"/>
        <v>0</v>
      </c>
      <c r="P104" s="540">
        <f t="shared" si="9"/>
        <v>0</v>
      </c>
      <c r="Q104" s="535">
        <f>IF($W$3="12",SUMIFS(TP!$P:$P,TP!$AD:$AD,"OK",TP!$R:$R,$X$9,TP!$U:$U,Toimintamenetelmät!$X104,TP!$AH:$AH,$Y$6,TP!$X:$X,$Y$1),0)</f>
        <v>0</v>
      </c>
      <c r="W104" s="177"/>
      <c r="X104" t="s">
        <v>916</v>
      </c>
    </row>
    <row r="105" spans="1:24" hidden="1" x14ac:dyDescent="0.25">
      <c r="A105" s="1044"/>
      <c r="B105" s="299" t="s">
        <v>917</v>
      </c>
      <c r="C105" s="439">
        <f>SUMIFS(TP!$P:$P,TP!$R:$R,$X$9,TP!$U:$U,Toimintamenetelmät!$X105,TP!$AH:$AH,$Y$6,TP!$X:$X,$Y$1,TP!AV:AV,"OK")</f>
        <v>0</v>
      </c>
      <c r="D105" s="439">
        <f>SUMIFS(TP!$P:$P,TP!$R:$R,$X$9,TP!$U:$U,Toimintamenetelmät!$X105,TP!$AH:$AH,$Y$6,TP!$X:$X,$Y$1,TP!AW:AW,"OK")</f>
        <v>0</v>
      </c>
      <c r="E105" s="439">
        <f>SUMIFS(TP!$P:$P,TP!$R:$R,$X$9,TP!$U:$U,Toimintamenetelmät!$X105,TP!$AH:$AH,$Y$6,TP!$X:$X,$Y$1,TP!AX:AX,"OK")</f>
        <v>0</v>
      </c>
      <c r="F105" s="439">
        <f>SUMIFS(TP!$P:$P,TP!$R:$R,$X$9,TP!$U:$U,Toimintamenetelmät!$X105,TP!$AH:$AH,$Y$6,TP!$X:$X,$Y$1,TP!AY:AY,"OK")</f>
        <v>0</v>
      </c>
      <c r="G105" s="439">
        <f>SUMIFS(TP!$P:$P,TP!$R:$R,$X$9,TP!$U:$U,Toimintamenetelmät!$X105,TP!$AH:$AH,$Y$6,TP!$X:$X,$Y$1,TP!AZ:AZ,"OK")</f>
        <v>0</v>
      </c>
      <c r="H105" s="439">
        <f>SUMIFS(TP!$P:$P,TP!$R:$R,$X$9,TP!$U:$U,Toimintamenetelmät!$X105,TP!$AH:$AH,$Y$6,TP!$X:$X,$Y$1,TP!BA:BA,"OK")</f>
        <v>0</v>
      </c>
      <c r="I105" s="439">
        <f>SUMIFS(TP!$P:$P,TP!$R:$R,$X$9,TP!$U:$U,Toimintamenetelmät!$X105,TP!$AH:$AH,$Y$6,TP!$X:$X,$Y$1,TP!BB:BB,"OK")</f>
        <v>0</v>
      </c>
      <c r="J105" s="439">
        <f>SUMIFS(TP!$P:$P,TP!$R:$R,$X$9,TP!$U:$U,Toimintamenetelmät!$X105,TP!$AH:$AH,$Y$6,TP!$X:$X,$Y$1,TP!BC:BC,"OK")</f>
        <v>0</v>
      </c>
      <c r="K105" s="439">
        <f>SUMIFS(TP!$P:$P,TP!$R:$R,$X$9,TP!$U:$U,Toimintamenetelmät!$X105,TP!$AH:$AH,$Y$6,TP!$X:$X,$Y$1,TP!BD:BD,"OK")</f>
        <v>0</v>
      </c>
      <c r="L105" s="439">
        <f>SUMIFS(TP!$P:$P,TP!$R:$R,$X$9,TP!$U:$U,Toimintamenetelmät!$X105,TP!$AH:$AH,$Y$6,TP!$X:$X,$Y$1,TP!BE:BE,"OK")</f>
        <v>0</v>
      </c>
      <c r="M105" s="439">
        <f>SUMIFS(TP!$P:$P,TP!$R:$R,$X$9,TP!$U:$U,Toimintamenetelmät!$X105,TP!$AH:$AH,$Y$6,TP!$X:$X,$Y$1,TP!BF:BF,"OK")</f>
        <v>0</v>
      </c>
      <c r="N105" s="439">
        <f>SUMIFS(TP!$P:$P,TP!$R:$R,$X$9,TP!$U:$U,Toimintamenetelmät!$X105,TP!$AH:$AH,$Y$6,TP!$X:$X,$Y$1,TP!BG:BG,"OK")</f>
        <v>0</v>
      </c>
      <c r="O105" s="535">
        <f t="shared" si="8"/>
        <v>0</v>
      </c>
      <c r="P105" s="540">
        <f t="shared" si="9"/>
        <v>0</v>
      </c>
      <c r="Q105" s="535">
        <f>IF($W$3="12",SUMIFS(TP!$P:$P,TP!$AD:$AD,"OK",TP!$R:$R,$X$9,TP!$U:$U,Toimintamenetelmät!$X105,TP!$AH:$AH,$Y$6,TP!$X:$X,$Y$1),0)</f>
        <v>0</v>
      </c>
      <c r="W105" s="177"/>
      <c r="X105" s="228" t="s">
        <v>918</v>
      </c>
    </row>
    <row r="106" spans="1:24" hidden="1" x14ac:dyDescent="0.25">
      <c r="A106" s="1044"/>
      <c r="B106" s="299" t="s">
        <v>919</v>
      </c>
      <c r="C106" s="439">
        <f>SUMIFS(TP!$P:$P,TP!$R:$R,$X$9,TP!$U:$U,Toimintamenetelmät!$X106,TP!$AH:$AH,$Y$6,TP!$X:$X,$Y$1,TP!AV:AV,"OK")</f>
        <v>0</v>
      </c>
      <c r="D106" s="439">
        <f>SUMIFS(TP!$P:$P,TP!$R:$R,$X$9,TP!$U:$U,Toimintamenetelmät!$X106,TP!$AH:$AH,$Y$6,TP!$X:$X,$Y$1,TP!AW:AW,"OK")</f>
        <v>0</v>
      </c>
      <c r="E106" s="439">
        <f>SUMIFS(TP!$P:$P,TP!$R:$R,$X$9,TP!$U:$U,Toimintamenetelmät!$X106,TP!$AH:$AH,$Y$6,TP!$X:$X,$Y$1,TP!AX:AX,"OK")</f>
        <v>0</v>
      </c>
      <c r="F106" s="439">
        <f>SUMIFS(TP!$P:$P,TP!$R:$R,$X$9,TP!$U:$U,Toimintamenetelmät!$X106,TP!$AH:$AH,$Y$6,TP!$X:$X,$Y$1,TP!AY:AY,"OK")</f>
        <v>0</v>
      </c>
      <c r="G106" s="439">
        <f>SUMIFS(TP!$P:$P,TP!$R:$R,$X$9,TP!$U:$U,Toimintamenetelmät!$X106,TP!$AH:$AH,$Y$6,TP!$X:$X,$Y$1,TP!AZ:AZ,"OK")</f>
        <v>0</v>
      </c>
      <c r="H106" s="439">
        <f>SUMIFS(TP!$P:$P,TP!$R:$R,$X$9,TP!$U:$U,Toimintamenetelmät!$X106,TP!$AH:$AH,$Y$6,TP!$X:$X,$Y$1,TP!BA:BA,"OK")</f>
        <v>0</v>
      </c>
      <c r="I106" s="439">
        <f>SUMIFS(TP!$P:$P,TP!$R:$R,$X$9,TP!$U:$U,Toimintamenetelmät!$X106,TP!$AH:$AH,$Y$6,TP!$X:$X,$Y$1,TP!BB:BB,"OK")</f>
        <v>0</v>
      </c>
      <c r="J106" s="439">
        <f>SUMIFS(TP!$P:$P,TP!$R:$R,$X$9,TP!$U:$U,Toimintamenetelmät!$X106,TP!$AH:$AH,$Y$6,TP!$X:$X,$Y$1,TP!BC:BC,"OK")</f>
        <v>0</v>
      </c>
      <c r="K106" s="439">
        <f>SUMIFS(TP!$P:$P,TP!$R:$R,$X$9,TP!$U:$U,Toimintamenetelmät!$X106,TP!$AH:$AH,$Y$6,TP!$X:$X,$Y$1,TP!BD:BD,"OK")</f>
        <v>0</v>
      </c>
      <c r="L106" s="439">
        <f>SUMIFS(TP!$P:$P,TP!$R:$R,$X$9,TP!$U:$U,Toimintamenetelmät!$X106,TP!$AH:$AH,$Y$6,TP!$X:$X,$Y$1,TP!BE:BE,"OK")</f>
        <v>0</v>
      </c>
      <c r="M106" s="439">
        <f>SUMIFS(TP!$P:$P,TP!$R:$R,$X$9,TP!$U:$U,Toimintamenetelmät!$X106,TP!$AH:$AH,$Y$6,TP!$X:$X,$Y$1,TP!BF:BF,"OK")</f>
        <v>0</v>
      </c>
      <c r="N106" s="439">
        <f>SUMIFS(TP!$P:$P,TP!$R:$R,$X$9,TP!$U:$U,Toimintamenetelmät!$X106,TP!$AH:$AH,$Y$6,TP!$X:$X,$Y$1,TP!BG:BG,"OK")</f>
        <v>0</v>
      </c>
      <c r="O106" s="535">
        <f t="shared" si="8"/>
        <v>0</v>
      </c>
      <c r="P106" s="540">
        <f t="shared" si="9"/>
        <v>0</v>
      </c>
      <c r="Q106" s="535">
        <f>IF($W$3="12",SUMIFS(TP!$P:$P,TP!$AD:$AD,"OK",TP!$R:$R,$X$9,TP!$U:$U,Toimintamenetelmät!$X106,TP!$AH:$AH,$Y$6,TP!$X:$X,$Y$1),0)</f>
        <v>0</v>
      </c>
      <c r="W106" s="177"/>
      <c r="X106" t="s">
        <v>920</v>
      </c>
    </row>
    <row r="107" spans="1:24" hidden="1" x14ac:dyDescent="0.25">
      <c r="A107" s="1044"/>
      <c r="B107" s="299" t="s">
        <v>922</v>
      </c>
      <c r="C107" s="439">
        <f>SUMIFS(TP!$P:$P,TP!$R:$R,$X$9,TP!$U:$U,Toimintamenetelmät!$X107,TP!$AH:$AH,$Y$6,TP!$X:$X,$Y$1,TP!AV:AV,"OK")</f>
        <v>0</v>
      </c>
      <c r="D107" s="439">
        <f>SUMIFS(TP!$P:$P,TP!$R:$R,$X$9,TP!$U:$U,Toimintamenetelmät!$X107,TP!$AH:$AH,$Y$6,TP!$X:$X,$Y$1,TP!AW:AW,"OK")</f>
        <v>0</v>
      </c>
      <c r="E107" s="439">
        <f>SUMIFS(TP!$P:$P,TP!$R:$R,$X$9,TP!$U:$U,Toimintamenetelmät!$X107,TP!$AH:$AH,$Y$6,TP!$X:$X,$Y$1,TP!AX:AX,"OK")</f>
        <v>0</v>
      </c>
      <c r="F107" s="439">
        <f>SUMIFS(TP!$P:$P,TP!$R:$R,$X$9,TP!$U:$U,Toimintamenetelmät!$X107,TP!$AH:$AH,$Y$6,TP!$X:$X,$Y$1,TP!AY:AY,"OK")</f>
        <v>0</v>
      </c>
      <c r="G107" s="439">
        <f>SUMIFS(TP!$P:$P,TP!$R:$R,$X$9,TP!$U:$U,Toimintamenetelmät!$X107,TP!$AH:$AH,$Y$6,TP!$X:$X,$Y$1,TP!AZ:AZ,"OK")</f>
        <v>0</v>
      </c>
      <c r="H107" s="439">
        <f>SUMIFS(TP!$P:$P,TP!$R:$R,$X$9,TP!$U:$U,Toimintamenetelmät!$X107,TP!$AH:$AH,$Y$6,TP!$X:$X,$Y$1,TP!BA:BA,"OK")</f>
        <v>0</v>
      </c>
      <c r="I107" s="439">
        <f>SUMIFS(TP!$P:$P,TP!$R:$R,$X$9,TP!$U:$U,Toimintamenetelmät!$X107,TP!$AH:$AH,$Y$6,TP!$X:$X,$Y$1,TP!BB:BB,"OK")</f>
        <v>0</v>
      </c>
      <c r="J107" s="439">
        <f>SUMIFS(TP!$P:$P,TP!$R:$R,$X$9,TP!$U:$U,Toimintamenetelmät!$X107,TP!$AH:$AH,$Y$6,TP!$X:$X,$Y$1,TP!BC:BC,"OK")</f>
        <v>0</v>
      </c>
      <c r="K107" s="439">
        <f>SUMIFS(TP!$P:$P,TP!$R:$R,$X$9,TP!$U:$U,Toimintamenetelmät!$X107,TP!$AH:$AH,$Y$6,TP!$X:$X,$Y$1,TP!BD:BD,"OK")</f>
        <v>0</v>
      </c>
      <c r="L107" s="439">
        <f>SUMIFS(TP!$P:$P,TP!$R:$R,$X$9,TP!$U:$U,Toimintamenetelmät!$X107,TP!$AH:$AH,$Y$6,TP!$X:$X,$Y$1,TP!BE:BE,"OK")</f>
        <v>0</v>
      </c>
      <c r="M107" s="439">
        <f>SUMIFS(TP!$P:$P,TP!$R:$R,$X$9,TP!$U:$U,Toimintamenetelmät!$X107,TP!$AH:$AH,$Y$6,TP!$X:$X,$Y$1,TP!BF:BF,"OK")</f>
        <v>0</v>
      </c>
      <c r="N107" s="439">
        <f>SUMIFS(TP!$P:$P,TP!$R:$R,$X$9,TP!$U:$U,Toimintamenetelmät!$X107,TP!$AH:$AH,$Y$6,TP!$X:$X,$Y$1,TP!BG:BG,"OK")</f>
        <v>0</v>
      </c>
      <c r="O107" s="535">
        <f t="shared" si="8"/>
        <v>0</v>
      </c>
      <c r="P107" s="540">
        <f t="shared" si="9"/>
        <v>0</v>
      </c>
      <c r="Q107" s="535">
        <f>IF($W$3="12",SUMIFS(TP!$P:$P,TP!$AD:$AD,"OK",TP!$R:$R,$X$9,TP!$U:$U,Toimintamenetelmät!$X107,TP!$AH:$AH,$Y$6,TP!$X:$X,$Y$1),0)</f>
        <v>0</v>
      </c>
      <c r="W107" s="177"/>
      <c r="X107" t="s">
        <v>923</v>
      </c>
    </row>
    <row r="108" spans="1:24" hidden="1" x14ac:dyDescent="0.25">
      <c r="A108" s="1044"/>
      <c r="B108" s="299" t="s">
        <v>924</v>
      </c>
      <c r="C108" s="439">
        <f>SUMIFS(TP!$P:$P,TP!$R:$R,$X$9,TP!$U:$U,Toimintamenetelmät!$X108,TP!$AH:$AH,$Y$6,TP!$X:$X,$Y$1,TP!AV:AV,"OK")</f>
        <v>0</v>
      </c>
      <c r="D108" s="439">
        <f>SUMIFS(TP!$P:$P,TP!$R:$R,$X$9,TP!$U:$U,Toimintamenetelmät!$X108,TP!$AH:$AH,$Y$6,TP!$X:$X,$Y$1,TP!AW:AW,"OK")</f>
        <v>0</v>
      </c>
      <c r="E108" s="439">
        <f>SUMIFS(TP!$P:$P,TP!$R:$R,$X$9,TP!$U:$U,Toimintamenetelmät!$X108,TP!$AH:$AH,$Y$6,TP!$X:$X,$Y$1,TP!AX:AX,"OK")</f>
        <v>0</v>
      </c>
      <c r="F108" s="439">
        <f>SUMIFS(TP!$P:$P,TP!$R:$R,$X$9,TP!$U:$U,Toimintamenetelmät!$X108,TP!$AH:$AH,$Y$6,TP!$X:$X,$Y$1,TP!AY:AY,"OK")</f>
        <v>0</v>
      </c>
      <c r="G108" s="439">
        <f>SUMIFS(TP!$P:$P,TP!$R:$R,$X$9,TP!$U:$U,Toimintamenetelmät!$X108,TP!$AH:$AH,$Y$6,TP!$X:$X,$Y$1,TP!AZ:AZ,"OK")</f>
        <v>0</v>
      </c>
      <c r="H108" s="439">
        <f>SUMIFS(TP!$P:$P,TP!$R:$R,$X$9,TP!$U:$U,Toimintamenetelmät!$X108,TP!$AH:$AH,$Y$6,TP!$X:$X,$Y$1,TP!BA:BA,"OK")</f>
        <v>0</v>
      </c>
      <c r="I108" s="439">
        <f>SUMIFS(TP!$P:$P,TP!$R:$R,$X$9,TP!$U:$U,Toimintamenetelmät!$X108,TP!$AH:$AH,$Y$6,TP!$X:$X,$Y$1,TP!BB:BB,"OK")</f>
        <v>0</v>
      </c>
      <c r="J108" s="439">
        <f>SUMIFS(TP!$P:$P,TP!$R:$R,$X$9,TP!$U:$U,Toimintamenetelmät!$X108,TP!$AH:$AH,$Y$6,TP!$X:$X,$Y$1,TP!BC:BC,"OK")</f>
        <v>0</v>
      </c>
      <c r="K108" s="439">
        <f>SUMIFS(TP!$P:$P,TP!$R:$R,$X$9,TP!$U:$U,Toimintamenetelmät!$X108,TP!$AH:$AH,$Y$6,TP!$X:$X,$Y$1,TP!BD:BD,"OK")</f>
        <v>0</v>
      </c>
      <c r="L108" s="439">
        <f>SUMIFS(TP!$P:$P,TP!$R:$R,$X$9,TP!$U:$U,Toimintamenetelmät!$X108,TP!$AH:$AH,$Y$6,TP!$X:$X,$Y$1,TP!BE:BE,"OK")</f>
        <v>0</v>
      </c>
      <c r="M108" s="439">
        <f>SUMIFS(TP!$P:$P,TP!$R:$R,$X$9,TP!$U:$U,Toimintamenetelmät!$X108,TP!$AH:$AH,$Y$6,TP!$X:$X,$Y$1,TP!BF:BF,"OK")</f>
        <v>0</v>
      </c>
      <c r="N108" s="439">
        <f>SUMIFS(TP!$P:$P,TP!$R:$R,$X$9,TP!$U:$U,Toimintamenetelmät!$X108,TP!$AH:$AH,$Y$6,TP!$X:$X,$Y$1,TP!BG:BG,"OK")</f>
        <v>0</v>
      </c>
      <c r="O108" s="535">
        <f t="shared" si="8"/>
        <v>0</v>
      </c>
      <c r="P108" s="540">
        <f t="shared" si="9"/>
        <v>0</v>
      </c>
      <c r="Q108" s="535">
        <f>IF($W$3="12",SUMIFS(TP!$P:$P,TP!$AD:$AD,"OK",TP!$R:$R,$X$9,TP!$U:$U,Toimintamenetelmät!$X108,TP!$AH:$AH,$Y$6,TP!$X:$X,$Y$1),0)</f>
        <v>0</v>
      </c>
      <c r="W108" s="177"/>
      <c r="X108" t="s">
        <v>925</v>
      </c>
    </row>
    <row r="109" spans="1:24" hidden="1" x14ac:dyDescent="0.25">
      <c r="A109" s="1045"/>
      <c r="B109" s="300" t="s">
        <v>36</v>
      </c>
      <c r="C109" s="440">
        <f>SUMIFS(TP!$P:$P,TP!$R:$R,$X$9,TP!$U:$U,Toimintamenetelmät!$X109,TP!$AH:$AH,$Y$6,TP!$X:$X,$Y$1,TP!AV:AV,"OK")</f>
        <v>0</v>
      </c>
      <c r="D109" s="440">
        <f>SUMIFS(TP!$P:$P,TP!$R:$R,$X$9,TP!$U:$U,Toimintamenetelmät!$X109,TP!$AH:$AH,$Y$6,TP!$X:$X,$Y$1,TP!AW:AW,"OK")</f>
        <v>0</v>
      </c>
      <c r="E109" s="440">
        <f>SUMIFS(TP!$P:$P,TP!$R:$R,$X$9,TP!$U:$U,Toimintamenetelmät!$X109,TP!$AH:$AH,$Y$6,TP!$X:$X,$Y$1,TP!AX:AX,"OK")</f>
        <v>0</v>
      </c>
      <c r="F109" s="440">
        <f>SUMIFS(TP!$P:$P,TP!$R:$R,$X$9,TP!$U:$U,Toimintamenetelmät!$X109,TP!$AH:$AH,$Y$6,TP!$X:$X,$Y$1,TP!AY:AY,"OK")</f>
        <v>0</v>
      </c>
      <c r="G109" s="440">
        <f>SUMIFS(TP!$P:$P,TP!$R:$R,$X$9,TP!$U:$U,Toimintamenetelmät!$X109,TP!$AH:$AH,$Y$6,TP!$X:$X,$Y$1,TP!AZ:AZ,"OK")</f>
        <v>0</v>
      </c>
      <c r="H109" s="440">
        <f>SUMIFS(TP!$P:$P,TP!$R:$R,$X$9,TP!$U:$U,Toimintamenetelmät!$X109,TP!$AH:$AH,$Y$6,TP!$X:$X,$Y$1,TP!BA:BA,"OK")</f>
        <v>0</v>
      </c>
      <c r="I109" s="440">
        <f>SUMIFS(TP!$P:$P,TP!$R:$R,$X$9,TP!$U:$U,Toimintamenetelmät!$X109,TP!$AH:$AH,$Y$6,TP!$X:$X,$Y$1,TP!BB:BB,"OK")</f>
        <v>0</v>
      </c>
      <c r="J109" s="440">
        <f>SUMIFS(TP!$P:$P,TP!$R:$R,$X$9,TP!$U:$U,Toimintamenetelmät!$X109,TP!$AH:$AH,$Y$6,TP!$X:$X,$Y$1,TP!BC:BC,"OK")</f>
        <v>0</v>
      </c>
      <c r="K109" s="440">
        <f>SUMIFS(TP!$P:$P,TP!$R:$R,$X$9,TP!$U:$U,Toimintamenetelmät!$X109,TP!$AH:$AH,$Y$6,TP!$X:$X,$Y$1,TP!BD:BD,"OK")</f>
        <v>0</v>
      </c>
      <c r="L109" s="440">
        <f>SUMIFS(TP!$P:$P,TP!$R:$R,$X$9,TP!$U:$U,Toimintamenetelmät!$X109,TP!$AH:$AH,$Y$6,TP!$X:$X,$Y$1,TP!BE:BE,"OK")</f>
        <v>0</v>
      </c>
      <c r="M109" s="440">
        <f>SUMIFS(TP!$P:$P,TP!$R:$R,$X$9,TP!$U:$U,Toimintamenetelmät!$X109,TP!$AH:$AH,$Y$6,TP!$X:$X,$Y$1,TP!BF:BF,"OK")</f>
        <v>0</v>
      </c>
      <c r="N109" s="440">
        <f>SUMIFS(TP!$P:$P,TP!$R:$R,$X$9,TP!$U:$U,Toimintamenetelmät!$X109,TP!$AH:$AH,$Y$6,TP!$X:$X,$Y$1,TP!BG:BG,"OK")</f>
        <v>0</v>
      </c>
      <c r="O109" s="547">
        <f t="shared" si="8"/>
        <v>0</v>
      </c>
      <c r="P109" s="542">
        <f t="shared" si="9"/>
        <v>0</v>
      </c>
      <c r="Q109" s="547">
        <f>IF($W$3="12",SUMIFS(TP!$P:$P,TP!$AD:$AD,"OK",TP!$R:$R,$X$9,TP!$U:$U,Toimintamenetelmät!$X109,TP!$AH:$AH,$Y$6,TP!$X:$X,$Y$1),0)</f>
        <v>0</v>
      </c>
      <c r="W109" s="177"/>
      <c r="X109" t="s">
        <v>926</v>
      </c>
    </row>
    <row r="110" spans="1:24" hidden="1" x14ac:dyDescent="0.25">
      <c r="A110" s="306"/>
      <c r="B110" s="17"/>
      <c r="C110" s="17"/>
      <c r="D110" s="17"/>
      <c r="W110" s="177"/>
    </row>
    <row r="111" spans="1:24" hidden="1" x14ac:dyDescent="0.25">
      <c r="A111"/>
      <c r="W111" s="177"/>
    </row>
    <row r="112" spans="1:24" hidden="1" x14ac:dyDescent="0.25">
      <c r="A112"/>
      <c r="W112" s="177"/>
    </row>
    <row r="113" spans="1:24" hidden="1" x14ac:dyDescent="0.25">
      <c r="W113" s="177"/>
      <c r="X113" s="106" t="str">
        <f>" - "&amp;TEXT($A$2,$X$11)&amp;"-"&amp;TEXT($A$3,$X$11)&amp;" "</f>
        <v xml:space="preserve"> - 01.01.2026-31.12.2026 </v>
      </c>
    </row>
    <row r="114" spans="1:24" hidden="1" x14ac:dyDescent="0.25">
      <c r="A114" s="205" t="str">
        <f>X116&amp;W2&amp;" " &amp;X12</f>
        <v>Kaikki asiakkaat: Kaikki toimintamenetelmät ja valmennuspalvelut vuonna 2026 (Kaikki kunnat, Kaikki yksiköt)</v>
      </c>
      <c r="C114" s="307"/>
      <c r="W114" s="177"/>
      <c r="X114" s="107" t="s">
        <v>55</v>
      </c>
    </row>
    <row r="115" spans="1:24" hidden="1" x14ac:dyDescent="0.25">
      <c r="A115" s="1070" t="s">
        <v>932</v>
      </c>
      <c r="B115" s="1071"/>
      <c r="C115" s="1066" t="s">
        <v>935</v>
      </c>
      <c r="D115" s="1074"/>
      <c r="E115" s="1074"/>
      <c r="F115" s="1074"/>
      <c r="G115" s="1074"/>
      <c r="H115" s="1074"/>
      <c r="I115" s="1074"/>
      <c r="J115" s="1074"/>
      <c r="K115" s="1074"/>
      <c r="L115" s="1074"/>
      <c r="M115" s="1074"/>
      <c r="N115" s="1074"/>
      <c r="O115" s="503" t="s">
        <v>827</v>
      </c>
      <c r="W115" s="177"/>
      <c r="X115" s="107" t="str">
        <f>"("&amp;A107&amp;")"</f>
        <v>()</v>
      </c>
    </row>
    <row r="116" spans="1:24" hidden="1" x14ac:dyDescent="0.25">
      <c r="A116" s="1072"/>
      <c r="B116" s="1073"/>
      <c r="C116" s="342" t="s">
        <v>694</v>
      </c>
      <c r="D116" s="342" t="s">
        <v>695</v>
      </c>
      <c r="E116" s="342" t="s">
        <v>696</v>
      </c>
      <c r="F116" s="342" t="s">
        <v>697</v>
      </c>
      <c r="G116" s="342" t="s">
        <v>698</v>
      </c>
      <c r="H116" s="342" t="s">
        <v>699</v>
      </c>
      <c r="I116" s="342" t="s">
        <v>700</v>
      </c>
      <c r="J116" s="342" t="s">
        <v>701</v>
      </c>
      <c r="K116" s="342" t="s">
        <v>702</v>
      </c>
      <c r="L116" s="342" t="s">
        <v>703</v>
      </c>
      <c r="M116" s="342" t="s">
        <v>704</v>
      </c>
      <c r="N116" s="342" t="s">
        <v>705</v>
      </c>
      <c r="O116" s="502" t="s">
        <v>243</v>
      </c>
      <c r="W116" s="177"/>
      <c r="X116" s="397" t="s">
        <v>936</v>
      </c>
    </row>
    <row r="117" spans="1:24" hidden="1" x14ac:dyDescent="0.25">
      <c r="A117" s="286"/>
      <c r="B117" s="435" t="s">
        <v>815</v>
      </c>
      <c r="C117" s="430">
        <f>SUM(C119:C157)</f>
        <v>0</v>
      </c>
      <c r="D117" s="430">
        <f t="shared" ref="D117:N117" si="14">SUM(D119:D157)</f>
        <v>0</v>
      </c>
      <c r="E117" s="430">
        <f t="shared" si="14"/>
        <v>0</v>
      </c>
      <c r="F117" s="430">
        <f t="shared" si="14"/>
        <v>0</v>
      </c>
      <c r="G117" s="430">
        <f t="shared" si="14"/>
        <v>0</v>
      </c>
      <c r="H117" s="430">
        <f t="shared" si="14"/>
        <v>0</v>
      </c>
      <c r="I117" s="430">
        <f t="shared" si="14"/>
        <v>0</v>
      </c>
      <c r="J117" s="430">
        <f t="shared" si="14"/>
        <v>0</v>
      </c>
      <c r="K117" s="430">
        <f t="shared" si="14"/>
        <v>0</v>
      </c>
      <c r="L117" s="430">
        <f t="shared" si="14"/>
        <v>0</v>
      </c>
      <c r="M117" s="430">
        <f>SUM(M119:M157)</f>
        <v>0</v>
      </c>
      <c r="N117" s="430">
        <f t="shared" si="14"/>
        <v>0</v>
      </c>
      <c r="O117" s="432">
        <f>SUM(C117:N117)</f>
        <v>0</v>
      </c>
      <c r="W117" s="177"/>
      <c r="X117" t="s">
        <v>837</v>
      </c>
    </row>
    <row r="118" spans="1:24" hidden="1" x14ac:dyDescent="0.25">
      <c r="A118" s="291"/>
      <c r="B118" s="338"/>
      <c r="C118" s="314"/>
      <c r="D118" s="314"/>
      <c r="E118" s="314"/>
      <c r="F118" s="314"/>
      <c r="G118" s="314"/>
      <c r="H118" s="314"/>
      <c r="I118" s="314"/>
      <c r="J118" s="314"/>
      <c r="K118" s="314"/>
      <c r="L118" s="314"/>
      <c r="M118" s="314"/>
      <c r="N118" s="314"/>
      <c r="O118" s="434"/>
      <c r="W118" s="177"/>
      <c r="X118" t="s">
        <v>840</v>
      </c>
    </row>
    <row r="119" spans="1:24" hidden="1" x14ac:dyDescent="0.25">
      <c r="A119" s="1043" t="s">
        <v>842</v>
      </c>
      <c r="B119" s="295" t="s">
        <v>843</v>
      </c>
      <c r="C119" s="439">
        <f>SUMIFS(TP!$P:$P,TP!$R:$R,$X$9,TP!$U:$U,Toimintamenetelmät!$X119,TP!$AH:$AH,$Y$6,TP!$X:$X,$Y$1,TP!AJ:AJ,"OK")</f>
        <v>0</v>
      </c>
      <c r="D119" s="439">
        <f>SUMIFS(TP!$P:$P,TP!$R:$R,$X$9,TP!$U:$U,Toimintamenetelmät!$X119,TP!$AH:$AH,$Y$6,TP!$X:$X,$Y$1,TP!AK:AK,"OK")</f>
        <v>0</v>
      </c>
      <c r="E119" s="439">
        <f>SUMIFS(TP!$P:$P,TP!$R:$R,$X$9,TP!$U:$U,Toimintamenetelmät!$X119,TP!$AH:$AH,$Y$6,TP!$X:$X,$Y$1,TP!AL:AL,"OK")</f>
        <v>0</v>
      </c>
      <c r="F119" s="439">
        <f>SUMIFS(TP!$P:$P,TP!$R:$R,$X$9,TP!$U:$U,Toimintamenetelmät!$X119,TP!$AH:$AH,$Y$6,TP!$X:$X,$Y$1,TP!AM:AM,"OK")</f>
        <v>0</v>
      </c>
      <c r="G119" s="439">
        <f>SUMIFS(TP!$P:$P,TP!$R:$R,$X$9,TP!$U:$U,Toimintamenetelmät!$X119,TP!$AH:$AH,$Y$6,TP!$X:$X,$Y$1,TP!AN:AN,"OK")</f>
        <v>0</v>
      </c>
      <c r="H119" s="439">
        <f>SUMIFS(TP!$P:$P,TP!$R:$R,$X$9,TP!$U:$U,Toimintamenetelmät!$X119,TP!$AH:$AH,$Y$6,TP!$X:$X,$Y$1,TP!AO:AO,"OK")</f>
        <v>0</v>
      </c>
      <c r="I119" s="439">
        <f>SUMIFS(TP!$P:$P,TP!$R:$R,$X$9,TP!$U:$U,Toimintamenetelmät!$X119,TP!$AH:$AH,$Y$6,TP!$X:$X,$Y$1,TP!AP:AP,"OK")</f>
        <v>0</v>
      </c>
      <c r="J119" s="439">
        <f>SUMIFS(TP!$P:$P,TP!$R:$R,$X$9,TP!$U:$U,Toimintamenetelmät!$X119,TP!$AH:$AH,$Y$6,TP!$X:$X,$Y$1,TP!AQ:AQ,"OK")</f>
        <v>0</v>
      </c>
      <c r="K119" s="439">
        <f>SUMIFS(TP!$P:$P,TP!$R:$R,$X$9,TP!$U:$U,Toimintamenetelmät!$X119,TP!$AH:$AH,$Y$6,TP!$X:$X,$Y$1,TP!AR:AR,"OK")</f>
        <v>0</v>
      </c>
      <c r="L119" s="439">
        <f>SUMIFS(TP!$P:$P,TP!$R:$R,$X$9,TP!$U:$U,Toimintamenetelmät!$X119,TP!$AH:$AH,$Y$6,TP!$X:$X,$Y$1,TP!AS:AS,"OK")</f>
        <v>0</v>
      </c>
      <c r="M119" s="439">
        <f>SUMIFS(TP!$P:$P,TP!$R:$R,$X$9,TP!$U:$U,Toimintamenetelmät!$X119,TP!$AH:$AH,$Y$6,TP!$X:$X,$Y$1,TP!AT:AT,"OK")</f>
        <v>0</v>
      </c>
      <c r="N119" s="439">
        <f>SUMIFS(TP!$P:$P,TP!$R:$R,$X$9,TP!$U:$U,Toimintamenetelmät!$X119,TP!$AH:$AH,$Y$6,TP!$X:$X,$Y$1,TP!AU:AU,"OK")</f>
        <v>0</v>
      </c>
      <c r="O119" s="439">
        <f>SUM(C119:N119)</f>
        <v>0</v>
      </c>
      <c r="W119" s="177"/>
      <c r="X119" t="s">
        <v>844</v>
      </c>
    </row>
    <row r="120" spans="1:24" hidden="1" x14ac:dyDescent="0.25">
      <c r="A120" s="1044"/>
      <c r="B120" s="296" t="s">
        <v>846</v>
      </c>
      <c r="C120" s="439">
        <f>SUMIFS(TP!$P:$P,TP!$R:$R,$X$9,TP!$U:$U,Toimintamenetelmät!$X120,TP!$AH:$AH,$Y$6,TP!$X:$X,$Y$1,TP!AJ:AJ,"OK")</f>
        <v>0</v>
      </c>
      <c r="D120" s="439">
        <f>SUMIFS(TP!$P:$P,TP!$R:$R,$X$9,TP!$U:$U,Toimintamenetelmät!$X120,TP!$AH:$AH,$Y$6,TP!$X:$X,$Y$1,TP!AK:AK,"OK")</f>
        <v>0</v>
      </c>
      <c r="E120" s="439">
        <f>SUMIFS(TP!$P:$P,TP!$R:$R,$X$9,TP!$U:$U,Toimintamenetelmät!$X120,TP!$AH:$AH,$Y$6,TP!$X:$X,$Y$1,TP!AL:AL,"OK")</f>
        <v>0</v>
      </c>
      <c r="F120" s="439">
        <f>SUMIFS(TP!$P:$P,TP!$R:$R,$X$9,TP!$U:$U,Toimintamenetelmät!$X120,TP!$AH:$AH,$Y$6,TP!$X:$X,$Y$1,TP!AM:AM,"OK")</f>
        <v>0</v>
      </c>
      <c r="G120" s="439">
        <f>SUMIFS(TP!$P:$P,TP!$R:$R,$X$9,TP!$U:$U,Toimintamenetelmät!$X120,TP!$AH:$AH,$Y$6,TP!$X:$X,$Y$1,TP!AN:AN,"OK")</f>
        <v>0</v>
      </c>
      <c r="H120" s="439">
        <f>SUMIFS(TP!$P:$P,TP!$R:$R,$X$9,TP!$U:$U,Toimintamenetelmät!$X120,TP!$AH:$AH,$Y$6,TP!$X:$X,$Y$1,TP!AO:AO,"OK")</f>
        <v>0</v>
      </c>
      <c r="I120" s="439">
        <f>SUMIFS(TP!$P:$P,TP!$R:$R,$X$9,TP!$U:$U,Toimintamenetelmät!$X120,TP!$AH:$AH,$Y$6,TP!$X:$X,$Y$1,TP!AP:AP,"OK")</f>
        <v>0</v>
      </c>
      <c r="J120" s="439">
        <f>SUMIFS(TP!$P:$P,TP!$R:$R,$X$9,TP!$U:$U,Toimintamenetelmät!$X120,TP!$AH:$AH,$Y$6,TP!$X:$X,$Y$1,TP!AQ:AQ,"OK")</f>
        <v>0</v>
      </c>
      <c r="K120" s="439">
        <f>SUMIFS(TP!$P:$P,TP!$R:$R,$X$9,TP!$U:$U,Toimintamenetelmät!$X120,TP!$AH:$AH,$Y$6,TP!$X:$X,$Y$1,TP!AR:AR,"OK")</f>
        <v>0</v>
      </c>
      <c r="L120" s="439">
        <f>SUMIFS(TP!$P:$P,TP!$R:$R,$X$9,TP!$U:$U,Toimintamenetelmät!$X120,TP!$AH:$AH,$Y$6,TP!$X:$X,$Y$1,TP!AS:AS,"OK")</f>
        <v>0</v>
      </c>
      <c r="M120" s="439">
        <f>SUMIFS(TP!$P:$P,TP!$R:$R,$X$9,TP!$U:$U,Toimintamenetelmät!$X120,TP!$AH:$AH,$Y$6,TP!$X:$X,$Y$1,TP!AT:AT,"OK")</f>
        <v>0</v>
      </c>
      <c r="N120" s="439">
        <f>SUMIFS(TP!$P:$P,TP!$R:$R,$X$9,TP!$U:$U,Toimintamenetelmät!$X120,TP!$AH:$AH,$Y$6,TP!$X:$X,$Y$1,TP!AU:AU,"OK")</f>
        <v>0</v>
      </c>
      <c r="O120" s="439">
        <f t="shared" ref="O120:O157" si="15">SUM(C120:N120)</f>
        <v>0</v>
      </c>
      <c r="W120" s="177"/>
      <c r="X120" t="s">
        <v>847</v>
      </c>
    </row>
    <row r="121" spans="1:24" hidden="1" x14ac:dyDescent="0.25">
      <c r="A121" s="1044"/>
      <c r="B121" s="296" t="s">
        <v>848</v>
      </c>
      <c r="C121" s="439">
        <f>SUMIFS(TP!$P:$P,TP!$R:$R,$X$9,TP!$U:$U,Toimintamenetelmät!$X121,TP!$AH:$AH,$Y$6,TP!$X:$X,$Y$1,TP!AJ:AJ,"OK")</f>
        <v>0</v>
      </c>
      <c r="D121" s="439">
        <f>SUMIFS(TP!$P:$P,TP!$R:$R,$X$9,TP!$U:$U,Toimintamenetelmät!$X121,TP!$AH:$AH,$Y$6,TP!$X:$X,$Y$1,TP!AK:AK,"OK")</f>
        <v>0</v>
      </c>
      <c r="E121" s="439">
        <f>SUMIFS(TP!$P:$P,TP!$R:$R,$X$9,TP!$U:$U,Toimintamenetelmät!$X121,TP!$AH:$AH,$Y$6,TP!$X:$X,$Y$1,TP!AL:AL,"OK")</f>
        <v>0</v>
      </c>
      <c r="F121" s="439">
        <f>SUMIFS(TP!$P:$P,TP!$R:$R,$X$9,TP!$U:$U,Toimintamenetelmät!$X121,TP!$AH:$AH,$Y$6,TP!$X:$X,$Y$1,TP!AM:AM,"OK")</f>
        <v>0</v>
      </c>
      <c r="G121" s="439">
        <f>SUMIFS(TP!$P:$P,TP!$R:$R,$X$9,TP!$U:$U,Toimintamenetelmät!$X121,TP!$AH:$AH,$Y$6,TP!$X:$X,$Y$1,TP!AN:AN,"OK")</f>
        <v>0</v>
      </c>
      <c r="H121" s="439">
        <f>SUMIFS(TP!$P:$P,TP!$R:$R,$X$9,TP!$U:$U,Toimintamenetelmät!$X121,TP!$AH:$AH,$Y$6,TP!$X:$X,$Y$1,TP!AO:AO,"OK")</f>
        <v>0</v>
      </c>
      <c r="I121" s="439">
        <f>SUMIFS(TP!$P:$P,TP!$R:$R,$X$9,TP!$U:$U,Toimintamenetelmät!$X121,TP!$AH:$AH,$Y$6,TP!$X:$X,$Y$1,TP!AP:AP,"OK")</f>
        <v>0</v>
      </c>
      <c r="J121" s="439">
        <f>SUMIFS(TP!$P:$P,TP!$R:$R,$X$9,TP!$U:$U,Toimintamenetelmät!$X121,TP!$AH:$AH,$Y$6,TP!$X:$X,$Y$1,TP!AQ:AQ,"OK")</f>
        <v>0</v>
      </c>
      <c r="K121" s="439">
        <f>SUMIFS(TP!$P:$P,TP!$R:$R,$X$9,TP!$U:$U,Toimintamenetelmät!$X121,TP!$AH:$AH,$Y$6,TP!$X:$X,$Y$1,TP!AR:AR,"OK")</f>
        <v>0</v>
      </c>
      <c r="L121" s="439">
        <f>SUMIFS(TP!$P:$P,TP!$R:$R,$X$9,TP!$U:$U,Toimintamenetelmät!$X121,TP!$AH:$AH,$Y$6,TP!$X:$X,$Y$1,TP!AS:AS,"OK")</f>
        <v>0</v>
      </c>
      <c r="M121" s="439">
        <f>SUMIFS(TP!$P:$P,TP!$R:$R,$X$9,TP!$U:$U,Toimintamenetelmät!$X121,TP!$AH:$AH,$Y$6,TP!$X:$X,$Y$1,TP!AT:AT,"OK")</f>
        <v>0</v>
      </c>
      <c r="N121" s="439">
        <f>SUMIFS(TP!$P:$P,TP!$R:$R,$X$9,TP!$U:$U,Toimintamenetelmät!$X121,TP!$AH:$AH,$Y$6,TP!$X:$X,$Y$1,TP!AU:AU,"OK")</f>
        <v>0</v>
      </c>
      <c r="O121" s="439">
        <f t="shared" si="15"/>
        <v>0</v>
      </c>
      <c r="W121" s="177"/>
      <c r="X121" t="s">
        <v>849</v>
      </c>
    </row>
    <row r="122" spans="1:24" hidden="1" x14ac:dyDescent="0.25">
      <c r="A122" s="1044"/>
      <c r="B122" s="296" t="s">
        <v>850</v>
      </c>
      <c r="C122" s="439">
        <f>SUMIFS(TP!$P:$P,TP!$R:$R,$X$9,TP!$U:$U,Toimintamenetelmät!$X122,TP!$AH:$AH,$Y$6,TP!$X:$X,$Y$1,TP!AJ:AJ,"OK")</f>
        <v>0</v>
      </c>
      <c r="D122" s="439">
        <f>SUMIFS(TP!$P:$P,TP!$R:$R,$X$9,TP!$U:$U,Toimintamenetelmät!$X122,TP!$AH:$AH,$Y$6,TP!$X:$X,$Y$1,TP!AK:AK,"OK")</f>
        <v>0</v>
      </c>
      <c r="E122" s="439">
        <f>SUMIFS(TP!$P:$P,TP!$R:$R,$X$9,TP!$U:$U,Toimintamenetelmät!$X122,TP!$AH:$AH,$Y$6,TP!$X:$X,$Y$1,TP!AL:AL,"OK")</f>
        <v>0</v>
      </c>
      <c r="F122" s="439">
        <f>SUMIFS(TP!$P:$P,TP!$R:$R,$X$9,TP!$U:$U,Toimintamenetelmät!$X122,TP!$AH:$AH,$Y$6,TP!$X:$X,$Y$1,TP!AM:AM,"OK")</f>
        <v>0</v>
      </c>
      <c r="G122" s="439">
        <f>SUMIFS(TP!$P:$P,TP!$R:$R,$X$9,TP!$U:$U,Toimintamenetelmät!$X122,TP!$AH:$AH,$Y$6,TP!$X:$X,$Y$1,TP!AN:AN,"OK")</f>
        <v>0</v>
      </c>
      <c r="H122" s="439">
        <f>SUMIFS(TP!$P:$P,TP!$R:$R,$X$9,TP!$U:$U,Toimintamenetelmät!$X122,TP!$AH:$AH,$Y$6,TP!$X:$X,$Y$1,TP!AO:AO,"OK")</f>
        <v>0</v>
      </c>
      <c r="I122" s="439">
        <f>SUMIFS(TP!$P:$P,TP!$R:$R,$X$9,TP!$U:$U,Toimintamenetelmät!$X122,TP!$AH:$AH,$Y$6,TP!$X:$X,$Y$1,TP!AP:AP,"OK")</f>
        <v>0</v>
      </c>
      <c r="J122" s="439">
        <f>SUMIFS(TP!$P:$P,TP!$R:$R,$X$9,TP!$U:$U,Toimintamenetelmät!$X122,TP!$AH:$AH,$Y$6,TP!$X:$X,$Y$1,TP!AQ:AQ,"OK")</f>
        <v>0</v>
      </c>
      <c r="K122" s="439">
        <f>SUMIFS(TP!$P:$P,TP!$R:$R,$X$9,TP!$U:$U,Toimintamenetelmät!$X122,TP!$AH:$AH,$Y$6,TP!$X:$X,$Y$1,TP!AR:AR,"OK")</f>
        <v>0</v>
      </c>
      <c r="L122" s="439">
        <f>SUMIFS(TP!$P:$P,TP!$R:$R,$X$9,TP!$U:$U,Toimintamenetelmät!$X122,TP!$AH:$AH,$Y$6,TP!$X:$X,$Y$1,TP!AS:AS,"OK")</f>
        <v>0</v>
      </c>
      <c r="M122" s="439">
        <f>SUMIFS(TP!$P:$P,TP!$R:$R,$X$9,TP!$U:$U,Toimintamenetelmät!$X122,TP!$AH:$AH,$Y$6,TP!$X:$X,$Y$1,TP!AT:AT,"OK")</f>
        <v>0</v>
      </c>
      <c r="N122" s="439">
        <f>SUMIFS(TP!$P:$P,TP!$R:$R,$X$9,TP!$U:$U,Toimintamenetelmät!$X122,TP!$AH:$AH,$Y$6,TP!$X:$X,$Y$1,TP!AU:AU,"OK")</f>
        <v>0</v>
      </c>
      <c r="O122" s="439">
        <f t="shared" si="15"/>
        <v>0</v>
      </c>
      <c r="W122" s="177"/>
      <c r="X122" t="s">
        <v>851</v>
      </c>
    </row>
    <row r="123" spans="1:24" hidden="1" x14ac:dyDescent="0.25">
      <c r="A123" s="1045"/>
      <c r="B123" s="296" t="s">
        <v>852</v>
      </c>
      <c r="C123" s="439">
        <f>SUMIFS(TP!$P:$P,TP!$R:$R,$X$9,TP!$U:$U,Toimintamenetelmät!$X123,TP!$AH:$AH,$Y$6,TP!$X:$X,$Y$1,TP!AJ:AJ,"OK")</f>
        <v>0</v>
      </c>
      <c r="D123" s="439">
        <f>SUMIFS(TP!$P:$P,TP!$R:$R,$X$9,TP!$U:$U,Toimintamenetelmät!$X123,TP!$AH:$AH,$Y$6,TP!$X:$X,$Y$1,TP!AK:AK,"OK")</f>
        <v>0</v>
      </c>
      <c r="E123" s="439">
        <f>SUMIFS(TP!$P:$P,TP!$R:$R,$X$9,TP!$U:$U,Toimintamenetelmät!$X123,TP!$AH:$AH,$Y$6,TP!$X:$X,$Y$1,TP!AL:AL,"OK")</f>
        <v>0</v>
      </c>
      <c r="F123" s="439">
        <f>SUMIFS(TP!$P:$P,TP!$R:$R,$X$9,TP!$U:$U,Toimintamenetelmät!$X123,TP!$AH:$AH,$Y$6,TP!$X:$X,$Y$1,TP!AM:AM,"OK")</f>
        <v>0</v>
      </c>
      <c r="G123" s="439">
        <f>SUMIFS(TP!$P:$P,TP!$R:$R,$X$9,TP!$U:$U,Toimintamenetelmät!$X123,TP!$AH:$AH,$Y$6,TP!$X:$X,$Y$1,TP!AN:AN,"OK")</f>
        <v>0</v>
      </c>
      <c r="H123" s="439">
        <f>SUMIFS(TP!$P:$P,TP!$R:$R,$X$9,TP!$U:$U,Toimintamenetelmät!$X123,TP!$AH:$AH,$Y$6,TP!$X:$X,$Y$1,TP!AO:AO,"OK")</f>
        <v>0</v>
      </c>
      <c r="I123" s="439">
        <f>SUMIFS(TP!$P:$P,TP!$R:$R,$X$9,TP!$U:$U,Toimintamenetelmät!$X123,TP!$AH:$AH,$Y$6,TP!$X:$X,$Y$1,TP!AP:AP,"OK")</f>
        <v>0</v>
      </c>
      <c r="J123" s="439">
        <f>SUMIFS(TP!$P:$P,TP!$R:$R,$X$9,TP!$U:$U,Toimintamenetelmät!$X123,TP!$AH:$AH,$Y$6,TP!$X:$X,$Y$1,TP!AQ:AQ,"OK")</f>
        <v>0</v>
      </c>
      <c r="K123" s="439">
        <f>SUMIFS(TP!$P:$P,TP!$R:$R,$X$9,TP!$U:$U,Toimintamenetelmät!$X123,TP!$AH:$AH,$Y$6,TP!$X:$X,$Y$1,TP!AR:AR,"OK")</f>
        <v>0</v>
      </c>
      <c r="L123" s="439">
        <f>SUMIFS(TP!$P:$P,TP!$R:$R,$X$9,TP!$U:$U,Toimintamenetelmät!$X123,TP!$AH:$AH,$Y$6,TP!$X:$X,$Y$1,TP!AS:AS,"OK")</f>
        <v>0</v>
      </c>
      <c r="M123" s="439">
        <f>SUMIFS(TP!$P:$P,TP!$R:$R,$X$9,TP!$U:$U,Toimintamenetelmät!$X123,TP!$AH:$AH,$Y$6,TP!$X:$X,$Y$1,TP!AT:AT,"OK")</f>
        <v>0</v>
      </c>
      <c r="N123" s="439">
        <f>SUMIFS(TP!$P:$P,TP!$R:$R,$X$9,TP!$U:$U,Toimintamenetelmät!$X123,TP!$AH:$AH,$Y$6,TP!$X:$X,$Y$1,TP!AU:AU,"OK")</f>
        <v>0</v>
      </c>
      <c r="O123" s="439">
        <f t="shared" si="15"/>
        <v>0</v>
      </c>
      <c r="W123" s="177"/>
      <c r="X123" t="s">
        <v>853</v>
      </c>
    </row>
    <row r="124" spans="1:24" hidden="1" x14ac:dyDescent="0.25">
      <c r="A124" s="292"/>
      <c r="B124" s="294"/>
      <c r="C124" s="438"/>
      <c r="D124" s="438"/>
      <c r="E124" s="438"/>
      <c r="F124" s="438"/>
      <c r="G124" s="438"/>
      <c r="H124" s="438"/>
      <c r="I124" s="438"/>
      <c r="J124" s="438"/>
      <c r="K124" s="438"/>
      <c r="L124" s="438"/>
      <c r="M124" s="438"/>
      <c r="N124" s="438"/>
      <c r="O124" s="438">
        <f t="shared" si="15"/>
        <v>0</v>
      </c>
      <c r="W124" s="177"/>
      <c r="X124" t="s">
        <v>854</v>
      </c>
    </row>
    <row r="125" spans="1:24" hidden="1" x14ac:dyDescent="0.25">
      <c r="A125" s="1043" t="s">
        <v>855</v>
      </c>
      <c r="B125" s="295" t="s">
        <v>856</v>
      </c>
      <c r="C125" s="439">
        <f>SUMIFS(TP!$P:$P,TP!$R:$R,$X$9,TP!$U:$U,Toimintamenetelmät!$X125,TP!$AH:$AH,$Y$6,TP!$X:$X,$Y$1,TP!AJ:AJ,"OK")</f>
        <v>0</v>
      </c>
      <c r="D125" s="439">
        <f>SUMIFS(TP!$P:$P,TP!$R:$R,$X$9,TP!$U:$U,Toimintamenetelmät!$X125,TP!$AH:$AH,$Y$6,TP!$X:$X,$Y$1,TP!AK:AK,"OK")</f>
        <v>0</v>
      </c>
      <c r="E125" s="439">
        <f>SUMIFS(TP!$P:$P,TP!$R:$R,$X$9,TP!$U:$U,Toimintamenetelmät!$X125,TP!$AH:$AH,$Y$6,TP!$X:$X,$Y$1,TP!AL:AL,"OK")</f>
        <v>0</v>
      </c>
      <c r="F125" s="439">
        <f>SUMIFS(TP!$P:$P,TP!$R:$R,$X$9,TP!$U:$U,Toimintamenetelmät!$X125,TP!$AH:$AH,$Y$6,TP!$X:$X,$Y$1,TP!AM:AM,"OK")</f>
        <v>0</v>
      </c>
      <c r="G125" s="439">
        <f>SUMIFS(TP!$P:$P,TP!$R:$R,$X$9,TP!$U:$U,Toimintamenetelmät!$X125,TP!$AH:$AH,$Y$6,TP!$X:$X,$Y$1,TP!AN:AN,"OK")</f>
        <v>0</v>
      </c>
      <c r="H125" s="439">
        <f>SUMIFS(TP!$P:$P,TP!$R:$R,$X$9,TP!$U:$U,Toimintamenetelmät!$X125,TP!$AH:$AH,$Y$6,TP!$X:$X,$Y$1,TP!AO:AO,"OK")</f>
        <v>0</v>
      </c>
      <c r="I125" s="439">
        <f>SUMIFS(TP!$P:$P,TP!$R:$R,$X$9,TP!$U:$U,Toimintamenetelmät!$X125,TP!$AH:$AH,$Y$6,TP!$X:$X,$Y$1,TP!AP:AP,"OK")</f>
        <v>0</v>
      </c>
      <c r="J125" s="439">
        <f>SUMIFS(TP!$P:$P,TP!$R:$R,$X$9,TP!$U:$U,Toimintamenetelmät!$X125,TP!$AH:$AH,$Y$6,TP!$X:$X,$Y$1,TP!AQ:AQ,"OK")</f>
        <v>0</v>
      </c>
      <c r="K125" s="439">
        <f>SUMIFS(TP!$P:$P,TP!$R:$R,$X$9,TP!$U:$U,Toimintamenetelmät!$X125,TP!$AH:$AH,$Y$6,TP!$X:$X,$Y$1,TP!AR:AR,"OK")</f>
        <v>0</v>
      </c>
      <c r="L125" s="439">
        <f>SUMIFS(TP!$P:$P,TP!$R:$R,$X$9,TP!$U:$U,Toimintamenetelmät!$X125,TP!$AH:$AH,$Y$6,TP!$X:$X,$Y$1,TP!AS:AS,"OK")</f>
        <v>0</v>
      </c>
      <c r="M125" s="439">
        <f>SUMIFS(TP!$P:$P,TP!$R:$R,$X$9,TP!$U:$U,Toimintamenetelmät!$X125,TP!$AH:$AH,$Y$6,TP!$X:$X,$Y$1,TP!AT:AT,"OK")</f>
        <v>0</v>
      </c>
      <c r="N125" s="439">
        <f>SUMIFS(TP!$P:$P,TP!$R:$R,$X$9,TP!$U:$U,Toimintamenetelmät!$X125,TP!$AH:$AH,$Y$6,TP!$X:$X,$Y$1,TP!AU:AU,"OK")</f>
        <v>0</v>
      </c>
      <c r="O125" s="439">
        <f t="shared" si="15"/>
        <v>0</v>
      </c>
      <c r="W125" s="177"/>
      <c r="X125" t="s">
        <v>857</v>
      </c>
    </row>
    <row r="126" spans="1:24" hidden="1" x14ac:dyDescent="0.25">
      <c r="A126" s="1044"/>
      <c r="B126" s="296" t="s">
        <v>859</v>
      </c>
      <c r="C126" s="439">
        <f>SUMIFS(TP!$P:$P,TP!$R:$R,$X$9,TP!$U:$U,Toimintamenetelmät!$X126,TP!$AH:$AH,$Y$6,TP!$X:$X,$Y$1,TP!AJ:AJ,"OK")</f>
        <v>0</v>
      </c>
      <c r="D126" s="439">
        <f>SUMIFS(TP!$P:$P,TP!$R:$R,$X$9,TP!$U:$U,Toimintamenetelmät!$X126,TP!$AH:$AH,$Y$6,TP!$X:$X,$Y$1,TP!AK:AK,"OK")</f>
        <v>0</v>
      </c>
      <c r="E126" s="439">
        <f>SUMIFS(TP!$P:$P,TP!$R:$R,$X$9,TP!$U:$U,Toimintamenetelmät!$X126,TP!$AH:$AH,$Y$6,TP!$X:$X,$Y$1,TP!AL:AL,"OK")</f>
        <v>0</v>
      </c>
      <c r="F126" s="439">
        <f>SUMIFS(TP!$P:$P,TP!$R:$R,$X$9,TP!$U:$U,Toimintamenetelmät!$X126,TP!$AH:$AH,$Y$6,TP!$X:$X,$Y$1,TP!AM:AM,"OK")</f>
        <v>0</v>
      </c>
      <c r="G126" s="439">
        <f>SUMIFS(TP!$P:$P,TP!$R:$R,$X$9,TP!$U:$U,Toimintamenetelmät!$X126,TP!$AH:$AH,$Y$6,TP!$X:$X,$Y$1,TP!AN:AN,"OK")</f>
        <v>0</v>
      </c>
      <c r="H126" s="439">
        <f>SUMIFS(TP!$P:$P,TP!$R:$R,$X$9,TP!$U:$U,Toimintamenetelmät!$X126,TP!$AH:$AH,$Y$6,TP!$X:$X,$Y$1,TP!AO:AO,"OK")</f>
        <v>0</v>
      </c>
      <c r="I126" s="439">
        <f>SUMIFS(TP!$P:$P,TP!$R:$R,$X$9,TP!$U:$U,Toimintamenetelmät!$X126,TP!$AH:$AH,$Y$6,TP!$X:$X,$Y$1,TP!AP:AP,"OK")</f>
        <v>0</v>
      </c>
      <c r="J126" s="439">
        <f>SUMIFS(TP!$P:$P,TP!$R:$R,$X$9,TP!$U:$U,Toimintamenetelmät!$X126,TP!$AH:$AH,$Y$6,TP!$X:$X,$Y$1,TP!AQ:AQ,"OK")</f>
        <v>0</v>
      </c>
      <c r="K126" s="439">
        <f>SUMIFS(TP!$P:$P,TP!$R:$R,$X$9,TP!$U:$U,Toimintamenetelmät!$X126,TP!$AH:$AH,$Y$6,TP!$X:$X,$Y$1,TP!AR:AR,"OK")</f>
        <v>0</v>
      </c>
      <c r="L126" s="439">
        <f>SUMIFS(TP!$P:$P,TP!$R:$R,$X$9,TP!$U:$U,Toimintamenetelmät!$X126,TP!$AH:$AH,$Y$6,TP!$X:$X,$Y$1,TP!AS:AS,"OK")</f>
        <v>0</v>
      </c>
      <c r="M126" s="439">
        <f>SUMIFS(TP!$P:$P,TP!$R:$R,$X$9,TP!$U:$U,Toimintamenetelmät!$X126,TP!$AH:$AH,$Y$6,TP!$X:$X,$Y$1,TP!AT:AT,"OK")</f>
        <v>0</v>
      </c>
      <c r="N126" s="439">
        <f>SUMIFS(TP!$P:$P,TP!$R:$R,$X$9,TP!$U:$U,Toimintamenetelmät!$X126,TP!$AH:$AH,$Y$6,TP!$X:$X,$Y$1,TP!AU:AU,"OK")</f>
        <v>0</v>
      </c>
      <c r="O126" s="439">
        <f t="shared" si="15"/>
        <v>0</v>
      </c>
      <c r="W126" s="177"/>
      <c r="X126" t="s">
        <v>860</v>
      </c>
    </row>
    <row r="127" spans="1:24" hidden="1" x14ac:dyDescent="0.25">
      <c r="A127" s="1044"/>
      <c r="B127" s="296" t="s">
        <v>861</v>
      </c>
      <c r="C127" s="439">
        <f>SUMIFS(TP!$P:$P,TP!$R:$R,$X$9,TP!$U:$U,Toimintamenetelmät!$X127,TP!$AH:$AH,$Y$6,TP!$X:$X,$Y$1,TP!AJ:AJ,"OK")</f>
        <v>0</v>
      </c>
      <c r="D127" s="439">
        <f>SUMIFS(TP!$P:$P,TP!$R:$R,$X$9,TP!$U:$U,Toimintamenetelmät!$X127,TP!$AH:$AH,$Y$6,TP!$X:$X,$Y$1,TP!AK:AK,"OK")</f>
        <v>0</v>
      </c>
      <c r="E127" s="439">
        <f>SUMIFS(TP!$P:$P,TP!$R:$R,$X$9,TP!$U:$U,Toimintamenetelmät!$X127,TP!$AH:$AH,$Y$6,TP!$X:$X,$Y$1,TP!AL:AL,"OK")</f>
        <v>0</v>
      </c>
      <c r="F127" s="439">
        <f>SUMIFS(TP!$P:$P,TP!$R:$R,$X$9,TP!$U:$U,Toimintamenetelmät!$X127,TP!$AH:$AH,$Y$6,TP!$X:$X,$Y$1,TP!AM:AM,"OK")</f>
        <v>0</v>
      </c>
      <c r="G127" s="439">
        <f>SUMIFS(TP!$P:$P,TP!$R:$R,$X$9,TP!$U:$U,Toimintamenetelmät!$X127,TP!$AH:$AH,$Y$6,TP!$X:$X,$Y$1,TP!AN:AN,"OK")</f>
        <v>0</v>
      </c>
      <c r="H127" s="439">
        <f>SUMIFS(TP!$P:$P,TP!$R:$R,$X$9,TP!$U:$U,Toimintamenetelmät!$X127,TP!$AH:$AH,$Y$6,TP!$X:$X,$Y$1,TP!AO:AO,"OK")</f>
        <v>0</v>
      </c>
      <c r="I127" s="439">
        <f>SUMIFS(TP!$P:$P,TP!$R:$R,$X$9,TP!$U:$U,Toimintamenetelmät!$X127,TP!$AH:$AH,$Y$6,TP!$X:$X,$Y$1,TP!AP:AP,"OK")</f>
        <v>0</v>
      </c>
      <c r="J127" s="439">
        <f>SUMIFS(TP!$P:$P,TP!$R:$R,$X$9,TP!$U:$U,Toimintamenetelmät!$X127,TP!$AH:$AH,$Y$6,TP!$X:$X,$Y$1,TP!AQ:AQ,"OK")</f>
        <v>0</v>
      </c>
      <c r="K127" s="439">
        <f>SUMIFS(TP!$P:$P,TP!$R:$R,$X$9,TP!$U:$U,Toimintamenetelmät!$X127,TP!$AH:$AH,$Y$6,TP!$X:$X,$Y$1,TP!AR:AR,"OK")</f>
        <v>0</v>
      </c>
      <c r="L127" s="439">
        <f>SUMIFS(TP!$P:$P,TP!$R:$R,$X$9,TP!$U:$U,Toimintamenetelmät!$X127,TP!$AH:$AH,$Y$6,TP!$X:$X,$Y$1,TP!AS:AS,"OK")</f>
        <v>0</v>
      </c>
      <c r="M127" s="439">
        <f>SUMIFS(TP!$P:$P,TP!$R:$R,$X$9,TP!$U:$U,Toimintamenetelmät!$X127,TP!$AH:$AH,$Y$6,TP!$X:$X,$Y$1,TP!AT:AT,"OK")</f>
        <v>0</v>
      </c>
      <c r="N127" s="439">
        <f>SUMIFS(TP!$P:$P,TP!$R:$R,$X$9,TP!$U:$U,Toimintamenetelmät!$X127,TP!$AH:$AH,$Y$6,TP!$X:$X,$Y$1,TP!AU:AU,"OK")</f>
        <v>0</v>
      </c>
      <c r="O127" s="439">
        <f t="shared" si="15"/>
        <v>0</v>
      </c>
      <c r="W127" s="177"/>
      <c r="X127" t="s">
        <v>862</v>
      </c>
    </row>
    <row r="128" spans="1:24" hidden="1" x14ac:dyDescent="0.25">
      <c r="A128" s="1044"/>
      <c r="B128" s="296" t="s">
        <v>863</v>
      </c>
      <c r="C128" s="439">
        <f>SUMIFS(TP!$P:$P,TP!$R:$R,$X$9,TP!$U:$U,Toimintamenetelmät!$X128,TP!$AH:$AH,$Y$6,TP!$X:$X,$Y$1,TP!AJ:AJ,"OK")</f>
        <v>0</v>
      </c>
      <c r="D128" s="439">
        <f>SUMIFS(TP!$P:$P,TP!$R:$R,$X$9,TP!$U:$U,Toimintamenetelmät!$X128,TP!$AH:$AH,$Y$6,TP!$X:$X,$Y$1,TP!AK:AK,"OK")</f>
        <v>0</v>
      </c>
      <c r="E128" s="439">
        <f>SUMIFS(TP!$P:$P,TP!$R:$R,$X$9,TP!$U:$U,Toimintamenetelmät!$X128,TP!$AH:$AH,$Y$6,TP!$X:$X,$Y$1,TP!AL:AL,"OK")</f>
        <v>0</v>
      </c>
      <c r="F128" s="439">
        <f>SUMIFS(TP!$P:$P,TP!$R:$R,$X$9,TP!$U:$U,Toimintamenetelmät!$X128,TP!$AH:$AH,$Y$6,TP!$X:$X,$Y$1,TP!AM:AM,"OK")</f>
        <v>0</v>
      </c>
      <c r="G128" s="439">
        <f>SUMIFS(TP!$P:$P,TP!$R:$R,$X$9,TP!$U:$U,Toimintamenetelmät!$X128,TP!$AH:$AH,$Y$6,TP!$X:$X,$Y$1,TP!AN:AN,"OK")</f>
        <v>0</v>
      </c>
      <c r="H128" s="439">
        <f>SUMIFS(TP!$P:$P,TP!$R:$R,$X$9,TP!$U:$U,Toimintamenetelmät!$X128,TP!$AH:$AH,$Y$6,TP!$X:$X,$Y$1,TP!AO:AO,"OK")</f>
        <v>0</v>
      </c>
      <c r="I128" s="439">
        <f>SUMIFS(TP!$P:$P,TP!$R:$R,$X$9,TP!$U:$U,Toimintamenetelmät!$X128,TP!$AH:$AH,$Y$6,TP!$X:$X,$Y$1,TP!AP:AP,"OK")</f>
        <v>0</v>
      </c>
      <c r="J128" s="439">
        <f>SUMIFS(TP!$P:$P,TP!$R:$R,$X$9,TP!$U:$U,Toimintamenetelmät!$X128,TP!$AH:$AH,$Y$6,TP!$X:$X,$Y$1,TP!AQ:AQ,"OK")</f>
        <v>0</v>
      </c>
      <c r="K128" s="439">
        <f>SUMIFS(TP!$P:$P,TP!$R:$R,$X$9,TP!$U:$U,Toimintamenetelmät!$X128,TP!$AH:$AH,$Y$6,TP!$X:$X,$Y$1,TP!AR:AR,"OK")</f>
        <v>0</v>
      </c>
      <c r="L128" s="439">
        <f>SUMIFS(TP!$P:$P,TP!$R:$R,$X$9,TP!$U:$U,Toimintamenetelmät!$X128,TP!$AH:$AH,$Y$6,TP!$X:$X,$Y$1,TP!AS:AS,"OK")</f>
        <v>0</v>
      </c>
      <c r="M128" s="439">
        <f>SUMIFS(TP!$P:$P,TP!$R:$R,$X$9,TP!$U:$U,Toimintamenetelmät!$X128,TP!$AH:$AH,$Y$6,TP!$X:$X,$Y$1,TP!AT:AT,"OK")</f>
        <v>0</v>
      </c>
      <c r="N128" s="439">
        <f>SUMIFS(TP!$P:$P,TP!$R:$R,$X$9,TP!$U:$U,Toimintamenetelmät!$X128,TP!$AH:$AH,$Y$6,TP!$X:$X,$Y$1,TP!AU:AU,"OK")</f>
        <v>0</v>
      </c>
      <c r="O128" s="439">
        <f t="shared" si="15"/>
        <v>0</v>
      </c>
      <c r="W128" s="177"/>
      <c r="X128" t="s">
        <v>864</v>
      </c>
    </row>
    <row r="129" spans="1:24" hidden="1" x14ac:dyDescent="0.25">
      <c r="A129" s="1045"/>
      <c r="B129" s="297" t="s">
        <v>865</v>
      </c>
      <c r="C129" s="439">
        <f>SUMIFS(TP!$P:$P,TP!$R:$R,$X$9,TP!$U:$U,Toimintamenetelmät!$X129,TP!$AH:$AH,$Y$6,TP!$X:$X,$Y$1,TP!AJ:AJ,"OK")</f>
        <v>0</v>
      </c>
      <c r="D129" s="439">
        <f>SUMIFS(TP!$P:$P,TP!$R:$R,$X$9,TP!$U:$U,Toimintamenetelmät!$X129,TP!$AH:$AH,$Y$6,TP!$X:$X,$Y$1,TP!AK:AK,"OK")</f>
        <v>0</v>
      </c>
      <c r="E129" s="439">
        <f>SUMIFS(TP!$P:$P,TP!$R:$R,$X$9,TP!$U:$U,Toimintamenetelmät!$X129,TP!$AH:$AH,$Y$6,TP!$X:$X,$Y$1,TP!AL:AL,"OK")</f>
        <v>0</v>
      </c>
      <c r="F129" s="439">
        <f>SUMIFS(TP!$P:$P,TP!$R:$R,$X$9,TP!$U:$U,Toimintamenetelmät!$X129,TP!$AH:$AH,$Y$6,TP!$X:$X,$Y$1,TP!AM:AM,"OK")</f>
        <v>0</v>
      </c>
      <c r="G129" s="439">
        <f>SUMIFS(TP!$P:$P,TP!$R:$R,$X$9,TP!$U:$U,Toimintamenetelmät!$X129,TP!$AH:$AH,$Y$6,TP!$X:$X,$Y$1,TP!AN:AN,"OK")</f>
        <v>0</v>
      </c>
      <c r="H129" s="439">
        <f>SUMIFS(TP!$P:$P,TP!$R:$R,$X$9,TP!$U:$U,Toimintamenetelmät!$X129,TP!$AH:$AH,$Y$6,TP!$X:$X,$Y$1,TP!AO:AO,"OK")</f>
        <v>0</v>
      </c>
      <c r="I129" s="439">
        <f>SUMIFS(TP!$P:$P,TP!$R:$R,$X$9,TP!$U:$U,Toimintamenetelmät!$X129,TP!$AH:$AH,$Y$6,TP!$X:$X,$Y$1,TP!AP:AP,"OK")</f>
        <v>0</v>
      </c>
      <c r="J129" s="439">
        <f>SUMIFS(TP!$P:$P,TP!$R:$R,$X$9,TP!$U:$U,Toimintamenetelmät!$X129,TP!$AH:$AH,$Y$6,TP!$X:$X,$Y$1,TP!AQ:AQ,"OK")</f>
        <v>0</v>
      </c>
      <c r="K129" s="439">
        <f>SUMIFS(TP!$P:$P,TP!$R:$R,$X$9,TP!$U:$U,Toimintamenetelmät!$X129,TP!$AH:$AH,$Y$6,TP!$X:$X,$Y$1,TP!AR:AR,"OK")</f>
        <v>0</v>
      </c>
      <c r="L129" s="439">
        <f>SUMIFS(TP!$P:$P,TP!$R:$R,$X$9,TP!$U:$U,Toimintamenetelmät!$X129,TP!$AH:$AH,$Y$6,TP!$X:$X,$Y$1,TP!AS:AS,"OK")</f>
        <v>0</v>
      </c>
      <c r="M129" s="439">
        <f>SUMIFS(TP!$P:$P,TP!$R:$R,$X$9,TP!$U:$U,Toimintamenetelmät!$X129,TP!$AH:$AH,$Y$6,TP!$X:$X,$Y$1,TP!AT:AT,"OK")</f>
        <v>0</v>
      </c>
      <c r="N129" s="439">
        <f>SUMIFS(TP!$P:$P,TP!$R:$R,$X$9,TP!$U:$U,Toimintamenetelmät!$X129,TP!$AH:$AH,$Y$6,TP!$X:$X,$Y$1,TP!AU:AU,"OK")</f>
        <v>0</v>
      </c>
      <c r="O129" s="439">
        <f t="shared" si="15"/>
        <v>0</v>
      </c>
      <c r="W129" s="177"/>
      <c r="X129" t="s">
        <v>866</v>
      </c>
    </row>
    <row r="130" spans="1:24" hidden="1" x14ac:dyDescent="0.25">
      <c r="A130" s="293"/>
      <c r="B130" s="294"/>
      <c r="C130" s="438"/>
      <c r="D130" s="438"/>
      <c r="E130" s="438"/>
      <c r="F130" s="438"/>
      <c r="G130" s="438"/>
      <c r="H130" s="438"/>
      <c r="I130" s="438"/>
      <c r="J130" s="438"/>
      <c r="K130" s="438"/>
      <c r="L130" s="438"/>
      <c r="M130" s="438"/>
      <c r="N130" s="438"/>
      <c r="O130" s="438">
        <f t="shared" si="15"/>
        <v>0</v>
      </c>
      <c r="W130" s="177"/>
      <c r="X130" t="s">
        <v>867</v>
      </c>
    </row>
    <row r="131" spans="1:24" hidden="1" x14ac:dyDescent="0.25">
      <c r="A131" s="1043" t="s">
        <v>868</v>
      </c>
      <c r="B131" s="298" t="s">
        <v>869</v>
      </c>
      <c r="C131" s="439">
        <f>SUMIFS(TP!$P:$P,TP!$R:$R,$X$9,TP!$U:$U,Toimintamenetelmät!$X131,TP!$AH:$AH,$Y$6,TP!$X:$X,$Y$1,TP!AJ:AJ,"OK")</f>
        <v>0</v>
      </c>
      <c r="D131" s="439">
        <f>SUMIFS(TP!$P:$P,TP!$R:$R,$X$9,TP!$U:$U,Toimintamenetelmät!$X131,TP!$AH:$AH,$Y$6,TP!$X:$X,$Y$1,TP!AK:AK,"OK")</f>
        <v>0</v>
      </c>
      <c r="E131" s="439">
        <f>SUMIFS(TP!$P:$P,TP!$R:$R,$X$9,TP!$U:$U,Toimintamenetelmät!$X131,TP!$AH:$AH,$Y$6,TP!$X:$X,$Y$1,TP!AL:AL,"OK")</f>
        <v>0</v>
      </c>
      <c r="F131" s="439">
        <f>SUMIFS(TP!$P:$P,TP!$R:$R,$X$9,TP!$U:$U,Toimintamenetelmät!$X131,TP!$AH:$AH,$Y$6,TP!$X:$X,$Y$1,TP!AM:AM,"OK")</f>
        <v>0</v>
      </c>
      <c r="G131" s="439">
        <f>SUMIFS(TP!$P:$P,TP!$R:$R,$X$9,TP!$U:$U,Toimintamenetelmät!$X131,TP!$AH:$AH,$Y$6,TP!$X:$X,$Y$1,TP!AN:AN,"OK")</f>
        <v>0</v>
      </c>
      <c r="H131" s="439">
        <f>SUMIFS(TP!$P:$P,TP!$R:$R,$X$9,TP!$U:$U,Toimintamenetelmät!$X131,TP!$AH:$AH,$Y$6,TP!$X:$X,$Y$1,TP!AO:AO,"OK")</f>
        <v>0</v>
      </c>
      <c r="I131" s="439">
        <f>SUMIFS(TP!$P:$P,TP!$R:$R,$X$9,TP!$U:$U,Toimintamenetelmät!$X131,TP!$AH:$AH,$Y$6,TP!$X:$X,$Y$1,TP!AP:AP,"OK")</f>
        <v>0</v>
      </c>
      <c r="J131" s="439">
        <f>SUMIFS(TP!$P:$P,TP!$R:$R,$X$9,TP!$U:$U,Toimintamenetelmät!$X131,TP!$AH:$AH,$Y$6,TP!$X:$X,$Y$1,TP!AQ:AQ,"OK")</f>
        <v>0</v>
      </c>
      <c r="K131" s="439">
        <f>SUMIFS(TP!$P:$P,TP!$R:$R,$X$9,TP!$U:$U,Toimintamenetelmät!$X131,TP!$AH:$AH,$Y$6,TP!$X:$X,$Y$1,TP!AR:AR,"OK")</f>
        <v>0</v>
      </c>
      <c r="L131" s="439">
        <f>SUMIFS(TP!$P:$P,TP!$R:$R,$X$9,TP!$U:$U,Toimintamenetelmät!$X131,TP!$AH:$AH,$Y$6,TP!$X:$X,$Y$1,TP!AS:AS,"OK")</f>
        <v>0</v>
      </c>
      <c r="M131" s="439">
        <f>SUMIFS(TP!$P:$P,TP!$R:$R,$X$9,TP!$U:$U,Toimintamenetelmät!$X131,TP!$AH:$AH,$Y$6,TP!$X:$X,$Y$1,TP!AT:AT,"OK")</f>
        <v>0</v>
      </c>
      <c r="N131" s="439">
        <f>SUMIFS(TP!$P:$P,TP!$R:$R,$X$9,TP!$U:$U,Toimintamenetelmät!$X131,TP!$AH:$AH,$Y$6,TP!$X:$X,$Y$1,TP!AU:AU,"OK")</f>
        <v>0</v>
      </c>
      <c r="O131" s="439">
        <f t="shared" si="15"/>
        <v>0</v>
      </c>
      <c r="W131" s="177"/>
      <c r="X131" s="228" t="s">
        <v>870</v>
      </c>
    </row>
    <row r="132" spans="1:24" hidden="1" x14ac:dyDescent="0.25">
      <c r="A132" s="1044"/>
      <c r="B132" s="299" t="s">
        <v>872</v>
      </c>
      <c r="C132" s="439">
        <f>SUMIFS(TP!$P:$P,TP!$R:$R,$X$9,TP!$U:$U,Toimintamenetelmät!$X132,TP!$AH:$AH,$Y$6,TP!$X:$X,$Y$1,TP!AJ:AJ,"OK")</f>
        <v>0</v>
      </c>
      <c r="D132" s="439">
        <f>SUMIFS(TP!$P:$P,TP!$R:$R,$X$9,TP!$U:$U,Toimintamenetelmät!$X132,TP!$AH:$AH,$Y$6,TP!$X:$X,$Y$1,TP!AK:AK,"OK")</f>
        <v>0</v>
      </c>
      <c r="E132" s="439">
        <f>SUMIFS(TP!$P:$P,TP!$R:$R,$X$9,TP!$U:$U,Toimintamenetelmät!$X132,TP!$AH:$AH,$Y$6,TP!$X:$X,$Y$1,TP!AL:AL,"OK")</f>
        <v>0</v>
      </c>
      <c r="F132" s="439">
        <f>SUMIFS(TP!$P:$P,TP!$R:$R,$X$9,TP!$U:$U,Toimintamenetelmät!$X132,TP!$AH:$AH,$Y$6,TP!$X:$X,$Y$1,TP!AM:AM,"OK")</f>
        <v>0</v>
      </c>
      <c r="G132" s="439">
        <f>SUMIFS(TP!$P:$P,TP!$R:$R,$X$9,TP!$U:$U,Toimintamenetelmät!$X132,TP!$AH:$AH,$Y$6,TP!$X:$X,$Y$1,TP!AN:AN,"OK")</f>
        <v>0</v>
      </c>
      <c r="H132" s="439">
        <f>SUMIFS(TP!$P:$P,TP!$R:$R,$X$9,TP!$U:$U,Toimintamenetelmät!$X132,TP!$AH:$AH,$Y$6,TP!$X:$X,$Y$1,TP!AO:AO,"OK")</f>
        <v>0</v>
      </c>
      <c r="I132" s="439">
        <f>SUMIFS(TP!$P:$P,TP!$R:$R,$X$9,TP!$U:$U,Toimintamenetelmät!$X132,TP!$AH:$AH,$Y$6,TP!$X:$X,$Y$1,TP!AP:AP,"OK")</f>
        <v>0</v>
      </c>
      <c r="J132" s="439">
        <f>SUMIFS(TP!$P:$P,TP!$R:$R,$X$9,TP!$U:$U,Toimintamenetelmät!$X132,TP!$AH:$AH,$Y$6,TP!$X:$X,$Y$1,TP!AQ:AQ,"OK")</f>
        <v>0</v>
      </c>
      <c r="K132" s="439">
        <f>SUMIFS(TP!$P:$P,TP!$R:$R,$X$9,TP!$U:$U,Toimintamenetelmät!$X132,TP!$AH:$AH,$Y$6,TP!$X:$X,$Y$1,TP!AR:AR,"OK")</f>
        <v>0</v>
      </c>
      <c r="L132" s="439">
        <f>SUMIFS(TP!$P:$P,TP!$R:$R,$X$9,TP!$U:$U,Toimintamenetelmät!$X132,TP!$AH:$AH,$Y$6,TP!$X:$X,$Y$1,TP!AS:AS,"OK")</f>
        <v>0</v>
      </c>
      <c r="M132" s="439">
        <f>SUMIFS(TP!$P:$P,TP!$R:$R,$X$9,TP!$U:$U,Toimintamenetelmät!$X132,TP!$AH:$AH,$Y$6,TP!$X:$X,$Y$1,TP!AT:AT,"OK")</f>
        <v>0</v>
      </c>
      <c r="N132" s="439">
        <f>SUMIFS(TP!$P:$P,TP!$R:$R,$X$9,TP!$U:$U,Toimintamenetelmät!$X132,TP!$AH:$AH,$Y$6,TP!$X:$X,$Y$1,TP!AU:AU,"OK")</f>
        <v>0</v>
      </c>
      <c r="O132" s="439">
        <f t="shared" si="15"/>
        <v>0</v>
      </c>
      <c r="W132" s="177"/>
      <c r="X132" s="228" t="s">
        <v>873</v>
      </c>
    </row>
    <row r="133" spans="1:24" hidden="1" x14ac:dyDescent="0.25">
      <c r="A133" s="1044"/>
      <c r="B133" s="299" t="s">
        <v>874</v>
      </c>
      <c r="C133" s="439">
        <f>SUMIFS(TP!$P:$P,TP!$R:$R,$X$9,TP!$U:$U,Toimintamenetelmät!$X133,TP!$AH:$AH,$Y$6,TP!$X:$X,$Y$1,TP!AJ:AJ,"OK")</f>
        <v>0</v>
      </c>
      <c r="D133" s="439">
        <f>SUMIFS(TP!$P:$P,TP!$R:$R,$X$9,TP!$U:$U,Toimintamenetelmät!$X133,TP!$AH:$AH,$Y$6,TP!$X:$X,$Y$1,TP!AK:AK,"OK")</f>
        <v>0</v>
      </c>
      <c r="E133" s="439">
        <f>SUMIFS(TP!$P:$P,TP!$R:$R,$X$9,TP!$U:$U,Toimintamenetelmät!$X133,TP!$AH:$AH,$Y$6,TP!$X:$X,$Y$1,TP!AL:AL,"OK")</f>
        <v>0</v>
      </c>
      <c r="F133" s="439">
        <f>SUMIFS(TP!$P:$P,TP!$R:$R,$X$9,TP!$U:$U,Toimintamenetelmät!$X133,TP!$AH:$AH,$Y$6,TP!$X:$X,$Y$1,TP!AM:AM,"OK")</f>
        <v>0</v>
      </c>
      <c r="G133" s="439">
        <f>SUMIFS(TP!$P:$P,TP!$R:$R,$X$9,TP!$U:$U,Toimintamenetelmät!$X133,TP!$AH:$AH,$Y$6,TP!$X:$X,$Y$1,TP!AN:AN,"OK")</f>
        <v>0</v>
      </c>
      <c r="H133" s="439">
        <f>SUMIFS(TP!$P:$P,TP!$R:$R,$X$9,TP!$U:$U,Toimintamenetelmät!$X133,TP!$AH:$AH,$Y$6,TP!$X:$X,$Y$1,TP!AO:AO,"OK")</f>
        <v>0</v>
      </c>
      <c r="I133" s="439">
        <f>SUMIFS(TP!$P:$P,TP!$R:$R,$X$9,TP!$U:$U,Toimintamenetelmät!$X133,TP!$AH:$AH,$Y$6,TP!$X:$X,$Y$1,TP!AP:AP,"OK")</f>
        <v>0</v>
      </c>
      <c r="J133" s="439">
        <f>SUMIFS(TP!$P:$P,TP!$R:$R,$X$9,TP!$U:$U,Toimintamenetelmät!$X133,TP!$AH:$AH,$Y$6,TP!$X:$X,$Y$1,TP!AQ:AQ,"OK")</f>
        <v>0</v>
      </c>
      <c r="K133" s="439">
        <f>SUMIFS(TP!$P:$P,TP!$R:$R,$X$9,TP!$U:$U,Toimintamenetelmät!$X133,TP!$AH:$AH,$Y$6,TP!$X:$X,$Y$1,TP!AR:AR,"OK")</f>
        <v>0</v>
      </c>
      <c r="L133" s="439">
        <f>SUMIFS(TP!$P:$P,TP!$R:$R,$X$9,TP!$U:$U,Toimintamenetelmät!$X133,TP!$AH:$AH,$Y$6,TP!$X:$X,$Y$1,TP!AS:AS,"OK")</f>
        <v>0</v>
      </c>
      <c r="M133" s="439">
        <f>SUMIFS(TP!$P:$P,TP!$R:$R,$X$9,TP!$U:$U,Toimintamenetelmät!$X133,TP!$AH:$AH,$Y$6,TP!$X:$X,$Y$1,TP!AT:AT,"OK")</f>
        <v>0</v>
      </c>
      <c r="N133" s="439">
        <f>SUMIFS(TP!$P:$P,TP!$R:$R,$X$9,TP!$U:$U,Toimintamenetelmät!$X133,TP!$AH:$AH,$Y$6,TP!$X:$X,$Y$1,TP!AU:AU,"OK")</f>
        <v>0</v>
      </c>
      <c r="O133" s="439">
        <f t="shared" ref="O133:O136" si="16">SUM(C133:N133)</f>
        <v>0</v>
      </c>
      <c r="W133" s="177">
        <v>2020</v>
      </c>
      <c r="X133" s="568" t="s">
        <v>875</v>
      </c>
    </row>
    <row r="134" spans="1:24" hidden="1" x14ac:dyDescent="0.25">
      <c r="A134" s="1044"/>
      <c r="B134" s="299" t="s">
        <v>876</v>
      </c>
      <c r="C134" s="439">
        <f>SUMIFS(TP!$P:$P,TP!$R:$R,$X$9,TP!$U:$U,Toimintamenetelmät!$X134,TP!$AH:$AH,$Y$6,TP!$X:$X,$Y$1,TP!AJ:AJ,"OK")</f>
        <v>0</v>
      </c>
      <c r="D134" s="439">
        <f>SUMIFS(TP!$P:$P,TP!$R:$R,$X$9,TP!$U:$U,Toimintamenetelmät!$X134,TP!$AH:$AH,$Y$6,TP!$X:$X,$Y$1,TP!AK:AK,"OK")</f>
        <v>0</v>
      </c>
      <c r="E134" s="439">
        <f>SUMIFS(TP!$P:$P,TP!$R:$R,$X$9,TP!$U:$U,Toimintamenetelmät!$X134,TP!$AH:$AH,$Y$6,TP!$X:$X,$Y$1,TP!AL:AL,"OK")</f>
        <v>0</v>
      </c>
      <c r="F134" s="439">
        <f>SUMIFS(TP!$P:$P,TP!$R:$R,$X$9,TP!$U:$U,Toimintamenetelmät!$X134,TP!$AH:$AH,$Y$6,TP!$X:$X,$Y$1,TP!AM:AM,"OK")</f>
        <v>0</v>
      </c>
      <c r="G134" s="439">
        <f>SUMIFS(TP!$P:$P,TP!$R:$R,$X$9,TP!$U:$U,Toimintamenetelmät!$X134,TP!$AH:$AH,$Y$6,TP!$X:$X,$Y$1,TP!AN:AN,"OK")</f>
        <v>0</v>
      </c>
      <c r="H134" s="439">
        <f>SUMIFS(TP!$P:$P,TP!$R:$R,$X$9,TP!$U:$U,Toimintamenetelmät!$X134,TP!$AH:$AH,$Y$6,TP!$X:$X,$Y$1,TP!AO:AO,"OK")</f>
        <v>0</v>
      </c>
      <c r="I134" s="439">
        <f>SUMIFS(TP!$P:$P,TP!$R:$R,$X$9,TP!$U:$U,Toimintamenetelmät!$X134,TP!$AH:$AH,$Y$6,TP!$X:$X,$Y$1,TP!AP:AP,"OK")</f>
        <v>0</v>
      </c>
      <c r="J134" s="439">
        <f>SUMIFS(TP!$P:$P,TP!$R:$R,$X$9,TP!$U:$U,Toimintamenetelmät!$X134,TP!$AH:$AH,$Y$6,TP!$X:$X,$Y$1,TP!AQ:AQ,"OK")</f>
        <v>0</v>
      </c>
      <c r="K134" s="439">
        <f>SUMIFS(TP!$P:$P,TP!$R:$R,$X$9,TP!$U:$U,Toimintamenetelmät!$X134,TP!$AH:$AH,$Y$6,TP!$X:$X,$Y$1,TP!AR:AR,"OK")</f>
        <v>0</v>
      </c>
      <c r="L134" s="439">
        <f>SUMIFS(TP!$P:$P,TP!$R:$R,$X$9,TP!$U:$U,Toimintamenetelmät!$X134,TP!$AH:$AH,$Y$6,TP!$X:$X,$Y$1,TP!AS:AS,"OK")</f>
        <v>0</v>
      </c>
      <c r="M134" s="439">
        <f>SUMIFS(TP!$P:$P,TP!$R:$R,$X$9,TP!$U:$U,Toimintamenetelmät!$X134,TP!$AH:$AH,$Y$6,TP!$X:$X,$Y$1,TP!AT:AT,"OK")</f>
        <v>0</v>
      </c>
      <c r="N134" s="439">
        <f>SUMIFS(TP!$P:$P,TP!$R:$R,$X$9,TP!$U:$U,Toimintamenetelmät!$X134,TP!$AH:$AH,$Y$6,TP!$X:$X,$Y$1,TP!AU:AU,"OK")</f>
        <v>0</v>
      </c>
      <c r="O134" s="439">
        <f t="shared" si="16"/>
        <v>0</v>
      </c>
      <c r="W134" s="177"/>
      <c r="X134" s="228" t="s">
        <v>877</v>
      </c>
    </row>
    <row r="135" spans="1:24" hidden="1" x14ac:dyDescent="0.25">
      <c r="A135" s="1044"/>
      <c r="B135" s="299" t="s">
        <v>878</v>
      </c>
      <c r="C135" s="439">
        <f>SUMIFS(TP!$P:$P,TP!$R:$R,$X$9,TP!$U:$U,Toimintamenetelmät!$X135,TP!$AH:$AH,$Y$6,TP!$X:$X,$Y$1,TP!AJ:AJ,"OK")</f>
        <v>0</v>
      </c>
      <c r="D135" s="439">
        <f>SUMIFS(TP!$P:$P,TP!$R:$R,$X$9,TP!$U:$U,Toimintamenetelmät!$X135,TP!$AH:$AH,$Y$6,TP!$X:$X,$Y$1,TP!AK:AK,"OK")</f>
        <v>0</v>
      </c>
      <c r="E135" s="439">
        <f>SUMIFS(TP!$P:$P,TP!$R:$R,$X$9,TP!$U:$U,Toimintamenetelmät!$X135,TP!$AH:$AH,$Y$6,TP!$X:$X,$Y$1,TP!AL:AL,"OK")</f>
        <v>0</v>
      </c>
      <c r="F135" s="439">
        <f>SUMIFS(TP!$P:$P,TP!$R:$R,$X$9,TP!$U:$U,Toimintamenetelmät!$X135,TP!$AH:$AH,$Y$6,TP!$X:$X,$Y$1,TP!AM:AM,"OK")</f>
        <v>0</v>
      </c>
      <c r="G135" s="439">
        <f>SUMIFS(TP!$P:$P,TP!$R:$R,$X$9,TP!$U:$U,Toimintamenetelmät!$X135,TP!$AH:$AH,$Y$6,TP!$X:$X,$Y$1,TP!AN:AN,"OK")</f>
        <v>0</v>
      </c>
      <c r="H135" s="439">
        <f>SUMIFS(TP!$P:$P,TP!$R:$R,$X$9,TP!$U:$U,Toimintamenetelmät!$X135,TP!$AH:$AH,$Y$6,TP!$X:$X,$Y$1,TP!AO:AO,"OK")</f>
        <v>0</v>
      </c>
      <c r="I135" s="439">
        <f>SUMIFS(TP!$P:$P,TP!$R:$R,$X$9,TP!$U:$U,Toimintamenetelmät!$X135,TP!$AH:$AH,$Y$6,TP!$X:$X,$Y$1,TP!AP:AP,"OK")</f>
        <v>0</v>
      </c>
      <c r="J135" s="439">
        <f>SUMIFS(TP!$P:$P,TP!$R:$R,$X$9,TP!$U:$U,Toimintamenetelmät!$X135,TP!$AH:$AH,$Y$6,TP!$X:$X,$Y$1,TP!AQ:AQ,"OK")</f>
        <v>0</v>
      </c>
      <c r="K135" s="439">
        <f>SUMIFS(TP!$P:$P,TP!$R:$R,$X$9,TP!$U:$U,Toimintamenetelmät!$X135,TP!$AH:$AH,$Y$6,TP!$X:$X,$Y$1,TP!AR:AR,"OK")</f>
        <v>0</v>
      </c>
      <c r="L135" s="439">
        <f>SUMIFS(TP!$P:$P,TP!$R:$R,$X$9,TP!$U:$U,Toimintamenetelmät!$X135,TP!$AH:$AH,$Y$6,TP!$X:$X,$Y$1,TP!AS:AS,"OK")</f>
        <v>0</v>
      </c>
      <c r="M135" s="439">
        <f>SUMIFS(TP!$P:$P,TP!$R:$R,$X$9,TP!$U:$U,Toimintamenetelmät!$X135,TP!$AH:$AH,$Y$6,TP!$X:$X,$Y$1,TP!AT:AT,"OK")</f>
        <v>0</v>
      </c>
      <c r="N135" s="439">
        <f>SUMIFS(TP!$P:$P,TP!$R:$R,$X$9,TP!$U:$U,Toimintamenetelmät!$X135,TP!$AH:$AH,$Y$6,TP!$X:$X,$Y$1,TP!AU:AU,"OK")</f>
        <v>0</v>
      </c>
      <c r="O135" s="439">
        <f t="shared" si="16"/>
        <v>0</v>
      </c>
      <c r="W135" s="177"/>
      <c r="X135" t="s">
        <v>879</v>
      </c>
    </row>
    <row r="136" spans="1:24" hidden="1" x14ac:dyDescent="0.25">
      <c r="A136" s="1044"/>
      <c r="B136" s="299" t="s">
        <v>880</v>
      </c>
      <c r="C136" s="439">
        <f>SUMIFS(TP!$P:$P,TP!$R:$R,$X$9,TP!$U:$U,Toimintamenetelmät!$W136,TP!$AH:$AH,$Y$6,TP!$X:$X,$Y$1,TP!AJ:AJ,"OK")+SUMIFS(TP!$P:$P,TP!$R:$R,$X$9,TP!$U:$U,Toimintamenetelmät!$X136,TP!$AH:$AH,$Y$6,TP!$X:$X,$Y$1,TP!AJ:AJ,"OK")</f>
        <v>0</v>
      </c>
      <c r="D136" s="439">
        <f>SUMIFS(TP!$P:$P,TP!$R:$R,$X$9,TP!$U:$U,Toimintamenetelmät!$W136,TP!$AH:$AH,$Y$6,TP!$X:$X,$Y$1,TP!AK:AK,"OK")+SUMIFS(TP!$P:$P,TP!$R:$R,$X$9,TP!$U:$U,Toimintamenetelmät!$X136,TP!$AH:$AH,$Y$6,TP!$X:$X,$Y$1,TP!AK:AK,"OK")</f>
        <v>0</v>
      </c>
      <c r="E136" s="439">
        <f>SUMIFS(TP!$P:$P,TP!$R:$R,$X$9,TP!$U:$U,Toimintamenetelmät!$W136,TP!$AH:$AH,$Y$6,TP!$X:$X,$Y$1,TP!AL:AL,"OK")+SUMIFS(TP!$P:$P,TP!$R:$R,$X$9,TP!$U:$U,Toimintamenetelmät!$X136,TP!$AH:$AH,$Y$6,TP!$X:$X,$Y$1,TP!AL:AL,"OK")</f>
        <v>0</v>
      </c>
      <c r="F136" s="439">
        <f>SUMIFS(TP!$P:$P,TP!$R:$R,$X$9,TP!$U:$U,Toimintamenetelmät!$W136,TP!$AH:$AH,$Y$6,TP!$X:$X,$Y$1,TP!AM:AM,"OK")+SUMIFS(TP!$P:$P,TP!$R:$R,$X$9,TP!$U:$U,Toimintamenetelmät!$X136,TP!$AH:$AH,$Y$6,TP!$X:$X,$Y$1,TP!AM:AM,"OK")</f>
        <v>0</v>
      </c>
      <c r="G136" s="439">
        <f>SUMIFS(TP!$P:$P,TP!$R:$R,$X$9,TP!$U:$U,Toimintamenetelmät!$W136,TP!$AH:$AH,$Y$6,TP!$X:$X,$Y$1,TP!AN:AN,"OK")+SUMIFS(TP!$P:$P,TP!$R:$R,$X$9,TP!$U:$U,Toimintamenetelmät!$X136,TP!$AH:$AH,$Y$6,TP!$X:$X,$Y$1,TP!AN:AN,"OK")</f>
        <v>0</v>
      </c>
      <c r="H136" s="439">
        <f>SUMIFS(TP!$P:$P,TP!$R:$R,$X$9,TP!$U:$U,Toimintamenetelmät!$W136,TP!$AH:$AH,$Y$6,TP!$X:$X,$Y$1,TP!AO:AO,"OK")+SUMIFS(TP!$P:$P,TP!$R:$R,$X$9,TP!$U:$U,Toimintamenetelmät!$X136,TP!$AH:$AH,$Y$6,TP!$X:$X,$Y$1,TP!AO:AO,"OK")</f>
        <v>0</v>
      </c>
      <c r="I136" s="439">
        <f>SUMIFS(TP!$P:$P,TP!$R:$R,$X$9,TP!$U:$U,Toimintamenetelmät!$W136,TP!$AH:$AH,$Y$6,TP!$X:$X,$Y$1,TP!AP:AP,"OK")+SUMIFS(TP!$P:$P,TP!$R:$R,$X$9,TP!$U:$U,Toimintamenetelmät!$X136,TP!$AH:$AH,$Y$6,TP!$X:$X,$Y$1,TP!AP:AP,"OK")</f>
        <v>0</v>
      </c>
      <c r="J136" s="439">
        <f>SUMIFS(TP!$P:$P,TP!$R:$R,$X$9,TP!$U:$U,Toimintamenetelmät!$W136,TP!$AH:$AH,$Y$6,TP!$X:$X,$Y$1,TP!AQ:AQ,"OK")+SUMIFS(TP!$P:$P,TP!$R:$R,$X$9,TP!$U:$U,Toimintamenetelmät!$X136,TP!$AH:$AH,$Y$6,TP!$X:$X,$Y$1,TP!AQ:AQ,"OK")</f>
        <v>0</v>
      </c>
      <c r="K136" s="439">
        <f>SUMIFS(TP!$P:$P,TP!$R:$R,$X$9,TP!$U:$U,Toimintamenetelmät!$W136,TP!$AH:$AH,$Y$6,TP!$X:$X,$Y$1,TP!AR:AR,"OK")+SUMIFS(TP!$P:$P,TP!$R:$R,$X$9,TP!$U:$U,Toimintamenetelmät!$X136,TP!$AH:$AH,$Y$6,TP!$X:$X,$Y$1,TP!AR:AR,"OK")</f>
        <v>0</v>
      </c>
      <c r="L136" s="439">
        <f>SUMIFS(TP!$P:$P,TP!$R:$R,$X$9,TP!$U:$U,Toimintamenetelmät!$W136,TP!$AH:$AH,$Y$6,TP!$X:$X,$Y$1,TP!AS:AS,"OK")+SUMIFS(TP!$P:$P,TP!$R:$R,$X$9,TP!$U:$U,Toimintamenetelmät!$X136,TP!$AH:$AH,$Y$6,TP!$X:$X,$Y$1,TP!AS:AS,"OK")</f>
        <v>0</v>
      </c>
      <c r="M136" s="439">
        <f>SUMIFS(TP!$P:$P,TP!$R:$R,$X$9,TP!$U:$U,Toimintamenetelmät!$W136,TP!$AH:$AH,$Y$6,TP!$X:$X,$Y$1,TP!AT:AT,"OK")+SUMIFS(TP!$P:$P,TP!$R:$R,$X$9,TP!$U:$U,Toimintamenetelmät!$X136,TP!$AH:$AH,$Y$6,TP!$X:$X,$Y$1,TP!AT:AT,"OK")</f>
        <v>0</v>
      </c>
      <c r="N136" s="439">
        <f>SUMIFS(TP!$P:$P,TP!$R:$R,$X$9,TP!$U:$U,Toimintamenetelmät!$W136,TP!$AH:$AH,$Y$6,TP!$X:$X,$Y$1,TP!AU:AU,"OK")+SUMIFS(TP!$P:$P,TP!$R:$R,$X$9,TP!$U:$U,Toimintamenetelmät!$X136,TP!$AH:$AH,$Y$6,TP!$X:$X,$Y$1,TP!AU:AU,"OK")</f>
        <v>0</v>
      </c>
      <c r="O136" s="439">
        <f t="shared" si="16"/>
        <v>0</v>
      </c>
      <c r="W136" s="86" t="s">
        <v>881</v>
      </c>
      <c r="X136" s="706" t="s">
        <v>882</v>
      </c>
    </row>
    <row r="137" spans="1:24" hidden="1" x14ac:dyDescent="0.25">
      <c r="A137" s="1044"/>
      <c r="B137" s="299" t="s">
        <v>883</v>
      </c>
      <c r="C137" s="439">
        <f>SUMIFS(TP!$P:$P,TP!$R:$R,$X$9,TP!$U:$U,Toimintamenetelmät!$X137,TP!$AH:$AH,$Y$6,TP!$X:$X,$Y$1,TP!AJ:AJ,"OK")</f>
        <v>0</v>
      </c>
      <c r="D137" s="439">
        <f>SUMIFS(TP!$P:$P,TP!$R:$R,$X$9,TP!$U:$U,Toimintamenetelmät!$X137,TP!$AH:$AH,$Y$6,TP!$X:$X,$Y$1,TP!AK:AK,"OK")</f>
        <v>0</v>
      </c>
      <c r="E137" s="439">
        <f>SUMIFS(TP!$P:$P,TP!$R:$R,$X$9,TP!$U:$U,Toimintamenetelmät!$X137,TP!$AH:$AH,$Y$6,TP!$X:$X,$Y$1,TP!AL:AL,"OK")</f>
        <v>0</v>
      </c>
      <c r="F137" s="439">
        <f>SUMIFS(TP!$P:$P,TP!$R:$R,$X$9,TP!$U:$U,Toimintamenetelmät!$X137,TP!$AH:$AH,$Y$6,TP!$X:$X,$Y$1,TP!AM:AM,"OK")</f>
        <v>0</v>
      </c>
      <c r="G137" s="439">
        <f>SUMIFS(TP!$P:$P,TP!$R:$R,$X$9,TP!$U:$U,Toimintamenetelmät!$X137,TP!$AH:$AH,$Y$6,TP!$X:$X,$Y$1,TP!AN:AN,"OK")</f>
        <v>0</v>
      </c>
      <c r="H137" s="439">
        <f>SUMIFS(TP!$P:$P,TP!$R:$R,$X$9,TP!$U:$U,Toimintamenetelmät!$X137,TP!$AH:$AH,$Y$6,TP!$X:$X,$Y$1,TP!AO:AO,"OK")</f>
        <v>0</v>
      </c>
      <c r="I137" s="439">
        <f>SUMIFS(TP!$P:$P,TP!$R:$R,$X$9,TP!$U:$U,Toimintamenetelmät!$X137,TP!$AH:$AH,$Y$6,TP!$X:$X,$Y$1,TP!AP:AP,"OK")</f>
        <v>0</v>
      </c>
      <c r="J137" s="439">
        <f>SUMIFS(TP!$P:$P,TP!$R:$R,$X$9,TP!$U:$U,Toimintamenetelmät!$X137,TP!$AH:$AH,$Y$6,TP!$X:$X,$Y$1,TP!AQ:AQ,"OK")</f>
        <v>0</v>
      </c>
      <c r="K137" s="439">
        <f>SUMIFS(TP!$P:$P,TP!$R:$R,$X$9,TP!$U:$U,Toimintamenetelmät!$X137,TP!$AH:$AH,$Y$6,TP!$X:$X,$Y$1,TP!AR:AR,"OK")</f>
        <v>0</v>
      </c>
      <c r="L137" s="439">
        <f>SUMIFS(TP!$P:$P,TP!$R:$R,$X$9,TP!$U:$U,Toimintamenetelmät!$X137,TP!$AH:$AH,$Y$6,TP!$X:$X,$Y$1,TP!AS:AS,"OK")</f>
        <v>0</v>
      </c>
      <c r="M137" s="439">
        <f>SUMIFS(TP!$P:$P,TP!$R:$R,$X$9,TP!$U:$U,Toimintamenetelmät!$X137,TP!$AH:$AH,$Y$6,TP!$X:$X,$Y$1,TP!AT:AT,"OK")</f>
        <v>0</v>
      </c>
      <c r="N137" s="439">
        <f>SUMIFS(TP!$P:$P,TP!$R:$R,$X$9,TP!$U:$U,Toimintamenetelmät!$X137,TP!$AH:$AH,$Y$6,TP!$X:$X,$Y$1,TP!AU:AU,"OK")</f>
        <v>0</v>
      </c>
      <c r="O137" s="439">
        <f>SUM(C137:N137)</f>
        <v>0</v>
      </c>
      <c r="W137" s="177">
        <v>2020</v>
      </c>
      <c r="X137" s="86" t="s">
        <v>884</v>
      </c>
    </row>
    <row r="138" spans="1:24" hidden="1" x14ac:dyDescent="0.25">
      <c r="A138" s="1044"/>
      <c r="B138" s="299" t="s">
        <v>885</v>
      </c>
      <c r="C138" s="439">
        <f>SUMIFS(TP!$P:$P,TP!$R:$R,$X$9,TP!$U:$U,Toimintamenetelmät!$X138,TP!$AH:$AH,$Y$6,TP!$X:$X,$Y$1,TP!AJ:AJ,"OK")</f>
        <v>0</v>
      </c>
      <c r="D138" s="439">
        <f>SUMIFS(TP!$P:$P,TP!$R:$R,$X$9,TP!$U:$U,Toimintamenetelmät!$X138,TP!$AH:$AH,$Y$6,TP!$X:$X,$Y$1,TP!AK:AK,"OK")</f>
        <v>0</v>
      </c>
      <c r="E138" s="439">
        <f>SUMIFS(TP!$P:$P,TP!$R:$R,$X$9,TP!$U:$U,Toimintamenetelmät!$X138,TP!$AH:$AH,$Y$6,TP!$X:$X,$Y$1,TP!AL:AL,"OK")</f>
        <v>0</v>
      </c>
      <c r="F138" s="439">
        <f>SUMIFS(TP!$P:$P,TP!$R:$R,$X$9,TP!$U:$U,Toimintamenetelmät!$X138,TP!$AH:$AH,$Y$6,TP!$X:$X,$Y$1,TP!AM:AM,"OK")</f>
        <v>0</v>
      </c>
      <c r="G138" s="439">
        <f>SUMIFS(TP!$P:$P,TP!$R:$R,$X$9,TP!$U:$U,Toimintamenetelmät!$X138,TP!$AH:$AH,$Y$6,TP!$X:$X,$Y$1,TP!AN:AN,"OK")</f>
        <v>0</v>
      </c>
      <c r="H138" s="439">
        <f>SUMIFS(TP!$P:$P,TP!$R:$R,$X$9,TP!$U:$U,Toimintamenetelmät!$X138,TP!$AH:$AH,$Y$6,TP!$X:$X,$Y$1,TP!AO:AO,"OK")</f>
        <v>0</v>
      </c>
      <c r="I138" s="439">
        <f>SUMIFS(TP!$P:$P,TP!$R:$R,$X$9,TP!$U:$U,Toimintamenetelmät!$X138,TP!$AH:$AH,$Y$6,TP!$X:$X,$Y$1,TP!AP:AP,"OK")</f>
        <v>0</v>
      </c>
      <c r="J138" s="439">
        <f>SUMIFS(TP!$P:$P,TP!$R:$R,$X$9,TP!$U:$U,Toimintamenetelmät!$X138,TP!$AH:$AH,$Y$6,TP!$X:$X,$Y$1,TP!AQ:AQ,"OK")</f>
        <v>0</v>
      </c>
      <c r="K138" s="439">
        <f>SUMIFS(TP!$P:$P,TP!$R:$R,$X$9,TP!$U:$U,Toimintamenetelmät!$X138,TP!$AH:$AH,$Y$6,TP!$X:$X,$Y$1,TP!AR:AR,"OK")</f>
        <v>0</v>
      </c>
      <c r="L138" s="439">
        <f>SUMIFS(TP!$P:$P,TP!$R:$R,$X$9,TP!$U:$U,Toimintamenetelmät!$X138,TP!$AH:$AH,$Y$6,TP!$X:$X,$Y$1,TP!AS:AS,"OK")</f>
        <v>0</v>
      </c>
      <c r="M138" s="439">
        <f>SUMIFS(TP!$P:$P,TP!$R:$R,$X$9,TP!$U:$U,Toimintamenetelmät!$X138,TP!$AH:$AH,$Y$6,TP!$X:$X,$Y$1,TP!AT:AT,"OK")</f>
        <v>0</v>
      </c>
      <c r="N138" s="439">
        <f>SUMIFS(TP!$P:$P,TP!$R:$R,$X$9,TP!$U:$U,Toimintamenetelmät!$X138,TP!$AH:$AH,$Y$6,TP!$X:$X,$Y$1,TP!AU:AU,"OK")</f>
        <v>0</v>
      </c>
      <c r="O138" s="439">
        <f>SUM(C138:N138)</f>
        <v>0</v>
      </c>
      <c r="W138" s="177">
        <v>2024</v>
      </c>
      <c r="X138" s="302" t="s">
        <v>886</v>
      </c>
    </row>
    <row r="139" spans="1:24" hidden="1" x14ac:dyDescent="0.25">
      <c r="A139" s="1045"/>
      <c r="B139" s="299" t="s">
        <v>887</v>
      </c>
      <c r="C139" s="439">
        <f>SUMIFS(TP!$P:$P,TP!$R:$R,$X$9,TP!$U:$U,Toimintamenetelmät!$X139,TP!$AH:$AH,$Y$6,TP!$X:$X,$Y$1,TP!AJ:AJ,"OK")</f>
        <v>0</v>
      </c>
      <c r="D139" s="439">
        <f>SUMIFS(TP!$P:$P,TP!$R:$R,$X$9,TP!$U:$U,Toimintamenetelmät!$X139,TP!$AH:$AH,$Y$6,TP!$X:$X,$Y$1,TP!AK:AK,"OK")</f>
        <v>0</v>
      </c>
      <c r="E139" s="439">
        <f>SUMIFS(TP!$P:$P,TP!$R:$R,$X$9,TP!$U:$U,Toimintamenetelmät!$X139,TP!$AH:$AH,$Y$6,TP!$X:$X,$Y$1,TP!AL:AL,"OK")</f>
        <v>0</v>
      </c>
      <c r="F139" s="439">
        <f>SUMIFS(TP!$P:$P,TP!$R:$R,$X$9,TP!$U:$U,Toimintamenetelmät!$X139,TP!$AH:$AH,$Y$6,TP!$X:$X,$Y$1,TP!AM:AM,"OK")</f>
        <v>0</v>
      </c>
      <c r="G139" s="439">
        <f>SUMIFS(TP!$P:$P,TP!$R:$R,$X$9,TP!$U:$U,Toimintamenetelmät!$X139,TP!$AH:$AH,$Y$6,TP!$X:$X,$Y$1,TP!AN:AN,"OK")</f>
        <v>0</v>
      </c>
      <c r="H139" s="439">
        <f>SUMIFS(TP!$P:$P,TP!$R:$R,$X$9,TP!$U:$U,Toimintamenetelmät!$X139,TP!$AH:$AH,$Y$6,TP!$X:$X,$Y$1,TP!AO:AO,"OK")</f>
        <v>0</v>
      </c>
      <c r="I139" s="439">
        <f>SUMIFS(TP!$P:$P,TP!$R:$R,$X$9,TP!$U:$U,Toimintamenetelmät!$X139,TP!$AH:$AH,$Y$6,TP!$X:$X,$Y$1,TP!AP:AP,"OK")</f>
        <v>0</v>
      </c>
      <c r="J139" s="439">
        <f>SUMIFS(TP!$P:$P,TP!$R:$R,$X$9,TP!$U:$U,Toimintamenetelmät!$X139,TP!$AH:$AH,$Y$6,TP!$X:$X,$Y$1,TP!AQ:AQ,"OK")</f>
        <v>0</v>
      </c>
      <c r="K139" s="439">
        <f>SUMIFS(TP!$P:$P,TP!$R:$R,$X$9,TP!$U:$U,Toimintamenetelmät!$X139,TP!$AH:$AH,$Y$6,TP!$X:$X,$Y$1,TP!AR:AR,"OK")</f>
        <v>0</v>
      </c>
      <c r="L139" s="439">
        <f>SUMIFS(TP!$P:$P,TP!$R:$R,$X$9,TP!$U:$U,Toimintamenetelmät!$X139,TP!$AH:$AH,$Y$6,TP!$X:$X,$Y$1,TP!AS:AS,"OK")</f>
        <v>0</v>
      </c>
      <c r="M139" s="439">
        <f>SUMIFS(TP!$P:$P,TP!$R:$R,$X$9,TP!$U:$U,Toimintamenetelmät!$X139,TP!$AH:$AH,$Y$6,TP!$X:$X,$Y$1,TP!AT:AT,"OK")</f>
        <v>0</v>
      </c>
      <c r="N139" s="439">
        <f>SUMIFS(TP!$P:$P,TP!$R:$R,$X$9,TP!$U:$U,Toimintamenetelmät!$X139,TP!$AH:$AH,$Y$6,TP!$X:$X,$Y$1,TP!AU:AU,"OK")</f>
        <v>0</v>
      </c>
      <c r="O139" s="439">
        <f t="shared" si="15"/>
        <v>0</v>
      </c>
      <c r="W139" s="177"/>
      <c r="X139" t="s">
        <v>888</v>
      </c>
    </row>
    <row r="140" spans="1:24" hidden="1" x14ac:dyDescent="0.25">
      <c r="A140" s="292"/>
      <c r="B140" s="294"/>
      <c r="C140" s="438"/>
      <c r="D140" s="438"/>
      <c r="E140" s="438"/>
      <c r="F140" s="438"/>
      <c r="G140" s="438"/>
      <c r="H140" s="438"/>
      <c r="I140" s="438"/>
      <c r="J140" s="438"/>
      <c r="K140" s="438"/>
      <c r="L140" s="438"/>
      <c r="M140" s="438"/>
      <c r="N140" s="438"/>
      <c r="O140" s="438">
        <f t="shared" si="15"/>
        <v>0</v>
      </c>
      <c r="W140" s="177"/>
      <c r="X140" t="s">
        <v>889</v>
      </c>
    </row>
    <row r="141" spans="1:24" hidden="1" x14ac:dyDescent="0.25">
      <c r="A141" s="1043" t="s">
        <v>890</v>
      </c>
      <c r="B141" s="298" t="s">
        <v>891</v>
      </c>
      <c r="C141" s="439">
        <f>SUMIFS(TP!$P:$P,TP!$R:$R,$X$9,TP!$U:$U,Toimintamenetelmät!$X141,TP!$AH:$AH,$Y$6,TP!$X:$X,$Y$1,TP!AJ:AJ,"OK")</f>
        <v>0</v>
      </c>
      <c r="D141" s="439">
        <f>SUMIFS(TP!$P:$P,TP!$R:$R,$X$9,TP!$U:$U,Toimintamenetelmät!$X141,TP!$AH:$AH,$Y$6,TP!$X:$X,$Y$1,TP!AK:AK,"OK")</f>
        <v>0</v>
      </c>
      <c r="E141" s="439">
        <f>SUMIFS(TP!$P:$P,TP!$R:$R,$X$9,TP!$U:$U,Toimintamenetelmät!$X141,TP!$AH:$AH,$Y$6,TP!$X:$X,$Y$1,TP!AL:AL,"OK")</f>
        <v>0</v>
      </c>
      <c r="F141" s="439">
        <f>SUMIFS(TP!$P:$P,TP!$R:$R,$X$9,TP!$U:$U,Toimintamenetelmät!$X141,TP!$AH:$AH,$Y$6,TP!$X:$X,$Y$1,TP!AM:AM,"OK")</f>
        <v>0</v>
      </c>
      <c r="G141" s="439">
        <f>SUMIFS(TP!$P:$P,TP!$R:$R,$X$9,TP!$U:$U,Toimintamenetelmät!$X141,TP!$AH:$AH,$Y$6,TP!$X:$X,$Y$1,TP!AN:AN,"OK")</f>
        <v>0</v>
      </c>
      <c r="H141" s="439">
        <f>SUMIFS(TP!$P:$P,TP!$R:$R,$X$9,TP!$U:$U,Toimintamenetelmät!$X141,TP!$AH:$AH,$Y$6,TP!$X:$X,$Y$1,TP!AO:AO,"OK")</f>
        <v>0</v>
      </c>
      <c r="I141" s="439">
        <f>SUMIFS(TP!$P:$P,TP!$R:$R,$X$9,TP!$U:$U,Toimintamenetelmät!$X141,TP!$AH:$AH,$Y$6,TP!$X:$X,$Y$1,TP!AP:AP,"OK")</f>
        <v>0</v>
      </c>
      <c r="J141" s="439">
        <f>SUMIFS(TP!$P:$P,TP!$R:$R,$X$9,TP!$U:$U,Toimintamenetelmät!$X141,TP!$AH:$AH,$Y$6,TP!$X:$X,$Y$1,TP!AQ:AQ,"OK")</f>
        <v>0</v>
      </c>
      <c r="K141" s="439">
        <f>SUMIFS(TP!$P:$P,TP!$R:$R,$X$9,TP!$U:$U,Toimintamenetelmät!$X141,TP!$AH:$AH,$Y$6,TP!$X:$X,$Y$1,TP!AR:AR,"OK")</f>
        <v>0</v>
      </c>
      <c r="L141" s="439">
        <f>SUMIFS(TP!$P:$P,TP!$R:$R,$X$9,TP!$U:$U,Toimintamenetelmät!$X141,TP!$AH:$AH,$Y$6,TP!$X:$X,$Y$1,TP!AS:AS,"OK")</f>
        <v>0</v>
      </c>
      <c r="M141" s="439">
        <f>SUMIFS(TP!$P:$P,TP!$R:$R,$X$9,TP!$U:$U,Toimintamenetelmät!$X141,TP!$AH:$AH,$Y$6,TP!$X:$X,$Y$1,TP!AT:AT,"OK")</f>
        <v>0</v>
      </c>
      <c r="N141" s="439">
        <f>SUMIFS(TP!$P:$P,TP!$R:$R,$X$9,TP!$U:$U,Toimintamenetelmät!$X141,TP!$AH:$AH,$Y$6,TP!$X:$X,$Y$1,TP!AU:AU,"OK")</f>
        <v>0</v>
      </c>
      <c r="O141" s="439">
        <f t="shared" si="15"/>
        <v>0</v>
      </c>
      <c r="W141" s="177"/>
      <c r="X141" t="s">
        <v>892</v>
      </c>
    </row>
    <row r="142" spans="1:24" hidden="1" x14ac:dyDescent="0.25">
      <c r="A142" s="1044"/>
      <c r="B142" s="299" t="s">
        <v>893</v>
      </c>
      <c r="C142" s="439">
        <f>SUMIFS(TP!$P:$P,TP!$R:$R,$X$9,TP!$U:$U,Toimintamenetelmät!$X142,TP!$AH:$AH,$Y$6,TP!$X:$X,$Y$1,TP!AJ:AJ,"OK")</f>
        <v>0</v>
      </c>
      <c r="D142" s="439">
        <f>SUMIFS(TP!$P:$P,TP!$R:$R,$X$9,TP!$U:$U,Toimintamenetelmät!$X142,TP!$AH:$AH,$Y$6,TP!$X:$X,$Y$1,TP!AK:AK,"OK")</f>
        <v>0</v>
      </c>
      <c r="E142" s="439">
        <f>SUMIFS(TP!$P:$P,TP!$R:$R,$X$9,TP!$U:$U,Toimintamenetelmät!$X142,TP!$AH:$AH,$Y$6,TP!$X:$X,$Y$1,TP!AL:AL,"OK")</f>
        <v>0</v>
      </c>
      <c r="F142" s="439">
        <f>SUMIFS(TP!$P:$P,TP!$R:$R,$X$9,TP!$U:$U,Toimintamenetelmät!$X142,TP!$AH:$AH,$Y$6,TP!$X:$X,$Y$1,TP!AM:AM,"OK")</f>
        <v>0</v>
      </c>
      <c r="G142" s="439">
        <f>SUMIFS(TP!$P:$P,TP!$R:$R,$X$9,TP!$U:$U,Toimintamenetelmät!$X142,TP!$AH:$AH,$Y$6,TP!$X:$X,$Y$1,TP!AN:AN,"OK")</f>
        <v>0</v>
      </c>
      <c r="H142" s="439">
        <f>SUMIFS(TP!$P:$P,TP!$R:$R,$X$9,TP!$U:$U,Toimintamenetelmät!$X142,TP!$AH:$AH,$Y$6,TP!$X:$X,$Y$1,TP!AO:AO,"OK")</f>
        <v>0</v>
      </c>
      <c r="I142" s="439">
        <f>SUMIFS(TP!$P:$P,TP!$R:$R,$X$9,TP!$U:$U,Toimintamenetelmät!$X142,TP!$AH:$AH,$Y$6,TP!$X:$X,$Y$1,TP!AP:AP,"OK")</f>
        <v>0</v>
      </c>
      <c r="J142" s="439">
        <f>SUMIFS(TP!$P:$P,TP!$R:$R,$X$9,TP!$U:$U,Toimintamenetelmät!$X142,TP!$AH:$AH,$Y$6,TP!$X:$X,$Y$1,TP!AQ:AQ,"OK")</f>
        <v>0</v>
      </c>
      <c r="K142" s="439">
        <f>SUMIFS(TP!$P:$P,TP!$R:$R,$X$9,TP!$U:$U,Toimintamenetelmät!$X142,TP!$AH:$AH,$Y$6,TP!$X:$X,$Y$1,TP!AR:AR,"OK")</f>
        <v>0</v>
      </c>
      <c r="L142" s="439">
        <f>SUMIFS(TP!$P:$P,TP!$R:$R,$X$9,TP!$U:$U,Toimintamenetelmät!$X142,TP!$AH:$AH,$Y$6,TP!$X:$X,$Y$1,TP!AS:AS,"OK")</f>
        <v>0</v>
      </c>
      <c r="M142" s="439">
        <f>SUMIFS(TP!$P:$P,TP!$R:$R,$X$9,TP!$U:$U,Toimintamenetelmät!$X142,TP!$AH:$AH,$Y$6,TP!$X:$X,$Y$1,TP!AT:AT,"OK")</f>
        <v>0</v>
      </c>
      <c r="N142" s="439">
        <f>SUMIFS(TP!$P:$P,TP!$R:$R,$X$9,TP!$U:$U,Toimintamenetelmät!$X142,TP!$AH:$AH,$Y$6,TP!$X:$X,$Y$1,TP!AU:AU,"OK")</f>
        <v>0</v>
      </c>
      <c r="O142" s="439">
        <f t="shared" si="15"/>
        <v>0</v>
      </c>
      <c r="W142" s="177"/>
      <c r="X142" t="s">
        <v>894</v>
      </c>
    </row>
    <row r="143" spans="1:24" hidden="1" x14ac:dyDescent="0.25">
      <c r="A143" s="1044"/>
      <c r="B143" s="299" t="s">
        <v>895</v>
      </c>
      <c r="C143" s="439">
        <f>SUMIFS(TP!$P:$P,TP!$R:$R,$X$9,TP!$U:$U,Toimintamenetelmät!$X143,TP!$AH:$AH,$Y$6,TP!$X:$X,$Y$1,TP!AJ:AJ,"OK")</f>
        <v>0</v>
      </c>
      <c r="D143" s="439">
        <f>SUMIFS(TP!$P:$P,TP!$R:$R,$X$9,TP!$U:$U,Toimintamenetelmät!$X143,TP!$AH:$AH,$Y$6,TP!$X:$X,$Y$1,TP!AK:AK,"OK")</f>
        <v>0</v>
      </c>
      <c r="E143" s="439">
        <f>SUMIFS(TP!$P:$P,TP!$R:$R,$X$9,TP!$U:$U,Toimintamenetelmät!$X143,TP!$AH:$AH,$Y$6,TP!$X:$X,$Y$1,TP!AL:AL,"OK")</f>
        <v>0</v>
      </c>
      <c r="F143" s="439">
        <f>SUMIFS(TP!$P:$P,TP!$R:$R,$X$9,TP!$U:$U,Toimintamenetelmät!$X143,TP!$AH:$AH,$Y$6,TP!$X:$X,$Y$1,TP!AM:AM,"OK")</f>
        <v>0</v>
      </c>
      <c r="G143" s="439">
        <f>SUMIFS(TP!$P:$P,TP!$R:$R,$X$9,TP!$U:$U,Toimintamenetelmät!$X143,TP!$AH:$AH,$Y$6,TP!$X:$X,$Y$1,TP!AN:AN,"OK")</f>
        <v>0</v>
      </c>
      <c r="H143" s="439">
        <f>SUMIFS(TP!$P:$P,TP!$R:$R,$X$9,TP!$U:$U,Toimintamenetelmät!$X143,TP!$AH:$AH,$Y$6,TP!$X:$X,$Y$1,TP!AO:AO,"OK")</f>
        <v>0</v>
      </c>
      <c r="I143" s="439">
        <f>SUMIFS(TP!$P:$P,TP!$R:$R,$X$9,TP!$U:$U,Toimintamenetelmät!$X143,TP!$AH:$AH,$Y$6,TP!$X:$X,$Y$1,TP!AP:AP,"OK")</f>
        <v>0</v>
      </c>
      <c r="J143" s="439">
        <f>SUMIFS(TP!$P:$P,TP!$R:$R,$X$9,TP!$U:$U,Toimintamenetelmät!$X143,TP!$AH:$AH,$Y$6,TP!$X:$X,$Y$1,TP!AQ:AQ,"OK")</f>
        <v>0</v>
      </c>
      <c r="K143" s="439">
        <f>SUMIFS(TP!$P:$P,TP!$R:$R,$X$9,TP!$U:$U,Toimintamenetelmät!$X143,TP!$AH:$AH,$Y$6,TP!$X:$X,$Y$1,TP!AR:AR,"OK")</f>
        <v>0</v>
      </c>
      <c r="L143" s="439">
        <f>SUMIFS(TP!$P:$P,TP!$R:$R,$X$9,TP!$U:$U,Toimintamenetelmät!$X143,TP!$AH:$AH,$Y$6,TP!$X:$X,$Y$1,TP!AS:AS,"OK")</f>
        <v>0</v>
      </c>
      <c r="M143" s="439">
        <f>SUMIFS(TP!$P:$P,TP!$R:$R,$X$9,TP!$U:$U,Toimintamenetelmät!$X143,TP!$AH:$AH,$Y$6,TP!$X:$X,$Y$1,TP!AT:AT,"OK")</f>
        <v>0</v>
      </c>
      <c r="N143" s="439">
        <f>SUMIFS(TP!$P:$P,TP!$R:$R,$X$9,TP!$U:$U,Toimintamenetelmät!$X143,TP!$AH:$AH,$Y$6,TP!$X:$X,$Y$1,TP!AU:AU,"OK")</f>
        <v>0</v>
      </c>
      <c r="O143" s="439">
        <f t="shared" si="15"/>
        <v>0</v>
      </c>
      <c r="W143" s="177"/>
      <c r="X143" t="s">
        <v>896</v>
      </c>
    </row>
    <row r="144" spans="1:24" hidden="1" x14ac:dyDescent="0.25">
      <c r="A144" s="1045"/>
      <c r="B144" s="299" t="s">
        <v>897</v>
      </c>
      <c r="C144" s="439">
        <f>SUMIFS(TP!$P:$P,TP!$R:$R,$X$9,TP!$U:$U,Toimintamenetelmät!$X144,TP!$AH:$AH,$Y$6,TP!$X:$X,$Y$1,TP!AJ:AJ,"OK")</f>
        <v>0</v>
      </c>
      <c r="D144" s="439">
        <f>SUMIFS(TP!$P:$P,TP!$R:$R,$X$9,TP!$U:$U,Toimintamenetelmät!$X144,TP!$AH:$AH,$Y$6,TP!$X:$X,$Y$1,TP!AK:AK,"OK")</f>
        <v>0</v>
      </c>
      <c r="E144" s="439">
        <f>SUMIFS(TP!$P:$P,TP!$R:$R,$X$9,TP!$U:$U,Toimintamenetelmät!$X144,TP!$AH:$AH,$Y$6,TP!$X:$X,$Y$1,TP!AL:AL,"OK")</f>
        <v>0</v>
      </c>
      <c r="F144" s="439">
        <f>SUMIFS(TP!$P:$P,TP!$R:$R,$X$9,TP!$U:$U,Toimintamenetelmät!$X144,TP!$AH:$AH,$Y$6,TP!$X:$X,$Y$1,TP!AM:AM,"OK")</f>
        <v>0</v>
      </c>
      <c r="G144" s="439">
        <f>SUMIFS(TP!$P:$P,TP!$R:$R,$X$9,TP!$U:$U,Toimintamenetelmät!$X144,TP!$AH:$AH,$Y$6,TP!$X:$X,$Y$1,TP!AN:AN,"OK")</f>
        <v>0</v>
      </c>
      <c r="H144" s="439">
        <f>SUMIFS(TP!$P:$P,TP!$R:$R,$X$9,TP!$U:$U,Toimintamenetelmät!$X144,TP!$AH:$AH,$Y$6,TP!$X:$X,$Y$1,TP!AO:AO,"OK")</f>
        <v>0</v>
      </c>
      <c r="I144" s="439">
        <f>SUMIFS(TP!$P:$P,TP!$R:$R,$X$9,TP!$U:$U,Toimintamenetelmät!$X144,TP!$AH:$AH,$Y$6,TP!$X:$X,$Y$1,TP!AP:AP,"OK")</f>
        <v>0</v>
      </c>
      <c r="J144" s="439">
        <f>SUMIFS(TP!$P:$P,TP!$R:$R,$X$9,TP!$U:$U,Toimintamenetelmät!$X144,TP!$AH:$AH,$Y$6,TP!$X:$X,$Y$1,TP!AQ:AQ,"OK")</f>
        <v>0</v>
      </c>
      <c r="K144" s="439">
        <f>SUMIFS(TP!$P:$P,TP!$R:$R,$X$9,TP!$U:$U,Toimintamenetelmät!$X144,TP!$AH:$AH,$Y$6,TP!$X:$X,$Y$1,TP!AR:AR,"OK")</f>
        <v>0</v>
      </c>
      <c r="L144" s="439">
        <f>SUMIFS(TP!$P:$P,TP!$R:$R,$X$9,TP!$U:$U,Toimintamenetelmät!$X144,TP!$AH:$AH,$Y$6,TP!$X:$X,$Y$1,TP!AS:AS,"OK")</f>
        <v>0</v>
      </c>
      <c r="M144" s="439">
        <f>SUMIFS(TP!$P:$P,TP!$R:$R,$X$9,TP!$U:$U,Toimintamenetelmät!$X144,TP!$AH:$AH,$Y$6,TP!$X:$X,$Y$1,TP!AT:AT,"OK")</f>
        <v>0</v>
      </c>
      <c r="N144" s="439">
        <f>SUMIFS(TP!$P:$P,TP!$R:$R,$X$9,TP!$U:$U,Toimintamenetelmät!$X144,TP!$AH:$AH,$Y$6,TP!$X:$X,$Y$1,TP!AU:AU,"OK")</f>
        <v>0</v>
      </c>
      <c r="O144" s="439">
        <f t="shared" si="15"/>
        <v>0</v>
      </c>
      <c r="W144" s="177"/>
      <c r="X144" t="s">
        <v>898</v>
      </c>
    </row>
    <row r="145" spans="1:24" hidden="1" x14ac:dyDescent="0.25">
      <c r="A145" s="292"/>
      <c r="B145" s="294"/>
      <c r="C145" s="438"/>
      <c r="D145" s="438"/>
      <c r="E145" s="438"/>
      <c r="F145" s="438"/>
      <c r="G145" s="438"/>
      <c r="H145" s="438"/>
      <c r="I145" s="438"/>
      <c r="J145" s="438"/>
      <c r="K145" s="438"/>
      <c r="L145" s="438"/>
      <c r="M145" s="438"/>
      <c r="N145" s="438"/>
      <c r="O145" s="438">
        <f t="shared" si="15"/>
        <v>0</v>
      </c>
      <c r="W145" s="177"/>
      <c r="X145" t="s">
        <v>900</v>
      </c>
    </row>
    <row r="146" spans="1:24" hidden="1" x14ac:dyDescent="0.25">
      <c r="A146" s="1043" t="s">
        <v>901</v>
      </c>
      <c r="B146" s="298" t="s">
        <v>902</v>
      </c>
      <c r="C146" s="439">
        <f>SUMIFS(TP!$P:$P,TP!$R:$R,$X$9,TP!$U:$U,Toimintamenetelmät!$X146,TP!$AH:$AH,$Y$6,TP!$X:$X,$Y$1,TP!AJ:AJ,"OK")</f>
        <v>0</v>
      </c>
      <c r="D146" s="439">
        <f>SUMIFS(TP!$P:$P,TP!$R:$R,$X$9,TP!$U:$U,Toimintamenetelmät!$X146,TP!$AH:$AH,$Y$6,TP!$X:$X,$Y$1,TP!AK:AK,"OK")</f>
        <v>0</v>
      </c>
      <c r="E146" s="439">
        <f>SUMIFS(TP!$P:$P,TP!$R:$R,$X$9,TP!$U:$U,Toimintamenetelmät!$X146,TP!$AH:$AH,$Y$6,TP!$X:$X,$Y$1,TP!AL:AL,"OK")</f>
        <v>0</v>
      </c>
      <c r="F146" s="439">
        <f>SUMIFS(TP!$P:$P,TP!$R:$R,$X$9,TP!$U:$U,Toimintamenetelmät!$X146,TP!$AH:$AH,$Y$6,TP!$X:$X,$Y$1,TP!AM:AM,"OK")</f>
        <v>0</v>
      </c>
      <c r="G146" s="439">
        <f>SUMIFS(TP!$P:$P,TP!$R:$R,$X$9,TP!$U:$U,Toimintamenetelmät!$X146,TP!$AH:$AH,$Y$6,TP!$X:$X,$Y$1,TP!AN:AN,"OK")</f>
        <v>0</v>
      </c>
      <c r="H146" s="439">
        <f>SUMIFS(TP!$P:$P,TP!$R:$R,$X$9,TP!$U:$U,Toimintamenetelmät!$X146,TP!$AH:$AH,$Y$6,TP!$X:$X,$Y$1,TP!AO:AO,"OK")</f>
        <v>0</v>
      </c>
      <c r="I146" s="439">
        <f>SUMIFS(TP!$P:$P,TP!$R:$R,$X$9,TP!$U:$U,Toimintamenetelmät!$X146,TP!$AH:$AH,$Y$6,TP!$X:$X,$Y$1,TP!AP:AP,"OK")</f>
        <v>0</v>
      </c>
      <c r="J146" s="439">
        <f>SUMIFS(TP!$P:$P,TP!$R:$R,$X$9,TP!$U:$U,Toimintamenetelmät!$X146,TP!$AH:$AH,$Y$6,TP!$X:$X,$Y$1,TP!AQ:AQ,"OK")</f>
        <v>0</v>
      </c>
      <c r="K146" s="439">
        <f>SUMIFS(TP!$P:$P,TP!$R:$R,$X$9,TP!$U:$U,Toimintamenetelmät!$X146,TP!$AH:$AH,$Y$6,TP!$X:$X,$Y$1,TP!AR:AR,"OK")</f>
        <v>0</v>
      </c>
      <c r="L146" s="439">
        <f>SUMIFS(TP!$P:$P,TP!$R:$R,$X$9,TP!$U:$U,Toimintamenetelmät!$X146,TP!$AH:$AH,$Y$6,TP!$X:$X,$Y$1,TP!AS:AS,"OK")</f>
        <v>0</v>
      </c>
      <c r="M146" s="439">
        <f>SUMIFS(TP!$P:$P,TP!$R:$R,$X$9,TP!$U:$U,Toimintamenetelmät!$X146,TP!$AH:$AH,$Y$6,TP!$X:$X,$Y$1,TP!AT:AT,"OK")</f>
        <v>0</v>
      </c>
      <c r="N146" s="439">
        <f>SUMIFS(TP!$P:$P,TP!$R:$R,$X$9,TP!$U:$U,Toimintamenetelmät!$X146,TP!$AH:$AH,$Y$6,TP!$X:$X,$Y$1,TP!AU:AU,"OK")</f>
        <v>0</v>
      </c>
      <c r="O146" s="439">
        <f t="shared" si="15"/>
        <v>0</v>
      </c>
      <c r="W146" s="177"/>
      <c r="X146" t="s">
        <v>903</v>
      </c>
    </row>
    <row r="147" spans="1:24" hidden="1" x14ac:dyDescent="0.25">
      <c r="A147" s="1044"/>
      <c r="B147" s="299" t="s">
        <v>904</v>
      </c>
      <c r="C147" s="439">
        <f>SUMIFS(TP!$P:$P,TP!$R:$R,$X$9,TP!$U:$U,Toimintamenetelmät!$X147,TP!$AH:$AH,$Y$6,TP!$X:$X,$Y$1,TP!AJ:AJ,"OK")</f>
        <v>0</v>
      </c>
      <c r="D147" s="439">
        <f>SUMIFS(TP!$P:$P,TP!$R:$R,$X$9,TP!$U:$U,Toimintamenetelmät!$X147,TP!$AH:$AH,$Y$6,TP!$X:$X,$Y$1,TP!AK:AK,"OK")</f>
        <v>0</v>
      </c>
      <c r="E147" s="439">
        <f>SUMIFS(TP!$P:$P,TP!$R:$R,$X$9,TP!$U:$U,Toimintamenetelmät!$X147,TP!$AH:$AH,$Y$6,TP!$X:$X,$Y$1,TP!AL:AL,"OK")</f>
        <v>0</v>
      </c>
      <c r="F147" s="439">
        <f>SUMIFS(TP!$P:$P,TP!$R:$R,$X$9,TP!$U:$U,Toimintamenetelmät!$X147,TP!$AH:$AH,$Y$6,TP!$X:$X,$Y$1,TP!AM:AM,"OK")</f>
        <v>0</v>
      </c>
      <c r="G147" s="439">
        <f>SUMIFS(TP!$P:$P,TP!$R:$R,$X$9,TP!$U:$U,Toimintamenetelmät!$X147,TP!$AH:$AH,$Y$6,TP!$X:$X,$Y$1,TP!AN:AN,"OK")</f>
        <v>0</v>
      </c>
      <c r="H147" s="439">
        <f>SUMIFS(TP!$P:$P,TP!$R:$R,$X$9,TP!$U:$U,Toimintamenetelmät!$X147,TP!$AH:$AH,$Y$6,TP!$X:$X,$Y$1,TP!AO:AO,"OK")</f>
        <v>0</v>
      </c>
      <c r="I147" s="439">
        <f>SUMIFS(TP!$P:$P,TP!$R:$R,$X$9,TP!$U:$U,Toimintamenetelmät!$X147,TP!$AH:$AH,$Y$6,TP!$X:$X,$Y$1,TP!AP:AP,"OK")</f>
        <v>0</v>
      </c>
      <c r="J147" s="439">
        <f>SUMIFS(TP!$P:$P,TP!$R:$R,$X$9,TP!$U:$U,Toimintamenetelmät!$X147,TP!$AH:$AH,$Y$6,TP!$X:$X,$Y$1,TP!AQ:AQ,"OK")</f>
        <v>0</v>
      </c>
      <c r="K147" s="439">
        <f>SUMIFS(TP!$P:$P,TP!$R:$R,$X$9,TP!$U:$U,Toimintamenetelmät!$X147,TP!$AH:$AH,$Y$6,TP!$X:$X,$Y$1,TP!AR:AR,"OK")</f>
        <v>0</v>
      </c>
      <c r="L147" s="439">
        <f>SUMIFS(TP!$P:$P,TP!$R:$R,$X$9,TP!$U:$U,Toimintamenetelmät!$X147,TP!$AH:$AH,$Y$6,TP!$X:$X,$Y$1,TP!AS:AS,"OK")</f>
        <v>0</v>
      </c>
      <c r="M147" s="439">
        <f>SUMIFS(TP!$P:$P,TP!$R:$R,$X$9,TP!$U:$U,Toimintamenetelmät!$X147,TP!$AH:$AH,$Y$6,TP!$X:$X,$Y$1,TP!AT:AT,"OK")</f>
        <v>0</v>
      </c>
      <c r="N147" s="439">
        <f>SUMIFS(TP!$P:$P,TP!$R:$R,$X$9,TP!$U:$U,Toimintamenetelmät!$X147,TP!$AH:$AH,$Y$6,TP!$X:$X,$Y$1,TP!AU:AU,"OK")</f>
        <v>0</v>
      </c>
      <c r="O147" s="439">
        <f t="shared" si="15"/>
        <v>0</v>
      </c>
      <c r="W147" s="177"/>
      <c r="X147" t="s">
        <v>905</v>
      </c>
    </row>
    <row r="148" spans="1:24" hidden="1" x14ac:dyDescent="0.25">
      <c r="A148" s="1044"/>
      <c r="B148" s="299" t="s">
        <v>906</v>
      </c>
      <c r="C148" s="439">
        <f>SUMIFS(TP!$P:$P,TP!$R:$R,$X$9,TP!$U:$U,Toimintamenetelmät!$X148,TP!$AH:$AH,$Y$6,TP!$X:$X,$Y$1,TP!AJ:AJ,"OK")</f>
        <v>0</v>
      </c>
      <c r="D148" s="439">
        <f>SUMIFS(TP!$P:$P,TP!$R:$R,$X$9,TP!$U:$U,Toimintamenetelmät!$X148,TP!$AH:$AH,$Y$6,TP!$X:$X,$Y$1,TP!AK:AK,"OK")</f>
        <v>0</v>
      </c>
      <c r="E148" s="439">
        <f>SUMIFS(TP!$P:$P,TP!$R:$R,$X$9,TP!$U:$U,Toimintamenetelmät!$X148,TP!$AH:$AH,$Y$6,TP!$X:$X,$Y$1,TP!AL:AL,"OK")</f>
        <v>0</v>
      </c>
      <c r="F148" s="439">
        <f>SUMIFS(TP!$P:$P,TP!$R:$R,$X$9,TP!$U:$U,Toimintamenetelmät!$X148,TP!$AH:$AH,$Y$6,TP!$X:$X,$Y$1,TP!AM:AM,"OK")</f>
        <v>0</v>
      </c>
      <c r="G148" s="439">
        <f>SUMIFS(TP!$P:$P,TP!$R:$R,$X$9,TP!$U:$U,Toimintamenetelmät!$X148,TP!$AH:$AH,$Y$6,TP!$X:$X,$Y$1,TP!AN:AN,"OK")</f>
        <v>0</v>
      </c>
      <c r="H148" s="439">
        <f>SUMIFS(TP!$P:$P,TP!$R:$R,$X$9,TP!$U:$U,Toimintamenetelmät!$X148,TP!$AH:$AH,$Y$6,TP!$X:$X,$Y$1,TP!AO:AO,"OK")</f>
        <v>0</v>
      </c>
      <c r="I148" s="439">
        <f>SUMIFS(TP!$P:$P,TP!$R:$R,$X$9,TP!$U:$U,Toimintamenetelmät!$X148,TP!$AH:$AH,$Y$6,TP!$X:$X,$Y$1,TP!AP:AP,"OK")</f>
        <v>0</v>
      </c>
      <c r="J148" s="439">
        <f>SUMIFS(TP!$P:$P,TP!$R:$R,$X$9,TP!$U:$U,Toimintamenetelmät!$X148,TP!$AH:$AH,$Y$6,TP!$X:$X,$Y$1,TP!AQ:AQ,"OK")</f>
        <v>0</v>
      </c>
      <c r="K148" s="439">
        <f>SUMIFS(TP!$P:$P,TP!$R:$R,$X$9,TP!$U:$U,Toimintamenetelmät!$X148,TP!$AH:$AH,$Y$6,TP!$X:$X,$Y$1,TP!AR:AR,"OK")</f>
        <v>0</v>
      </c>
      <c r="L148" s="439">
        <f>SUMIFS(TP!$P:$P,TP!$R:$R,$X$9,TP!$U:$U,Toimintamenetelmät!$X148,TP!$AH:$AH,$Y$6,TP!$X:$X,$Y$1,TP!AS:AS,"OK")</f>
        <v>0</v>
      </c>
      <c r="M148" s="439">
        <f>SUMIFS(TP!$P:$P,TP!$R:$R,$X$9,TP!$U:$U,Toimintamenetelmät!$X148,TP!$AH:$AH,$Y$6,TP!$X:$X,$Y$1,TP!AT:AT,"OK")</f>
        <v>0</v>
      </c>
      <c r="N148" s="439">
        <f>SUMIFS(TP!$P:$P,TP!$R:$R,$X$9,TP!$U:$U,Toimintamenetelmät!$X148,TP!$AH:$AH,$Y$6,TP!$X:$X,$Y$1,TP!AU:AU,"OK")</f>
        <v>0</v>
      </c>
      <c r="O148" s="439">
        <f t="shared" ref="O148" si="17">SUM(C148:N148)</f>
        <v>0</v>
      </c>
      <c r="W148" s="177"/>
      <c r="X148" s="302" t="s">
        <v>907</v>
      </c>
    </row>
    <row r="149" spans="1:24" hidden="1" x14ac:dyDescent="0.25">
      <c r="A149" s="1045"/>
      <c r="B149" s="299" t="s">
        <v>908</v>
      </c>
      <c r="C149" s="439">
        <f>SUMIFS(TP!$P:$P,TP!$R:$R,$X$9,TP!$U:$U,Toimintamenetelmät!$X149,TP!$AH:$AH,$Y$6,TP!$X:$X,$Y$1,TP!AJ:AJ,"OK")</f>
        <v>0</v>
      </c>
      <c r="D149" s="439">
        <f>SUMIFS(TP!$P:$P,TP!$R:$R,$X$9,TP!$U:$U,Toimintamenetelmät!$X149,TP!$AH:$AH,$Y$6,TP!$X:$X,$Y$1,TP!AK:AK,"OK")</f>
        <v>0</v>
      </c>
      <c r="E149" s="439">
        <f>SUMIFS(TP!$P:$P,TP!$R:$R,$X$9,TP!$U:$U,Toimintamenetelmät!$X149,TP!$AH:$AH,$Y$6,TP!$X:$X,$Y$1,TP!AL:AL,"OK")</f>
        <v>0</v>
      </c>
      <c r="F149" s="439">
        <f>SUMIFS(TP!$P:$P,TP!$R:$R,$X$9,TP!$U:$U,Toimintamenetelmät!$X149,TP!$AH:$AH,$Y$6,TP!$X:$X,$Y$1,TP!AM:AM,"OK")</f>
        <v>0</v>
      </c>
      <c r="G149" s="439">
        <f>SUMIFS(TP!$P:$P,TP!$R:$R,$X$9,TP!$U:$U,Toimintamenetelmät!$X149,TP!$AH:$AH,$Y$6,TP!$X:$X,$Y$1,TP!AN:AN,"OK")</f>
        <v>0</v>
      </c>
      <c r="H149" s="439">
        <f>SUMIFS(TP!$P:$P,TP!$R:$R,$X$9,TP!$U:$U,Toimintamenetelmät!$X149,TP!$AH:$AH,$Y$6,TP!$X:$X,$Y$1,TP!AO:AO,"OK")</f>
        <v>0</v>
      </c>
      <c r="I149" s="439">
        <f>SUMIFS(TP!$P:$P,TP!$R:$R,$X$9,TP!$U:$U,Toimintamenetelmät!$X149,TP!$AH:$AH,$Y$6,TP!$X:$X,$Y$1,TP!AP:AP,"OK")</f>
        <v>0</v>
      </c>
      <c r="J149" s="439">
        <f>SUMIFS(TP!$P:$P,TP!$R:$R,$X$9,TP!$U:$U,Toimintamenetelmät!$X149,TP!$AH:$AH,$Y$6,TP!$X:$X,$Y$1,TP!AQ:AQ,"OK")</f>
        <v>0</v>
      </c>
      <c r="K149" s="439">
        <f>SUMIFS(TP!$P:$P,TP!$R:$R,$X$9,TP!$U:$U,Toimintamenetelmät!$X149,TP!$AH:$AH,$Y$6,TP!$X:$X,$Y$1,TP!AR:AR,"OK")</f>
        <v>0</v>
      </c>
      <c r="L149" s="439">
        <f>SUMIFS(TP!$P:$P,TP!$R:$R,$X$9,TP!$U:$U,Toimintamenetelmät!$X149,TP!$AH:$AH,$Y$6,TP!$X:$X,$Y$1,TP!AS:AS,"OK")</f>
        <v>0</v>
      </c>
      <c r="M149" s="439">
        <f>SUMIFS(TP!$P:$P,TP!$R:$R,$X$9,TP!$U:$U,Toimintamenetelmät!$X149,TP!$AH:$AH,$Y$6,TP!$X:$X,$Y$1,TP!AT:AT,"OK")</f>
        <v>0</v>
      </c>
      <c r="N149" s="439">
        <f>SUMIFS(TP!$P:$P,TP!$R:$R,$X$9,TP!$U:$U,Toimintamenetelmät!$X149,TP!$AH:$AH,$Y$6,TP!$X:$X,$Y$1,TP!AU:AU,"OK")</f>
        <v>0</v>
      </c>
      <c r="O149" s="439">
        <f t="shared" si="15"/>
        <v>0</v>
      </c>
      <c r="W149" s="177"/>
      <c r="X149" t="s">
        <v>909</v>
      </c>
    </row>
    <row r="150" spans="1:24" hidden="1" x14ac:dyDescent="0.25">
      <c r="A150" s="292"/>
      <c r="B150" s="294"/>
      <c r="C150" s="438"/>
      <c r="D150" s="438"/>
      <c r="E150" s="438"/>
      <c r="F150" s="438"/>
      <c r="G150" s="438"/>
      <c r="H150" s="438"/>
      <c r="I150" s="438"/>
      <c r="J150" s="438"/>
      <c r="K150" s="438"/>
      <c r="L150" s="438"/>
      <c r="M150" s="438"/>
      <c r="N150" s="438"/>
      <c r="O150" s="438">
        <f t="shared" si="15"/>
        <v>0</v>
      </c>
      <c r="W150" s="177"/>
      <c r="X150" t="s">
        <v>910</v>
      </c>
    </row>
    <row r="151" spans="1:24" hidden="1" x14ac:dyDescent="0.25">
      <c r="A151" s="1043" t="s">
        <v>912</v>
      </c>
      <c r="B151" s="298" t="s">
        <v>913</v>
      </c>
      <c r="C151" s="439">
        <f>SUMIFS(TP!$P:$P,TP!$R:$R,$X$9,TP!$U:$U,Toimintamenetelmät!$X151,TP!$AH:$AH,$Y$6,TP!$X:$X,$Y$1,TP!AJ:AJ,"OK")</f>
        <v>0</v>
      </c>
      <c r="D151" s="439">
        <f>SUMIFS(TP!$P:$P,TP!$R:$R,$X$9,TP!$U:$U,Toimintamenetelmät!$X151,TP!$AH:$AH,$Y$6,TP!$X:$X,$Y$1,TP!AK:AK,"OK")</f>
        <v>0</v>
      </c>
      <c r="E151" s="439">
        <f>SUMIFS(TP!$P:$P,TP!$R:$R,$X$9,TP!$U:$U,Toimintamenetelmät!$X151,TP!$AH:$AH,$Y$6,TP!$X:$X,$Y$1,TP!AL:AL,"OK")</f>
        <v>0</v>
      </c>
      <c r="F151" s="439">
        <f>SUMIFS(TP!$P:$P,TP!$R:$R,$X$9,TP!$U:$U,Toimintamenetelmät!$X151,TP!$AH:$AH,$Y$6,TP!$X:$X,$Y$1,TP!AM:AM,"OK")</f>
        <v>0</v>
      </c>
      <c r="G151" s="439">
        <f>SUMIFS(TP!$P:$P,TP!$R:$R,$X$9,TP!$U:$U,Toimintamenetelmät!$X151,TP!$AH:$AH,$Y$6,TP!$X:$X,$Y$1,TP!AN:AN,"OK")</f>
        <v>0</v>
      </c>
      <c r="H151" s="439">
        <f>SUMIFS(TP!$P:$P,TP!$R:$R,$X$9,TP!$U:$U,Toimintamenetelmät!$X151,TP!$AH:$AH,$Y$6,TP!$X:$X,$Y$1,TP!AO:AO,"OK")</f>
        <v>0</v>
      </c>
      <c r="I151" s="439">
        <f>SUMIFS(TP!$P:$P,TP!$R:$R,$X$9,TP!$U:$U,Toimintamenetelmät!$X151,TP!$AH:$AH,$Y$6,TP!$X:$X,$Y$1,TP!AP:AP,"OK")</f>
        <v>0</v>
      </c>
      <c r="J151" s="439">
        <f>SUMIFS(TP!$P:$P,TP!$R:$R,$X$9,TP!$U:$U,Toimintamenetelmät!$X151,TP!$AH:$AH,$Y$6,TP!$X:$X,$Y$1,TP!AQ:AQ,"OK")</f>
        <v>0</v>
      </c>
      <c r="K151" s="439">
        <f>SUMIFS(TP!$P:$P,TP!$R:$R,$X$9,TP!$U:$U,Toimintamenetelmät!$X151,TP!$AH:$AH,$Y$6,TP!$X:$X,$Y$1,TP!AR:AR,"OK")</f>
        <v>0</v>
      </c>
      <c r="L151" s="439">
        <f>SUMIFS(TP!$P:$P,TP!$R:$R,$X$9,TP!$U:$U,Toimintamenetelmät!$X151,TP!$AH:$AH,$Y$6,TP!$X:$X,$Y$1,TP!AS:AS,"OK")</f>
        <v>0</v>
      </c>
      <c r="M151" s="439">
        <f>SUMIFS(TP!$P:$P,TP!$R:$R,$X$9,TP!$U:$U,Toimintamenetelmät!$X151,TP!$AH:$AH,$Y$6,TP!$X:$X,$Y$1,TP!AT:AT,"OK")</f>
        <v>0</v>
      </c>
      <c r="N151" s="439">
        <f>SUMIFS(TP!$P:$P,TP!$R:$R,$X$9,TP!$U:$U,Toimintamenetelmät!$X151,TP!$AH:$AH,$Y$6,TP!$X:$X,$Y$1,TP!AU:AU,"OK")</f>
        <v>0</v>
      </c>
      <c r="O151" s="439">
        <f t="shared" si="15"/>
        <v>0</v>
      </c>
      <c r="W151" s="177"/>
      <c r="X151" t="s">
        <v>914</v>
      </c>
    </row>
    <row r="152" spans="1:24" hidden="1" x14ac:dyDescent="0.25">
      <c r="A152" s="1044"/>
      <c r="B152" s="299" t="s">
        <v>915</v>
      </c>
      <c r="C152" s="439">
        <f>SUMIFS(TP!$P:$P,TP!$R:$R,$X$9,TP!$U:$U,Toimintamenetelmät!$X152,TP!$AH:$AH,$Y$6,TP!$X:$X,$Y$1,TP!AJ:AJ,"OK")</f>
        <v>0</v>
      </c>
      <c r="D152" s="439">
        <f>SUMIFS(TP!$P:$P,TP!$R:$R,$X$9,TP!$U:$U,Toimintamenetelmät!$X152,TP!$AH:$AH,$Y$6,TP!$X:$X,$Y$1,TP!AK:AK,"OK")</f>
        <v>0</v>
      </c>
      <c r="E152" s="439">
        <f>SUMIFS(TP!$P:$P,TP!$R:$R,$X$9,TP!$U:$U,Toimintamenetelmät!$X152,TP!$AH:$AH,$Y$6,TP!$X:$X,$Y$1,TP!AL:AL,"OK")</f>
        <v>0</v>
      </c>
      <c r="F152" s="439">
        <f>SUMIFS(TP!$P:$P,TP!$R:$R,$X$9,TP!$U:$U,Toimintamenetelmät!$X152,TP!$AH:$AH,$Y$6,TP!$X:$X,$Y$1,TP!AM:AM,"OK")</f>
        <v>0</v>
      </c>
      <c r="G152" s="439">
        <f>SUMIFS(TP!$P:$P,TP!$R:$R,$X$9,TP!$U:$U,Toimintamenetelmät!$X152,TP!$AH:$AH,$Y$6,TP!$X:$X,$Y$1,TP!AN:AN,"OK")</f>
        <v>0</v>
      </c>
      <c r="H152" s="439">
        <f>SUMIFS(TP!$P:$P,TP!$R:$R,$X$9,TP!$U:$U,Toimintamenetelmät!$X152,TP!$AH:$AH,$Y$6,TP!$X:$X,$Y$1,TP!AO:AO,"OK")</f>
        <v>0</v>
      </c>
      <c r="I152" s="439">
        <f>SUMIFS(TP!$P:$P,TP!$R:$R,$X$9,TP!$U:$U,Toimintamenetelmät!$X152,TP!$AH:$AH,$Y$6,TP!$X:$X,$Y$1,TP!AP:AP,"OK")</f>
        <v>0</v>
      </c>
      <c r="J152" s="439">
        <f>SUMIFS(TP!$P:$P,TP!$R:$R,$X$9,TP!$U:$U,Toimintamenetelmät!$X152,TP!$AH:$AH,$Y$6,TP!$X:$X,$Y$1,TP!AQ:AQ,"OK")</f>
        <v>0</v>
      </c>
      <c r="K152" s="439">
        <f>SUMIFS(TP!$P:$P,TP!$R:$R,$X$9,TP!$U:$U,Toimintamenetelmät!$X152,TP!$AH:$AH,$Y$6,TP!$X:$X,$Y$1,TP!AR:AR,"OK")</f>
        <v>0</v>
      </c>
      <c r="L152" s="439">
        <f>SUMIFS(TP!$P:$P,TP!$R:$R,$X$9,TP!$U:$U,Toimintamenetelmät!$X152,TP!$AH:$AH,$Y$6,TP!$X:$X,$Y$1,TP!AS:AS,"OK")</f>
        <v>0</v>
      </c>
      <c r="M152" s="439">
        <f>SUMIFS(TP!$P:$P,TP!$R:$R,$X$9,TP!$U:$U,Toimintamenetelmät!$X152,TP!$AH:$AH,$Y$6,TP!$X:$X,$Y$1,TP!AT:AT,"OK")</f>
        <v>0</v>
      </c>
      <c r="N152" s="439">
        <f>SUMIFS(TP!$P:$P,TP!$R:$R,$X$9,TP!$U:$U,Toimintamenetelmät!$X152,TP!$AH:$AH,$Y$6,TP!$X:$X,$Y$1,TP!AU:AU,"OK")</f>
        <v>0</v>
      </c>
      <c r="O152" s="439">
        <f t="shared" si="15"/>
        <v>0</v>
      </c>
      <c r="W152" s="177"/>
      <c r="X152" t="s">
        <v>916</v>
      </c>
    </row>
    <row r="153" spans="1:24" hidden="1" x14ac:dyDescent="0.25">
      <c r="A153" s="1044"/>
      <c r="B153" s="299" t="s">
        <v>917</v>
      </c>
      <c r="C153" s="439">
        <f>SUMIFS(TP!$P:$P,TP!$R:$R,$X$9,TP!$U:$U,Toimintamenetelmät!$X153,TP!$AH:$AH,$Y$6,TP!$X:$X,$Y$1,TP!AJ:AJ,"OK")</f>
        <v>0</v>
      </c>
      <c r="D153" s="439">
        <f>SUMIFS(TP!$P:$P,TP!$R:$R,$X$9,TP!$U:$U,Toimintamenetelmät!$X153,TP!$AH:$AH,$Y$6,TP!$X:$X,$Y$1,TP!AK:AK,"OK")</f>
        <v>0</v>
      </c>
      <c r="E153" s="439">
        <f>SUMIFS(TP!$P:$P,TP!$R:$R,$X$9,TP!$U:$U,Toimintamenetelmät!$X153,TP!$AH:$AH,$Y$6,TP!$X:$X,$Y$1,TP!AL:AL,"OK")</f>
        <v>0</v>
      </c>
      <c r="F153" s="439">
        <f>SUMIFS(TP!$P:$P,TP!$R:$R,$X$9,TP!$U:$U,Toimintamenetelmät!$X153,TP!$AH:$AH,$Y$6,TP!$X:$X,$Y$1,TP!AM:AM,"OK")</f>
        <v>0</v>
      </c>
      <c r="G153" s="439">
        <f>SUMIFS(TP!$P:$P,TP!$R:$R,$X$9,TP!$U:$U,Toimintamenetelmät!$X153,TP!$AH:$AH,$Y$6,TP!$X:$X,$Y$1,TP!AN:AN,"OK")</f>
        <v>0</v>
      </c>
      <c r="H153" s="439">
        <f>SUMIFS(TP!$P:$P,TP!$R:$R,$X$9,TP!$U:$U,Toimintamenetelmät!$X153,TP!$AH:$AH,$Y$6,TP!$X:$X,$Y$1,TP!AO:AO,"OK")</f>
        <v>0</v>
      </c>
      <c r="I153" s="439">
        <f>SUMIFS(TP!$P:$P,TP!$R:$R,$X$9,TP!$U:$U,Toimintamenetelmät!$X153,TP!$AH:$AH,$Y$6,TP!$X:$X,$Y$1,TP!AP:AP,"OK")</f>
        <v>0</v>
      </c>
      <c r="J153" s="439">
        <f>SUMIFS(TP!$P:$P,TP!$R:$R,$X$9,TP!$U:$U,Toimintamenetelmät!$X153,TP!$AH:$AH,$Y$6,TP!$X:$X,$Y$1,TP!AQ:AQ,"OK")</f>
        <v>0</v>
      </c>
      <c r="K153" s="439">
        <f>SUMIFS(TP!$P:$P,TP!$R:$R,$X$9,TP!$U:$U,Toimintamenetelmät!$X153,TP!$AH:$AH,$Y$6,TP!$X:$X,$Y$1,TP!AR:AR,"OK")</f>
        <v>0</v>
      </c>
      <c r="L153" s="439">
        <f>SUMIFS(TP!$P:$P,TP!$R:$R,$X$9,TP!$U:$U,Toimintamenetelmät!$X153,TP!$AH:$AH,$Y$6,TP!$X:$X,$Y$1,TP!AS:AS,"OK")</f>
        <v>0</v>
      </c>
      <c r="M153" s="439">
        <f>SUMIFS(TP!$P:$P,TP!$R:$R,$X$9,TP!$U:$U,Toimintamenetelmät!$X153,TP!$AH:$AH,$Y$6,TP!$X:$X,$Y$1,TP!AT:AT,"OK")</f>
        <v>0</v>
      </c>
      <c r="N153" s="439">
        <f>SUMIFS(TP!$P:$P,TP!$R:$R,$X$9,TP!$U:$U,Toimintamenetelmät!$X153,TP!$AH:$AH,$Y$6,TP!$X:$X,$Y$1,TP!AU:AU,"OK")</f>
        <v>0</v>
      </c>
      <c r="O153" s="439">
        <f t="shared" si="15"/>
        <v>0</v>
      </c>
      <c r="W153" s="177"/>
      <c r="X153" s="228" t="s">
        <v>918</v>
      </c>
    </row>
    <row r="154" spans="1:24" hidden="1" x14ac:dyDescent="0.25">
      <c r="A154" s="1044"/>
      <c r="B154" s="299" t="s">
        <v>919</v>
      </c>
      <c r="C154" s="439">
        <f>SUMIFS(TP!$P:$P,TP!$R:$R,$X$9,TP!$U:$U,Toimintamenetelmät!$X154,TP!$AH:$AH,$Y$6,TP!$X:$X,$Y$1,TP!AJ:AJ,"OK")</f>
        <v>0</v>
      </c>
      <c r="D154" s="439">
        <f>SUMIFS(TP!$P:$P,TP!$R:$R,$X$9,TP!$U:$U,Toimintamenetelmät!$X154,TP!$AH:$AH,$Y$6,TP!$X:$X,$Y$1,TP!AK:AK,"OK")</f>
        <v>0</v>
      </c>
      <c r="E154" s="439">
        <f>SUMIFS(TP!$P:$P,TP!$R:$R,$X$9,TP!$U:$U,Toimintamenetelmät!$X154,TP!$AH:$AH,$Y$6,TP!$X:$X,$Y$1,TP!AL:AL,"OK")</f>
        <v>0</v>
      </c>
      <c r="F154" s="439">
        <f>SUMIFS(TP!$P:$P,TP!$R:$R,$X$9,TP!$U:$U,Toimintamenetelmät!$X154,TP!$AH:$AH,$Y$6,TP!$X:$X,$Y$1,TP!AM:AM,"OK")</f>
        <v>0</v>
      </c>
      <c r="G154" s="439">
        <f>SUMIFS(TP!$P:$P,TP!$R:$R,$X$9,TP!$U:$U,Toimintamenetelmät!$X154,TP!$AH:$AH,$Y$6,TP!$X:$X,$Y$1,TP!AN:AN,"OK")</f>
        <v>0</v>
      </c>
      <c r="H154" s="439">
        <f>SUMIFS(TP!$P:$P,TP!$R:$R,$X$9,TP!$U:$U,Toimintamenetelmät!$X154,TP!$AH:$AH,$Y$6,TP!$X:$X,$Y$1,TP!AO:AO,"OK")</f>
        <v>0</v>
      </c>
      <c r="I154" s="439">
        <f>SUMIFS(TP!$P:$P,TP!$R:$R,$X$9,TP!$U:$U,Toimintamenetelmät!$X154,TP!$AH:$AH,$Y$6,TP!$X:$X,$Y$1,TP!AP:AP,"OK")</f>
        <v>0</v>
      </c>
      <c r="J154" s="439">
        <f>SUMIFS(TP!$P:$P,TP!$R:$R,$X$9,TP!$U:$U,Toimintamenetelmät!$X154,TP!$AH:$AH,$Y$6,TP!$X:$X,$Y$1,TP!AQ:AQ,"OK")</f>
        <v>0</v>
      </c>
      <c r="K154" s="439">
        <f>SUMIFS(TP!$P:$P,TP!$R:$R,$X$9,TP!$U:$U,Toimintamenetelmät!$X154,TP!$AH:$AH,$Y$6,TP!$X:$X,$Y$1,TP!AR:AR,"OK")</f>
        <v>0</v>
      </c>
      <c r="L154" s="439">
        <f>SUMIFS(TP!$P:$P,TP!$R:$R,$X$9,TP!$U:$U,Toimintamenetelmät!$X154,TP!$AH:$AH,$Y$6,TP!$X:$X,$Y$1,TP!AS:AS,"OK")</f>
        <v>0</v>
      </c>
      <c r="M154" s="439">
        <f>SUMIFS(TP!$P:$P,TP!$R:$R,$X$9,TP!$U:$U,Toimintamenetelmät!$X154,TP!$AH:$AH,$Y$6,TP!$X:$X,$Y$1,TP!AT:AT,"OK")</f>
        <v>0</v>
      </c>
      <c r="N154" s="439">
        <f>SUMIFS(TP!$P:$P,TP!$R:$R,$X$9,TP!$U:$U,Toimintamenetelmät!$X154,TP!$AH:$AH,$Y$6,TP!$X:$X,$Y$1,TP!AU:AU,"OK")</f>
        <v>0</v>
      </c>
      <c r="O154" s="439">
        <f t="shared" si="15"/>
        <v>0</v>
      </c>
      <c r="W154" s="177"/>
      <c r="X154" t="s">
        <v>920</v>
      </c>
    </row>
    <row r="155" spans="1:24" hidden="1" x14ac:dyDescent="0.25">
      <c r="A155" s="1044"/>
      <c r="B155" s="299" t="s">
        <v>922</v>
      </c>
      <c r="C155" s="439">
        <f>SUMIFS(TP!$P:$P,TP!$R:$R,$X$9,TP!$U:$U,Toimintamenetelmät!$X155,TP!$AH:$AH,$Y$6,TP!$X:$X,$Y$1,TP!AJ:AJ,"OK")</f>
        <v>0</v>
      </c>
      <c r="D155" s="439">
        <f>SUMIFS(TP!$P:$P,TP!$R:$R,$X$9,TP!$U:$U,Toimintamenetelmät!$X155,TP!$AH:$AH,$Y$6,TP!$X:$X,$Y$1,TP!AK:AK,"OK")</f>
        <v>0</v>
      </c>
      <c r="E155" s="439">
        <f>SUMIFS(TP!$P:$P,TP!$R:$R,$X$9,TP!$U:$U,Toimintamenetelmät!$X155,TP!$AH:$AH,$Y$6,TP!$X:$X,$Y$1,TP!AL:AL,"OK")</f>
        <v>0</v>
      </c>
      <c r="F155" s="439">
        <f>SUMIFS(TP!$P:$P,TP!$R:$R,$X$9,TP!$U:$U,Toimintamenetelmät!$X155,TP!$AH:$AH,$Y$6,TP!$X:$X,$Y$1,TP!AM:AM,"OK")</f>
        <v>0</v>
      </c>
      <c r="G155" s="439">
        <f>SUMIFS(TP!$P:$P,TP!$R:$R,$X$9,TP!$U:$U,Toimintamenetelmät!$X155,TP!$AH:$AH,$Y$6,TP!$X:$X,$Y$1,TP!AN:AN,"OK")</f>
        <v>0</v>
      </c>
      <c r="H155" s="439">
        <f>SUMIFS(TP!$P:$P,TP!$R:$R,$X$9,TP!$U:$U,Toimintamenetelmät!$X155,TP!$AH:$AH,$Y$6,TP!$X:$X,$Y$1,TP!AO:AO,"OK")</f>
        <v>0</v>
      </c>
      <c r="I155" s="439">
        <f>SUMIFS(TP!$P:$P,TP!$R:$R,$X$9,TP!$U:$U,Toimintamenetelmät!$X155,TP!$AH:$AH,$Y$6,TP!$X:$X,$Y$1,TP!AP:AP,"OK")</f>
        <v>0</v>
      </c>
      <c r="J155" s="439">
        <f>SUMIFS(TP!$P:$P,TP!$R:$R,$X$9,TP!$U:$U,Toimintamenetelmät!$X155,TP!$AH:$AH,$Y$6,TP!$X:$X,$Y$1,TP!AQ:AQ,"OK")</f>
        <v>0</v>
      </c>
      <c r="K155" s="439">
        <f>SUMIFS(TP!$P:$P,TP!$R:$R,$X$9,TP!$U:$U,Toimintamenetelmät!$X155,TP!$AH:$AH,$Y$6,TP!$X:$X,$Y$1,TP!AR:AR,"OK")</f>
        <v>0</v>
      </c>
      <c r="L155" s="439">
        <f>SUMIFS(TP!$P:$P,TP!$R:$R,$X$9,TP!$U:$U,Toimintamenetelmät!$X155,TP!$AH:$AH,$Y$6,TP!$X:$X,$Y$1,TP!AS:AS,"OK")</f>
        <v>0</v>
      </c>
      <c r="M155" s="439">
        <f>SUMIFS(TP!$P:$P,TP!$R:$R,$X$9,TP!$U:$U,Toimintamenetelmät!$X155,TP!$AH:$AH,$Y$6,TP!$X:$X,$Y$1,TP!AT:AT,"OK")</f>
        <v>0</v>
      </c>
      <c r="N155" s="439">
        <f>SUMIFS(TP!$P:$P,TP!$R:$R,$X$9,TP!$U:$U,Toimintamenetelmät!$X155,TP!$AH:$AH,$Y$6,TP!$X:$X,$Y$1,TP!AU:AU,"OK")</f>
        <v>0</v>
      </c>
      <c r="O155" s="439">
        <f t="shared" si="15"/>
        <v>0</v>
      </c>
      <c r="W155" s="177"/>
      <c r="X155" t="s">
        <v>923</v>
      </c>
    </row>
    <row r="156" spans="1:24" hidden="1" x14ac:dyDescent="0.25">
      <c r="A156" s="1044"/>
      <c r="B156" s="299" t="s">
        <v>924</v>
      </c>
      <c r="C156" s="439">
        <f>SUMIFS(TP!$P:$P,TP!$R:$R,$X$9,TP!$U:$U,Toimintamenetelmät!$X156,TP!$AH:$AH,$Y$6,TP!$X:$X,$Y$1,TP!AJ:AJ,"OK")</f>
        <v>0</v>
      </c>
      <c r="D156" s="439">
        <f>SUMIFS(TP!$P:$P,TP!$R:$R,$X$9,TP!$U:$U,Toimintamenetelmät!$X156,TP!$AH:$AH,$Y$6,TP!$X:$X,$Y$1,TP!AK:AK,"OK")</f>
        <v>0</v>
      </c>
      <c r="E156" s="439">
        <f>SUMIFS(TP!$P:$P,TP!$R:$R,$X$9,TP!$U:$U,Toimintamenetelmät!$X156,TP!$AH:$AH,$Y$6,TP!$X:$X,$Y$1,TP!AL:AL,"OK")</f>
        <v>0</v>
      </c>
      <c r="F156" s="439">
        <f>SUMIFS(TP!$P:$P,TP!$R:$R,$X$9,TP!$U:$U,Toimintamenetelmät!$X156,TP!$AH:$AH,$Y$6,TP!$X:$X,$Y$1,TP!AM:AM,"OK")</f>
        <v>0</v>
      </c>
      <c r="G156" s="439">
        <f>SUMIFS(TP!$P:$P,TP!$R:$R,$X$9,TP!$U:$U,Toimintamenetelmät!$X156,TP!$AH:$AH,$Y$6,TP!$X:$X,$Y$1,TP!AN:AN,"OK")</f>
        <v>0</v>
      </c>
      <c r="H156" s="439">
        <f>SUMIFS(TP!$P:$P,TP!$R:$R,$X$9,TP!$U:$U,Toimintamenetelmät!$X156,TP!$AH:$AH,$Y$6,TP!$X:$X,$Y$1,TP!AO:AO,"OK")</f>
        <v>0</v>
      </c>
      <c r="I156" s="439">
        <f>SUMIFS(TP!$P:$P,TP!$R:$R,$X$9,TP!$U:$U,Toimintamenetelmät!$X156,TP!$AH:$AH,$Y$6,TP!$X:$X,$Y$1,TP!AP:AP,"OK")</f>
        <v>0</v>
      </c>
      <c r="J156" s="439">
        <f>SUMIFS(TP!$P:$P,TP!$R:$R,$X$9,TP!$U:$U,Toimintamenetelmät!$X156,TP!$AH:$AH,$Y$6,TP!$X:$X,$Y$1,TP!AQ:AQ,"OK")</f>
        <v>0</v>
      </c>
      <c r="K156" s="439">
        <f>SUMIFS(TP!$P:$P,TP!$R:$R,$X$9,TP!$U:$U,Toimintamenetelmät!$X156,TP!$AH:$AH,$Y$6,TP!$X:$X,$Y$1,TP!AR:AR,"OK")</f>
        <v>0</v>
      </c>
      <c r="L156" s="439">
        <f>SUMIFS(TP!$P:$P,TP!$R:$R,$X$9,TP!$U:$U,Toimintamenetelmät!$X156,TP!$AH:$AH,$Y$6,TP!$X:$X,$Y$1,TP!AS:AS,"OK")</f>
        <v>0</v>
      </c>
      <c r="M156" s="439">
        <f>SUMIFS(TP!$P:$P,TP!$R:$R,$X$9,TP!$U:$U,Toimintamenetelmät!$X156,TP!$AH:$AH,$Y$6,TP!$X:$X,$Y$1,TP!AT:AT,"OK")</f>
        <v>0</v>
      </c>
      <c r="N156" s="439">
        <f>SUMIFS(TP!$P:$P,TP!$R:$R,$X$9,TP!$U:$U,Toimintamenetelmät!$X156,TP!$AH:$AH,$Y$6,TP!$X:$X,$Y$1,TP!AU:AU,"OK")</f>
        <v>0</v>
      </c>
      <c r="O156" s="439">
        <f t="shared" si="15"/>
        <v>0</v>
      </c>
      <c r="W156" s="177"/>
      <c r="X156" t="s">
        <v>925</v>
      </c>
    </row>
    <row r="157" spans="1:24" hidden="1" x14ac:dyDescent="0.25">
      <c r="A157" s="1045"/>
      <c r="B157" s="300" t="s">
        <v>36</v>
      </c>
      <c r="C157" s="440">
        <f>SUMIFS(TP!$P:$P,TP!$R:$R,$X$9,TP!$U:$U,Toimintamenetelmät!$X157,TP!$AH:$AH,$Y$6,TP!$X:$X,$Y$1,TP!AJ:AJ,"OK")</f>
        <v>0</v>
      </c>
      <c r="D157" s="440">
        <f>SUMIFS(TP!$P:$P,TP!$R:$R,$X$9,TP!$U:$U,Toimintamenetelmät!$X157,TP!$AH:$AH,$Y$6,TP!$X:$X,$Y$1,TP!AK:AK,"OK")</f>
        <v>0</v>
      </c>
      <c r="E157" s="440">
        <f>SUMIFS(TP!$P:$P,TP!$R:$R,$X$9,TP!$U:$U,Toimintamenetelmät!$X157,TP!$AH:$AH,$Y$6,TP!$X:$X,$Y$1,TP!AL:AL,"OK")</f>
        <v>0</v>
      </c>
      <c r="F157" s="440">
        <f>SUMIFS(TP!$P:$P,TP!$R:$R,$X$9,TP!$U:$U,Toimintamenetelmät!$X157,TP!$AH:$AH,$Y$6,TP!$X:$X,$Y$1,TP!AM:AM,"OK")</f>
        <v>0</v>
      </c>
      <c r="G157" s="440">
        <f>SUMIFS(TP!$P:$P,TP!$R:$R,$X$9,TP!$U:$U,Toimintamenetelmät!$X157,TP!$AH:$AH,$Y$6,TP!$X:$X,$Y$1,TP!AN:AN,"OK")</f>
        <v>0</v>
      </c>
      <c r="H157" s="440">
        <f>SUMIFS(TP!$P:$P,TP!$R:$R,$X$9,TP!$U:$U,Toimintamenetelmät!$X157,TP!$AH:$AH,$Y$6,TP!$X:$X,$Y$1,TP!AO:AO,"OK")</f>
        <v>0</v>
      </c>
      <c r="I157" s="440">
        <f>SUMIFS(TP!$P:$P,TP!$R:$R,$X$9,TP!$U:$U,Toimintamenetelmät!$X157,TP!$AH:$AH,$Y$6,TP!$X:$X,$Y$1,TP!AP:AP,"OK")</f>
        <v>0</v>
      </c>
      <c r="J157" s="440">
        <f>SUMIFS(TP!$P:$P,TP!$R:$R,$X$9,TP!$U:$U,Toimintamenetelmät!$X157,TP!$AH:$AH,$Y$6,TP!$X:$X,$Y$1,TP!AQ:AQ,"OK")</f>
        <v>0</v>
      </c>
      <c r="K157" s="440">
        <f>SUMIFS(TP!$P:$P,TP!$R:$R,$X$9,TP!$U:$U,Toimintamenetelmät!$X157,TP!$AH:$AH,$Y$6,TP!$X:$X,$Y$1,TP!AR:AR,"OK")</f>
        <v>0</v>
      </c>
      <c r="L157" s="440">
        <f>SUMIFS(TP!$P:$P,TP!$R:$R,$X$9,TP!$U:$U,Toimintamenetelmät!$X157,TP!$AH:$AH,$Y$6,TP!$X:$X,$Y$1,TP!AS:AS,"OK")</f>
        <v>0</v>
      </c>
      <c r="M157" s="440">
        <f>SUMIFS(TP!$P:$P,TP!$R:$R,$X$9,TP!$U:$U,Toimintamenetelmät!$X157,TP!$AH:$AH,$Y$6,TP!$X:$X,$Y$1,TP!AT:AT,"OK")</f>
        <v>0</v>
      </c>
      <c r="N157" s="440">
        <f>SUMIFS(TP!$P:$P,TP!$R:$R,$X$9,TP!$U:$U,Toimintamenetelmät!$X157,TP!$AH:$AH,$Y$6,TP!$X:$X,$Y$1,TP!AU:AU,"OK")</f>
        <v>0</v>
      </c>
      <c r="O157" s="440">
        <f t="shared" si="15"/>
        <v>0</v>
      </c>
      <c r="W157" s="177"/>
      <c r="X157" t="s">
        <v>926</v>
      </c>
    </row>
    <row r="158" spans="1:24" hidden="1" x14ac:dyDescent="0.25">
      <c r="W158" s="177"/>
    </row>
    <row r="159" spans="1:24" hidden="1" x14ac:dyDescent="0.25">
      <c r="W159" s="177"/>
    </row>
    <row r="160" spans="1:24" x14ac:dyDescent="0.25">
      <c r="W160" s="177"/>
    </row>
    <row r="161" spans="23:23" x14ac:dyDescent="0.25">
      <c r="W161" s="177"/>
    </row>
    <row r="162" spans="23:23" x14ac:dyDescent="0.25">
      <c r="W162" s="177"/>
    </row>
    <row r="163" spans="23:23" x14ac:dyDescent="0.25">
      <c r="W163" s="177"/>
    </row>
    <row r="164" spans="23:23" x14ac:dyDescent="0.25">
      <c r="W164" s="177"/>
    </row>
    <row r="165" spans="23:23" x14ac:dyDescent="0.25">
      <c r="W165" s="177"/>
    </row>
    <row r="166" spans="23:23" x14ac:dyDescent="0.25">
      <c r="W166" s="177"/>
    </row>
    <row r="167" spans="23:23" x14ac:dyDescent="0.25">
      <c r="W167" s="177"/>
    </row>
    <row r="168" spans="23:23" x14ac:dyDescent="0.25">
      <c r="W168" s="177"/>
    </row>
    <row r="169" spans="23:23" x14ac:dyDescent="0.25">
      <c r="W169" s="177"/>
    </row>
    <row r="170" spans="23:23" x14ac:dyDescent="0.25">
      <c r="W170" s="177"/>
    </row>
    <row r="171" spans="23:23" x14ac:dyDescent="0.25">
      <c r="W171" s="177"/>
    </row>
    <row r="172" spans="23:23" x14ac:dyDescent="0.25">
      <c r="W172" s="177"/>
    </row>
    <row r="173" spans="23:23" x14ac:dyDescent="0.25">
      <c r="W173" s="177"/>
    </row>
    <row r="174" spans="23:23" x14ac:dyDescent="0.25">
      <c r="W174" s="177"/>
    </row>
    <row r="175" spans="23:23" x14ac:dyDescent="0.25">
      <c r="W175" s="177"/>
    </row>
    <row r="176" spans="23:23" x14ac:dyDescent="0.25">
      <c r="W176" s="177"/>
    </row>
    <row r="177" spans="23:23" x14ac:dyDescent="0.25">
      <c r="W177" s="177"/>
    </row>
    <row r="178" spans="23:23" x14ac:dyDescent="0.25">
      <c r="W178" s="177"/>
    </row>
    <row r="179" spans="23:23" x14ac:dyDescent="0.25">
      <c r="W179" s="177"/>
    </row>
    <row r="180" spans="23:23" x14ac:dyDescent="0.25">
      <c r="W180" s="177"/>
    </row>
    <row r="181" spans="23:23" x14ac:dyDescent="0.25">
      <c r="W181" s="177"/>
    </row>
    <row r="182" spans="23:23" x14ac:dyDescent="0.25">
      <c r="W182" s="177"/>
    </row>
    <row r="183" spans="23:23" x14ac:dyDescent="0.25">
      <c r="W183" s="177"/>
    </row>
    <row r="184" spans="23:23" x14ac:dyDescent="0.25">
      <c r="W184" s="177"/>
    </row>
    <row r="185" spans="23:23" x14ac:dyDescent="0.25">
      <c r="W185" s="177"/>
    </row>
    <row r="186" spans="23:23" x14ac:dyDescent="0.25">
      <c r="W186" s="177"/>
    </row>
    <row r="187" spans="23:23" x14ac:dyDescent="0.25">
      <c r="W187" s="177"/>
    </row>
    <row r="188" spans="23:23" x14ac:dyDescent="0.25">
      <c r="W188" s="177"/>
    </row>
    <row r="189" spans="23:23" x14ac:dyDescent="0.25">
      <c r="W189" s="177"/>
    </row>
    <row r="190" spans="23:23" x14ac:dyDescent="0.25">
      <c r="W190" s="177"/>
    </row>
    <row r="191" spans="23:23" x14ac:dyDescent="0.25">
      <c r="W191" s="177"/>
    </row>
    <row r="192" spans="23:23" x14ac:dyDescent="0.25">
      <c r="W192" s="177"/>
    </row>
    <row r="193" spans="23:23" x14ac:dyDescent="0.25">
      <c r="W193" s="177"/>
    </row>
    <row r="194" spans="23:23" x14ac:dyDescent="0.25">
      <c r="W194" s="177"/>
    </row>
    <row r="195" spans="23:23" x14ac:dyDescent="0.25">
      <c r="W195" s="177"/>
    </row>
    <row r="196" spans="23:23" x14ac:dyDescent="0.25">
      <c r="W196" s="177"/>
    </row>
    <row r="197" spans="23:23" x14ac:dyDescent="0.25">
      <c r="W197" s="177"/>
    </row>
    <row r="198" spans="23:23" x14ac:dyDescent="0.25">
      <c r="W198" s="177"/>
    </row>
    <row r="199" spans="23:23" x14ac:dyDescent="0.25">
      <c r="W199" s="177"/>
    </row>
    <row r="200" spans="23:23" x14ac:dyDescent="0.25">
      <c r="W200" s="177"/>
    </row>
    <row r="201" spans="23:23" x14ac:dyDescent="0.25">
      <c r="W201" s="177"/>
    </row>
    <row r="202" spans="23:23" x14ac:dyDescent="0.25">
      <c r="W202" s="177"/>
    </row>
    <row r="203" spans="23:23" x14ac:dyDescent="0.25">
      <c r="W203" s="177"/>
    </row>
    <row r="204" spans="23:23" x14ac:dyDescent="0.25">
      <c r="W204" s="177"/>
    </row>
    <row r="205" spans="23:23" x14ac:dyDescent="0.25">
      <c r="W205" s="177"/>
    </row>
    <row r="206" spans="23:23" x14ac:dyDescent="0.25">
      <c r="W206" s="177"/>
    </row>
    <row r="207" spans="23:23" x14ac:dyDescent="0.25">
      <c r="W207" s="177"/>
    </row>
    <row r="208" spans="23:23" x14ac:dyDescent="0.25">
      <c r="W208" s="177"/>
    </row>
    <row r="209" spans="23:23" x14ac:dyDescent="0.25">
      <c r="W209" s="177"/>
    </row>
    <row r="210" spans="23:23" x14ac:dyDescent="0.25">
      <c r="W210" s="177"/>
    </row>
    <row r="211" spans="23:23" x14ac:dyDescent="0.25">
      <c r="W211" s="177"/>
    </row>
    <row r="212" spans="23:23" x14ac:dyDescent="0.25">
      <c r="W212" s="177"/>
    </row>
    <row r="213" spans="23:23" x14ac:dyDescent="0.25">
      <c r="W213" s="177"/>
    </row>
    <row r="214" spans="23:23" x14ac:dyDescent="0.25">
      <c r="W214" s="177"/>
    </row>
    <row r="215" spans="23:23" x14ac:dyDescent="0.25">
      <c r="W215" s="177"/>
    </row>
    <row r="216" spans="23:23" x14ac:dyDescent="0.25">
      <c r="W216" s="177"/>
    </row>
    <row r="217" spans="23:23" x14ac:dyDescent="0.25">
      <c r="W217" s="177"/>
    </row>
    <row r="218" spans="23:23" x14ac:dyDescent="0.25">
      <c r="W218" s="177"/>
    </row>
    <row r="219" spans="23:23" x14ac:dyDescent="0.25">
      <c r="W219" s="177"/>
    </row>
    <row r="220" spans="23:23" x14ac:dyDescent="0.25">
      <c r="W220" s="177"/>
    </row>
    <row r="221" spans="23:23" x14ac:dyDescent="0.25">
      <c r="W221" s="177"/>
    </row>
    <row r="222" spans="23:23" x14ac:dyDescent="0.25">
      <c r="W222" s="177"/>
    </row>
    <row r="223" spans="23:23" x14ac:dyDescent="0.25">
      <c r="W223" s="177"/>
    </row>
    <row r="224" spans="23:23" x14ac:dyDescent="0.25">
      <c r="W224" s="177"/>
    </row>
    <row r="225" spans="23:23" x14ac:dyDescent="0.25">
      <c r="W225" s="177"/>
    </row>
    <row r="226" spans="23:23" x14ac:dyDescent="0.25">
      <c r="W226" s="177"/>
    </row>
    <row r="227" spans="23:23" x14ac:dyDescent="0.25">
      <c r="W227" s="177"/>
    </row>
    <row r="228" spans="23:23" x14ac:dyDescent="0.25">
      <c r="W228" s="177"/>
    </row>
    <row r="229" spans="23:23" x14ac:dyDescent="0.25">
      <c r="W229" s="177"/>
    </row>
    <row r="230" spans="23:23" x14ac:dyDescent="0.25">
      <c r="W230" s="177"/>
    </row>
    <row r="231" spans="23:23" x14ac:dyDescent="0.25">
      <c r="W231" s="177"/>
    </row>
    <row r="232" spans="23:23" x14ac:dyDescent="0.25">
      <c r="W232" s="177"/>
    </row>
    <row r="233" spans="23:23" x14ac:dyDescent="0.25">
      <c r="W233" s="177"/>
    </row>
    <row r="234" spans="23:23" x14ac:dyDescent="0.25">
      <c r="W234" s="177"/>
    </row>
    <row r="235" spans="23:23" x14ac:dyDescent="0.25">
      <c r="W235" s="177"/>
    </row>
    <row r="236" spans="23:23" x14ac:dyDescent="0.25">
      <c r="W236" s="177"/>
    </row>
    <row r="237" spans="23:23" x14ac:dyDescent="0.25">
      <c r="W237" s="177"/>
    </row>
    <row r="238" spans="23:23" x14ac:dyDescent="0.25">
      <c r="W238" s="177"/>
    </row>
    <row r="239" spans="23:23" x14ac:dyDescent="0.25">
      <c r="W239" s="177"/>
    </row>
    <row r="240" spans="23:23" x14ac:dyDescent="0.25">
      <c r="W240" s="177"/>
    </row>
    <row r="241" spans="23:23" x14ac:dyDescent="0.25">
      <c r="W241" s="177"/>
    </row>
    <row r="242" spans="23:23" x14ac:dyDescent="0.25">
      <c r="W242" s="177"/>
    </row>
    <row r="243" spans="23:23" x14ac:dyDescent="0.25">
      <c r="W243" s="177"/>
    </row>
    <row r="244" spans="23:23" x14ac:dyDescent="0.25">
      <c r="W244" s="177"/>
    </row>
    <row r="245" spans="23:23" x14ac:dyDescent="0.25">
      <c r="W245" s="177"/>
    </row>
    <row r="246" spans="23:23" x14ac:dyDescent="0.25">
      <c r="W246" s="177"/>
    </row>
    <row r="247" spans="23:23" x14ac:dyDescent="0.25">
      <c r="W247" s="177"/>
    </row>
    <row r="248" spans="23:23" x14ac:dyDescent="0.25">
      <c r="W248" s="177"/>
    </row>
    <row r="249" spans="23:23" x14ac:dyDescent="0.25">
      <c r="W249" s="177"/>
    </row>
    <row r="250" spans="23:23" x14ac:dyDescent="0.25">
      <c r="W250" s="177"/>
    </row>
    <row r="251" spans="23:23" x14ac:dyDescent="0.25">
      <c r="W251" s="177"/>
    </row>
    <row r="252" spans="23:23" x14ac:dyDescent="0.25">
      <c r="W252" s="177"/>
    </row>
    <row r="253" spans="23:23" x14ac:dyDescent="0.25">
      <c r="W253" s="177"/>
    </row>
    <row r="254" spans="23:23" x14ac:dyDescent="0.25">
      <c r="W254" s="177"/>
    </row>
    <row r="255" spans="23:23" x14ac:dyDescent="0.25">
      <c r="W255" s="177"/>
    </row>
    <row r="256" spans="23:23" x14ac:dyDescent="0.25">
      <c r="W256" s="177"/>
    </row>
    <row r="257" spans="23:23" x14ac:dyDescent="0.25">
      <c r="W257" s="177"/>
    </row>
    <row r="258" spans="23:23" x14ac:dyDescent="0.25">
      <c r="W258" s="177"/>
    </row>
    <row r="259" spans="23:23" x14ac:dyDescent="0.25">
      <c r="W259" s="177"/>
    </row>
    <row r="260" spans="23:23" x14ac:dyDescent="0.25">
      <c r="W260" s="177"/>
    </row>
    <row r="261" spans="23:23" x14ac:dyDescent="0.25">
      <c r="W261" s="177"/>
    </row>
    <row r="262" spans="23:23" x14ac:dyDescent="0.25">
      <c r="W262" s="177"/>
    </row>
    <row r="263" spans="23:23" x14ac:dyDescent="0.25">
      <c r="W263" s="177"/>
    </row>
    <row r="264" spans="23:23" x14ac:dyDescent="0.25">
      <c r="W264" s="177"/>
    </row>
    <row r="265" spans="23:23" x14ac:dyDescent="0.25">
      <c r="W265" s="177"/>
    </row>
  </sheetData>
  <sheetProtection sheet="1" objects="1" scenarios="1"/>
  <mergeCells count="34">
    <mergeCell ref="A151:A157"/>
    <mergeCell ref="A119:A123"/>
    <mergeCell ref="A125:A129"/>
    <mergeCell ref="A131:A139"/>
    <mergeCell ref="A141:A144"/>
    <mergeCell ref="A146:A149"/>
    <mergeCell ref="A67:B68"/>
    <mergeCell ref="A71:A75"/>
    <mergeCell ref="A77:A81"/>
    <mergeCell ref="C67:N67"/>
    <mergeCell ref="C115:N115"/>
    <mergeCell ref="A115:B116"/>
    <mergeCell ref="A83:A91"/>
    <mergeCell ref="A93:A96"/>
    <mergeCell ref="A98:A101"/>
    <mergeCell ref="A103:A109"/>
    <mergeCell ref="C12:D12"/>
    <mergeCell ref="E12:F12"/>
    <mergeCell ref="A12:B13"/>
    <mergeCell ref="A49:A55"/>
    <mergeCell ref="A17:A21"/>
    <mergeCell ref="A23:A27"/>
    <mergeCell ref="A29:A37"/>
    <mergeCell ref="A39:A42"/>
    <mergeCell ref="A44:A47"/>
    <mergeCell ref="A60:B60"/>
    <mergeCell ref="C60:D60"/>
    <mergeCell ref="E60:F60"/>
    <mergeCell ref="A58:B58"/>
    <mergeCell ref="C58:D58"/>
    <mergeCell ref="E58:F58"/>
    <mergeCell ref="A59:B59"/>
    <mergeCell ref="C59:D59"/>
    <mergeCell ref="E59:F59"/>
  </mergeCells>
  <dataValidations count="5">
    <dataValidation type="date" allowBlank="1" showInputMessage="1" showErrorMessage="1" error="Kirjoita päivämäärä muodossa _x000a_pp.kk.vvvv_x000a__x000a_Päivämäärän on oltava _x000a_suurempi kuin 01.01.2008 ja _x000a_pienempi kuin 31.12.2020" sqref="A2:A3" xr:uid="{00000000-0002-0000-0500-000000000000}">
      <formula1>39448</formula1>
      <formula2>44196</formula2>
    </dataValidation>
    <dataValidation type="list" allowBlank="1" showInputMessage="1" showErrorMessage="1" sqref="A7" xr:uid="{00000000-0002-0000-0500-000003000000}">
      <formula1>$X$2:$X$3</formula1>
    </dataValidation>
    <dataValidation type="list" allowBlank="1" showInputMessage="1" showErrorMessage="1" sqref="A6" xr:uid="{00000000-0002-0000-0500-000004000000}">
      <formula1>$X$2:$X$4</formula1>
    </dataValidation>
    <dataValidation type="list" showInputMessage="1" showErrorMessage="1" sqref="A4" xr:uid="{00000000-0002-0000-0500-000001000000}">
      <formula1>$AB$5:$AB$61</formula1>
    </dataValidation>
    <dataValidation type="list" allowBlank="1" showInputMessage="1" showErrorMessage="1" sqref="A5" xr:uid="{00000000-0002-0000-0500-000002000000}">
      <formula1>$AD$5:$AD$60</formula1>
    </dataValidation>
  </dataValidations>
  <hyperlinks>
    <hyperlink ref="A63" location="Toimintamenetelmät!A1" display="Sivun alkuun" xr:uid="{00000000-0004-0000-0500-000002000000}"/>
  </hyperlinks>
  <pageMargins left="0.7" right="0.7" top="0.75" bottom="0.83333333333333337" header="0" footer="0"/>
  <pageSetup paperSize="9" scale="50" fitToHeight="0" orientation="landscape" r:id="rId1"/>
  <headerFooter>
    <oddFooter>&amp;L 
PAR työpaja
osoitettie
0100, paikka&amp;C&amp;G&amp;R&amp;P/&amp;N</oddFooter>
  </headerFooter>
  <rowBreaks count="2" manualBreakCount="2">
    <brk id="64" max="16383" man="1"/>
    <brk id="112"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087BB-98CB-4E24-B7DB-36E38126143B}">
  <sheetPr codeName="Taul26">
    <tabColor theme="0" tint="-4.9989318521683403E-2"/>
  </sheetPr>
  <dimension ref="A1:AW147"/>
  <sheetViews>
    <sheetView showGridLines="0" zoomScaleNormal="100" workbookViewId="0">
      <selection activeCell="AW7" sqref="AW1:AW1048576"/>
    </sheetView>
  </sheetViews>
  <sheetFormatPr defaultColWidth="9.140625" defaultRowHeight="15" x14ac:dyDescent="0.25"/>
  <cols>
    <col min="1" max="1" width="22.5703125" customWidth="1"/>
    <col min="2" max="2" width="52.85546875" customWidth="1"/>
    <col min="4" max="4" width="9.140625" style="672"/>
    <col min="8" max="8" width="37" customWidth="1"/>
    <col min="9" max="9" width="18.28515625" customWidth="1"/>
    <col min="10" max="15" width="7.5703125" customWidth="1"/>
    <col min="17" max="17" width="9.140625" customWidth="1"/>
    <col min="18" max="19" width="9.140625" hidden="1" customWidth="1"/>
    <col min="20" max="21" width="7" style="335" hidden="1" customWidth="1"/>
    <col min="22" max="23" width="9.140625" hidden="1" customWidth="1"/>
    <col min="24" max="24" width="32.7109375" hidden="1" customWidth="1"/>
    <col min="25" max="25" width="9.140625" hidden="1" customWidth="1"/>
    <col min="26" max="26" width="37.140625" hidden="1" customWidth="1"/>
    <col min="27" max="35" width="9.140625" hidden="1" customWidth="1"/>
    <col min="36" max="36" width="9" hidden="1" customWidth="1"/>
    <col min="37" max="49" width="9.140625" hidden="1" customWidth="1"/>
    <col min="50" max="51" width="9.140625" customWidth="1"/>
  </cols>
  <sheetData>
    <row r="1" spans="1:45" x14ac:dyDescent="0.25">
      <c r="A1" s="792" t="s">
        <v>0</v>
      </c>
      <c r="B1" s="335"/>
      <c r="I1" s="101"/>
      <c r="L1" s="101"/>
      <c r="M1" s="101"/>
      <c r="N1" s="101"/>
      <c r="O1" s="101"/>
      <c r="R1" s="91" t="s">
        <v>1</v>
      </c>
      <c r="S1" s="91" t="s">
        <v>1</v>
      </c>
      <c r="T1" s="91" t="s">
        <v>1</v>
      </c>
      <c r="U1" s="91" t="s">
        <v>1</v>
      </c>
      <c r="V1" s="91" t="s">
        <v>1</v>
      </c>
      <c r="W1" s="91" t="s">
        <v>1</v>
      </c>
      <c r="X1" s="91" t="s">
        <v>1</v>
      </c>
      <c r="Y1" s="100" t="str">
        <f>IF(A5="","*",INDEX(AE5:AE58,MATCH(A5,AD5:AD58,0)))</f>
        <v>*</v>
      </c>
      <c r="Z1" s="92" t="s">
        <v>1</v>
      </c>
      <c r="AA1" s="92" t="s">
        <v>1</v>
      </c>
      <c r="AB1" s="92" t="s">
        <v>1</v>
      </c>
      <c r="AC1" s="92" t="s">
        <v>1</v>
      </c>
      <c r="AD1" s="92" t="s">
        <v>1</v>
      </c>
      <c r="AE1" s="92" t="s">
        <v>1</v>
      </c>
      <c r="AF1" s="92" t="s">
        <v>1</v>
      </c>
      <c r="AG1" s="92" t="s">
        <v>1</v>
      </c>
      <c r="AH1" s="92" t="s">
        <v>1</v>
      </c>
      <c r="AI1" s="92" t="s">
        <v>1</v>
      </c>
      <c r="AJ1" s="92" t="s">
        <v>1</v>
      </c>
      <c r="AK1" s="92" t="s">
        <v>1</v>
      </c>
      <c r="AL1" s="92" t="s">
        <v>1</v>
      </c>
      <c r="AM1" s="92" t="s">
        <v>1</v>
      </c>
      <c r="AN1" s="92" t="s">
        <v>1</v>
      </c>
      <c r="AO1" s="92" t="s">
        <v>1</v>
      </c>
      <c r="AP1" s="92" t="s">
        <v>1</v>
      </c>
      <c r="AQ1" s="92" t="s">
        <v>1</v>
      </c>
      <c r="AR1" s="92" t="s">
        <v>1</v>
      </c>
      <c r="AS1" s="92" t="s">
        <v>1</v>
      </c>
    </row>
    <row r="2" spans="1:45" x14ac:dyDescent="0.25">
      <c r="A2" s="791">
        <f>Asiakastilastot!$A$2</f>
        <v>46023</v>
      </c>
      <c r="B2" s="335" t="s">
        <v>2</v>
      </c>
      <c r="H2" s="1075" t="s">
        <v>937</v>
      </c>
      <c r="I2" s="1076"/>
      <c r="L2" s="101"/>
      <c r="M2" s="101"/>
      <c r="N2" s="101"/>
      <c r="O2" s="101"/>
      <c r="W2" s="106" t="str">
        <f>TEXT(A2,"vvvv")</f>
        <v>2026</v>
      </c>
      <c r="X2" s="95" t="s">
        <v>4</v>
      </c>
      <c r="Y2" s="100" t="str">
        <f>IF(A6=X3,"OK","*")</f>
        <v>*</v>
      </c>
      <c r="Z2" s="304" t="s">
        <v>829</v>
      </c>
      <c r="AA2" s="168" t="s">
        <v>6</v>
      </c>
      <c r="AB2" s="169" t="s">
        <v>7</v>
      </c>
      <c r="AC2" s="168" t="s">
        <v>6</v>
      </c>
      <c r="AD2" s="169" t="s">
        <v>8</v>
      </c>
      <c r="AF2" s="95" t="s">
        <v>4</v>
      </c>
    </row>
    <row r="3" spans="1:45" x14ac:dyDescent="0.25">
      <c r="A3" s="780">
        <f>Asiakastilastot!$A$3</f>
        <v>46387</v>
      </c>
      <c r="B3" s="335" t="s">
        <v>9</v>
      </c>
      <c r="H3" s="1076"/>
      <c r="I3" s="1076"/>
      <c r="L3" s="101"/>
      <c r="M3" s="101"/>
      <c r="N3" s="101"/>
      <c r="O3" s="101"/>
      <c r="T3" s="673" t="s">
        <v>938</v>
      </c>
      <c r="U3" s="673" t="s">
        <v>939</v>
      </c>
      <c r="W3" s="106" t="str">
        <f>TEXT(A3,"KK")</f>
        <v>12</v>
      </c>
      <c r="X3" s="95" t="s">
        <v>11</v>
      </c>
      <c r="Z3" s="304" t="s">
        <v>830</v>
      </c>
      <c r="AA3" s="168" t="s">
        <v>13</v>
      </c>
      <c r="AB3" s="169" t="e">
        <f>INDEX(Data_Omakoodi!K:K,MATCH($AB$2,Data_Omakoodi!$I:$I,0))</f>
        <v>#N/A</v>
      </c>
      <c r="AC3" s="168" t="s">
        <v>13</v>
      </c>
      <c r="AD3" s="169" t="e">
        <f>INDEX(Data_Omakoodi!K:K,MATCH($AD$2,Data_Omakoodi!$I:$I,0))</f>
        <v>#N/A</v>
      </c>
      <c r="AF3" s="95" t="s">
        <v>809</v>
      </c>
    </row>
    <row r="4" spans="1:45" x14ac:dyDescent="0.25">
      <c r="A4" s="378" t="s">
        <v>16</v>
      </c>
      <c r="B4" s="335" t="s">
        <v>17</v>
      </c>
      <c r="H4" s="1076"/>
      <c r="I4" s="1076"/>
      <c r="L4" s="101"/>
      <c r="M4" s="101"/>
      <c r="N4" s="101"/>
      <c r="O4" s="101"/>
      <c r="R4" t="s">
        <v>940</v>
      </c>
      <c r="T4" s="673" t="s">
        <v>941</v>
      </c>
      <c r="U4" s="673" t="s">
        <v>942</v>
      </c>
      <c r="X4" s="95" t="s">
        <v>19</v>
      </c>
      <c r="Y4" s="100" t="str">
        <f>IF(A7="","*",IF(A7=X2,"*",IF(A7=X3,X9,"*")))</f>
        <v>*</v>
      </c>
      <c r="AA4" s="168" t="s">
        <v>20</v>
      </c>
      <c r="AB4" s="169" t="str">
        <f>IFERROR(MATCH($AB$2,Data_Omakoodi!$I:$I,0),"")</f>
        <v/>
      </c>
      <c r="AC4" s="168" t="s">
        <v>20</v>
      </c>
      <c r="AD4" s="169" t="str">
        <f>IFERROR(MATCH($AB$2,Data_Omakoodi!$I:$I,0),"")</f>
        <v/>
      </c>
      <c r="AF4" s="100">
        <f>IF(A8="","*",IF(A8=AF2,"*",IF(A8=AF3,1,"*")))</f>
        <v>1</v>
      </c>
    </row>
    <row r="5" spans="1:45" x14ac:dyDescent="0.25">
      <c r="A5" s="378" t="s">
        <v>22</v>
      </c>
      <c r="B5" s="335" t="s">
        <v>23</v>
      </c>
      <c r="H5" s="1076"/>
      <c r="I5" s="1076"/>
      <c r="L5" s="101"/>
      <c r="M5" s="101"/>
      <c r="N5" s="101"/>
      <c r="O5" s="101"/>
      <c r="R5" t="s">
        <v>943</v>
      </c>
      <c r="T5" s="673" t="s">
        <v>944</v>
      </c>
      <c r="U5" s="673" t="s">
        <v>945</v>
      </c>
      <c r="Y5" s="100" t="str">
        <f>IF(A6="","*",IF(A6=X2,"*",IF(A6=X4,X9,"*")))</f>
        <v>*</v>
      </c>
      <c r="Z5" s="304" t="s">
        <v>831</v>
      </c>
      <c r="AA5" s="168" t="s">
        <v>26</v>
      </c>
      <c r="AB5" s="169" t="s">
        <v>16</v>
      </c>
      <c r="AC5" s="168" t="s">
        <v>26</v>
      </c>
      <c r="AD5" s="169" t="s">
        <v>22</v>
      </c>
      <c r="AE5" s="168" t="s">
        <v>26</v>
      </c>
    </row>
    <row r="6" spans="1:45" x14ac:dyDescent="0.25">
      <c r="A6" s="378" t="s">
        <v>4</v>
      </c>
      <c r="B6" s="335" t="s">
        <v>810</v>
      </c>
      <c r="H6" s="1076"/>
      <c r="I6" s="1076"/>
      <c r="L6" s="101"/>
      <c r="M6" s="101"/>
      <c r="N6" s="101"/>
      <c r="O6" s="101"/>
      <c r="R6" t="s">
        <v>946</v>
      </c>
      <c r="T6" s="673" t="s">
        <v>947</v>
      </c>
      <c r="U6" s="673" t="s">
        <v>948</v>
      </c>
      <c r="Y6" s="100" t="str">
        <f>IF(A4="","*",INDEX(AA5:AA58,MATCH(A4,AB5:AB58,0)))</f>
        <v>*</v>
      </c>
      <c r="Z6" s="304" t="s">
        <v>832</v>
      </c>
      <c r="AA6" s="168" t="s">
        <v>29</v>
      </c>
      <c r="AB6" s="170" t="s">
        <v>30</v>
      </c>
      <c r="AC6" s="168" t="s">
        <v>29</v>
      </c>
      <c r="AD6" s="170" t="s">
        <v>31</v>
      </c>
      <c r="AE6" s="168" t="s">
        <v>29</v>
      </c>
      <c r="AF6">
        <f>$AF$4</f>
        <v>1</v>
      </c>
    </row>
    <row r="7" spans="1:45" x14ac:dyDescent="0.25">
      <c r="A7" s="378" t="s">
        <v>4</v>
      </c>
      <c r="B7" s="335" t="s">
        <v>32</v>
      </c>
      <c r="H7" s="1076"/>
      <c r="I7" s="1076"/>
      <c r="J7" s="228"/>
      <c r="R7" t="s">
        <v>949</v>
      </c>
      <c r="T7" s="673" t="s">
        <v>950</v>
      </c>
      <c r="U7" s="673" t="s">
        <v>951</v>
      </c>
      <c r="X7" s="171" t="s">
        <v>34</v>
      </c>
      <c r="Y7" s="171" t="s">
        <v>35</v>
      </c>
      <c r="Z7" s="304" t="s">
        <v>834</v>
      </c>
      <c r="AA7" s="168" t="s">
        <v>36</v>
      </c>
      <c r="AB7" s="170" t="s">
        <v>37</v>
      </c>
      <c r="AC7" s="168" t="s">
        <v>36</v>
      </c>
      <c r="AD7" s="170" t="s">
        <v>38</v>
      </c>
      <c r="AE7" s="168" t="s">
        <v>36</v>
      </c>
    </row>
    <row r="8" spans="1:45" x14ac:dyDescent="0.25">
      <c r="A8" s="378" t="s">
        <v>809</v>
      </c>
      <c r="B8" s="335" t="s">
        <v>811</v>
      </c>
      <c r="R8" t="s">
        <v>952</v>
      </c>
      <c r="T8" s="673" t="s">
        <v>941</v>
      </c>
      <c r="U8" s="673" t="s">
        <v>953</v>
      </c>
      <c r="X8" s="233" t="s">
        <v>40</v>
      </c>
      <c r="Z8" s="304" t="s">
        <v>835</v>
      </c>
      <c r="AA8" s="176" t="s">
        <v>41</v>
      </c>
      <c r="AB8" s="169" t="str">
        <f>IFERROR(INDEX(Data_Omakoodi!E:E,MATCH(AA8,Data_Omakoodi!A:A,0)),"")</f>
        <v/>
      </c>
      <c r="AC8" t="s">
        <v>42</v>
      </c>
      <c r="AD8" s="169" t="str">
        <f>IFERROR(INDEX(Data_Omakoodi!E:E,MATCH(AC8,Data_Omakoodi!A:A,0)),"")</f>
        <v/>
      </c>
      <c r="AE8" t="s">
        <v>42</v>
      </c>
    </row>
    <row r="9" spans="1:45" x14ac:dyDescent="0.25">
      <c r="R9" t="s">
        <v>954</v>
      </c>
      <c r="T9" s="673" t="s">
        <v>955</v>
      </c>
      <c r="U9" s="673" t="s">
        <v>956</v>
      </c>
      <c r="X9" s="105" t="s">
        <v>44</v>
      </c>
      <c r="AA9" s="176" t="s">
        <v>45</v>
      </c>
      <c r="AB9" s="169" t="str">
        <f>IFERROR(INDEX(Data_Omakoodi!E:E,MATCH(AA9,Data_Omakoodi!A:A,0)),"")</f>
        <v/>
      </c>
      <c r="AC9" t="s">
        <v>46</v>
      </c>
      <c r="AD9" s="169" t="str">
        <f>IFERROR(INDEX(Data_Omakoodi!E:E,MATCH(AC9,Data_Omakoodi!A:A,0)),"")</f>
        <v/>
      </c>
      <c r="AE9" t="s">
        <v>46</v>
      </c>
    </row>
    <row r="10" spans="1:45" ht="36" customHeight="1" x14ac:dyDescent="0.25">
      <c r="A10" s="179" t="str">
        <f>Y12&amp;T15&amp;X10&amp;X12</f>
        <v>Mihin erilaisiin palveluihin / toimenpiteisiin / toimintoihin tavoitettuja nuoria on ohjattu prosessin aikana? - 01.01.2026-31.12.2026 (Kaikki kunnat, Kaikki yksiköt)</v>
      </c>
      <c r="B10" s="177"/>
      <c r="C10" s="177"/>
      <c r="D10" s="674"/>
      <c r="E10" s="177"/>
      <c r="F10" s="177"/>
      <c r="N10" s="610"/>
      <c r="T10" s="673" t="s">
        <v>957</v>
      </c>
      <c r="U10" s="673" t="s">
        <v>958</v>
      </c>
      <c r="X10" s="106" t="str">
        <f>" - "&amp;TEXT($A$2,$X$11)&amp;"-"&amp;TEXT($A$3,$X$11)&amp;" "</f>
        <v xml:space="preserve"> - 01.01.2026-31.12.2026 </v>
      </c>
      <c r="AA10" s="176" t="s">
        <v>52</v>
      </c>
      <c r="AB10" s="169" t="str">
        <f>IFERROR(INDEX(Data_Omakoodi!E:E,MATCH(AA10,Data_Omakoodi!A:A,0)),"")</f>
        <v/>
      </c>
      <c r="AC10" t="s">
        <v>53</v>
      </c>
      <c r="AD10" s="169" t="str">
        <f>IFERROR(INDEX(Data_Omakoodi!E:E,MATCH(AC10,Data_Omakoodi!A:A,0)),"")</f>
        <v/>
      </c>
      <c r="AE10" t="s">
        <v>959</v>
      </c>
    </row>
    <row r="11" spans="1:45" ht="75" customHeight="1" x14ac:dyDescent="0.25">
      <c r="A11" s="1077" t="s">
        <v>960</v>
      </c>
      <c r="B11" s="675"/>
      <c r="C11" s="1079" t="s">
        <v>716</v>
      </c>
      <c r="D11" s="1080"/>
      <c r="E11" s="676" t="s">
        <v>961</v>
      </c>
      <c r="F11" s="677" t="s">
        <v>962</v>
      </c>
      <c r="G11" s="737" t="s">
        <v>963</v>
      </c>
      <c r="H11" s="1081" t="str">
        <f>"Kuva: "&amp;A10&amp;" - (N:"&amp;C13&amp;")"</f>
        <v>Kuva: Mihin erilaisiin palveluihin / toimenpiteisiin / toimintoihin tavoitettuja nuoria on ohjattu prosessin aikana? - 01.01.2026-31.12.2026 (Kaikki kunnat, Kaikki yksiköt) - (N:0)</v>
      </c>
      <c r="I11" s="1082"/>
      <c r="J11" s="1083" t="s">
        <v>964</v>
      </c>
      <c r="K11" s="1083" t="s">
        <v>965</v>
      </c>
      <c r="L11" s="1083" t="s">
        <v>966</v>
      </c>
      <c r="M11" s="1083" t="s">
        <v>967</v>
      </c>
      <c r="N11" s="1083" t="s">
        <v>968</v>
      </c>
      <c r="O11" s="1083" t="s">
        <v>969</v>
      </c>
      <c r="T11" s="673" t="s">
        <v>970</v>
      </c>
      <c r="U11" s="673" t="s">
        <v>971</v>
      </c>
      <c r="X11" s="107" t="s">
        <v>55</v>
      </c>
      <c r="AA11" s="176" t="s">
        <v>57</v>
      </c>
      <c r="AB11" s="169" t="str">
        <f>IFERROR(INDEX(Data_Omakoodi!E:E,MATCH(AA11,Data_Omakoodi!A:A,0)),"")</f>
        <v/>
      </c>
      <c r="AC11" t="s">
        <v>58</v>
      </c>
      <c r="AD11" s="169" t="str">
        <f>IFERROR(INDEX(Data_Omakoodi!E:E,MATCH(AC11,Data_Omakoodi!A:A,0)),"")</f>
        <v/>
      </c>
      <c r="AE11" t="s">
        <v>58</v>
      </c>
    </row>
    <row r="12" spans="1:45" x14ac:dyDescent="0.25">
      <c r="A12" s="1078"/>
      <c r="B12" s="679" t="s">
        <v>838</v>
      </c>
      <c r="C12" s="1090">
        <f>E12+F12</f>
        <v>0</v>
      </c>
      <c r="D12" s="1091"/>
      <c r="E12" s="680">
        <f>SUMIFS(AS!$W:$W,AS!$AB:$AB,"OK",AS!$F:$F,$X$7,AS!$AW:$AW,$Y$6,AS!$K:$K,$Y$1,AS!$AH:$AH,$X$8)</f>
        <v>0</v>
      </c>
      <c r="F12" s="681">
        <f>SUMIFS(AS!$W:$W,AS!AB:AB,"OK",AS!$F:$F,$Y$7,AS!$AW:$AW,$Y$6,AS!$K:$K,$Y$1,AS!$AH:$AH,$X$8)</f>
        <v>0</v>
      </c>
      <c r="G12" s="682">
        <f>SUMIFS(AS!$W:$W,AS!AB:AB,"OK",AS!$AW:$AW,$Y$6,AS!$K:$K,$Y$1,AS!AH:AH,"vanha")</f>
        <v>0</v>
      </c>
      <c r="H12" s="683"/>
      <c r="I12" s="684"/>
      <c r="J12" s="1084"/>
      <c r="K12" s="1084"/>
      <c r="L12" s="1084"/>
      <c r="M12" s="1084"/>
      <c r="N12" s="1084"/>
      <c r="O12" s="1084"/>
      <c r="T12" s="673" t="s">
        <v>972</v>
      </c>
      <c r="U12" s="673" t="s">
        <v>973</v>
      </c>
      <c r="X12" s="106" t="str">
        <f>"("&amp;A4&amp;", "&amp;A5&amp;")"</f>
        <v>(Kaikki kunnat, Kaikki yksiköt)</v>
      </c>
      <c r="AA12" s="176" t="s">
        <v>60</v>
      </c>
      <c r="AB12" s="169" t="str">
        <f>IFERROR(INDEX(Data_Omakoodi!E:E,MATCH(AA12,Data_Omakoodi!A:A,0)),"")</f>
        <v/>
      </c>
      <c r="AC12" t="s">
        <v>61</v>
      </c>
      <c r="AD12" s="169" t="str">
        <f>IFERROR(INDEX(Data_Omakoodi!E:E,MATCH(AC12,Data_Omakoodi!A:A,0)),"")</f>
        <v/>
      </c>
      <c r="AE12" t="s">
        <v>61</v>
      </c>
    </row>
    <row r="13" spans="1:45" x14ac:dyDescent="0.25">
      <c r="A13" s="1078"/>
      <c r="B13" s="679" t="s">
        <v>974</v>
      </c>
      <c r="C13" s="1090">
        <f>E13+F13</f>
        <v>0</v>
      </c>
      <c r="D13" s="1091"/>
      <c r="E13" s="681">
        <f>SUMIFS('TP2'!$P:$P,'TP2'!$R:$R,"OK",'TP2'!$V:$V,$X$7,'TP2'!$W:$W,$X$8,'TP2'!$Q:$Q,$Y$4,'TP2'!$X:$X,$Y$1,'TP2'!$AF:$AF,$Y$6,'TP2'!$AG:$AG,$Y$2,'TP2'!$AI:$AI,$Y$5,'TP2'!$AD:$AD,$X$9,'TP2'!$Y:$Y,"1",'TP2'!AN:AN,"P")</f>
        <v>0</v>
      </c>
      <c r="F13" s="681">
        <f>SUMIFS('TP2'!$P:$P,'TP2'!$R:$R,"OK",'TP2'!$V:$V,$Y$7,'TP2'!$W:$W,$X$8,'TP2'!$Q:$Q,$Y$4,'TP2'!$X:$X,$Y$1,'TP2'!$AF:$AF,$Y$6,'TP2'!$AG:$AG,$Y$2,'TP2'!$AI:$AI,$Y$5,'TP2'!$AD:$AD,$X$9,'TP2'!$Y:$Y,"1",'TP2'!AN:AN,"P")</f>
        <v>0</v>
      </c>
      <c r="G13" s="681">
        <f>SUMIFS('TP2'!$P:$P,'TP2'!$R:$R,"OK",'TP2'!$W:$W,"vanha",'TP2'!$Q:$Q,$Y$4,'TP2'!$X:$X,$Y$1,'TP2'!$AF:$AF,$Y$6,'TP2'!$AG:$AG,$Y$2,'TP2'!$AI:$AI,$Y$5,'TP2'!$AD:$AD,$X$9,'TP2'!$Y:$Y,"1",'TP2'!AN:AN,"P")</f>
        <v>0</v>
      </c>
      <c r="H13" s="683"/>
      <c r="I13" s="684"/>
      <c r="J13" s="1084"/>
      <c r="K13" s="1084"/>
      <c r="L13" s="1084"/>
      <c r="M13" s="1084"/>
      <c r="N13" s="1084"/>
      <c r="O13" s="1084"/>
      <c r="X13" s="395" t="s">
        <v>812</v>
      </c>
      <c r="AA13" s="176" t="s">
        <v>63</v>
      </c>
      <c r="AB13" s="169" t="str">
        <f>IFERROR(INDEX(Data_Omakoodi!E:E,MATCH(AA13,Data_Omakoodi!A:A,0)),"")</f>
        <v/>
      </c>
      <c r="AC13" t="s">
        <v>64</v>
      </c>
      <c r="AD13" s="169" t="str">
        <f>IFERROR(INDEX(Data_Omakoodi!E:E,MATCH(AC13,Data_Omakoodi!A:A,0)),"")</f>
        <v/>
      </c>
      <c r="AE13" t="s">
        <v>64</v>
      </c>
    </row>
    <row r="14" spans="1:45" x14ac:dyDescent="0.25">
      <c r="A14" s="1078"/>
      <c r="B14" s="679" t="s">
        <v>975</v>
      </c>
      <c r="C14" s="1090">
        <f>C12-C13</f>
        <v>0</v>
      </c>
      <c r="D14" s="1091"/>
      <c r="E14" s="685">
        <f>E12-E13</f>
        <v>0</v>
      </c>
      <c r="F14" s="685">
        <f t="shared" ref="F14:G14" si="0">F12-F13</f>
        <v>0</v>
      </c>
      <c r="G14" s="685">
        <f t="shared" si="0"/>
        <v>0</v>
      </c>
      <c r="H14" s="683"/>
      <c r="I14" s="684"/>
      <c r="J14" s="1084"/>
      <c r="K14" s="1084"/>
      <c r="L14" s="1084"/>
      <c r="M14" s="1084"/>
      <c r="N14" s="1084"/>
      <c r="O14" s="1084"/>
      <c r="AA14" s="176" t="s">
        <v>66</v>
      </c>
      <c r="AB14" s="169" t="str">
        <f>IFERROR(INDEX(Data_Omakoodi!E:E,MATCH(AA14,Data_Omakoodi!A:A,0)),"")</f>
        <v/>
      </c>
      <c r="AC14" t="s">
        <v>67</v>
      </c>
      <c r="AD14" s="169" t="str">
        <f>IFERROR(INDEX(Data_Omakoodi!E:E,MATCH(AC14,Data_Omakoodi!A:A,0)),"")</f>
        <v/>
      </c>
      <c r="AE14" t="s">
        <v>67</v>
      </c>
      <c r="AR14" t="s">
        <v>976</v>
      </c>
    </row>
    <row r="15" spans="1:45" ht="15" customHeight="1" x14ac:dyDescent="0.25">
      <c r="A15" s="1086" t="s">
        <v>977</v>
      </c>
      <c r="B15" s="1087"/>
      <c r="C15" s="1092" t="s">
        <v>978</v>
      </c>
      <c r="D15" s="1093"/>
      <c r="E15" s="1093"/>
      <c r="F15" s="1093"/>
      <c r="G15" s="1094"/>
      <c r="H15" s="683"/>
      <c r="I15" s="684"/>
      <c r="J15" s="1085"/>
      <c r="K15" s="1085"/>
      <c r="L15" s="1085"/>
      <c r="M15" s="1085"/>
      <c r="N15" s="1085"/>
      <c r="O15" s="1085"/>
      <c r="T15" s="686" t="s">
        <v>979</v>
      </c>
      <c r="AA15" s="176" t="s">
        <v>73</v>
      </c>
      <c r="AB15" s="169" t="str">
        <f>IFERROR(INDEX(Data_Omakoodi!E:E,MATCH(AA15,Data_Omakoodi!A:A,0)),"")</f>
        <v/>
      </c>
      <c r="AC15" t="s">
        <v>74</v>
      </c>
      <c r="AD15" s="169" t="str">
        <f>IFERROR(INDEX(Data_Omakoodi!E:E,MATCH(AC15,Data_Omakoodi!A:A,0)),"")</f>
        <v/>
      </c>
      <c r="AE15" t="s">
        <v>74</v>
      </c>
    </row>
    <row r="16" spans="1:45" ht="15" customHeight="1" x14ac:dyDescent="0.25">
      <c r="A16" s="687"/>
      <c r="B16" s="688" t="str">
        <f>A17</f>
        <v>Asiakkuuteen liittyvät toimenpiteet ja ohjaukset</v>
      </c>
      <c r="C16" s="689">
        <f>SUM(C17:C29)</f>
        <v>0</v>
      </c>
      <c r="D16" s="689">
        <f>SUM(D17:D29)</f>
        <v>0</v>
      </c>
      <c r="E16" s="689">
        <f>SUM(E17:E29)</f>
        <v>0</v>
      </c>
      <c r="F16" s="689">
        <f>SUM(F17:F29)</f>
        <v>0</v>
      </c>
      <c r="G16" s="689">
        <f>SUM(G17:G29)</f>
        <v>0</v>
      </c>
      <c r="H16" s="690"/>
      <c r="I16" s="691"/>
      <c r="J16" s="690">
        <f t="shared" ref="J16:O16" si="1">SUM(J17:J29)</f>
        <v>0</v>
      </c>
      <c r="K16" s="692">
        <f t="shared" si="1"/>
        <v>0</v>
      </c>
      <c r="L16" s="692">
        <f t="shared" si="1"/>
        <v>0</v>
      </c>
      <c r="M16" s="692">
        <f t="shared" si="1"/>
        <v>0</v>
      </c>
      <c r="N16" s="692">
        <f t="shared" si="1"/>
        <v>0</v>
      </c>
      <c r="O16" s="691">
        <f t="shared" si="1"/>
        <v>0</v>
      </c>
      <c r="T16" s="693"/>
      <c r="V16" s="676" t="s">
        <v>4</v>
      </c>
      <c r="W16" s="676" t="s">
        <v>961</v>
      </c>
      <c r="X16" s="677" t="s">
        <v>962</v>
      </c>
      <c r="Y16" s="678" t="s">
        <v>980</v>
      </c>
      <c r="AA16" s="176" t="s">
        <v>80</v>
      </c>
      <c r="AB16" s="169" t="str">
        <f>IFERROR(INDEX(Data_Omakoodi!E:E,MATCH(AA16,Data_Omakoodi!A:A,0)),"")</f>
        <v/>
      </c>
      <c r="AC16" t="s">
        <v>81</v>
      </c>
      <c r="AD16" s="169" t="str">
        <f>IFERROR(INDEX(Data_Omakoodi!E:E,MATCH(AC16,Data_Omakoodi!A:A,0)),"")</f>
        <v/>
      </c>
      <c r="AE16" t="s">
        <v>81</v>
      </c>
      <c r="AO16" s="694"/>
      <c r="AP16" s="695" t="s">
        <v>981</v>
      </c>
      <c r="AQ16" s="695" t="s">
        <v>981</v>
      </c>
    </row>
    <row r="17" spans="1:48" ht="15" customHeight="1" x14ac:dyDescent="0.25">
      <c r="A17" s="1095" t="s">
        <v>982</v>
      </c>
      <c r="B17" s="696" t="s">
        <v>983</v>
      </c>
      <c r="C17" s="697">
        <f>SUMIFS('TP2'!$P:$P,'TP2'!$AI:$AI,$Y$2,'TP2'!$R:$R,$X$9,'TP2'!$U:$U,Ohjaus!$T17,'TP2'!$W:$W,Ohjaus!$X$8,'TP2'!$X:$X,$Y$1,'TP2'!$AD:$AD,$X$9,'TP2'!$AF:$AF,Ohjaus!$Y$6,'TP2'!$Q:$Q,Ohjaus!$Y$4,'TP2'!$AG:$AG,Ohjaus!$Y$5,'TP2'!$AL:$AL,$AF$4,'TP2'!AN:AN,"P")+V17+AG17</f>
        <v>0</v>
      </c>
      <c r="D17" s="698">
        <f>IFERROR(C17/$C$13,0)</f>
        <v>0</v>
      </c>
      <c r="E17" s="697">
        <f>SUMIFS('TP2'!$P:$P,'TP2'!$AI:$AI,$Y$2,'TP2'!$R:$R,$X$9,'TP2'!$U:$U,Ohjaus!$T17,'TP2'!$W:$W,Ohjaus!$X$8,'TP2'!$X:$X,$Y$1,'TP2'!$AD:$AD,$X$9,'TP2'!$AF:$AF,Ohjaus!$Y$6,'TP2'!$Q:$Q,Ohjaus!$Y$4,'TP2'!$AG:$AG,Ohjaus!$Y$5,'TP2'!$AL:$AL,$AF$4,'TP2'!$V:$V,Ohjaus!$X$7,'TP2'!AN:AN,"P")+W17+AH17</f>
        <v>0</v>
      </c>
      <c r="F17" s="697">
        <f>SUMIFS('TP2'!$P:$P,'TP2'!$AI:$AI,$Y$2,'TP2'!$R:$R,$X$9,'TP2'!$U:$U,Ohjaus!$T17,'TP2'!$W:$W,Ohjaus!$X$8,'TP2'!$X:$X,$Y$1,'TP2'!$AD:$AD,$X$9,'TP2'!$AF:$AF,Ohjaus!$Y$6,'TP2'!$Q:$Q,Ohjaus!$Y$4,'TP2'!$AG:$AG,Ohjaus!$Y$5,'TP2'!$AL:$AL,$AF$4,'TP2'!$V:$V,Ohjaus!$Y$7,'TP2'!AN:AN,"P")+X17+AI17</f>
        <v>0</v>
      </c>
      <c r="G17" s="697">
        <f>SUMIFS('TP2'!$P:$P,'TP2'!$AI:$AI,$Y$2,'TP2'!$R:$R,$X$9,'TP2'!$U:$U,Ohjaus!$T17,'TP2'!$W:$W,"vanha",'TP2'!$X:$X,$Y$1,'TP2'!$AD:$AD,$X$9,'TP2'!$AF:$AF,Ohjaus!$Y$6,'TP2'!$Q:$Q,Ohjaus!$Y$4,'TP2'!$AG:$AG,Ohjaus!$Y$5,'TP2'!$AL:$AL,$AF$4,'TP2'!AN:AN,"P")+Z17+AK17</f>
        <v>0</v>
      </c>
      <c r="H17" s="699"/>
      <c r="I17" s="700"/>
      <c r="J17" s="701">
        <f>SUMIFS('TP2'!$P:$P,'TP2'!$AI:$AI,$Y$2,'TP2'!$R:$R,$X$9,'TP2'!$U:$U,Ohjaus!$T17,'TP2'!$W:$W,Ohjaus!$X$8,'TP2'!$X:$X,$Y$1,'TP2'!$AD:$AD,$X$9,'TP2'!$AF:$AF,Ohjaus!$Y$6,'TP2'!$Q:$Q,Ohjaus!$Y$4,'TP2'!$AG:$AG,Ohjaus!$Y$5,'TP2'!$AL:$AL,$AF$4,'TP2'!$Z:$Z,1,'TP2'!AN:AN,"P")</f>
        <v>0</v>
      </c>
      <c r="K17" s="702">
        <f>SUMIFS('TP2'!$P:$P,'TP2'!$AI:$AI,$Y$2,'TP2'!$R:$R,$X$9,'TP2'!$U:$U,Ohjaus!$T17,'TP2'!$W:$W,Ohjaus!$X$8,'TP2'!$X:$X,$Y$1,'TP2'!$AD:$AD,$X$9,'TP2'!$AF:$AF,Ohjaus!$Y$6,'TP2'!$Q:$Q,Ohjaus!$Y$4,'TP2'!$AG:$AG,Ohjaus!$Y$5,'TP2'!$AL:$AL,$AF$4,'TP2'!$O:$O,$Z$3,'TP2'!AN:AN,"P")</f>
        <v>0</v>
      </c>
      <c r="L17" s="702">
        <f>SUMIFS('TP2'!$P:$P,'TP2'!$AI:$AI,$Y$2,'TP2'!$R:$R,$X$9,'TP2'!$U:$U,Ohjaus!$T17,'TP2'!$W:$W,Ohjaus!$X$8,'TP2'!$X:$X,$Y$1,'TP2'!$AD:$AD,$X$9,'TP2'!$AF:$AF,Ohjaus!$Y$6,'TP2'!$Q:$Q,Ohjaus!$Y$4,'TP2'!$AG:$AG,Ohjaus!$Y$5,'TP2'!$AL:$AL,$AF$4,'TP2'!$K:$K,$Z$6,'TP2'!AN:AN,"P")</f>
        <v>0</v>
      </c>
      <c r="M17" s="702">
        <f>SUMIFS('TP2'!$P:$P,'TP2'!$AI:$AI,$Y$2,'TP2'!$R:$R,$X$9,'TP2'!$U:$U,Ohjaus!$T17,'TP2'!$W:$W,Ohjaus!$X$8,'TP2'!$X:$X,$Y$1,'TP2'!$AD:$AD,$X$9,'TP2'!$AF:$AF,Ohjaus!$Y$6,'TP2'!$Q:$Q,Ohjaus!$Y$4,'TP2'!$AG:$AG,Ohjaus!$Y$5,'TP2'!$AL:$AL,$AF$4,'TP2'!$K:$K,$Z$7,'TP2'!AN:AN,"P")</f>
        <v>0</v>
      </c>
      <c r="N17" s="702">
        <f>SUMIFS('TP2'!$P:$P,'TP2'!$AI:$AI,$Y$2,'TP2'!$R:$R,$X$9,'TP2'!$U:$U,Ohjaus!$T17,'TP2'!$W:$W,Ohjaus!$X$8,'TP2'!$X:$X,$Y$1,'TP2'!$AD:$AD,$X$9,'TP2'!$AF:$AF,Ohjaus!$Y$6,'TP2'!$Q:$Q,Ohjaus!$Y$4,'TP2'!$AG:$AG,Ohjaus!$Y$5,'TP2'!$AL:$AL,$AF$4,'TP2'!$K:$K,$Z$8,'TP2'!AN:AN,"P")</f>
        <v>0</v>
      </c>
      <c r="O17" s="702">
        <f>SUMIFS('TP2'!$P:$P,'TP2'!$AI:$AI,$Y$2,'TP2'!$R:$R,$X$9,'TP2'!$U:$U,Ohjaus!$T17,'TP2'!$W:$W,Ohjaus!$X$8,'TP2'!$X:$X,$Y$1,'TP2'!$AD:$AD,$X$9,'TP2'!$AF:$AF,Ohjaus!$Y$6,'TP2'!$Q:$Q,Ohjaus!$Y$4,'TP2'!$AG:$AG,Ohjaus!$Y$5,'TP2'!$AL:$AL,$AF$4,'TP2'!$K:$K,$Z$5,'TP2'!AN:AN,"P")</f>
        <v>0</v>
      </c>
      <c r="T17" s="335" t="s">
        <v>984</v>
      </c>
      <c r="U17" s="703" t="s">
        <v>985</v>
      </c>
      <c r="V17" s="702">
        <f>SUMIFS('TP2'!$P:$P,'TP2'!$AI:$AI,$Y$2,'TP2'!$R:$R,$X$9,'TP2'!$U:$U,Ohjaus!$U17,'TP2'!$W:$W,Ohjaus!$X$8,'TP2'!$X:$X,$Y$1,'TP2'!$AD:$AD,$X$9,'TP2'!$AF:$AF,Ohjaus!$Y$6,'TP2'!$Q:$Q,Ohjaus!$Y$4,'TP2'!$AG:$AG,Ohjaus!$Y$5,'TP2'!AL:AL,$AF$4,'TP2'!AN:AN,"P")</f>
        <v>0</v>
      </c>
      <c r="W17" s="697">
        <f>SUMIFS('TP2'!$P:$P,'TP2'!$AI:$AI,$Y$2,'TP2'!$R:$R,$X$9,'TP2'!$U:$U,Ohjaus!$U17,'TP2'!$W:$W,Ohjaus!$X$8,'TP2'!$X:$X,$Y$1,'TP2'!$AD:$AD,$X$9,'TP2'!$AF:$AF,Ohjaus!$Y$6,'TP2'!$Q:$Q,Ohjaus!$Y$4,'TP2'!$AG:$AG,Ohjaus!$Y$5,'TP2'!$AL:$AL,$AF$4,'TP2'!$V:$V,Ohjaus!$X$7,'TP2'!AN:AN,"P")</f>
        <v>0</v>
      </c>
      <c r="X17" s="697">
        <f>SUMIFS('TP2'!$P:$P,'TP2'!$AI:$AI,$Y$2,'TP2'!$R:$R,$X$9,'TP2'!$U:$U,Ohjaus!$U17,'TP2'!$W:$W,Ohjaus!$X$8,'TP2'!$X:$X,$Y$1,'TP2'!$AD:$AD,$X$9,'TP2'!$AF:$AF,Ohjaus!$Y$6,'TP2'!$Q:$Q,Ohjaus!$Y$4,'TP2'!$AG:$AG,Ohjaus!$Y$5,'TP2'!$AL:$AL,$AF$4,'TP2'!$V:$V,Ohjaus!$Y$7,'TP2'!AN:AN,"P")</f>
        <v>0</v>
      </c>
      <c r="Y17" s="697">
        <f>SUMIFS('TP2'!$P:$P,'TP2'!$AI:$AI,$Y$2,'TP2'!$R:$R,$X$9,'TP2'!$U:$U,Ohjaus!$U17,'TP2'!$W:$W,"vanha",'TP2'!$X:$X,$Y$1,'TP2'!$AD:$AD,$X$9,'TP2'!$AF:$AF,Ohjaus!$Y$6,'TP2'!$Q:$Q,Ohjaus!$Y$4,'TP2'!$AG:$AG,Ohjaus!$Y$5,'TP2'!$AL:$AL,$AF$4,'TP2'!AN:AN,"P")</f>
        <v>0</v>
      </c>
      <c r="AA17" s="176" t="s">
        <v>87</v>
      </c>
      <c r="AB17" s="169" t="str">
        <f>IFERROR(INDEX(Data_Omakoodi!E:E,MATCH(AA17,Data_Omakoodi!A:A,0)),"")</f>
        <v/>
      </c>
      <c r="AC17" t="s">
        <v>88</v>
      </c>
      <c r="AD17" s="169" t="str">
        <f>IFERROR(INDEX(Data_Omakoodi!E:E,MATCH(AC17,Data_Omakoodi!A:A,0)),"")</f>
        <v/>
      </c>
      <c r="AE17" t="s">
        <v>88</v>
      </c>
      <c r="AG17" s="702">
        <f>SUMIFS('TP2'!$P:$P,'TP2'!$AI:$AI,$W$7,'TP2'!$R:$R,$X$9,'TP2'!$U:$U,Ohjaus!$AF17,'TP2'!$W:$W,Ohjaus!$X$8,'TP2'!$X:$X,Ohjaus!$X$6,'TP2'!$AD:$AD,$X$9,'TP2'!$AF:$AF,Ohjaus!$Y$6,'TP2'!$Q:$Q,Ohjaus!$Y$4,'TP2'!$AG:$AG,Ohjaus!$Y$5,'TP2'!AL:AL,$AF$4,'TP2'!AN:AN,"P")</f>
        <v>0</v>
      </c>
      <c r="AH17" s="697">
        <f>SUMIFS('TP2'!$P:$P,'TP2'!$AI:$AI,$Y$2,'TP2'!$R:$R,$X$9,'TP2'!$U:$U,Ohjaus!$AF17,'TP2'!$W:$W,Ohjaus!$X$8,'TP2'!$X:$X,$Y$1,'TP2'!$AD:$AD,$X$9,'TP2'!$AF:$AF,Ohjaus!$Y$6,'TP2'!$Q:$Q,Ohjaus!$Y$4,'TP2'!$AG:$AG,Ohjaus!$Y$5,'TP2'!$AL:$AL,$AF$4,'TP2'!$V:$V,Ohjaus!$X$7,'TP2'!AN:AN,"P")</f>
        <v>0</v>
      </c>
      <c r="AI17" s="697">
        <f>SUMIFS('TP2'!$P:$P,'TP2'!$AI:$AI,$Y$2,'TP2'!$R:$R,$X$9,'TP2'!$U:$U,Ohjaus!$AF17,'TP2'!$W:$W,Ohjaus!$X$8,'TP2'!$X:$X,$Y$1,'TP2'!$AD:$AD,$X$9,'TP2'!$AF:$AF,Ohjaus!$Y$6,'TP2'!$Q:$Q,Ohjaus!$Y$4,'TP2'!$AG:$AG,Ohjaus!$Y$5,'TP2'!$AL:$AL,$AF$4,'TP2'!$V:$V,Ohjaus!$Y$7,'TP2'!AN:AN,"P")</f>
        <v>0</v>
      </c>
      <c r="AJ17" s="697">
        <f>SUMIFS('TP2'!$P:$P,'TP2'!$AI:$AI,$Y$2,'TP2'!$R:$R,$X$9,'TP2'!$U:$U,Ohjaus!$AF17,'TP2'!$W:$W,"vanha",'TP2'!$X:$X,$Y$1,'TP2'!$AD:$AD,$X$9,'TP2'!$AF:$AF,Ohjaus!$Y$6,'TP2'!$Q:$Q,Ohjaus!$Y$4,'TP2'!$AG:$AG,Ohjaus!$Y$5,'TP2'!$AL:$AL,$AF$4,'TP2'!AN:AN,"P")</f>
        <v>0</v>
      </c>
      <c r="AO17" s="704" t="s">
        <v>986</v>
      </c>
      <c r="AP17" s="705" t="s">
        <v>987</v>
      </c>
      <c r="AQ17" s="705" t="s">
        <v>988</v>
      </c>
      <c r="AR17" t="s">
        <v>984</v>
      </c>
    </row>
    <row r="18" spans="1:48" ht="15" customHeight="1" x14ac:dyDescent="0.25">
      <c r="A18" s="1096"/>
      <c r="B18" s="696" t="s">
        <v>989</v>
      </c>
      <c r="C18" s="697">
        <f>SUMIFS('TP2'!$P:$P,'TP2'!$AI:$AI,$Y$2,'TP2'!$R:$R,$X$9,'TP2'!$U:$U,Ohjaus!$T18,'TP2'!$W:$W,Ohjaus!$X$8,'TP2'!$X:$X,$Y$1,'TP2'!$AD:$AD,$X$9,'TP2'!$AF:$AF,Ohjaus!$Y$6,'TP2'!$Q:$Q,Ohjaus!$Y$4,'TP2'!$AG:$AG,Ohjaus!$Y$5,'TP2'!$AL:$AL,$AF$4,'TP2'!AN:AN,"P")+V18+AG18</f>
        <v>0</v>
      </c>
      <c r="D18" s="698">
        <f t="shared" ref="D18:D29" si="2">IFERROR(C18/$C$13,0)</f>
        <v>0</v>
      </c>
      <c r="E18" s="697">
        <f>SUMIFS('TP2'!$P:$P,'TP2'!$AI:$AI,$Y$2,'TP2'!$R:$R,$X$9,'TP2'!$U:$U,Ohjaus!$T18,'TP2'!$W:$W,Ohjaus!$X$8,'TP2'!$X:$X,$Y$1,'TP2'!$AD:$AD,$X$9,'TP2'!$AF:$AF,Ohjaus!$Y$6,'TP2'!$Q:$Q,Ohjaus!$Y$4,'TP2'!$AG:$AG,Ohjaus!$Y$5,'TP2'!$AL:$AL,$AF$4,'TP2'!$V:$V,Ohjaus!$X$7,'TP2'!AN:AN,"P")+W18+AH18</f>
        <v>0</v>
      </c>
      <c r="F18" s="697">
        <f>SUMIFS('TP2'!$P:$P,'TP2'!$AI:$AI,$Y$2,'TP2'!$R:$R,$X$9,'TP2'!$U:$U,Ohjaus!$T18,'TP2'!$W:$W,Ohjaus!$X$8,'TP2'!$X:$X,$Y$1,'TP2'!$AD:$AD,$X$9,'TP2'!$AF:$AF,Ohjaus!$Y$6,'TP2'!$Q:$Q,Ohjaus!$Y$4,'TP2'!$AG:$AG,Ohjaus!$Y$5,'TP2'!$AL:$AL,$AF$4,'TP2'!$V:$V,Ohjaus!$Y$7,'TP2'!AN:AN,"P")+X18+AI18</f>
        <v>0</v>
      </c>
      <c r="G18" s="697">
        <f>SUMIFS('TP2'!$P:$P,'TP2'!$AI:$AI,$Y$2,'TP2'!$R:$R,$X$9,'TP2'!$U:$U,Ohjaus!$T18,'TP2'!$W:$W,"vanha",'TP2'!$X:$X,$Y$1,'TP2'!$AD:$AD,$X$9,'TP2'!$AF:$AF,Ohjaus!$Y$6,'TP2'!$Q:$Q,Ohjaus!$Y$4,'TP2'!$AG:$AG,Ohjaus!$Y$5,'TP2'!$AL:$AL,$AF$4,'TP2'!AN:AN,"P")+Z18+AK18</f>
        <v>0</v>
      </c>
      <c r="H18" s="699"/>
      <c r="I18" s="700"/>
      <c r="J18" s="701">
        <f>SUMIFS('TP2'!$P:$P,'TP2'!$AI:$AI,$Y$2,'TP2'!$R:$R,$X$9,'TP2'!$U:$U,Ohjaus!$T18,'TP2'!$W:$W,Ohjaus!$X$8,'TP2'!$X:$X,$Y$1,'TP2'!$AD:$AD,$X$9,'TP2'!$AF:$AF,Ohjaus!$Y$6,'TP2'!$Q:$Q,Ohjaus!$Y$4,'TP2'!$AG:$AG,Ohjaus!$Y$5,'TP2'!$AL:$AL,$AF$4,'TP2'!$Z:$Z,1,'TP2'!AN:AN,"P")</f>
        <v>0</v>
      </c>
      <c r="K18" s="702">
        <f>SUMIFS('TP2'!$P:$P,'TP2'!$AI:$AI,$Y$2,'TP2'!$R:$R,$X$9,'TP2'!$U:$U,Ohjaus!$T18,'TP2'!$W:$W,Ohjaus!$X$8,'TP2'!$X:$X,$Y$1,'TP2'!$AD:$AD,$X$9,'TP2'!$AF:$AF,Ohjaus!$Y$6,'TP2'!$Q:$Q,Ohjaus!$Y$4,'TP2'!$AG:$AG,Ohjaus!$Y$5,'TP2'!$AL:$AL,$AF$4,'TP2'!$O:$O,$Z$3,'TP2'!AN:AN,"P")</f>
        <v>0</v>
      </c>
      <c r="L18" s="702">
        <f>SUMIFS('TP2'!$P:$P,'TP2'!$AI:$AI,$Y$2,'TP2'!$R:$R,$X$9,'TP2'!$U:$U,Ohjaus!$T18,'TP2'!$W:$W,Ohjaus!$X$8,'TP2'!$X:$X,$Y$1,'TP2'!$AD:$AD,$X$9,'TP2'!$AF:$AF,Ohjaus!$Y$6,'TP2'!$Q:$Q,Ohjaus!$Y$4,'TP2'!$AG:$AG,Ohjaus!$Y$5,'TP2'!$AL:$AL,$AF$4,'TP2'!$K:$K,$Z$6,'TP2'!AN:AN,"P")</f>
        <v>0</v>
      </c>
      <c r="M18" s="702">
        <f>SUMIFS('TP2'!$P:$P,'TP2'!$AI:$AI,$Y$2,'TP2'!$R:$R,$X$9,'TP2'!$U:$U,Ohjaus!$T18,'TP2'!$W:$W,Ohjaus!$X$8,'TP2'!$X:$X,$Y$1,'TP2'!$AD:$AD,$X$9,'TP2'!$AF:$AF,Ohjaus!$Y$6,'TP2'!$Q:$Q,Ohjaus!$Y$4,'TP2'!$AG:$AG,Ohjaus!$Y$5,'TP2'!$AL:$AL,$AF$4,'TP2'!$K:$K,$Z$7,'TP2'!AN:AN,"P")</f>
        <v>0</v>
      </c>
      <c r="N18" s="702">
        <f>SUMIFS('TP2'!$P:$P,'TP2'!$AI:$AI,$Y$2,'TP2'!$R:$R,$X$9,'TP2'!$U:$U,Ohjaus!$T18,'TP2'!$W:$W,Ohjaus!$X$8,'TP2'!$X:$X,$Y$1,'TP2'!$AD:$AD,$X$9,'TP2'!$AF:$AF,Ohjaus!$Y$6,'TP2'!$Q:$Q,Ohjaus!$Y$4,'TP2'!$AG:$AG,Ohjaus!$Y$5,'TP2'!$AL:$AL,$AF$4,'TP2'!$K:$K,$Z$8,'TP2'!AN:AN,"P")</f>
        <v>0</v>
      </c>
      <c r="O18" s="702">
        <f>SUMIFS('TP2'!$P:$P,'TP2'!$AI:$AI,$Y$2,'TP2'!$R:$R,$X$9,'TP2'!$U:$U,Ohjaus!$T18,'TP2'!$W:$W,Ohjaus!$X$8,'TP2'!$X:$X,$Y$1,'TP2'!$AD:$AD,$X$9,'TP2'!$AF:$AF,Ohjaus!$Y$6,'TP2'!$Q:$Q,Ohjaus!$Y$4,'TP2'!$AG:$AG,Ohjaus!$Y$5,'TP2'!$AL:$AL,$AF$4,'TP2'!$K:$K,$Z$5,'TP2'!AN:AN,"P")</f>
        <v>0</v>
      </c>
      <c r="T18" s="706" t="s">
        <v>990</v>
      </c>
      <c r="U18" s="703" t="s">
        <v>991</v>
      </c>
      <c r="V18" s="702">
        <f>SUMIFS('TP2'!$P:$P,'TP2'!$AI:$AI,$Y$2,'TP2'!$R:$R,$X$9,'TP2'!$U:$U,Ohjaus!$U18,'TP2'!$W:$W,Ohjaus!$X$8,'TP2'!$X:$X,$Y$1,'TP2'!$AD:$AD,$X$9,'TP2'!$AF:$AF,Ohjaus!$Y$6,'TP2'!$Q:$Q,Ohjaus!$Y$4,'TP2'!$AG:$AG,Ohjaus!$Y$5,'TP2'!AL:AL,$AF$4,'TP2'!AN:AN,"P")</f>
        <v>0</v>
      </c>
      <c r="W18" s="697">
        <f>SUMIFS('TP2'!$P:$P,'TP2'!$AI:$AI,$Y$2,'TP2'!$R:$R,$X$9,'TP2'!$U:$U,Ohjaus!$U18,'TP2'!$W:$W,Ohjaus!$X$8,'TP2'!$X:$X,$Y$1,'TP2'!$AD:$AD,$X$9,'TP2'!$AF:$AF,Ohjaus!$Y$6,'TP2'!$Q:$Q,Ohjaus!$Y$4,'TP2'!$AG:$AG,Ohjaus!$Y$5,'TP2'!$AL:$AL,$AF$4,'TP2'!$V:$V,Ohjaus!$X$7,'TP2'!AN:AN,"P")</f>
        <v>0</v>
      </c>
      <c r="X18" s="697">
        <f>SUMIFS('TP2'!$P:$P,'TP2'!$AI:$AI,$Y$2,'TP2'!$R:$R,$X$9,'TP2'!$U:$U,Ohjaus!$U18,'TP2'!$W:$W,Ohjaus!$X$8,'TP2'!$X:$X,$Y$1,'TP2'!$AD:$AD,$X$9,'TP2'!$AF:$AF,Ohjaus!$Y$6,'TP2'!$Q:$Q,Ohjaus!$Y$4,'TP2'!$AG:$AG,Ohjaus!$Y$5,'TP2'!$AL:$AL,$AF$4,'TP2'!$V:$V,Ohjaus!$Y$7,'TP2'!AN:AN,"P")</f>
        <v>0</v>
      </c>
      <c r="Y18" s="697">
        <f>SUMIFS('TP2'!$P:$P,'TP2'!$AI:$AI,$Y$2,'TP2'!$R:$R,$X$9,'TP2'!$U:$U,Ohjaus!$U18,'TP2'!$W:$W,"vanha",'TP2'!$X:$X,$Y$1,'TP2'!$AD:$AD,$X$9,'TP2'!$AF:$AF,Ohjaus!$Y$6,'TP2'!$Q:$Q,Ohjaus!$Y$4,'TP2'!$AG:$AG,Ohjaus!$Y$5,'TP2'!$AL:$AL,$AF$4,'TP2'!AN:AN,"P")</f>
        <v>0</v>
      </c>
      <c r="AA18" s="176" t="s">
        <v>94</v>
      </c>
      <c r="AB18" s="169" t="str">
        <f>IFERROR(INDEX(Data_Omakoodi!E:E,MATCH(AA18,Data_Omakoodi!A:A,0)),"")</f>
        <v/>
      </c>
      <c r="AC18" t="s">
        <v>95</v>
      </c>
      <c r="AD18" s="169" t="str">
        <f>IFERROR(INDEX(Data_Omakoodi!E:E,MATCH(AC18,Data_Omakoodi!A:A,0)),"")</f>
        <v/>
      </c>
      <c r="AE18" t="s">
        <v>95</v>
      </c>
      <c r="AG18" s="702">
        <f>SUMIFS('TP2'!$P:$P,'TP2'!$AI:$AI,$W$7,'TP2'!$R:$R,$X$9,'TP2'!$U:$U,Ohjaus!$AF18,'TP2'!$W:$W,Ohjaus!$X$8,'TP2'!$X:$X,Ohjaus!$X$6,'TP2'!$AD:$AD,$X$9,'TP2'!$AF:$AF,Ohjaus!$Y$6,'TP2'!$Q:$Q,Ohjaus!$Y$4,'TP2'!$AG:$AG,Ohjaus!$Y$5,'TP2'!AL:AL,$AF$4,'TP2'!AN:AN,"P")</f>
        <v>0</v>
      </c>
      <c r="AH18" s="697">
        <f>SUMIFS('TP2'!$P:$P,'TP2'!$AI:$AI,$Y$2,'TP2'!$R:$R,$X$9,'TP2'!$U:$U,Ohjaus!$AF18,'TP2'!$W:$W,Ohjaus!$X$8,'TP2'!$X:$X,$Y$1,'TP2'!$AD:$AD,$X$9,'TP2'!$AF:$AF,Ohjaus!$Y$6,'TP2'!$Q:$Q,Ohjaus!$Y$4,'TP2'!$AG:$AG,Ohjaus!$Y$5,'TP2'!$AL:$AL,$AF$4,'TP2'!$V:$V,Ohjaus!$X$7,'TP2'!AN:AN,"P")</f>
        <v>0</v>
      </c>
      <c r="AI18" s="697">
        <f>SUMIFS('TP2'!$P:$P,'TP2'!$AI:$AI,$Y$2,'TP2'!$R:$R,$X$9,'TP2'!$U:$U,Ohjaus!$AF18,'TP2'!$W:$W,Ohjaus!$X$8,'TP2'!$X:$X,$Y$1,'TP2'!$AD:$AD,$X$9,'TP2'!$AF:$AF,Ohjaus!$Y$6,'TP2'!$Q:$Q,Ohjaus!$Y$4,'TP2'!$AG:$AG,Ohjaus!$Y$5,'TP2'!$AL:$AL,$AF$4,'TP2'!$V:$V,Ohjaus!$Y$7,'TP2'!AN:AN,"P")</f>
        <v>0</v>
      </c>
      <c r="AJ18" s="697">
        <f>SUMIFS('TP2'!$P:$P,'TP2'!$AI:$AI,$Y$2,'TP2'!$R:$R,$X$9,'TP2'!$U:$U,Ohjaus!$AF18,'TP2'!$W:$W,"vanha",'TP2'!$X:$X,$Y$1,'TP2'!$AD:$AD,$X$9,'TP2'!$AF:$AF,Ohjaus!$Y$6,'TP2'!$Q:$Q,Ohjaus!$Y$4,'TP2'!$AG:$AG,Ohjaus!$Y$5,'TP2'!$AL:$AL,$AF$4,'TP2'!AN:AN,"P")</f>
        <v>0</v>
      </c>
      <c r="AO18" s="707"/>
      <c r="AP18" s="708" t="s">
        <v>992</v>
      </c>
      <c r="AQ18" s="708" t="s">
        <v>992</v>
      </c>
      <c r="AR18" t="s">
        <v>990</v>
      </c>
    </row>
    <row r="19" spans="1:48" ht="15" customHeight="1" x14ac:dyDescent="0.25">
      <c r="A19" s="1096"/>
      <c r="B19" s="696" t="s">
        <v>993</v>
      </c>
      <c r="C19" s="697">
        <f>SUMIFS('TP2'!$P:$P,'TP2'!$AI:$AI,$Y$2,'TP2'!$R:$R,$X$9,'TP2'!$U:$U,Ohjaus!$T19,'TP2'!$W:$W,Ohjaus!$X$8,'TP2'!$X:$X,$Y$1,'TP2'!$AD:$AD,$X$9,'TP2'!$AF:$AF,Ohjaus!$Y$6,'TP2'!$Q:$Q,Ohjaus!$Y$4,'TP2'!$AG:$AG,Ohjaus!$Y$5,'TP2'!$AL:$AL,$AF$4,'TP2'!AN:AN,"P")+V19+AG19</f>
        <v>0</v>
      </c>
      <c r="D19" s="698">
        <f t="shared" si="2"/>
        <v>0</v>
      </c>
      <c r="E19" s="697">
        <f>SUMIFS('TP2'!$P:$P,'TP2'!$AI:$AI,$Y$2,'TP2'!$R:$R,$X$9,'TP2'!$U:$U,Ohjaus!$T19,'TP2'!$W:$W,Ohjaus!$X$8,'TP2'!$X:$X,$Y$1,'TP2'!$AD:$AD,$X$9,'TP2'!$AF:$AF,Ohjaus!$Y$6,'TP2'!$Q:$Q,Ohjaus!$Y$4,'TP2'!$AG:$AG,Ohjaus!$Y$5,'TP2'!$AL:$AL,$AF$4,'TP2'!$V:$V,Ohjaus!$X$7,'TP2'!AN:AN,"P")+W19+AH19</f>
        <v>0</v>
      </c>
      <c r="F19" s="697">
        <f>SUMIFS('TP2'!$P:$P,'TP2'!$AI:$AI,$Y$2,'TP2'!$R:$R,$X$9,'TP2'!$U:$U,Ohjaus!$T19,'TP2'!$W:$W,Ohjaus!$X$8,'TP2'!$X:$X,$Y$1,'TP2'!$AD:$AD,$X$9,'TP2'!$AF:$AF,Ohjaus!$Y$6,'TP2'!$Q:$Q,Ohjaus!$Y$4,'TP2'!$AG:$AG,Ohjaus!$Y$5,'TP2'!$AL:$AL,$AF$4,'TP2'!$V:$V,Ohjaus!$Y$7,'TP2'!AN:AN,"P")+X19+AI19</f>
        <v>0</v>
      </c>
      <c r="G19" s="697">
        <f>SUMIFS('TP2'!$P:$P,'TP2'!$AI:$AI,$Y$2,'TP2'!$R:$R,$X$9,'TP2'!$U:$U,Ohjaus!$T19,'TP2'!$W:$W,"vanha",'TP2'!$X:$X,$Y$1,'TP2'!$AD:$AD,$X$9,'TP2'!$AF:$AF,Ohjaus!$Y$6,'TP2'!$Q:$Q,Ohjaus!$Y$4,'TP2'!$AG:$AG,Ohjaus!$Y$5,'TP2'!$AL:$AL,$AF$4,'TP2'!AN:AN,"P")+Z19+AK19</f>
        <v>0</v>
      </c>
      <c r="H19" s="699"/>
      <c r="I19" s="700"/>
      <c r="J19" s="701">
        <f>SUMIFS('TP2'!$P:$P,'TP2'!$AI:$AI,$Y$2,'TP2'!$R:$R,$X$9,'TP2'!$U:$U,Ohjaus!$T19,'TP2'!$W:$W,Ohjaus!$X$8,'TP2'!$X:$X,$Y$1,'TP2'!$AD:$AD,$X$9,'TP2'!$AF:$AF,Ohjaus!$Y$6,'TP2'!$Q:$Q,Ohjaus!$Y$4,'TP2'!$AG:$AG,Ohjaus!$Y$5,'TP2'!$AL:$AL,$AF$4,'TP2'!$Z:$Z,1,'TP2'!AN:AN,"P")</f>
        <v>0</v>
      </c>
      <c r="K19" s="702">
        <f>SUMIFS('TP2'!$P:$P,'TP2'!$AI:$AI,$Y$2,'TP2'!$R:$R,$X$9,'TP2'!$U:$U,Ohjaus!$T19,'TP2'!$W:$W,Ohjaus!$X$8,'TP2'!$X:$X,$Y$1,'TP2'!$AD:$AD,$X$9,'TP2'!$AF:$AF,Ohjaus!$Y$6,'TP2'!$Q:$Q,Ohjaus!$Y$4,'TP2'!$AG:$AG,Ohjaus!$Y$5,'TP2'!$AL:$AL,$AF$4,'TP2'!$O:$O,$Z$3,'TP2'!AN:AN,"P")</f>
        <v>0</v>
      </c>
      <c r="L19" s="702">
        <f>SUMIFS('TP2'!$P:$P,'TP2'!$AI:$AI,$Y$2,'TP2'!$R:$R,$X$9,'TP2'!$U:$U,Ohjaus!$T19,'TP2'!$W:$W,Ohjaus!$X$8,'TP2'!$X:$X,$Y$1,'TP2'!$AD:$AD,$X$9,'TP2'!$AF:$AF,Ohjaus!$Y$6,'TP2'!$Q:$Q,Ohjaus!$Y$4,'TP2'!$AG:$AG,Ohjaus!$Y$5,'TP2'!$AL:$AL,$AF$4,'TP2'!$K:$K,$Z$6,'TP2'!AN:AN,"P")</f>
        <v>0</v>
      </c>
      <c r="M19" s="702">
        <f>SUMIFS('TP2'!$P:$P,'TP2'!$AI:$AI,$Y$2,'TP2'!$R:$R,$X$9,'TP2'!$U:$U,Ohjaus!$T19,'TP2'!$W:$W,Ohjaus!$X$8,'TP2'!$X:$X,$Y$1,'TP2'!$AD:$AD,$X$9,'TP2'!$AF:$AF,Ohjaus!$Y$6,'TP2'!$Q:$Q,Ohjaus!$Y$4,'TP2'!$AG:$AG,Ohjaus!$Y$5,'TP2'!$AL:$AL,$AF$4,'TP2'!$K:$K,$Z$7,'TP2'!AN:AN,"P")</f>
        <v>0</v>
      </c>
      <c r="N19" s="702">
        <f>SUMIFS('TP2'!$P:$P,'TP2'!$AI:$AI,$Y$2,'TP2'!$R:$R,$X$9,'TP2'!$U:$U,Ohjaus!$T19,'TP2'!$W:$W,Ohjaus!$X$8,'TP2'!$X:$X,$Y$1,'TP2'!$AD:$AD,$X$9,'TP2'!$AF:$AF,Ohjaus!$Y$6,'TP2'!$Q:$Q,Ohjaus!$Y$4,'TP2'!$AG:$AG,Ohjaus!$Y$5,'TP2'!$AL:$AL,$AF$4,'TP2'!$K:$K,$Z$8,'TP2'!AN:AN,"P")</f>
        <v>0</v>
      </c>
      <c r="O19" s="702">
        <f>SUMIFS('TP2'!$P:$P,'TP2'!$AI:$AI,$Y$2,'TP2'!$R:$R,$X$9,'TP2'!$U:$U,Ohjaus!$T19,'TP2'!$W:$W,Ohjaus!$X$8,'TP2'!$X:$X,$Y$1,'TP2'!$AD:$AD,$X$9,'TP2'!$AF:$AF,Ohjaus!$Y$6,'TP2'!$Q:$Q,Ohjaus!$Y$4,'TP2'!$AG:$AG,Ohjaus!$Y$5,'TP2'!$AL:$AL,$AF$4,'TP2'!$K:$K,$Z$5,'TP2'!AN:AN,"P")</f>
        <v>0</v>
      </c>
      <c r="T19" s="693" t="s">
        <v>994</v>
      </c>
      <c r="U19" s="709" t="s">
        <v>995</v>
      </c>
      <c r="V19" s="702">
        <f>SUMIFS('TP2'!$P:$P,'TP2'!$AI:$AI,$Y$2,'TP2'!$R:$R,$X$9,'TP2'!$U:$U,Ohjaus!$U19,'TP2'!$W:$W,Ohjaus!$X$8,'TP2'!$X:$X,$Y$1,'TP2'!$AD:$AD,$X$9,'TP2'!$AF:$AF,Ohjaus!$Y$6,'TP2'!$Q:$Q,Ohjaus!$Y$4,'TP2'!$AG:$AG,Ohjaus!$Y$5,'TP2'!AL:AL,$AF$4,'TP2'!AN:AN,"P")</f>
        <v>0</v>
      </c>
      <c r="W19" s="697">
        <f>SUMIFS('TP2'!$P:$P,'TP2'!$AI:$AI,$Y$2,'TP2'!$R:$R,$X$9,'TP2'!$U:$U,Ohjaus!$U19,'TP2'!$W:$W,Ohjaus!$X$8,'TP2'!$X:$X,$Y$1,'TP2'!$AD:$AD,$X$9,'TP2'!$AF:$AF,Ohjaus!$Y$6,'TP2'!$Q:$Q,Ohjaus!$Y$4,'TP2'!$AG:$AG,Ohjaus!$Y$5,'TP2'!$AL:$AL,$AF$4,'TP2'!$V:$V,Ohjaus!$X$7,'TP2'!AN:AN,"P")</f>
        <v>0</v>
      </c>
      <c r="X19" s="697">
        <f>SUMIFS('TP2'!$P:$P,'TP2'!$AI:$AI,$Y$2,'TP2'!$R:$R,$X$9,'TP2'!$U:$U,Ohjaus!$U19,'TP2'!$W:$W,Ohjaus!$X$8,'TP2'!$X:$X,$Y$1,'TP2'!$AD:$AD,$X$9,'TP2'!$AF:$AF,Ohjaus!$Y$6,'TP2'!$Q:$Q,Ohjaus!$Y$4,'TP2'!$AG:$AG,Ohjaus!$Y$5,'TP2'!$AL:$AL,$AF$4,'TP2'!$V:$V,Ohjaus!$Y$7,'TP2'!AN:AN,"P")</f>
        <v>0</v>
      </c>
      <c r="Y19" s="697">
        <f>SUMIFS('TP2'!$P:$P,'TP2'!$AI:$AI,$Y$2,'TP2'!$R:$R,$X$9,'TP2'!$U:$U,Ohjaus!$U19,'TP2'!$W:$W,"vanha",'TP2'!$X:$X,$Y$1,'TP2'!$AD:$AD,$X$9,'TP2'!$AF:$AF,Ohjaus!$Y$6,'TP2'!$Q:$Q,Ohjaus!$Y$4,'TP2'!$AG:$AG,Ohjaus!$Y$5,'TP2'!$AL:$AL,$AF$4,'TP2'!AN:AN,"P")</f>
        <v>0</v>
      </c>
      <c r="AA19" s="176" t="s">
        <v>101</v>
      </c>
      <c r="AB19" s="169" t="str">
        <f>IFERROR(INDEX(Data_Omakoodi!E:E,MATCH(AA19,Data_Omakoodi!A:A,0)),"")</f>
        <v/>
      </c>
      <c r="AC19" t="s">
        <v>102</v>
      </c>
      <c r="AD19" s="169" t="str">
        <f>IFERROR(INDEX(Data_Omakoodi!E:E,MATCH(AC19,Data_Omakoodi!A:A,0)),"")</f>
        <v/>
      </c>
      <c r="AE19" t="s">
        <v>102</v>
      </c>
      <c r="AG19" s="702">
        <f>SUMIFS('TP2'!$P:$P,'TP2'!$AI:$AI,$W$7,'TP2'!$R:$R,$X$9,'TP2'!$U:$U,Ohjaus!$AF19,'TP2'!$W:$W,Ohjaus!$X$8,'TP2'!$X:$X,Ohjaus!$X$6,'TP2'!$AD:$AD,$X$9,'TP2'!$AF:$AF,Ohjaus!$Y$6,'TP2'!$Q:$Q,Ohjaus!$Y$4,'TP2'!$AG:$AG,Ohjaus!$Y$5,'TP2'!AL:AL,$AF$4,'TP2'!AN:AN,"P")</f>
        <v>0</v>
      </c>
      <c r="AH19" s="697">
        <f>SUMIFS('TP2'!$P:$P,'TP2'!$AI:$AI,$Y$2,'TP2'!$R:$R,$X$9,'TP2'!$U:$U,Ohjaus!$AF19,'TP2'!$W:$W,Ohjaus!$X$8,'TP2'!$X:$X,$Y$1,'TP2'!$AD:$AD,$X$9,'TP2'!$AF:$AF,Ohjaus!$Y$6,'TP2'!$Q:$Q,Ohjaus!$Y$4,'TP2'!$AG:$AG,Ohjaus!$Y$5,'TP2'!$AL:$AL,$AF$4,'TP2'!$V:$V,Ohjaus!$X$7,'TP2'!AN:AN,"P")</f>
        <v>0</v>
      </c>
      <c r="AI19" s="697">
        <f>SUMIFS('TP2'!$P:$P,'TP2'!$AI:$AI,$Y$2,'TP2'!$R:$R,$X$9,'TP2'!$U:$U,Ohjaus!$AF19,'TP2'!$W:$W,Ohjaus!$X$8,'TP2'!$X:$X,$Y$1,'TP2'!$AD:$AD,$X$9,'TP2'!$AF:$AF,Ohjaus!$Y$6,'TP2'!$Q:$Q,Ohjaus!$Y$4,'TP2'!$AG:$AG,Ohjaus!$Y$5,'TP2'!$AL:$AL,$AF$4,'TP2'!$V:$V,Ohjaus!$Y$7,'TP2'!AN:AN,"P")</f>
        <v>0</v>
      </c>
      <c r="AJ19" s="697">
        <f>SUMIFS('TP2'!$P:$P,'TP2'!$AI:$AI,$Y$2,'TP2'!$R:$R,$X$9,'TP2'!$U:$U,Ohjaus!$AF19,'TP2'!$W:$W,"vanha",'TP2'!$X:$X,$Y$1,'TP2'!$AD:$AD,$X$9,'TP2'!$AF:$AF,Ohjaus!$Y$6,'TP2'!$Q:$Q,Ohjaus!$Y$4,'TP2'!$AG:$AG,Ohjaus!$Y$5,'TP2'!$AL:$AL,$AF$4,'TP2'!AN:AN,"P")</f>
        <v>0</v>
      </c>
      <c r="AO19" s="707"/>
      <c r="AP19" s="708" t="s">
        <v>996</v>
      </c>
      <c r="AQ19" s="708" t="s">
        <v>996</v>
      </c>
      <c r="AR19" t="s">
        <v>994</v>
      </c>
      <c r="AS19" s="710" t="s">
        <v>997</v>
      </c>
      <c r="AT19" s="711" t="s">
        <v>998</v>
      </c>
      <c r="AU19" s="711" t="s">
        <v>998</v>
      </c>
      <c r="AV19" t="s">
        <v>995</v>
      </c>
    </row>
    <row r="20" spans="1:48" x14ac:dyDescent="0.25">
      <c r="A20" s="1096"/>
      <c r="B20" s="696" t="s">
        <v>999</v>
      </c>
      <c r="C20" s="697">
        <f>SUMIFS('TP2'!$P:$P,'TP2'!$AI:$AI,$Y$2,'TP2'!$R:$R,$X$9,'TP2'!$U:$U,Ohjaus!$T20,'TP2'!$W:$W,Ohjaus!$X$8,'TP2'!$X:$X,$Y$1,'TP2'!$AD:$AD,$X$9,'TP2'!$AF:$AF,Ohjaus!$Y$6,'TP2'!$Q:$Q,Ohjaus!$Y$4,'TP2'!$AG:$AG,Ohjaus!$Y$5,'TP2'!$AL:$AL,$AF$4,'TP2'!AN:AN,"P")+V20+AG20</f>
        <v>0</v>
      </c>
      <c r="D20" s="698">
        <f t="shared" si="2"/>
        <v>0</v>
      </c>
      <c r="E20" s="697">
        <f>SUMIFS('TP2'!$P:$P,'TP2'!$AI:$AI,$Y$2,'TP2'!$R:$R,$X$9,'TP2'!$U:$U,Ohjaus!$T20,'TP2'!$W:$W,Ohjaus!$X$8,'TP2'!$X:$X,$Y$1,'TP2'!$AD:$AD,$X$9,'TP2'!$AF:$AF,Ohjaus!$Y$6,'TP2'!$Q:$Q,Ohjaus!$Y$4,'TP2'!$AG:$AG,Ohjaus!$Y$5,'TP2'!$AL:$AL,$AF$4,'TP2'!$V:$V,Ohjaus!$X$7,'TP2'!AN:AN,"P")+W20+AH20</f>
        <v>0</v>
      </c>
      <c r="F20" s="697">
        <f>SUMIFS('TP2'!$P:$P,'TP2'!$AI:$AI,$Y$2,'TP2'!$R:$R,$X$9,'TP2'!$U:$U,Ohjaus!$T20,'TP2'!$W:$W,Ohjaus!$X$8,'TP2'!$X:$X,$Y$1,'TP2'!$AD:$AD,$X$9,'TP2'!$AF:$AF,Ohjaus!$Y$6,'TP2'!$Q:$Q,Ohjaus!$Y$4,'TP2'!$AG:$AG,Ohjaus!$Y$5,'TP2'!$AL:$AL,$AF$4,'TP2'!$V:$V,Ohjaus!$Y$7,'TP2'!AN:AN,"P")+X20+AI20</f>
        <v>0</v>
      </c>
      <c r="G20" s="697">
        <f>SUMIFS('TP2'!$P:$P,'TP2'!$AI:$AI,$Y$2,'TP2'!$R:$R,$X$9,'TP2'!$U:$U,Ohjaus!$T20,'TP2'!$W:$W,"vanha",'TP2'!$X:$X,$Y$1,'TP2'!$AD:$AD,$X$9,'TP2'!$AF:$AF,Ohjaus!$Y$6,'TP2'!$Q:$Q,Ohjaus!$Y$4,'TP2'!$AG:$AG,Ohjaus!$Y$5,'TP2'!$AL:$AL,$AF$4,'TP2'!AN:AN,"P")+Z20+AK20</f>
        <v>0</v>
      </c>
      <c r="H20" s="699"/>
      <c r="I20" s="700"/>
      <c r="J20" s="701">
        <f>SUMIFS('TP2'!$P:$P,'TP2'!$AI:$AI,$Y$2,'TP2'!$R:$R,$X$9,'TP2'!$U:$U,Ohjaus!$T20,'TP2'!$W:$W,Ohjaus!$X$8,'TP2'!$X:$X,$Y$1,'TP2'!$AD:$AD,$X$9,'TP2'!$AF:$AF,Ohjaus!$Y$6,'TP2'!$Q:$Q,Ohjaus!$Y$4,'TP2'!$AG:$AG,Ohjaus!$Y$5,'TP2'!$AL:$AL,$AF$4,'TP2'!$Z:$Z,1,'TP2'!AN:AN,"P")</f>
        <v>0</v>
      </c>
      <c r="K20" s="702">
        <f>SUMIFS('TP2'!$P:$P,'TP2'!$AI:$AI,$Y$2,'TP2'!$R:$R,$X$9,'TP2'!$U:$U,Ohjaus!$T20,'TP2'!$W:$W,Ohjaus!$X$8,'TP2'!$X:$X,$Y$1,'TP2'!$AD:$AD,$X$9,'TP2'!$AF:$AF,Ohjaus!$Y$6,'TP2'!$Q:$Q,Ohjaus!$Y$4,'TP2'!$AG:$AG,Ohjaus!$Y$5,'TP2'!$AL:$AL,$AF$4,'TP2'!$O:$O,$Z$3,'TP2'!AN:AN,"P")</f>
        <v>0</v>
      </c>
      <c r="L20" s="702">
        <f>SUMIFS('TP2'!$P:$P,'TP2'!$AI:$AI,$Y$2,'TP2'!$R:$R,$X$9,'TP2'!$U:$U,Ohjaus!$T20,'TP2'!$W:$W,Ohjaus!$X$8,'TP2'!$X:$X,$Y$1,'TP2'!$AD:$AD,$X$9,'TP2'!$AF:$AF,Ohjaus!$Y$6,'TP2'!$Q:$Q,Ohjaus!$Y$4,'TP2'!$AG:$AG,Ohjaus!$Y$5,'TP2'!$AL:$AL,$AF$4,'TP2'!$K:$K,$Z$6,'TP2'!AN:AN,"P")</f>
        <v>0</v>
      </c>
      <c r="M20" s="702">
        <f>SUMIFS('TP2'!$P:$P,'TP2'!$AI:$AI,$Y$2,'TP2'!$R:$R,$X$9,'TP2'!$U:$U,Ohjaus!$T20,'TP2'!$W:$W,Ohjaus!$X$8,'TP2'!$X:$X,$Y$1,'TP2'!$AD:$AD,$X$9,'TP2'!$AF:$AF,Ohjaus!$Y$6,'TP2'!$Q:$Q,Ohjaus!$Y$4,'TP2'!$AG:$AG,Ohjaus!$Y$5,'TP2'!$AL:$AL,$AF$4,'TP2'!$K:$K,$Z$7,'TP2'!AN:AN,"P")</f>
        <v>0</v>
      </c>
      <c r="N20" s="702">
        <f>SUMIFS('TP2'!$P:$P,'TP2'!$AI:$AI,$Y$2,'TP2'!$R:$R,$X$9,'TP2'!$U:$U,Ohjaus!$T20,'TP2'!$W:$W,Ohjaus!$X$8,'TP2'!$X:$X,$Y$1,'TP2'!$AD:$AD,$X$9,'TP2'!$AF:$AF,Ohjaus!$Y$6,'TP2'!$Q:$Q,Ohjaus!$Y$4,'TP2'!$AG:$AG,Ohjaus!$Y$5,'TP2'!$AL:$AL,$AF$4,'TP2'!$K:$K,$Z$8,'TP2'!AN:AN,"P")</f>
        <v>0</v>
      </c>
      <c r="O20" s="702">
        <f>SUMIFS('TP2'!$P:$P,'TP2'!$AI:$AI,$Y$2,'TP2'!$R:$R,$X$9,'TP2'!$U:$U,Ohjaus!$T20,'TP2'!$W:$W,Ohjaus!$X$8,'TP2'!$X:$X,$Y$1,'TP2'!$AD:$AD,$X$9,'TP2'!$AF:$AF,Ohjaus!$Y$6,'TP2'!$Q:$Q,Ohjaus!$Y$4,'TP2'!$AG:$AG,Ohjaus!$Y$5,'TP2'!$AL:$AL,$AF$4,'TP2'!$K:$K,$Z$5,'TP2'!AN:AN,"P")</f>
        <v>0</v>
      </c>
      <c r="T20" s="335" t="s">
        <v>1000</v>
      </c>
      <c r="U20" s="703" t="s">
        <v>1001</v>
      </c>
      <c r="V20" s="702">
        <f>SUMIFS('TP2'!$P:$P,'TP2'!$AI:$AI,$Y$2,'TP2'!$R:$R,$X$9,'TP2'!$U:$U,Ohjaus!$U20,'TP2'!$W:$W,Ohjaus!$X$8,'TP2'!$X:$X,$Y$1,'TP2'!$AD:$AD,$X$9,'TP2'!$AF:$AF,Ohjaus!$Y$6,'TP2'!$Q:$Q,Ohjaus!$Y$4,'TP2'!$AG:$AG,Ohjaus!$Y$5,'TP2'!AL:AL,$AF$4,'TP2'!AN:AN,"P")</f>
        <v>0</v>
      </c>
      <c r="W20" s="697">
        <f>SUMIFS('TP2'!$P:$P,'TP2'!$AI:$AI,$Y$2,'TP2'!$R:$R,$X$9,'TP2'!$U:$U,Ohjaus!$U20,'TP2'!$W:$W,Ohjaus!$X$8,'TP2'!$X:$X,$Y$1,'TP2'!$AD:$AD,$X$9,'TP2'!$AF:$AF,Ohjaus!$Y$6,'TP2'!$Q:$Q,Ohjaus!$Y$4,'TP2'!$AG:$AG,Ohjaus!$Y$5,'TP2'!$AL:$AL,$AF$4,'TP2'!$V:$V,Ohjaus!$X$7,'TP2'!AN:AN,"P")</f>
        <v>0</v>
      </c>
      <c r="X20" s="697">
        <f>SUMIFS('TP2'!$P:$P,'TP2'!$AI:$AI,$Y$2,'TP2'!$R:$R,$X$9,'TP2'!$U:$U,Ohjaus!$U20,'TP2'!$W:$W,Ohjaus!$X$8,'TP2'!$X:$X,$Y$1,'TP2'!$AD:$AD,$X$9,'TP2'!$AF:$AF,Ohjaus!$Y$6,'TP2'!$Q:$Q,Ohjaus!$Y$4,'TP2'!$AG:$AG,Ohjaus!$Y$5,'TP2'!$AL:$AL,$AF$4,'TP2'!$V:$V,Ohjaus!$Y$7,'TP2'!AN:AN,"P")</f>
        <v>0</v>
      </c>
      <c r="Y20" s="697">
        <f>SUMIFS('TP2'!$P:$P,'TP2'!$AI:$AI,$Y$2,'TP2'!$R:$R,$X$9,'TP2'!$U:$U,Ohjaus!$U20,'TP2'!$W:$W,"vanha",'TP2'!$X:$X,$Y$1,'TP2'!$AD:$AD,$X$9,'TP2'!$AF:$AF,Ohjaus!$Y$6,'TP2'!$Q:$Q,Ohjaus!$Y$4,'TP2'!$AG:$AG,Ohjaus!$Y$5,'TP2'!$AL:$AL,$AF$4,'TP2'!AN:AN,"P")</f>
        <v>0</v>
      </c>
      <c r="AA20" s="176" t="s">
        <v>107</v>
      </c>
      <c r="AB20" s="169" t="str">
        <f>IFERROR(INDEX(Data_Omakoodi!E:E,MATCH(AA20,Data_Omakoodi!A:A,0)),"")</f>
        <v/>
      </c>
      <c r="AC20" t="s">
        <v>108</v>
      </c>
      <c r="AD20" s="169" t="str">
        <f>IFERROR(INDEX(Data_Omakoodi!E:E,MATCH(AC20,Data_Omakoodi!A:A,0)),"")</f>
        <v/>
      </c>
      <c r="AE20" t="s">
        <v>108</v>
      </c>
      <c r="AG20" s="702">
        <f>SUMIFS('TP2'!$P:$P,'TP2'!$AI:$AI,$W$7,'TP2'!$R:$R,$X$9,'TP2'!$U:$U,Ohjaus!$AF20,'TP2'!$W:$W,Ohjaus!$X$8,'TP2'!$X:$X,Ohjaus!$X$6,'TP2'!$AD:$AD,$X$9,'TP2'!$AF:$AF,Ohjaus!$Y$6,'TP2'!$Q:$Q,Ohjaus!$Y$4,'TP2'!$AG:$AG,Ohjaus!$Y$5,'TP2'!AL:AL,$AF$4,'TP2'!AN:AN,"P")</f>
        <v>0</v>
      </c>
      <c r="AH20" s="697">
        <f>SUMIFS('TP2'!$P:$P,'TP2'!$AI:$AI,$Y$2,'TP2'!$R:$R,$X$9,'TP2'!$U:$U,Ohjaus!$AF20,'TP2'!$W:$W,Ohjaus!$X$8,'TP2'!$X:$X,$Y$1,'TP2'!$AD:$AD,$X$9,'TP2'!$AF:$AF,Ohjaus!$Y$6,'TP2'!$Q:$Q,Ohjaus!$Y$4,'TP2'!$AG:$AG,Ohjaus!$Y$5,'TP2'!$AL:$AL,$AF$4,'TP2'!$V:$V,Ohjaus!$X$7,'TP2'!AN:AN,"P")</f>
        <v>0</v>
      </c>
      <c r="AI20" s="697">
        <f>SUMIFS('TP2'!$P:$P,'TP2'!$AI:$AI,$Y$2,'TP2'!$R:$R,$X$9,'TP2'!$U:$U,Ohjaus!$AF20,'TP2'!$W:$W,Ohjaus!$X$8,'TP2'!$X:$X,$Y$1,'TP2'!$AD:$AD,$X$9,'TP2'!$AF:$AF,Ohjaus!$Y$6,'TP2'!$Q:$Q,Ohjaus!$Y$4,'TP2'!$AG:$AG,Ohjaus!$Y$5,'TP2'!$AL:$AL,$AF$4,'TP2'!$V:$V,Ohjaus!$Y$7,'TP2'!AN:AN,"P")</f>
        <v>0</v>
      </c>
      <c r="AJ20" s="697">
        <f>SUMIFS('TP2'!$P:$P,'TP2'!$AI:$AI,$Y$2,'TP2'!$R:$R,$X$9,'TP2'!$U:$U,Ohjaus!$AF20,'TP2'!$W:$W,"vanha",'TP2'!$X:$X,$Y$1,'TP2'!$AD:$AD,$X$9,'TP2'!$AF:$AF,Ohjaus!$Y$6,'TP2'!$Q:$Q,Ohjaus!$Y$4,'TP2'!$AG:$AG,Ohjaus!$Y$5,'TP2'!$AL:$AL,$AF$4,'TP2'!AN:AN,"P")</f>
        <v>0</v>
      </c>
      <c r="AO20" s="704" t="s">
        <v>986</v>
      </c>
      <c r="AP20" s="705" t="s">
        <v>1002</v>
      </c>
      <c r="AQ20" s="705" t="s">
        <v>1003</v>
      </c>
      <c r="AR20" t="s">
        <v>1000</v>
      </c>
    </row>
    <row r="21" spans="1:48" x14ac:dyDescent="0.25">
      <c r="A21" s="1096"/>
      <c r="B21" s="696" t="s">
        <v>1004</v>
      </c>
      <c r="C21" s="697">
        <f>SUMIFS('TP2'!$P:$P,'TP2'!$AI:$AI,$Y$2,'TP2'!$R:$R,$X$9,'TP2'!$U:$U,Ohjaus!$T21,'TP2'!$W:$W,Ohjaus!$X$8,'TP2'!$X:$X,$Y$1,'TP2'!$AD:$AD,$X$9,'TP2'!$AF:$AF,Ohjaus!$Y$6,'TP2'!$Q:$Q,Ohjaus!$Y$4,'TP2'!$AG:$AG,Ohjaus!$Y$5,'TP2'!$AL:$AL,$AF$4,'TP2'!AN:AN,"P")+V21+AG21</f>
        <v>0</v>
      </c>
      <c r="D21" s="698">
        <f t="shared" si="2"/>
        <v>0</v>
      </c>
      <c r="E21" s="697">
        <f>SUMIFS('TP2'!$P:$P,'TP2'!$AI:$AI,$Y$2,'TP2'!$R:$R,$X$9,'TP2'!$U:$U,Ohjaus!$T21,'TP2'!$W:$W,Ohjaus!$X$8,'TP2'!$X:$X,$Y$1,'TP2'!$AD:$AD,$X$9,'TP2'!$AF:$AF,Ohjaus!$Y$6,'TP2'!$Q:$Q,Ohjaus!$Y$4,'TP2'!$AG:$AG,Ohjaus!$Y$5,'TP2'!$AL:$AL,$AF$4,'TP2'!$V:$V,Ohjaus!$X$7,'TP2'!AN:AN,"P")+W21+AH21</f>
        <v>0</v>
      </c>
      <c r="F21" s="697">
        <f>SUMIFS('TP2'!$P:$P,'TP2'!$AI:$AI,$Y$2,'TP2'!$R:$R,$X$9,'TP2'!$U:$U,Ohjaus!$T21,'TP2'!$W:$W,Ohjaus!$X$8,'TP2'!$X:$X,$Y$1,'TP2'!$AD:$AD,$X$9,'TP2'!$AF:$AF,Ohjaus!$Y$6,'TP2'!$Q:$Q,Ohjaus!$Y$4,'TP2'!$AG:$AG,Ohjaus!$Y$5,'TP2'!$AL:$AL,$AF$4,'TP2'!$V:$V,Ohjaus!$Y$7,'TP2'!AN:AN,"P")+X21+AI21</f>
        <v>0</v>
      </c>
      <c r="G21" s="697">
        <f>SUMIFS('TP2'!$P:$P,'TP2'!$AI:$AI,$Y$2,'TP2'!$R:$R,$X$9,'TP2'!$U:$U,Ohjaus!$T21,'TP2'!$W:$W,"vanha",'TP2'!$X:$X,$Y$1,'TP2'!$AD:$AD,$X$9,'TP2'!$AF:$AF,Ohjaus!$Y$6,'TP2'!$Q:$Q,Ohjaus!$Y$4,'TP2'!$AG:$AG,Ohjaus!$Y$5,'TP2'!$AL:$AL,$AF$4,'TP2'!AN:AN,"P")+Z21+AK21</f>
        <v>0</v>
      </c>
      <c r="H21" s="699"/>
      <c r="I21" s="700"/>
      <c r="J21" s="701">
        <f>SUMIFS('TP2'!$P:$P,'TP2'!$AI:$AI,$Y$2,'TP2'!$R:$R,$X$9,'TP2'!$U:$U,Ohjaus!$T21,'TP2'!$W:$W,Ohjaus!$X$8,'TP2'!$X:$X,$Y$1,'TP2'!$AD:$AD,$X$9,'TP2'!$AF:$AF,Ohjaus!$Y$6,'TP2'!$Q:$Q,Ohjaus!$Y$4,'TP2'!$AG:$AG,Ohjaus!$Y$5,'TP2'!$AL:$AL,$AF$4,'TP2'!$Z:$Z,1,'TP2'!AN:AN,"P")</f>
        <v>0</v>
      </c>
      <c r="K21" s="702">
        <f>SUMIFS('TP2'!$P:$P,'TP2'!$AI:$AI,$Y$2,'TP2'!$R:$R,$X$9,'TP2'!$U:$U,Ohjaus!$T21,'TP2'!$W:$W,Ohjaus!$X$8,'TP2'!$X:$X,$Y$1,'TP2'!$AD:$AD,$X$9,'TP2'!$AF:$AF,Ohjaus!$Y$6,'TP2'!$Q:$Q,Ohjaus!$Y$4,'TP2'!$AG:$AG,Ohjaus!$Y$5,'TP2'!$AL:$AL,$AF$4,'TP2'!$O:$O,$Z$3,'TP2'!AN:AN,"P")</f>
        <v>0</v>
      </c>
      <c r="L21" s="702">
        <f>SUMIFS('TP2'!$P:$P,'TP2'!$AI:$AI,$Y$2,'TP2'!$R:$R,$X$9,'TP2'!$U:$U,Ohjaus!$T21,'TP2'!$W:$W,Ohjaus!$X$8,'TP2'!$X:$X,$Y$1,'TP2'!$AD:$AD,$X$9,'TP2'!$AF:$AF,Ohjaus!$Y$6,'TP2'!$Q:$Q,Ohjaus!$Y$4,'TP2'!$AG:$AG,Ohjaus!$Y$5,'TP2'!$AL:$AL,$AF$4,'TP2'!$K:$K,$Z$6,'TP2'!AN:AN,"P")</f>
        <v>0</v>
      </c>
      <c r="M21" s="702">
        <f>SUMIFS('TP2'!$P:$P,'TP2'!$AI:$AI,$Y$2,'TP2'!$R:$R,$X$9,'TP2'!$U:$U,Ohjaus!$T21,'TP2'!$W:$W,Ohjaus!$X$8,'TP2'!$X:$X,$Y$1,'TP2'!$AD:$AD,$X$9,'TP2'!$AF:$AF,Ohjaus!$Y$6,'TP2'!$Q:$Q,Ohjaus!$Y$4,'TP2'!$AG:$AG,Ohjaus!$Y$5,'TP2'!$AL:$AL,$AF$4,'TP2'!$K:$K,$Z$7,'TP2'!AN:AN,"P")</f>
        <v>0</v>
      </c>
      <c r="N21" s="702">
        <f>SUMIFS('TP2'!$P:$P,'TP2'!$AI:$AI,$Y$2,'TP2'!$R:$R,$X$9,'TP2'!$U:$U,Ohjaus!$T21,'TP2'!$W:$W,Ohjaus!$X$8,'TP2'!$X:$X,$Y$1,'TP2'!$AD:$AD,$X$9,'TP2'!$AF:$AF,Ohjaus!$Y$6,'TP2'!$Q:$Q,Ohjaus!$Y$4,'TP2'!$AG:$AG,Ohjaus!$Y$5,'TP2'!$AL:$AL,$AF$4,'TP2'!$K:$K,$Z$8,'TP2'!AN:AN,"P")</f>
        <v>0</v>
      </c>
      <c r="O21" s="702">
        <f>SUMIFS('TP2'!$P:$P,'TP2'!$AI:$AI,$Y$2,'TP2'!$R:$R,$X$9,'TP2'!$U:$U,Ohjaus!$T21,'TP2'!$W:$W,Ohjaus!$X$8,'TP2'!$X:$X,$Y$1,'TP2'!$AD:$AD,$X$9,'TP2'!$AF:$AF,Ohjaus!$Y$6,'TP2'!$Q:$Q,Ohjaus!$Y$4,'TP2'!$AG:$AG,Ohjaus!$Y$5,'TP2'!$AL:$AL,$AF$4,'TP2'!$K:$K,$Z$5,'TP2'!AN:AN,"P")</f>
        <v>0</v>
      </c>
      <c r="T21" s="693" t="s">
        <v>1005</v>
      </c>
      <c r="V21" s="702">
        <f>SUMIFS('TP2'!$P:$P,'TP2'!$AI:$AI,$Y$2,'TP2'!$R:$R,$X$9,'TP2'!$U:$U,Ohjaus!$U21,'TP2'!$W:$W,Ohjaus!$X$8,'TP2'!$X:$X,$Y$1,'TP2'!$AD:$AD,$X$9,'TP2'!$AF:$AF,Ohjaus!$Y$6,'TP2'!$Q:$Q,Ohjaus!$Y$4,'TP2'!$AG:$AG,Ohjaus!$Y$5,'TP2'!AL:AL,$AF$4,'TP2'!AN:AN,"P")</f>
        <v>0</v>
      </c>
      <c r="W21" s="697">
        <f>SUMIFS('TP2'!$P:$P,'TP2'!$AI:$AI,$Y$2,'TP2'!$R:$R,$X$9,'TP2'!$U:$U,Ohjaus!$U21,'TP2'!$W:$W,Ohjaus!$X$8,'TP2'!$X:$X,$Y$1,'TP2'!$AD:$AD,$X$9,'TP2'!$AF:$AF,Ohjaus!$Y$6,'TP2'!$Q:$Q,Ohjaus!$Y$4,'TP2'!$AG:$AG,Ohjaus!$Y$5,'TP2'!$AL:$AL,$AF$4,'TP2'!$V:$V,Ohjaus!$X$7,'TP2'!AN:AN,"P")</f>
        <v>0</v>
      </c>
      <c r="X21" s="697">
        <f>SUMIFS('TP2'!$P:$P,'TP2'!$AI:$AI,$Y$2,'TP2'!$R:$R,$X$9,'TP2'!$U:$U,Ohjaus!$U21,'TP2'!$W:$W,Ohjaus!$X$8,'TP2'!$X:$X,$Y$1,'TP2'!$AD:$AD,$X$9,'TP2'!$AF:$AF,Ohjaus!$Y$6,'TP2'!$Q:$Q,Ohjaus!$Y$4,'TP2'!$AG:$AG,Ohjaus!$Y$5,'TP2'!$AL:$AL,$AF$4,'TP2'!$V:$V,Ohjaus!$Y$7,'TP2'!AN:AN,"P")</f>
        <v>0</v>
      </c>
      <c r="Y21" s="697">
        <f>SUMIFS('TP2'!$P:$P,'TP2'!$AI:$AI,$Y$2,'TP2'!$R:$R,$X$9,'TP2'!$U:$U,Ohjaus!$U21,'TP2'!$W:$W,"vanha",'TP2'!$X:$X,$Y$1,'TP2'!$AD:$AD,$X$9,'TP2'!$AF:$AF,Ohjaus!$Y$6,'TP2'!$Q:$Q,Ohjaus!$Y$4,'TP2'!$AG:$AG,Ohjaus!$Y$5,'TP2'!$AL:$AL,$AF$4,'TP2'!AN:AN,"P")</f>
        <v>0</v>
      </c>
      <c r="AA21" s="176" t="s">
        <v>112</v>
      </c>
      <c r="AB21" s="169" t="str">
        <f>IFERROR(INDEX(Data_Omakoodi!E:E,MATCH(AA21,Data_Omakoodi!A:A,0)),"")</f>
        <v/>
      </c>
      <c r="AC21" t="s">
        <v>113</v>
      </c>
      <c r="AD21" s="169" t="str">
        <f>IFERROR(INDEX(Data_Omakoodi!E:E,MATCH(AC21,Data_Omakoodi!A:A,0)),"")</f>
        <v/>
      </c>
      <c r="AE21" t="s">
        <v>113</v>
      </c>
      <c r="AG21" s="702">
        <f>SUMIFS('TP2'!$P:$P,'TP2'!$AI:$AI,$W$7,'TP2'!$R:$R,$X$9,'TP2'!$U:$U,Ohjaus!$AF21,'TP2'!$W:$W,Ohjaus!$X$8,'TP2'!$X:$X,Ohjaus!$X$6,'TP2'!$AD:$AD,$X$9,'TP2'!$AF:$AF,Ohjaus!$Y$6,'TP2'!$Q:$Q,Ohjaus!$Y$4,'TP2'!$AG:$AG,Ohjaus!$Y$5,'TP2'!AL:AL,$AF$4,'TP2'!AN:AN,"P")</f>
        <v>0</v>
      </c>
      <c r="AH21" s="697">
        <f>SUMIFS('TP2'!$P:$P,'TP2'!$AI:$AI,$Y$2,'TP2'!$R:$R,$X$9,'TP2'!$U:$U,Ohjaus!$AF21,'TP2'!$W:$W,Ohjaus!$X$8,'TP2'!$X:$X,$Y$1,'TP2'!$AD:$AD,$X$9,'TP2'!$AF:$AF,Ohjaus!$Y$6,'TP2'!$Q:$Q,Ohjaus!$Y$4,'TP2'!$AG:$AG,Ohjaus!$Y$5,'TP2'!$AL:$AL,$AF$4,'TP2'!$V:$V,Ohjaus!$X$7,'TP2'!AN:AN,"P")</f>
        <v>0</v>
      </c>
      <c r="AI21" s="697">
        <f>SUMIFS('TP2'!$P:$P,'TP2'!$AI:$AI,$Y$2,'TP2'!$R:$R,$X$9,'TP2'!$U:$U,Ohjaus!$AF21,'TP2'!$W:$W,Ohjaus!$X$8,'TP2'!$X:$X,$Y$1,'TP2'!$AD:$AD,$X$9,'TP2'!$AF:$AF,Ohjaus!$Y$6,'TP2'!$Q:$Q,Ohjaus!$Y$4,'TP2'!$AG:$AG,Ohjaus!$Y$5,'TP2'!$AL:$AL,$AF$4,'TP2'!$V:$V,Ohjaus!$Y$7,'TP2'!AN:AN,"P")</f>
        <v>0</v>
      </c>
      <c r="AJ21" s="697">
        <f>SUMIFS('TP2'!$P:$P,'TP2'!$AI:$AI,$Y$2,'TP2'!$R:$R,$X$9,'TP2'!$U:$U,Ohjaus!$AF21,'TP2'!$W:$W,"vanha",'TP2'!$X:$X,$Y$1,'TP2'!$AD:$AD,$X$9,'TP2'!$AF:$AF,Ohjaus!$Y$6,'TP2'!$Q:$Q,Ohjaus!$Y$4,'TP2'!$AG:$AG,Ohjaus!$Y$5,'TP2'!$AL:$AL,$AF$4,'TP2'!AN:AN,"P")</f>
        <v>0</v>
      </c>
      <c r="AO21" s="707"/>
      <c r="AP21" s="708" t="s">
        <v>922</v>
      </c>
      <c r="AQ21" s="708" t="s">
        <v>922</v>
      </c>
      <c r="AR21" t="s">
        <v>1005</v>
      </c>
    </row>
    <row r="22" spans="1:48" ht="15" customHeight="1" x14ac:dyDescent="0.25">
      <c r="A22" s="1096"/>
      <c r="B22" s="696" t="s">
        <v>1006</v>
      </c>
      <c r="C22" s="697">
        <f>SUMIFS('TP2'!$P:$P,'TP2'!$AI:$AI,$Y$2,'TP2'!$R:$R,$X$9,'TP2'!$U:$U,Ohjaus!$T22,'TP2'!$W:$W,Ohjaus!$X$8,'TP2'!$X:$X,$Y$1,'TP2'!$AD:$AD,$X$9,'TP2'!$AF:$AF,Ohjaus!$Y$6,'TP2'!$Q:$Q,Ohjaus!$Y$4,'TP2'!$AG:$AG,Ohjaus!$Y$5,'TP2'!$AL:$AL,$AF$4,'TP2'!AN:AN,"P")+V22+AG22</f>
        <v>0</v>
      </c>
      <c r="D22" s="698">
        <f t="shared" si="2"/>
        <v>0</v>
      </c>
      <c r="E22" s="697">
        <f>SUMIFS('TP2'!$P:$P,'TP2'!$AI:$AI,$Y$2,'TP2'!$R:$R,$X$9,'TP2'!$U:$U,Ohjaus!$T22,'TP2'!$W:$W,Ohjaus!$X$8,'TP2'!$X:$X,$Y$1,'TP2'!$AD:$AD,$X$9,'TP2'!$AF:$AF,Ohjaus!$Y$6,'TP2'!$Q:$Q,Ohjaus!$Y$4,'TP2'!$AG:$AG,Ohjaus!$Y$5,'TP2'!$AL:$AL,$AF$4,'TP2'!$V:$V,Ohjaus!$X$7,'TP2'!AN:AN,"P")+W22+AH22</f>
        <v>0</v>
      </c>
      <c r="F22" s="697">
        <f>SUMIFS('TP2'!$P:$P,'TP2'!$AI:$AI,$Y$2,'TP2'!$R:$R,$X$9,'TP2'!$U:$U,Ohjaus!$T22,'TP2'!$W:$W,Ohjaus!$X$8,'TP2'!$X:$X,$Y$1,'TP2'!$AD:$AD,$X$9,'TP2'!$AF:$AF,Ohjaus!$Y$6,'TP2'!$Q:$Q,Ohjaus!$Y$4,'TP2'!$AG:$AG,Ohjaus!$Y$5,'TP2'!$AL:$AL,$AF$4,'TP2'!$V:$V,Ohjaus!$Y$7,'TP2'!AN:AN,"P")+X22+AI22</f>
        <v>0</v>
      </c>
      <c r="G22" s="697">
        <f>SUMIFS('TP2'!$P:$P,'TP2'!$AI:$AI,$Y$2,'TP2'!$R:$R,$X$9,'TP2'!$U:$U,Ohjaus!$T22,'TP2'!$W:$W,"vanha",'TP2'!$X:$X,$Y$1,'TP2'!$AD:$AD,$X$9,'TP2'!$AF:$AF,Ohjaus!$Y$6,'TP2'!$Q:$Q,Ohjaus!$Y$4,'TP2'!$AG:$AG,Ohjaus!$Y$5,'TP2'!$AL:$AL,$AF$4,'TP2'!AN:AN,"P")+Z22+AK22</f>
        <v>0</v>
      </c>
      <c r="H22" s="699"/>
      <c r="I22" s="700"/>
      <c r="J22" s="701">
        <f>SUMIFS('TP2'!$P:$P,'TP2'!$AI:$AI,$Y$2,'TP2'!$R:$R,$X$9,'TP2'!$U:$U,Ohjaus!$T22,'TP2'!$W:$W,Ohjaus!$X$8,'TP2'!$X:$X,$Y$1,'TP2'!$AD:$AD,$X$9,'TP2'!$AF:$AF,Ohjaus!$Y$6,'TP2'!$Q:$Q,Ohjaus!$Y$4,'TP2'!$AG:$AG,Ohjaus!$Y$5,'TP2'!$AL:$AL,$AF$4,'TP2'!$Z:$Z,1,'TP2'!AN:AN,"P")</f>
        <v>0</v>
      </c>
      <c r="K22" s="702">
        <f>SUMIFS('TP2'!$P:$P,'TP2'!$AI:$AI,$Y$2,'TP2'!$R:$R,$X$9,'TP2'!$U:$U,Ohjaus!$T22,'TP2'!$W:$W,Ohjaus!$X$8,'TP2'!$X:$X,$Y$1,'TP2'!$AD:$AD,$X$9,'TP2'!$AF:$AF,Ohjaus!$Y$6,'TP2'!$Q:$Q,Ohjaus!$Y$4,'TP2'!$AG:$AG,Ohjaus!$Y$5,'TP2'!$AL:$AL,$AF$4,'TP2'!$O:$O,$Z$3,'TP2'!AN:AN,"P")</f>
        <v>0</v>
      </c>
      <c r="L22" s="702">
        <f>SUMIFS('TP2'!$P:$P,'TP2'!$AI:$AI,$Y$2,'TP2'!$R:$R,$X$9,'TP2'!$U:$U,Ohjaus!$T22,'TP2'!$W:$W,Ohjaus!$X$8,'TP2'!$X:$X,$Y$1,'TP2'!$AD:$AD,$X$9,'TP2'!$AF:$AF,Ohjaus!$Y$6,'TP2'!$Q:$Q,Ohjaus!$Y$4,'TP2'!$AG:$AG,Ohjaus!$Y$5,'TP2'!$AL:$AL,$AF$4,'TP2'!$K:$K,$Z$6,'TP2'!AN:AN,"P")</f>
        <v>0</v>
      </c>
      <c r="M22" s="702">
        <f>SUMIFS('TP2'!$P:$P,'TP2'!$AI:$AI,$Y$2,'TP2'!$R:$R,$X$9,'TP2'!$U:$U,Ohjaus!$T22,'TP2'!$W:$W,Ohjaus!$X$8,'TP2'!$X:$X,$Y$1,'TP2'!$AD:$AD,$X$9,'TP2'!$AF:$AF,Ohjaus!$Y$6,'TP2'!$Q:$Q,Ohjaus!$Y$4,'TP2'!$AG:$AG,Ohjaus!$Y$5,'TP2'!$AL:$AL,$AF$4,'TP2'!$K:$K,$Z$7,'TP2'!AN:AN,"P")</f>
        <v>0</v>
      </c>
      <c r="N22" s="702">
        <f>SUMIFS('TP2'!$P:$P,'TP2'!$AI:$AI,$Y$2,'TP2'!$R:$R,$X$9,'TP2'!$U:$U,Ohjaus!$T22,'TP2'!$W:$W,Ohjaus!$X$8,'TP2'!$X:$X,$Y$1,'TP2'!$AD:$AD,$X$9,'TP2'!$AF:$AF,Ohjaus!$Y$6,'TP2'!$Q:$Q,Ohjaus!$Y$4,'TP2'!$AG:$AG,Ohjaus!$Y$5,'TP2'!$AL:$AL,$AF$4,'TP2'!$K:$K,$Z$8,'TP2'!AN:AN,"P")</f>
        <v>0</v>
      </c>
      <c r="O22" s="702">
        <f>SUMIFS('TP2'!$P:$P,'TP2'!$AI:$AI,$Y$2,'TP2'!$R:$R,$X$9,'TP2'!$U:$U,Ohjaus!$T22,'TP2'!$W:$W,Ohjaus!$X$8,'TP2'!$X:$X,$Y$1,'TP2'!$AD:$AD,$X$9,'TP2'!$AF:$AF,Ohjaus!$Y$6,'TP2'!$Q:$Q,Ohjaus!$Y$4,'TP2'!$AG:$AG,Ohjaus!$Y$5,'TP2'!$AL:$AL,$AF$4,'TP2'!$K:$K,$Z$5,'TP2'!AN:AN,"P")</f>
        <v>0</v>
      </c>
      <c r="T22" s="335" t="s">
        <v>1007</v>
      </c>
      <c r="U22" s="703" t="s">
        <v>1008</v>
      </c>
      <c r="V22" s="702">
        <f>SUMIFS('TP2'!$P:$P,'TP2'!$AI:$AI,$Y$2,'TP2'!$R:$R,$X$9,'TP2'!$U:$U,Ohjaus!$U22,'TP2'!$W:$W,Ohjaus!$X$8,'TP2'!$X:$X,$Y$1,'TP2'!$AD:$AD,$X$9,'TP2'!$AF:$AF,Ohjaus!$Y$6,'TP2'!$Q:$Q,Ohjaus!$Y$4,'TP2'!$AG:$AG,Ohjaus!$Y$5,'TP2'!AL:AL,$AF$4,'TP2'!AN:AN,"P")</f>
        <v>0</v>
      </c>
      <c r="W22" s="697">
        <f>SUMIFS('TP2'!$P:$P,'TP2'!$AI:$AI,$Y$2,'TP2'!$R:$R,$X$9,'TP2'!$U:$U,Ohjaus!$U22,'TP2'!$W:$W,Ohjaus!$X$8,'TP2'!$X:$X,$Y$1,'TP2'!$AD:$AD,$X$9,'TP2'!$AF:$AF,Ohjaus!$Y$6,'TP2'!$Q:$Q,Ohjaus!$Y$4,'TP2'!$AG:$AG,Ohjaus!$Y$5,'TP2'!$AL:$AL,$AF$4,'TP2'!$V:$V,Ohjaus!$X$7,'TP2'!AN:AN,"P")</f>
        <v>0</v>
      </c>
      <c r="X22" s="697">
        <f>SUMIFS('TP2'!$P:$P,'TP2'!$AI:$AI,$Y$2,'TP2'!$R:$R,$X$9,'TP2'!$U:$U,Ohjaus!$U22,'TP2'!$W:$W,Ohjaus!$X$8,'TP2'!$X:$X,$Y$1,'TP2'!$AD:$AD,$X$9,'TP2'!$AF:$AF,Ohjaus!$Y$6,'TP2'!$Q:$Q,Ohjaus!$Y$4,'TP2'!$AG:$AG,Ohjaus!$Y$5,'TP2'!$AL:$AL,$AF$4,'TP2'!$V:$V,Ohjaus!$Y$7,'TP2'!AN:AN,"P")</f>
        <v>0</v>
      </c>
      <c r="Y22" s="697">
        <f>SUMIFS('TP2'!$P:$P,'TP2'!$AI:$AI,$Y$2,'TP2'!$R:$R,$X$9,'TP2'!$U:$U,Ohjaus!$U22,'TP2'!$W:$W,"vanha",'TP2'!$X:$X,$Y$1,'TP2'!$AD:$AD,$X$9,'TP2'!$AF:$AF,Ohjaus!$Y$6,'TP2'!$Q:$Q,Ohjaus!$Y$4,'TP2'!$AG:$AG,Ohjaus!$Y$5,'TP2'!$AL:$AL,$AF$4,'TP2'!AN:AN,"P")</f>
        <v>0</v>
      </c>
      <c r="AA22" s="176" t="s">
        <v>117</v>
      </c>
      <c r="AB22" s="169" t="str">
        <f>IFERROR(INDEX(Data_Omakoodi!E:E,MATCH(AA22,Data_Omakoodi!A:A,0)),"")</f>
        <v/>
      </c>
      <c r="AC22" t="s">
        <v>118</v>
      </c>
      <c r="AD22" s="169" t="str">
        <f>IFERROR(INDEX(Data_Omakoodi!E:E,MATCH(AC22,Data_Omakoodi!A:A,0)),"")</f>
        <v/>
      </c>
      <c r="AE22" t="s">
        <v>118</v>
      </c>
      <c r="AG22" s="702">
        <f>SUMIFS('TP2'!$P:$P,'TP2'!$AI:$AI,$W$7,'TP2'!$R:$R,$X$9,'TP2'!$U:$U,Ohjaus!$AF22,'TP2'!$W:$W,Ohjaus!$X$8,'TP2'!$X:$X,Ohjaus!$X$6,'TP2'!$AD:$AD,$X$9,'TP2'!$AF:$AF,Ohjaus!$Y$6,'TP2'!$Q:$Q,Ohjaus!$Y$4,'TP2'!$AG:$AG,Ohjaus!$Y$5,'TP2'!AL:AL,$AF$4,'TP2'!AN:AN,"P")</f>
        <v>0</v>
      </c>
      <c r="AH22" s="697">
        <f>SUMIFS('TP2'!$P:$P,'TP2'!$AI:$AI,$Y$2,'TP2'!$R:$R,$X$9,'TP2'!$U:$U,Ohjaus!$AF22,'TP2'!$W:$W,Ohjaus!$X$8,'TP2'!$X:$X,$Y$1,'TP2'!$AD:$AD,$X$9,'TP2'!$AF:$AF,Ohjaus!$Y$6,'TP2'!$Q:$Q,Ohjaus!$Y$4,'TP2'!$AG:$AG,Ohjaus!$Y$5,'TP2'!$AL:$AL,$AF$4,'TP2'!$V:$V,Ohjaus!$X$7,'TP2'!AN:AN,"P")</f>
        <v>0</v>
      </c>
      <c r="AI22" s="697">
        <f>SUMIFS('TP2'!$P:$P,'TP2'!$AI:$AI,$Y$2,'TP2'!$R:$R,$X$9,'TP2'!$U:$U,Ohjaus!$AF22,'TP2'!$W:$W,Ohjaus!$X$8,'TP2'!$X:$X,$Y$1,'TP2'!$AD:$AD,$X$9,'TP2'!$AF:$AF,Ohjaus!$Y$6,'TP2'!$Q:$Q,Ohjaus!$Y$4,'TP2'!$AG:$AG,Ohjaus!$Y$5,'TP2'!$AL:$AL,$AF$4,'TP2'!$V:$V,Ohjaus!$Y$7,'TP2'!AN:AN,"P")</f>
        <v>0</v>
      </c>
      <c r="AJ22" s="697">
        <f>SUMIFS('TP2'!$P:$P,'TP2'!$AI:$AI,$Y$2,'TP2'!$R:$R,$X$9,'TP2'!$U:$U,Ohjaus!$AF22,'TP2'!$W:$W,"vanha",'TP2'!$X:$X,$Y$1,'TP2'!$AD:$AD,$X$9,'TP2'!$AF:$AF,Ohjaus!$Y$6,'TP2'!$Q:$Q,Ohjaus!$Y$4,'TP2'!$AG:$AG,Ohjaus!$Y$5,'TP2'!$AL:$AL,$AF$4,'TP2'!AN:AN,"P")</f>
        <v>0</v>
      </c>
      <c r="AO22" s="704" t="s">
        <v>986</v>
      </c>
      <c r="AP22" s="705" t="s">
        <v>1009</v>
      </c>
      <c r="AQ22" s="705" t="s">
        <v>1010</v>
      </c>
      <c r="AR22" t="s">
        <v>1007</v>
      </c>
    </row>
    <row r="23" spans="1:48" x14ac:dyDescent="0.25">
      <c r="A23" s="1096"/>
      <c r="B23" s="696" t="s">
        <v>1011</v>
      </c>
      <c r="C23" s="697">
        <f>SUMIFS('TP2'!$P:$P,'TP2'!$AI:$AI,$Y$2,'TP2'!$R:$R,$X$9,'TP2'!$U:$U,Ohjaus!$T23,'TP2'!$W:$W,Ohjaus!$X$8,'TP2'!$X:$X,$Y$1,'TP2'!$AD:$AD,$X$9,'TP2'!$AF:$AF,Ohjaus!$Y$6,'TP2'!$Q:$Q,Ohjaus!$Y$4,'TP2'!$AG:$AG,Ohjaus!$Y$5,'TP2'!$AL:$AL,$AF$4,'TP2'!AN:AN,"P")+V23+AG23</f>
        <v>0</v>
      </c>
      <c r="D23" s="698">
        <f t="shared" si="2"/>
        <v>0</v>
      </c>
      <c r="E23" s="697">
        <f>SUMIFS('TP2'!$P:$P,'TP2'!$AI:$AI,$Y$2,'TP2'!$R:$R,$X$9,'TP2'!$U:$U,Ohjaus!$T23,'TP2'!$W:$W,Ohjaus!$X$8,'TP2'!$X:$X,$Y$1,'TP2'!$AD:$AD,$X$9,'TP2'!$AF:$AF,Ohjaus!$Y$6,'TP2'!$Q:$Q,Ohjaus!$Y$4,'TP2'!$AG:$AG,Ohjaus!$Y$5,'TP2'!$AL:$AL,$AF$4,'TP2'!$V:$V,Ohjaus!$X$7,'TP2'!AN:AN,"P")+W23+AH23</f>
        <v>0</v>
      </c>
      <c r="F23" s="697">
        <f>SUMIFS('TP2'!$P:$P,'TP2'!$AI:$AI,$Y$2,'TP2'!$R:$R,$X$9,'TP2'!$U:$U,Ohjaus!$T23,'TP2'!$W:$W,Ohjaus!$X$8,'TP2'!$X:$X,$Y$1,'TP2'!$AD:$AD,$X$9,'TP2'!$AF:$AF,Ohjaus!$Y$6,'TP2'!$Q:$Q,Ohjaus!$Y$4,'TP2'!$AG:$AG,Ohjaus!$Y$5,'TP2'!$AL:$AL,$AF$4,'TP2'!$V:$V,Ohjaus!$Y$7,'TP2'!AN:AN,"P")+X23+AI23</f>
        <v>0</v>
      </c>
      <c r="G23" s="697">
        <f>SUMIFS('TP2'!$P:$P,'TP2'!$AI:$AI,$Y$2,'TP2'!$R:$R,$X$9,'TP2'!$U:$U,Ohjaus!$T23,'TP2'!$W:$W,"vanha",'TP2'!$X:$X,$Y$1,'TP2'!$AD:$AD,$X$9,'TP2'!$AF:$AF,Ohjaus!$Y$6,'TP2'!$Q:$Q,Ohjaus!$Y$4,'TP2'!$AG:$AG,Ohjaus!$Y$5,'TP2'!$AL:$AL,$AF$4,'TP2'!AN:AN,"P")+Z23+AK23</f>
        <v>0</v>
      </c>
      <c r="H23" s="699"/>
      <c r="I23" s="700"/>
      <c r="J23" s="701">
        <f>SUMIFS('TP2'!$P:$P,'TP2'!$AI:$AI,$Y$2,'TP2'!$R:$R,$X$9,'TP2'!$U:$U,Ohjaus!$T23,'TP2'!$W:$W,Ohjaus!$X$8,'TP2'!$X:$X,$Y$1,'TP2'!$AD:$AD,$X$9,'TP2'!$AF:$AF,Ohjaus!$Y$6,'TP2'!$Q:$Q,Ohjaus!$Y$4,'TP2'!$AG:$AG,Ohjaus!$Y$5,'TP2'!$AL:$AL,$AF$4,'TP2'!$Z:$Z,1,'TP2'!AN:AN,"P")</f>
        <v>0</v>
      </c>
      <c r="K23" s="702">
        <f>SUMIFS('TP2'!$P:$P,'TP2'!$AI:$AI,$Y$2,'TP2'!$R:$R,$X$9,'TP2'!$U:$U,Ohjaus!$T23,'TP2'!$W:$W,Ohjaus!$X$8,'TP2'!$X:$X,$Y$1,'TP2'!$AD:$AD,$X$9,'TP2'!$AF:$AF,Ohjaus!$Y$6,'TP2'!$Q:$Q,Ohjaus!$Y$4,'TP2'!$AG:$AG,Ohjaus!$Y$5,'TP2'!$AL:$AL,$AF$4,'TP2'!$O:$O,$Z$3,'TP2'!AN:AN,"P")</f>
        <v>0</v>
      </c>
      <c r="L23" s="702">
        <f>SUMIFS('TP2'!$P:$P,'TP2'!$AI:$AI,$Y$2,'TP2'!$R:$R,$X$9,'TP2'!$U:$U,Ohjaus!$T23,'TP2'!$W:$W,Ohjaus!$X$8,'TP2'!$X:$X,$Y$1,'TP2'!$AD:$AD,$X$9,'TP2'!$AF:$AF,Ohjaus!$Y$6,'TP2'!$Q:$Q,Ohjaus!$Y$4,'TP2'!$AG:$AG,Ohjaus!$Y$5,'TP2'!$AL:$AL,$AF$4,'TP2'!$K:$K,$Z$6,'TP2'!AN:AN,"P")</f>
        <v>0</v>
      </c>
      <c r="M23" s="702">
        <f>SUMIFS('TP2'!$P:$P,'TP2'!$AI:$AI,$Y$2,'TP2'!$R:$R,$X$9,'TP2'!$U:$U,Ohjaus!$T23,'TP2'!$W:$W,Ohjaus!$X$8,'TP2'!$X:$X,$Y$1,'TP2'!$AD:$AD,$X$9,'TP2'!$AF:$AF,Ohjaus!$Y$6,'TP2'!$Q:$Q,Ohjaus!$Y$4,'TP2'!$AG:$AG,Ohjaus!$Y$5,'TP2'!$AL:$AL,$AF$4,'TP2'!$K:$K,$Z$7,'TP2'!AN:AN,"P")</f>
        <v>0</v>
      </c>
      <c r="N23" s="702">
        <f>SUMIFS('TP2'!$P:$P,'TP2'!$AI:$AI,$Y$2,'TP2'!$R:$R,$X$9,'TP2'!$U:$U,Ohjaus!$T23,'TP2'!$W:$W,Ohjaus!$X$8,'TP2'!$X:$X,$Y$1,'TP2'!$AD:$AD,$X$9,'TP2'!$AF:$AF,Ohjaus!$Y$6,'TP2'!$Q:$Q,Ohjaus!$Y$4,'TP2'!$AG:$AG,Ohjaus!$Y$5,'TP2'!$AL:$AL,$AF$4,'TP2'!$K:$K,$Z$8,'TP2'!AN:AN,"P")</f>
        <v>0</v>
      </c>
      <c r="O23" s="702">
        <f>SUMIFS('TP2'!$P:$P,'TP2'!$AI:$AI,$Y$2,'TP2'!$R:$R,$X$9,'TP2'!$U:$U,Ohjaus!$T23,'TP2'!$W:$W,Ohjaus!$X$8,'TP2'!$X:$X,$Y$1,'TP2'!$AD:$AD,$X$9,'TP2'!$AF:$AF,Ohjaus!$Y$6,'TP2'!$Q:$Q,Ohjaus!$Y$4,'TP2'!$AG:$AG,Ohjaus!$Y$5,'TP2'!$AL:$AL,$AF$4,'TP2'!$K:$K,$Z$5,'TP2'!AN:AN,"P")</f>
        <v>0</v>
      </c>
      <c r="T23" s="693" t="s">
        <v>1012</v>
      </c>
      <c r="V23" s="702">
        <f>SUMIFS('TP2'!$P:$P,'TP2'!$AI:$AI,$Y$2,'TP2'!$R:$R,$X$9,'TP2'!$U:$U,Ohjaus!$U23,'TP2'!$W:$W,Ohjaus!$X$8,'TP2'!$X:$X,$Y$1,'TP2'!$AD:$AD,$X$9,'TP2'!$AF:$AF,Ohjaus!$Y$6,'TP2'!$Q:$Q,Ohjaus!$Y$4,'TP2'!$AG:$AG,Ohjaus!$Y$5,'TP2'!AL:AL,$AF$4,'TP2'!AN:AN,"P")</f>
        <v>0</v>
      </c>
      <c r="W23" s="697">
        <f>SUMIFS('TP2'!$P:$P,'TP2'!$AI:$AI,$Y$2,'TP2'!$R:$R,$X$9,'TP2'!$U:$U,Ohjaus!$U23,'TP2'!$W:$W,Ohjaus!$X$8,'TP2'!$X:$X,$Y$1,'TP2'!$AD:$AD,$X$9,'TP2'!$AF:$AF,Ohjaus!$Y$6,'TP2'!$Q:$Q,Ohjaus!$Y$4,'TP2'!$AG:$AG,Ohjaus!$Y$5,'TP2'!$AL:$AL,$AF$4,'TP2'!$V:$V,Ohjaus!$X$7,'TP2'!AN:AN,"P")</f>
        <v>0</v>
      </c>
      <c r="X23" s="697">
        <f>SUMIFS('TP2'!$P:$P,'TP2'!$AI:$AI,$Y$2,'TP2'!$R:$R,$X$9,'TP2'!$U:$U,Ohjaus!$U23,'TP2'!$W:$W,Ohjaus!$X$8,'TP2'!$X:$X,$Y$1,'TP2'!$AD:$AD,$X$9,'TP2'!$AF:$AF,Ohjaus!$Y$6,'TP2'!$Q:$Q,Ohjaus!$Y$4,'TP2'!$AG:$AG,Ohjaus!$Y$5,'TP2'!$AL:$AL,$AF$4,'TP2'!$V:$V,Ohjaus!$Y$7,'TP2'!AN:AN,"P")</f>
        <v>0</v>
      </c>
      <c r="Y23" s="697">
        <f>SUMIFS('TP2'!$P:$P,'TP2'!$AI:$AI,$Y$2,'TP2'!$R:$R,$X$9,'TP2'!$U:$U,Ohjaus!$U23,'TP2'!$W:$W,"vanha",'TP2'!$X:$X,$Y$1,'TP2'!$AD:$AD,$X$9,'TP2'!$AF:$AF,Ohjaus!$Y$6,'TP2'!$Q:$Q,Ohjaus!$Y$4,'TP2'!$AG:$AG,Ohjaus!$Y$5,'TP2'!$AL:$AL,$AF$4,'TP2'!AN:AN,"P")</f>
        <v>0</v>
      </c>
      <c r="AA23" s="176" t="s">
        <v>124</v>
      </c>
      <c r="AB23" s="169" t="str">
        <f>IFERROR(INDEX(Data_Omakoodi!E:E,MATCH(AA23,Data_Omakoodi!A:A,0)),"")</f>
        <v/>
      </c>
      <c r="AC23" t="s">
        <v>125</v>
      </c>
      <c r="AD23" s="169" t="str">
        <f>IFERROR(INDEX(Data_Omakoodi!E:E,MATCH(AC23,Data_Omakoodi!A:A,0)),"")</f>
        <v/>
      </c>
      <c r="AE23" t="s">
        <v>125</v>
      </c>
      <c r="AG23" s="702">
        <f>SUMIFS('TP2'!$P:$P,'TP2'!$AI:$AI,$W$7,'TP2'!$R:$R,$X$9,'TP2'!$U:$U,Ohjaus!$AF23,'TP2'!$W:$W,Ohjaus!$X$8,'TP2'!$X:$X,Ohjaus!$X$6,'TP2'!$AD:$AD,$X$9,'TP2'!$AF:$AF,Ohjaus!$Y$6,'TP2'!$Q:$Q,Ohjaus!$Y$4,'TP2'!$AG:$AG,Ohjaus!$Y$5,'TP2'!AL:AL,$AF$4,'TP2'!AN:AN,"P")</f>
        <v>0</v>
      </c>
      <c r="AH23" s="697">
        <f>SUMIFS('TP2'!$P:$P,'TP2'!$AI:$AI,$Y$2,'TP2'!$R:$R,$X$9,'TP2'!$U:$U,Ohjaus!$AF23,'TP2'!$W:$W,Ohjaus!$X$8,'TP2'!$X:$X,$Y$1,'TP2'!$AD:$AD,$X$9,'TP2'!$AF:$AF,Ohjaus!$Y$6,'TP2'!$Q:$Q,Ohjaus!$Y$4,'TP2'!$AG:$AG,Ohjaus!$Y$5,'TP2'!$AL:$AL,$AF$4,'TP2'!$V:$V,Ohjaus!$X$7,'TP2'!AN:AN,"P")</f>
        <v>0</v>
      </c>
      <c r="AI23" s="697">
        <f>SUMIFS('TP2'!$P:$P,'TP2'!$AI:$AI,$Y$2,'TP2'!$R:$R,$X$9,'TP2'!$U:$U,Ohjaus!$AF23,'TP2'!$W:$W,Ohjaus!$X$8,'TP2'!$X:$X,$Y$1,'TP2'!$AD:$AD,$X$9,'TP2'!$AF:$AF,Ohjaus!$Y$6,'TP2'!$Q:$Q,Ohjaus!$Y$4,'TP2'!$AG:$AG,Ohjaus!$Y$5,'TP2'!$AL:$AL,$AF$4,'TP2'!$V:$V,Ohjaus!$Y$7,'TP2'!AN:AN,"P")</f>
        <v>0</v>
      </c>
      <c r="AJ23" s="697">
        <f>SUMIFS('TP2'!$P:$P,'TP2'!$AI:$AI,$Y$2,'TP2'!$R:$R,$X$9,'TP2'!$U:$U,Ohjaus!$AF23,'TP2'!$W:$W,"vanha",'TP2'!$X:$X,$Y$1,'TP2'!$AD:$AD,$X$9,'TP2'!$AF:$AF,Ohjaus!$Y$6,'TP2'!$Q:$Q,Ohjaus!$Y$4,'TP2'!$AG:$AG,Ohjaus!$Y$5,'TP2'!$AL:$AL,$AF$4,'TP2'!AN:AN,"P")</f>
        <v>0</v>
      </c>
      <c r="AO23" s="707"/>
      <c r="AP23" s="708" t="s">
        <v>1013</v>
      </c>
      <c r="AQ23" s="708" t="s">
        <v>1013</v>
      </c>
      <c r="AR23" t="s">
        <v>1012</v>
      </c>
    </row>
    <row r="24" spans="1:48" x14ac:dyDescent="0.25">
      <c r="A24" s="1096"/>
      <c r="B24" s="696" t="s">
        <v>1014</v>
      </c>
      <c r="C24" s="697">
        <f>SUMIFS('TP2'!$P:$P,'TP2'!$AI:$AI,$Y$2,'TP2'!$R:$R,$X$9,'TP2'!$U:$U,Ohjaus!$T24,'TP2'!$W:$W,Ohjaus!$X$8,'TP2'!$X:$X,$Y$1,'TP2'!$AD:$AD,$X$9,'TP2'!$AF:$AF,Ohjaus!$Y$6,'TP2'!$Q:$Q,Ohjaus!$Y$4,'TP2'!$AG:$AG,Ohjaus!$Y$5,'TP2'!$AL:$AL,$AF$4,'TP2'!AN:AN,"P")+V24+AG24</f>
        <v>0</v>
      </c>
      <c r="D24" s="698">
        <f t="shared" si="2"/>
        <v>0</v>
      </c>
      <c r="E24" s="697">
        <f>SUMIFS('TP2'!$P:$P,'TP2'!$AI:$AI,$Y$2,'TP2'!$R:$R,$X$9,'TP2'!$U:$U,Ohjaus!$T24,'TP2'!$W:$W,Ohjaus!$X$8,'TP2'!$X:$X,$Y$1,'TP2'!$AD:$AD,$X$9,'TP2'!$AF:$AF,Ohjaus!$Y$6,'TP2'!$Q:$Q,Ohjaus!$Y$4,'TP2'!$AG:$AG,Ohjaus!$Y$5,'TP2'!$AL:$AL,$AF$4,'TP2'!$V:$V,Ohjaus!$X$7,'TP2'!AN:AN,"P")+W24+AH24</f>
        <v>0</v>
      </c>
      <c r="F24" s="697">
        <f>SUMIFS('TP2'!$P:$P,'TP2'!$AI:$AI,$Y$2,'TP2'!$R:$R,$X$9,'TP2'!$U:$U,Ohjaus!$T24,'TP2'!$W:$W,Ohjaus!$X$8,'TP2'!$X:$X,$Y$1,'TP2'!$AD:$AD,$X$9,'TP2'!$AF:$AF,Ohjaus!$Y$6,'TP2'!$Q:$Q,Ohjaus!$Y$4,'TP2'!$AG:$AG,Ohjaus!$Y$5,'TP2'!$AL:$AL,$AF$4,'TP2'!$V:$V,Ohjaus!$Y$7,'TP2'!AN:AN,"P")+X24+AI24</f>
        <v>0</v>
      </c>
      <c r="G24" s="697">
        <f>SUMIFS('TP2'!$P:$P,'TP2'!$AI:$AI,$Y$2,'TP2'!$R:$R,$X$9,'TP2'!$U:$U,Ohjaus!$T24,'TP2'!$W:$W,"vanha",'TP2'!$X:$X,$Y$1,'TP2'!$AD:$AD,$X$9,'TP2'!$AF:$AF,Ohjaus!$Y$6,'TP2'!$Q:$Q,Ohjaus!$Y$4,'TP2'!$AG:$AG,Ohjaus!$Y$5,'TP2'!$AL:$AL,$AF$4,'TP2'!AN:AN,"P")+Z24+AK24</f>
        <v>0</v>
      </c>
      <c r="H24" s="699"/>
      <c r="I24" s="700"/>
      <c r="J24" s="701">
        <f>SUMIFS('TP2'!$P:$P,'TP2'!$AI:$AI,$Y$2,'TP2'!$R:$R,$X$9,'TP2'!$U:$U,Ohjaus!$T24,'TP2'!$W:$W,Ohjaus!$X$8,'TP2'!$X:$X,$Y$1,'TP2'!$AD:$AD,$X$9,'TP2'!$AF:$AF,Ohjaus!$Y$6,'TP2'!$Q:$Q,Ohjaus!$Y$4,'TP2'!$AG:$AG,Ohjaus!$Y$5,'TP2'!$AL:$AL,$AF$4,'TP2'!$Z:$Z,1,'TP2'!AN:AN,"P")</f>
        <v>0</v>
      </c>
      <c r="K24" s="702">
        <f>SUMIFS('TP2'!$P:$P,'TP2'!$AI:$AI,$Y$2,'TP2'!$R:$R,$X$9,'TP2'!$U:$U,Ohjaus!$T24,'TP2'!$W:$W,Ohjaus!$X$8,'TP2'!$X:$X,$Y$1,'TP2'!$AD:$AD,$X$9,'TP2'!$AF:$AF,Ohjaus!$Y$6,'TP2'!$Q:$Q,Ohjaus!$Y$4,'TP2'!$AG:$AG,Ohjaus!$Y$5,'TP2'!$AL:$AL,$AF$4,'TP2'!$O:$O,$Z$3,'TP2'!AN:AN,"P")</f>
        <v>0</v>
      </c>
      <c r="L24" s="702">
        <f>SUMIFS('TP2'!$P:$P,'TP2'!$AI:$AI,$Y$2,'TP2'!$R:$R,$X$9,'TP2'!$U:$U,Ohjaus!$T24,'TP2'!$W:$W,Ohjaus!$X$8,'TP2'!$X:$X,$Y$1,'TP2'!$AD:$AD,$X$9,'TP2'!$AF:$AF,Ohjaus!$Y$6,'TP2'!$Q:$Q,Ohjaus!$Y$4,'TP2'!$AG:$AG,Ohjaus!$Y$5,'TP2'!$AL:$AL,$AF$4,'TP2'!$K:$K,$Z$6,'TP2'!AN:AN,"P")</f>
        <v>0</v>
      </c>
      <c r="M24" s="702">
        <f>SUMIFS('TP2'!$P:$P,'TP2'!$AI:$AI,$Y$2,'TP2'!$R:$R,$X$9,'TP2'!$U:$U,Ohjaus!$T24,'TP2'!$W:$W,Ohjaus!$X$8,'TP2'!$X:$X,$Y$1,'TP2'!$AD:$AD,$X$9,'TP2'!$AF:$AF,Ohjaus!$Y$6,'TP2'!$Q:$Q,Ohjaus!$Y$4,'TP2'!$AG:$AG,Ohjaus!$Y$5,'TP2'!$AL:$AL,$AF$4,'TP2'!$K:$K,$Z$7,'TP2'!AN:AN,"P")</f>
        <v>0</v>
      </c>
      <c r="N24" s="702">
        <f>SUMIFS('TP2'!$P:$P,'TP2'!$AI:$AI,$Y$2,'TP2'!$R:$R,$X$9,'TP2'!$U:$U,Ohjaus!$T24,'TP2'!$W:$W,Ohjaus!$X$8,'TP2'!$X:$X,$Y$1,'TP2'!$AD:$AD,$X$9,'TP2'!$AF:$AF,Ohjaus!$Y$6,'TP2'!$Q:$Q,Ohjaus!$Y$4,'TP2'!$AG:$AG,Ohjaus!$Y$5,'TP2'!$AL:$AL,$AF$4,'TP2'!$K:$K,$Z$8,'TP2'!AN:AN,"P")</f>
        <v>0</v>
      </c>
      <c r="O24" s="702">
        <f>SUMIFS('TP2'!$P:$P,'TP2'!$AI:$AI,$Y$2,'TP2'!$R:$R,$X$9,'TP2'!$U:$U,Ohjaus!$T24,'TP2'!$W:$W,Ohjaus!$X$8,'TP2'!$X:$X,$Y$1,'TP2'!$AD:$AD,$X$9,'TP2'!$AF:$AF,Ohjaus!$Y$6,'TP2'!$Q:$Q,Ohjaus!$Y$4,'TP2'!$AG:$AG,Ohjaus!$Y$5,'TP2'!$AL:$AL,$AF$4,'TP2'!$K:$K,$Z$5,'TP2'!AN:AN,"P")</f>
        <v>0</v>
      </c>
      <c r="T24" s="335" t="s">
        <v>1015</v>
      </c>
      <c r="U24" s="712" t="s">
        <v>1016</v>
      </c>
      <c r="V24" s="702">
        <f>SUMIFS('TP2'!$P:$P,'TP2'!$AI:$AI,$Y$2,'TP2'!$R:$R,$X$9,'TP2'!$U:$U,Ohjaus!$U24,'TP2'!$W:$W,Ohjaus!$X$8,'TP2'!$X:$X,$Y$1,'TP2'!$AD:$AD,$X$9,'TP2'!$AF:$AF,Ohjaus!$Y$6,'TP2'!$Q:$Q,Ohjaus!$Y$4,'TP2'!$AG:$AG,Ohjaus!$Y$5,'TP2'!AL:AL,$AF$4,'TP2'!AN:AN,"P")</f>
        <v>0</v>
      </c>
      <c r="W24" s="697">
        <f>SUMIFS('TP2'!$P:$P,'TP2'!$AI:$AI,$Y$2,'TP2'!$R:$R,$X$9,'TP2'!$U:$U,Ohjaus!$U24,'TP2'!$W:$W,Ohjaus!$X$8,'TP2'!$X:$X,$Y$1,'TP2'!$AD:$AD,$X$9,'TP2'!$AF:$AF,Ohjaus!$Y$6,'TP2'!$Q:$Q,Ohjaus!$Y$4,'TP2'!$AG:$AG,Ohjaus!$Y$5,'TP2'!$AL:$AL,$AF$4,'TP2'!$V:$V,Ohjaus!$X$7,'TP2'!AN:AN,"P")</f>
        <v>0</v>
      </c>
      <c r="X24" s="697">
        <f>SUMIFS('TP2'!$P:$P,'TP2'!$AI:$AI,$Y$2,'TP2'!$R:$R,$X$9,'TP2'!$U:$U,Ohjaus!$U24,'TP2'!$W:$W,Ohjaus!$X$8,'TP2'!$X:$X,$Y$1,'TP2'!$AD:$AD,$X$9,'TP2'!$AF:$AF,Ohjaus!$Y$6,'TP2'!$Q:$Q,Ohjaus!$Y$4,'TP2'!$AG:$AG,Ohjaus!$Y$5,'TP2'!$AL:$AL,$AF$4,'TP2'!$V:$V,Ohjaus!$Y$7,'TP2'!AN:AN,"P")</f>
        <v>0</v>
      </c>
      <c r="Y24" s="697">
        <f>SUMIFS('TP2'!$P:$P,'TP2'!$AI:$AI,$Y$2,'TP2'!$R:$R,$X$9,'TP2'!$U:$U,Ohjaus!$U24,'TP2'!$W:$W,"vanha",'TP2'!$X:$X,$Y$1,'TP2'!$AD:$AD,$X$9,'TP2'!$AF:$AF,Ohjaus!$Y$6,'TP2'!$Q:$Q,Ohjaus!$Y$4,'TP2'!$AG:$AG,Ohjaus!$Y$5,'TP2'!$AL:$AL,$AF$4,'TP2'!AN:AN,"P")</f>
        <v>0</v>
      </c>
      <c r="AA24" s="176" t="s">
        <v>131</v>
      </c>
      <c r="AB24" s="169" t="str">
        <f>IFERROR(INDEX(Data_Omakoodi!E:E,MATCH(AA24,Data_Omakoodi!A:A,0)),"")</f>
        <v/>
      </c>
      <c r="AC24" t="s">
        <v>132</v>
      </c>
      <c r="AD24" s="169" t="str">
        <f>IFERROR(INDEX(Data_Omakoodi!E:E,MATCH(AC24,Data_Omakoodi!A:A,0)),"")</f>
        <v/>
      </c>
      <c r="AE24" t="s">
        <v>132</v>
      </c>
      <c r="AG24" s="702">
        <f>SUMIFS('TP2'!$P:$P,'TP2'!$AI:$AI,$W$7,'TP2'!$R:$R,$X$9,'TP2'!$U:$U,Ohjaus!$AF24,'TP2'!$W:$W,Ohjaus!$X$8,'TP2'!$X:$X,Ohjaus!$X$6,'TP2'!$AD:$AD,$X$9,'TP2'!$AF:$AF,Ohjaus!$Y$6,'TP2'!$Q:$Q,Ohjaus!$Y$4,'TP2'!$AG:$AG,Ohjaus!$Y$5,'TP2'!AL:AL,$AF$4,'TP2'!AN:AN,"P")</f>
        <v>0</v>
      </c>
      <c r="AH24" s="697">
        <f>SUMIFS('TP2'!$P:$P,'TP2'!$AI:$AI,$Y$2,'TP2'!$R:$R,$X$9,'TP2'!$U:$U,Ohjaus!$AF24,'TP2'!$W:$W,Ohjaus!$X$8,'TP2'!$X:$X,$Y$1,'TP2'!$AD:$AD,$X$9,'TP2'!$AF:$AF,Ohjaus!$Y$6,'TP2'!$Q:$Q,Ohjaus!$Y$4,'TP2'!$AG:$AG,Ohjaus!$Y$5,'TP2'!$AL:$AL,$AF$4,'TP2'!$V:$V,Ohjaus!$X$7,'TP2'!AN:AN,"P")</f>
        <v>0</v>
      </c>
      <c r="AI24" s="697">
        <f>SUMIFS('TP2'!$P:$P,'TP2'!$AI:$AI,$Y$2,'TP2'!$R:$R,$X$9,'TP2'!$U:$U,Ohjaus!$AF24,'TP2'!$W:$W,Ohjaus!$X$8,'TP2'!$X:$X,$Y$1,'TP2'!$AD:$AD,$X$9,'TP2'!$AF:$AF,Ohjaus!$Y$6,'TP2'!$Q:$Q,Ohjaus!$Y$4,'TP2'!$AG:$AG,Ohjaus!$Y$5,'TP2'!$AL:$AL,$AF$4,'TP2'!$V:$V,Ohjaus!$Y$7,'TP2'!AN:AN,"P")</f>
        <v>0</v>
      </c>
      <c r="AJ24" s="697">
        <f>SUMIFS('TP2'!$P:$P,'TP2'!$AI:$AI,$Y$2,'TP2'!$R:$R,$X$9,'TP2'!$U:$U,Ohjaus!$AF24,'TP2'!$W:$W,"vanha",'TP2'!$X:$X,$Y$1,'TP2'!$AD:$AD,$X$9,'TP2'!$AF:$AF,Ohjaus!$Y$6,'TP2'!$Q:$Q,Ohjaus!$Y$4,'TP2'!$AG:$AG,Ohjaus!$Y$5,'TP2'!$AL:$AL,$AF$4,'TP2'!AN:AN,"P")</f>
        <v>0</v>
      </c>
      <c r="AO24" s="704" t="s">
        <v>986</v>
      </c>
      <c r="AP24" s="705" t="s">
        <v>1017</v>
      </c>
      <c r="AQ24" s="705" t="s">
        <v>1018</v>
      </c>
      <c r="AR24" t="s">
        <v>1015</v>
      </c>
    </row>
    <row r="25" spans="1:48" x14ac:dyDescent="0.25">
      <c r="A25" s="1096"/>
      <c r="B25" s="696" t="s">
        <v>1019</v>
      </c>
      <c r="C25" s="697">
        <f>SUMIFS('TP2'!$P:$P,'TP2'!$AI:$AI,$Y$2,'TP2'!$R:$R,$X$9,'TP2'!$U:$U,Ohjaus!$T25,'TP2'!$W:$W,Ohjaus!$X$8,'TP2'!$X:$X,$Y$1,'TP2'!$AD:$AD,$X$9,'TP2'!$AF:$AF,Ohjaus!$Y$6,'TP2'!$Q:$Q,Ohjaus!$Y$4,'TP2'!$AG:$AG,Ohjaus!$Y$5,'TP2'!$AL:$AL,$AF$4,'TP2'!AN:AN,"P")+V25+AG25</f>
        <v>0</v>
      </c>
      <c r="D25" s="698">
        <f t="shared" si="2"/>
        <v>0</v>
      </c>
      <c r="E25" s="697">
        <f>SUMIFS('TP2'!$P:$P,'TP2'!$AI:$AI,$Y$2,'TP2'!$R:$R,$X$9,'TP2'!$U:$U,Ohjaus!$T25,'TP2'!$W:$W,Ohjaus!$X$8,'TP2'!$X:$X,$Y$1,'TP2'!$AD:$AD,$X$9,'TP2'!$AF:$AF,Ohjaus!$Y$6,'TP2'!$Q:$Q,Ohjaus!$Y$4,'TP2'!$AG:$AG,Ohjaus!$Y$5,'TP2'!$AL:$AL,$AF$4,'TP2'!$V:$V,Ohjaus!$X$7,'TP2'!AN:AN,"P")+W25+AH25</f>
        <v>0</v>
      </c>
      <c r="F25" s="697">
        <f>SUMIFS('TP2'!$P:$P,'TP2'!$AI:$AI,$Y$2,'TP2'!$R:$R,$X$9,'TP2'!$U:$U,Ohjaus!$T25,'TP2'!$W:$W,Ohjaus!$X$8,'TP2'!$X:$X,$Y$1,'TP2'!$AD:$AD,$X$9,'TP2'!$AF:$AF,Ohjaus!$Y$6,'TP2'!$Q:$Q,Ohjaus!$Y$4,'TP2'!$AG:$AG,Ohjaus!$Y$5,'TP2'!$AL:$AL,$AF$4,'TP2'!$V:$V,Ohjaus!$Y$7,'TP2'!AN:AN,"P")+X25+AI25</f>
        <v>0</v>
      </c>
      <c r="G25" s="697">
        <f>SUMIFS('TP2'!$P:$P,'TP2'!$AI:$AI,$Y$2,'TP2'!$R:$R,$X$9,'TP2'!$U:$U,Ohjaus!$T25,'TP2'!$W:$W,"vanha",'TP2'!$X:$X,$Y$1,'TP2'!$AD:$AD,$X$9,'TP2'!$AF:$AF,Ohjaus!$Y$6,'TP2'!$Q:$Q,Ohjaus!$Y$4,'TP2'!$AG:$AG,Ohjaus!$Y$5,'TP2'!$AL:$AL,$AF$4,'TP2'!AN:AN,"P")+Z25+AK25</f>
        <v>0</v>
      </c>
      <c r="H25" s="699"/>
      <c r="I25" s="700"/>
      <c r="J25" s="701">
        <f>SUMIFS('TP2'!$P:$P,'TP2'!$AI:$AI,$Y$2,'TP2'!$R:$R,$X$9,'TP2'!$U:$U,Ohjaus!$T25,'TP2'!$W:$W,Ohjaus!$X$8,'TP2'!$X:$X,$Y$1,'TP2'!$AD:$AD,$X$9,'TP2'!$AF:$AF,Ohjaus!$Y$6,'TP2'!$Q:$Q,Ohjaus!$Y$4,'TP2'!$AG:$AG,Ohjaus!$Y$5,'TP2'!$AL:$AL,$AF$4,'TP2'!$Z:$Z,1,'TP2'!AN:AN,"P")</f>
        <v>0</v>
      </c>
      <c r="K25" s="702">
        <f>SUMIFS('TP2'!$P:$P,'TP2'!$AI:$AI,$Y$2,'TP2'!$R:$R,$X$9,'TP2'!$U:$U,Ohjaus!$T25,'TP2'!$W:$W,Ohjaus!$X$8,'TP2'!$X:$X,$Y$1,'TP2'!$AD:$AD,$X$9,'TP2'!$AF:$AF,Ohjaus!$Y$6,'TP2'!$Q:$Q,Ohjaus!$Y$4,'TP2'!$AG:$AG,Ohjaus!$Y$5,'TP2'!$AL:$AL,$AF$4,'TP2'!$O:$O,$Z$3,'TP2'!AN:AN,"P")</f>
        <v>0</v>
      </c>
      <c r="L25" s="702">
        <f>SUMIFS('TP2'!$P:$P,'TP2'!$AI:$AI,$Y$2,'TP2'!$R:$R,$X$9,'TP2'!$U:$U,Ohjaus!$T25,'TP2'!$W:$W,Ohjaus!$X$8,'TP2'!$X:$X,$Y$1,'TP2'!$AD:$AD,$X$9,'TP2'!$AF:$AF,Ohjaus!$Y$6,'TP2'!$Q:$Q,Ohjaus!$Y$4,'TP2'!$AG:$AG,Ohjaus!$Y$5,'TP2'!$AL:$AL,$AF$4,'TP2'!$K:$K,$Z$6,'TP2'!AN:AN,"P")</f>
        <v>0</v>
      </c>
      <c r="M25" s="702">
        <f>SUMIFS('TP2'!$P:$P,'TP2'!$AI:$AI,$Y$2,'TP2'!$R:$R,$X$9,'TP2'!$U:$U,Ohjaus!$T25,'TP2'!$W:$W,Ohjaus!$X$8,'TP2'!$X:$X,$Y$1,'TP2'!$AD:$AD,$X$9,'TP2'!$AF:$AF,Ohjaus!$Y$6,'TP2'!$Q:$Q,Ohjaus!$Y$4,'TP2'!$AG:$AG,Ohjaus!$Y$5,'TP2'!$AL:$AL,$AF$4,'TP2'!$K:$K,$Z$7,'TP2'!AN:AN,"P")</f>
        <v>0</v>
      </c>
      <c r="N25" s="702">
        <f>SUMIFS('TP2'!$P:$P,'TP2'!$AI:$AI,$Y$2,'TP2'!$R:$R,$X$9,'TP2'!$U:$U,Ohjaus!$T25,'TP2'!$W:$W,Ohjaus!$X$8,'TP2'!$X:$X,$Y$1,'TP2'!$AD:$AD,$X$9,'TP2'!$AF:$AF,Ohjaus!$Y$6,'TP2'!$Q:$Q,Ohjaus!$Y$4,'TP2'!$AG:$AG,Ohjaus!$Y$5,'TP2'!$AL:$AL,$AF$4,'TP2'!$K:$K,$Z$8,'TP2'!AN:AN,"P")</f>
        <v>0</v>
      </c>
      <c r="O25" s="702">
        <f>SUMIFS('TP2'!$P:$P,'TP2'!$AI:$AI,$Y$2,'TP2'!$R:$R,$X$9,'TP2'!$U:$U,Ohjaus!$T25,'TP2'!$W:$W,Ohjaus!$X$8,'TP2'!$X:$X,$Y$1,'TP2'!$AD:$AD,$X$9,'TP2'!$AF:$AF,Ohjaus!$Y$6,'TP2'!$Q:$Q,Ohjaus!$Y$4,'TP2'!$AG:$AG,Ohjaus!$Y$5,'TP2'!$AL:$AL,$AF$4,'TP2'!$K:$K,$Z$5,'TP2'!AN:AN,"P")</f>
        <v>0</v>
      </c>
      <c r="T25" t="s">
        <v>1020</v>
      </c>
      <c r="U25" s="709" t="s">
        <v>1021</v>
      </c>
      <c r="V25" s="702">
        <f>SUMIFS('TP2'!$P:$P,'TP2'!$AI:$AI,$Y$2,'TP2'!$R:$R,$X$9,'TP2'!$U:$U,Ohjaus!$U25,'TP2'!$W:$W,Ohjaus!$X$8,'TP2'!$X:$X,$Y$1,'TP2'!$AD:$AD,$X$9,'TP2'!$AF:$AF,Ohjaus!$Y$6,'TP2'!$Q:$Q,Ohjaus!$Y$4,'TP2'!$AG:$AG,Ohjaus!$Y$5,'TP2'!AL:AL,$AF$4,'TP2'!AN:AN,"P")</f>
        <v>0</v>
      </c>
      <c r="W25" s="697">
        <f>SUMIFS('TP2'!$P:$P,'TP2'!$AI:$AI,$Y$2,'TP2'!$R:$R,$X$9,'TP2'!$U:$U,Ohjaus!$U25,'TP2'!$W:$W,Ohjaus!$X$8,'TP2'!$X:$X,$Y$1,'TP2'!$AD:$AD,$X$9,'TP2'!$AF:$AF,Ohjaus!$Y$6,'TP2'!$Q:$Q,Ohjaus!$Y$4,'TP2'!$AG:$AG,Ohjaus!$Y$5,'TP2'!$AL:$AL,$AF$4,'TP2'!$V:$V,Ohjaus!$X$7,'TP2'!AN:AN,"P")</f>
        <v>0</v>
      </c>
      <c r="X25" s="697">
        <f>SUMIFS('TP2'!$P:$P,'TP2'!$AI:$AI,$Y$2,'TP2'!$R:$R,$X$9,'TP2'!$U:$U,Ohjaus!$U25,'TP2'!$W:$W,Ohjaus!$X$8,'TP2'!$X:$X,$Y$1,'TP2'!$AD:$AD,$X$9,'TP2'!$AF:$AF,Ohjaus!$Y$6,'TP2'!$Q:$Q,Ohjaus!$Y$4,'TP2'!$AG:$AG,Ohjaus!$Y$5,'TP2'!$AL:$AL,$AF$4,'TP2'!$V:$V,Ohjaus!$Y$7,'TP2'!AN:AN,"P")</f>
        <v>0</v>
      </c>
      <c r="Y25" s="697">
        <f>SUMIFS('TP2'!$P:$P,'TP2'!$AI:$AI,$Y$2,'TP2'!$R:$R,$X$9,'TP2'!$U:$U,Ohjaus!$U25,'TP2'!$W:$W,"vanha",'TP2'!$X:$X,$Y$1,'TP2'!$AD:$AD,$X$9,'TP2'!$AF:$AF,Ohjaus!$Y$6,'TP2'!$Q:$Q,Ohjaus!$Y$4,'TP2'!$AG:$AG,Ohjaus!$Y$5,'TP2'!$AL:$AL,$AF$4,'TP2'!AN:AN,"P")</f>
        <v>0</v>
      </c>
      <c r="AA25" s="176" t="s">
        <v>136</v>
      </c>
      <c r="AB25" s="169" t="str">
        <f>IFERROR(INDEX(Data_Omakoodi!E:E,MATCH(AA25,Data_Omakoodi!A:A,0)),"")</f>
        <v/>
      </c>
      <c r="AC25" t="s">
        <v>137</v>
      </c>
      <c r="AD25" s="169" t="str">
        <f>IFERROR(INDEX(Data_Omakoodi!E:E,MATCH(AC25,Data_Omakoodi!A:A,0)),"")</f>
        <v/>
      </c>
      <c r="AE25" t="s">
        <v>137</v>
      </c>
      <c r="AG25" s="702">
        <f>SUMIFS('TP2'!$P:$P,'TP2'!$AI:$AI,$W$7,'TP2'!$R:$R,$X$9,'TP2'!$U:$U,Ohjaus!$AF25,'TP2'!$W:$W,Ohjaus!$X$8,'TP2'!$X:$X,Ohjaus!$X$6,'TP2'!$AD:$AD,$X$9,'TP2'!$AF:$AF,Ohjaus!$Y$6,'TP2'!$Q:$Q,Ohjaus!$Y$4,'TP2'!$AG:$AG,Ohjaus!$Y$5,'TP2'!AL:AL,$AF$4,'TP2'!AN:AN,"P")</f>
        <v>0</v>
      </c>
      <c r="AH25" s="697">
        <f>SUMIFS('TP2'!$P:$P,'TP2'!$AI:$AI,$Y$2,'TP2'!$R:$R,$X$9,'TP2'!$U:$U,Ohjaus!$AF25,'TP2'!$W:$W,Ohjaus!$X$8,'TP2'!$X:$X,$Y$1,'TP2'!$AD:$AD,$X$9,'TP2'!$AF:$AF,Ohjaus!$Y$6,'TP2'!$Q:$Q,Ohjaus!$Y$4,'TP2'!$AG:$AG,Ohjaus!$Y$5,'TP2'!$AL:$AL,$AF$4,'TP2'!$V:$V,Ohjaus!$X$7,'TP2'!AN:AN,"P")</f>
        <v>0</v>
      </c>
      <c r="AI25" s="697">
        <f>SUMIFS('TP2'!$P:$P,'TP2'!$AI:$AI,$Y$2,'TP2'!$R:$R,$X$9,'TP2'!$U:$U,Ohjaus!$AF25,'TP2'!$W:$W,Ohjaus!$X$8,'TP2'!$X:$X,$Y$1,'TP2'!$AD:$AD,$X$9,'TP2'!$AF:$AF,Ohjaus!$Y$6,'TP2'!$Q:$Q,Ohjaus!$Y$4,'TP2'!$AG:$AG,Ohjaus!$Y$5,'TP2'!$AL:$AL,$AF$4,'TP2'!$V:$V,Ohjaus!$Y$7,'TP2'!AN:AN,"P")</f>
        <v>0</v>
      </c>
      <c r="AJ25" s="697">
        <f>SUMIFS('TP2'!$P:$P,'TP2'!$AI:$AI,$Y$2,'TP2'!$R:$R,$X$9,'TP2'!$U:$U,Ohjaus!$AF25,'TP2'!$W:$W,"vanha",'TP2'!$X:$X,$Y$1,'TP2'!$AD:$AD,$X$9,'TP2'!$AF:$AF,Ohjaus!$Y$6,'TP2'!$Q:$Q,Ohjaus!$Y$4,'TP2'!$AG:$AG,Ohjaus!$Y$5,'TP2'!$AL:$AL,$AF$4,'TP2'!AN:AN,"P")</f>
        <v>0</v>
      </c>
      <c r="AO25" s="704" t="s">
        <v>986</v>
      </c>
      <c r="AP25" s="705" t="s">
        <v>1022</v>
      </c>
      <c r="AQ25" s="705" t="s">
        <v>1023</v>
      </c>
      <c r="AR25" t="s">
        <v>1020</v>
      </c>
    </row>
    <row r="26" spans="1:48" x14ac:dyDescent="0.25">
      <c r="A26" s="1096"/>
      <c r="B26" s="696" t="s">
        <v>1024</v>
      </c>
      <c r="C26" s="697">
        <f>SUMIFS('TP2'!$P:$P,'TP2'!$AI:$AI,$Y$2,'TP2'!$R:$R,$X$9,'TP2'!$U:$U,Ohjaus!$T26,'TP2'!$W:$W,Ohjaus!$X$8,'TP2'!$X:$X,$Y$1,'TP2'!$AD:$AD,$X$9,'TP2'!$AF:$AF,Ohjaus!$Y$6,'TP2'!$Q:$Q,Ohjaus!$Y$4,'TP2'!$AG:$AG,Ohjaus!$Y$5,'TP2'!$AL:$AL,$AF$4,'TP2'!AN:AN,"P")+V26+AG26</f>
        <v>0</v>
      </c>
      <c r="D26" s="698">
        <f t="shared" si="2"/>
        <v>0</v>
      </c>
      <c r="E26" s="697">
        <f>SUMIFS('TP2'!$P:$P,'TP2'!$AI:$AI,$Y$2,'TP2'!$R:$R,$X$9,'TP2'!$U:$U,Ohjaus!$T26,'TP2'!$W:$W,Ohjaus!$X$8,'TP2'!$X:$X,$Y$1,'TP2'!$AD:$AD,$X$9,'TP2'!$AF:$AF,Ohjaus!$Y$6,'TP2'!$Q:$Q,Ohjaus!$Y$4,'TP2'!$AG:$AG,Ohjaus!$Y$5,'TP2'!$AL:$AL,$AF$4,'TP2'!$V:$V,Ohjaus!$X$7,'TP2'!AN:AN,"P")+W26+AH26</f>
        <v>0</v>
      </c>
      <c r="F26" s="697">
        <f>SUMIFS('TP2'!$P:$P,'TP2'!$AI:$AI,$Y$2,'TP2'!$R:$R,$X$9,'TP2'!$U:$U,Ohjaus!$T26,'TP2'!$W:$W,Ohjaus!$X$8,'TP2'!$X:$X,$Y$1,'TP2'!$AD:$AD,$X$9,'TP2'!$AF:$AF,Ohjaus!$Y$6,'TP2'!$Q:$Q,Ohjaus!$Y$4,'TP2'!$AG:$AG,Ohjaus!$Y$5,'TP2'!$AL:$AL,$AF$4,'TP2'!$V:$V,Ohjaus!$Y$7,'TP2'!AN:AN,"P")+X26+AI26</f>
        <v>0</v>
      </c>
      <c r="G26" s="697">
        <f>SUMIFS('TP2'!$P:$P,'TP2'!$AI:$AI,$Y$2,'TP2'!$R:$R,$X$9,'TP2'!$U:$U,Ohjaus!$T26,'TP2'!$W:$W,"vanha",'TP2'!$X:$X,$Y$1,'TP2'!$AD:$AD,$X$9,'TP2'!$AF:$AF,Ohjaus!$Y$6,'TP2'!$Q:$Q,Ohjaus!$Y$4,'TP2'!$AG:$AG,Ohjaus!$Y$5,'TP2'!$AL:$AL,$AF$4,'TP2'!AN:AN,"P")+Z26+AK26</f>
        <v>0</v>
      </c>
      <c r="H26" s="699"/>
      <c r="I26" s="700"/>
      <c r="J26" s="701">
        <f>SUMIFS('TP2'!$P:$P,'TP2'!$AI:$AI,$Y$2,'TP2'!$R:$R,$X$9,'TP2'!$U:$U,Ohjaus!$T26,'TP2'!$W:$W,Ohjaus!$X$8,'TP2'!$X:$X,$Y$1,'TP2'!$AD:$AD,$X$9,'TP2'!$AF:$AF,Ohjaus!$Y$6,'TP2'!$Q:$Q,Ohjaus!$Y$4,'TP2'!$AG:$AG,Ohjaus!$Y$5,'TP2'!$AL:$AL,$AF$4,'TP2'!$Z:$Z,1,'TP2'!AN:AN,"P")</f>
        <v>0</v>
      </c>
      <c r="K26" s="702">
        <f>SUMIFS('TP2'!$P:$P,'TP2'!$AI:$AI,$Y$2,'TP2'!$R:$R,$X$9,'TP2'!$U:$U,Ohjaus!$T26,'TP2'!$W:$W,Ohjaus!$X$8,'TP2'!$X:$X,$Y$1,'TP2'!$AD:$AD,$X$9,'TP2'!$AF:$AF,Ohjaus!$Y$6,'TP2'!$Q:$Q,Ohjaus!$Y$4,'TP2'!$AG:$AG,Ohjaus!$Y$5,'TP2'!$AL:$AL,$AF$4,'TP2'!$O:$O,$Z$3,'TP2'!AN:AN,"P")</f>
        <v>0</v>
      </c>
      <c r="L26" s="702">
        <f>SUMIFS('TP2'!$P:$P,'TP2'!$AI:$AI,$Y$2,'TP2'!$R:$R,$X$9,'TP2'!$U:$U,Ohjaus!$T26,'TP2'!$W:$W,Ohjaus!$X$8,'TP2'!$X:$X,$Y$1,'TP2'!$AD:$AD,$X$9,'TP2'!$AF:$AF,Ohjaus!$Y$6,'TP2'!$Q:$Q,Ohjaus!$Y$4,'TP2'!$AG:$AG,Ohjaus!$Y$5,'TP2'!$AL:$AL,$AF$4,'TP2'!$K:$K,$Z$6,'TP2'!AN:AN,"P")</f>
        <v>0</v>
      </c>
      <c r="M26" s="702">
        <f>SUMIFS('TP2'!$P:$P,'TP2'!$AI:$AI,$Y$2,'TP2'!$R:$R,$X$9,'TP2'!$U:$U,Ohjaus!$T26,'TP2'!$W:$W,Ohjaus!$X$8,'TP2'!$X:$X,$Y$1,'TP2'!$AD:$AD,$X$9,'TP2'!$AF:$AF,Ohjaus!$Y$6,'TP2'!$Q:$Q,Ohjaus!$Y$4,'TP2'!$AG:$AG,Ohjaus!$Y$5,'TP2'!$AL:$AL,$AF$4,'TP2'!$K:$K,$Z$7,'TP2'!AN:AN,"P")</f>
        <v>0</v>
      </c>
      <c r="N26" s="702">
        <f>SUMIFS('TP2'!$P:$P,'TP2'!$AI:$AI,$Y$2,'TP2'!$R:$R,$X$9,'TP2'!$U:$U,Ohjaus!$T26,'TP2'!$W:$W,Ohjaus!$X$8,'TP2'!$X:$X,$Y$1,'TP2'!$AD:$AD,$X$9,'TP2'!$AF:$AF,Ohjaus!$Y$6,'TP2'!$Q:$Q,Ohjaus!$Y$4,'TP2'!$AG:$AG,Ohjaus!$Y$5,'TP2'!$AL:$AL,$AF$4,'TP2'!$K:$K,$Z$8,'TP2'!AN:AN,"P")</f>
        <v>0</v>
      </c>
      <c r="O26" s="702">
        <f>SUMIFS('TP2'!$P:$P,'TP2'!$AI:$AI,$Y$2,'TP2'!$R:$R,$X$9,'TP2'!$U:$U,Ohjaus!$T26,'TP2'!$W:$W,Ohjaus!$X$8,'TP2'!$X:$X,$Y$1,'TP2'!$AD:$AD,$X$9,'TP2'!$AF:$AF,Ohjaus!$Y$6,'TP2'!$Q:$Q,Ohjaus!$Y$4,'TP2'!$AG:$AG,Ohjaus!$Y$5,'TP2'!$AL:$AL,$AF$4,'TP2'!$K:$K,$Z$5,'TP2'!AN:AN,"P")</f>
        <v>0</v>
      </c>
      <c r="T26" s="706" t="s">
        <v>1025</v>
      </c>
      <c r="V26" s="702">
        <f>SUMIFS('TP2'!$P:$P,'TP2'!$AI:$AI,$Y$2,'TP2'!$R:$R,$X$9,'TP2'!$U:$U,Ohjaus!$U26,'TP2'!$W:$W,Ohjaus!$X$8,'TP2'!$X:$X,$Y$1,'TP2'!$AD:$AD,$X$9,'TP2'!$AF:$AF,Ohjaus!$Y$6,'TP2'!$Q:$Q,Ohjaus!$Y$4,'TP2'!$AG:$AG,Ohjaus!$Y$5,'TP2'!AL:AL,$AF$4,'TP2'!AN:AN,"P")</f>
        <v>0</v>
      </c>
      <c r="W26" s="697">
        <f>SUMIFS('TP2'!$P:$P,'TP2'!$AI:$AI,$Y$2,'TP2'!$R:$R,$X$9,'TP2'!$U:$U,Ohjaus!$U26,'TP2'!$W:$W,Ohjaus!$X$8,'TP2'!$X:$X,$Y$1,'TP2'!$AD:$AD,$X$9,'TP2'!$AF:$AF,Ohjaus!$Y$6,'TP2'!$Q:$Q,Ohjaus!$Y$4,'TP2'!$AG:$AG,Ohjaus!$Y$5,'TP2'!$AL:$AL,$AF$4,'TP2'!$V:$V,Ohjaus!$X$7,'TP2'!AN:AN,"P")</f>
        <v>0</v>
      </c>
      <c r="X26" s="697">
        <f>SUMIFS('TP2'!$P:$P,'TP2'!$AI:$AI,$Y$2,'TP2'!$R:$R,$X$9,'TP2'!$U:$U,Ohjaus!$U26,'TP2'!$W:$W,Ohjaus!$X$8,'TP2'!$X:$X,$Y$1,'TP2'!$AD:$AD,$X$9,'TP2'!$AF:$AF,Ohjaus!$Y$6,'TP2'!$Q:$Q,Ohjaus!$Y$4,'TP2'!$AG:$AG,Ohjaus!$Y$5,'TP2'!$AL:$AL,$AF$4,'TP2'!$V:$V,Ohjaus!$Y$7,'TP2'!AN:AN,"P")</f>
        <v>0</v>
      </c>
      <c r="Y26" s="697">
        <f>SUMIFS('TP2'!$P:$P,'TP2'!$AI:$AI,$Y$2,'TP2'!$R:$R,$X$9,'TP2'!$U:$U,Ohjaus!$U26,'TP2'!$W:$W,"vanha",'TP2'!$X:$X,$Y$1,'TP2'!$AD:$AD,$X$9,'TP2'!$AF:$AF,Ohjaus!$Y$6,'TP2'!$Q:$Q,Ohjaus!$Y$4,'TP2'!$AG:$AG,Ohjaus!$Y$5,'TP2'!$AL:$AL,$AF$4,'TP2'!AN:AN,"P")</f>
        <v>0</v>
      </c>
      <c r="AA26" s="176" t="s">
        <v>140</v>
      </c>
      <c r="AB26" s="169" t="str">
        <f>IFERROR(INDEX(Data_Omakoodi!E:E,MATCH(AA26,Data_Omakoodi!A:A,0)),"")</f>
        <v/>
      </c>
      <c r="AC26" t="s">
        <v>141</v>
      </c>
      <c r="AD26" s="169" t="str">
        <f>IFERROR(INDEX(Data_Omakoodi!E:E,MATCH(AC26,Data_Omakoodi!A:A,0)),"")</f>
        <v/>
      </c>
      <c r="AE26" t="s">
        <v>141</v>
      </c>
      <c r="AG26" s="702">
        <f>SUMIFS('TP2'!$P:$P,'TP2'!$AI:$AI,$W$7,'TP2'!$R:$R,$X$9,'TP2'!$U:$U,Ohjaus!$AF26,'TP2'!$W:$W,Ohjaus!$X$8,'TP2'!$X:$X,Ohjaus!$X$6,'TP2'!$AD:$AD,$X$9,'TP2'!$AF:$AF,Ohjaus!$Y$6,'TP2'!$Q:$Q,Ohjaus!$Y$4,'TP2'!$AG:$AG,Ohjaus!$Y$5,'TP2'!AL:AL,$AF$4,'TP2'!AN:AN,"P")</f>
        <v>0</v>
      </c>
      <c r="AH26" s="697">
        <f>SUMIFS('TP2'!$P:$P,'TP2'!$AI:$AI,$Y$2,'TP2'!$R:$R,$X$9,'TP2'!$U:$U,Ohjaus!$AF26,'TP2'!$W:$W,Ohjaus!$X$8,'TP2'!$X:$X,$Y$1,'TP2'!$AD:$AD,$X$9,'TP2'!$AF:$AF,Ohjaus!$Y$6,'TP2'!$Q:$Q,Ohjaus!$Y$4,'TP2'!$AG:$AG,Ohjaus!$Y$5,'TP2'!$AL:$AL,$AF$4,'TP2'!$V:$V,Ohjaus!$X$7,'TP2'!AN:AN,"P")</f>
        <v>0</v>
      </c>
      <c r="AI26" s="697">
        <f>SUMIFS('TP2'!$P:$P,'TP2'!$AI:$AI,$Y$2,'TP2'!$R:$R,$X$9,'TP2'!$U:$U,Ohjaus!$AF26,'TP2'!$W:$W,Ohjaus!$X$8,'TP2'!$X:$X,$Y$1,'TP2'!$AD:$AD,$X$9,'TP2'!$AF:$AF,Ohjaus!$Y$6,'TP2'!$Q:$Q,Ohjaus!$Y$4,'TP2'!$AG:$AG,Ohjaus!$Y$5,'TP2'!$AL:$AL,$AF$4,'TP2'!$V:$V,Ohjaus!$Y$7,'TP2'!AN:AN,"P")</f>
        <v>0</v>
      </c>
      <c r="AJ26" s="697">
        <f>SUMIFS('TP2'!$P:$P,'TP2'!$AI:$AI,$Y$2,'TP2'!$R:$R,$X$9,'TP2'!$U:$U,Ohjaus!$AF26,'TP2'!$W:$W,"vanha",'TP2'!$X:$X,$Y$1,'TP2'!$AD:$AD,$X$9,'TP2'!$AF:$AF,Ohjaus!$Y$6,'TP2'!$Q:$Q,Ohjaus!$Y$4,'TP2'!$AG:$AG,Ohjaus!$Y$5,'TP2'!$AL:$AL,$AF$4,'TP2'!AN:AN,"P")</f>
        <v>0</v>
      </c>
      <c r="AO26" s="707"/>
      <c r="AP26" s="708" t="s">
        <v>1026</v>
      </c>
      <c r="AQ26" s="708" t="s">
        <v>1026</v>
      </c>
      <c r="AR26" t="s">
        <v>1025</v>
      </c>
    </row>
    <row r="27" spans="1:48" x14ac:dyDescent="0.25">
      <c r="A27" s="1096"/>
      <c r="B27" s="696" t="s">
        <v>1027</v>
      </c>
      <c r="C27" s="697">
        <f>SUMIFS('TP2'!$P:$P,'TP2'!$AI:$AI,$Y$2,'TP2'!$R:$R,$X$9,'TP2'!$U:$U,Ohjaus!$T27,'TP2'!$W:$W,Ohjaus!$X$8,'TP2'!$X:$X,$Y$1,'TP2'!$AD:$AD,$X$9,'TP2'!$AF:$AF,Ohjaus!$Y$6,'TP2'!$Q:$Q,Ohjaus!$Y$4,'TP2'!$AG:$AG,Ohjaus!$Y$5,'TP2'!$AL:$AL,$AF$4,'TP2'!AN:AN,"P")+V27+AG27</f>
        <v>0</v>
      </c>
      <c r="D27" s="698">
        <f t="shared" si="2"/>
        <v>0</v>
      </c>
      <c r="E27" s="697">
        <f>SUMIFS('TP2'!$P:$P,'TP2'!$AI:$AI,$Y$2,'TP2'!$R:$R,$X$9,'TP2'!$U:$U,Ohjaus!$T27,'TP2'!$W:$W,Ohjaus!$X$8,'TP2'!$X:$X,$Y$1,'TP2'!$AD:$AD,$X$9,'TP2'!$AF:$AF,Ohjaus!$Y$6,'TP2'!$Q:$Q,Ohjaus!$Y$4,'TP2'!$AG:$AG,Ohjaus!$Y$5,'TP2'!$AL:$AL,$AF$4,'TP2'!$V:$V,Ohjaus!$X$7,'TP2'!AN:AN,"P")+W27+AH27</f>
        <v>0</v>
      </c>
      <c r="F27" s="697">
        <f>SUMIFS('TP2'!$P:$P,'TP2'!$AI:$AI,$Y$2,'TP2'!$R:$R,$X$9,'TP2'!$U:$U,Ohjaus!$T27,'TP2'!$W:$W,Ohjaus!$X$8,'TP2'!$X:$X,$Y$1,'TP2'!$AD:$AD,$X$9,'TP2'!$AF:$AF,Ohjaus!$Y$6,'TP2'!$Q:$Q,Ohjaus!$Y$4,'TP2'!$AG:$AG,Ohjaus!$Y$5,'TP2'!$AL:$AL,$AF$4,'TP2'!$V:$V,Ohjaus!$Y$7,'TP2'!AN:AN,"P")+X27+AI27</f>
        <v>0</v>
      </c>
      <c r="G27" s="697">
        <f>SUMIFS('TP2'!$P:$P,'TP2'!$AI:$AI,$Y$2,'TP2'!$R:$R,$X$9,'TP2'!$U:$U,Ohjaus!$T27,'TP2'!$W:$W,"vanha",'TP2'!$X:$X,$Y$1,'TP2'!$AD:$AD,$X$9,'TP2'!$AF:$AF,Ohjaus!$Y$6,'TP2'!$Q:$Q,Ohjaus!$Y$4,'TP2'!$AG:$AG,Ohjaus!$Y$5,'TP2'!$AL:$AL,$AF$4,'TP2'!AN:AN,"P")+Z27+AK27</f>
        <v>0</v>
      </c>
      <c r="H27" s="699"/>
      <c r="I27" s="700"/>
      <c r="J27" s="701">
        <f>SUMIFS('TP2'!$P:$P,'TP2'!$AI:$AI,$Y$2,'TP2'!$R:$R,$X$9,'TP2'!$U:$U,Ohjaus!$T27,'TP2'!$W:$W,Ohjaus!$X$8,'TP2'!$X:$X,$Y$1,'TP2'!$AD:$AD,$X$9,'TP2'!$AF:$AF,Ohjaus!$Y$6,'TP2'!$Q:$Q,Ohjaus!$Y$4,'TP2'!$AG:$AG,Ohjaus!$Y$5,'TP2'!$AL:$AL,$AF$4,'TP2'!$Z:$Z,1,'TP2'!AN:AN,"P")</f>
        <v>0</v>
      </c>
      <c r="K27" s="702">
        <f>SUMIFS('TP2'!$P:$P,'TP2'!$AI:$AI,$Y$2,'TP2'!$R:$R,$X$9,'TP2'!$U:$U,Ohjaus!$T27,'TP2'!$W:$W,Ohjaus!$X$8,'TP2'!$X:$X,$Y$1,'TP2'!$AD:$AD,$X$9,'TP2'!$AF:$AF,Ohjaus!$Y$6,'TP2'!$Q:$Q,Ohjaus!$Y$4,'TP2'!$AG:$AG,Ohjaus!$Y$5,'TP2'!$AL:$AL,$AF$4,'TP2'!$O:$O,$Z$3,'TP2'!AN:AN,"P")</f>
        <v>0</v>
      </c>
      <c r="L27" s="702">
        <f>SUMIFS('TP2'!$P:$P,'TP2'!$AI:$AI,$Y$2,'TP2'!$R:$R,$X$9,'TP2'!$U:$U,Ohjaus!$T27,'TP2'!$W:$W,Ohjaus!$X$8,'TP2'!$X:$X,$Y$1,'TP2'!$AD:$AD,$X$9,'TP2'!$AF:$AF,Ohjaus!$Y$6,'TP2'!$Q:$Q,Ohjaus!$Y$4,'TP2'!$AG:$AG,Ohjaus!$Y$5,'TP2'!$AL:$AL,$AF$4,'TP2'!$K:$K,$Z$6,'TP2'!AN:AN,"P")</f>
        <v>0</v>
      </c>
      <c r="M27" s="702">
        <f>SUMIFS('TP2'!$P:$P,'TP2'!$AI:$AI,$Y$2,'TP2'!$R:$R,$X$9,'TP2'!$U:$U,Ohjaus!$T27,'TP2'!$W:$W,Ohjaus!$X$8,'TP2'!$X:$X,$Y$1,'TP2'!$AD:$AD,$X$9,'TP2'!$AF:$AF,Ohjaus!$Y$6,'TP2'!$Q:$Q,Ohjaus!$Y$4,'TP2'!$AG:$AG,Ohjaus!$Y$5,'TP2'!$AL:$AL,$AF$4,'TP2'!$K:$K,$Z$7,'TP2'!AN:AN,"P")</f>
        <v>0</v>
      </c>
      <c r="N27" s="702">
        <f>SUMIFS('TP2'!$P:$P,'TP2'!$AI:$AI,$Y$2,'TP2'!$R:$R,$X$9,'TP2'!$U:$U,Ohjaus!$T27,'TP2'!$W:$W,Ohjaus!$X$8,'TP2'!$X:$X,$Y$1,'TP2'!$AD:$AD,$X$9,'TP2'!$AF:$AF,Ohjaus!$Y$6,'TP2'!$Q:$Q,Ohjaus!$Y$4,'TP2'!$AG:$AG,Ohjaus!$Y$5,'TP2'!$AL:$AL,$AF$4,'TP2'!$K:$K,$Z$8,'TP2'!AN:AN,"P")</f>
        <v>0</v>
      </c>
      <c r="O27" s="702">
        <f>SUMIFS('TP2'!$P:$P,'TP2'!$AI:$AI,$Y$2,'TP2'!$R:$R,$X$9,'TP2'!$U:$U,Ohjaus!$T27,'TP2'!$W:$W,Ohjaus!$X$8,'TP2'!$X:$X,$Y$1,'TP2'!$AD:$AD,$X$9,'TP2'!$AF:$AF,Ohjaus!$Y$6,'TP2'!$Q:$Q,Ohjaus!$Y$4,'TP2'!$AG:$AG,Ohjaus!$Y$5,'TP2'!$AL:$AL,$AF$4,'TP2'!$K:$K,$Z$5,'TP2'!AN:AN,"P")</f>
        <v>0</v>
      </c>
      <c r="R27" s="78"/>
      <c r="T27" t="s">
        <v>1028</v>
      </c>
      <c r="U27" s="709" t="s">
        <v>1029</v>
      </c>
      <c r="V27" s="702">
        <f>SUMIFS('TP2'!$P:$P,'TP2'!$AI:$AI,$Y$2,'TP2'!$R:$R,$X$9,'TP2'!$U:$U,Ohjaus!$U27,'TP2'!$W:$W,Ohjaus!$X$8,'TP2'!$X:$X,$Y$1,'TP2'!$AD:$AD,$X$9,'TP2'!$AF:$AF,Ohjaus!$Y$6,'TP2'!$Q:$Q,Ohjaus!$Y$4,'TP2'!$AG:$AG,Ohjaus!$Y$5,'TP2'!AL:AL,$AF$4,'TP2'!AN:AN,"P")</f>
        <v>0</v>
      </c>
      <c r="W27" s="697">
        <f>SUMIFS('TP2'!$P:$P,'TP2'!$AI:$AI,$Y$2,'TP2'!$R:$R,$X$9,'TP2'!$U:$U,Ohjaus!$U27,'TP2'!$W:$W,Ohjaus!$X$8,'TP2'!$X:$X,$Y$1,'TP2'!$AD:$AD,$X$9,'TP2'!$AF:$AF,Ohjaus!$Y$6,'TP2'!$Q:$Q,Ohjaus!$Y$4,'TP2'!$AG:$AG,Ohjaus!$Y$5,'TP2'!$AL:$AL,$AF$4,'TP2'!$V:$V,Ohjaus!$X$7,'TP2'!AN:AN,"P")</f>
        <v>0</v>
      </c>
      <c r="X27" s="697">
        <f>SUMIFS('TP2'!$P:$P,'TP2'!$AI:$AI,$Y$2,'TP2'!$R:$R,$X$9,'TP2'!$U:$U,Ohjaus!$U27,'TP2'!$W:$W,Ohjaus!$X$8,'TP2'!$X:$X,$Y$1,'TP2'!$AD:$AD,$X$9,'TP2'!$AF:$AF,Ohjaus!$Y$6,'TP2'!$Q:$Q,Ohjaus!$Y$4,'TP2'!$AG:$AG,Ohjaus!$Y$5,'TP2'!$AL:$AL,$AF$4,'TP2'!$V:$V,Ohjaus!$Y$7,'TP2'!AN:AN,"P")</f>
        <v>0</v>
      </c>
      <c r="Y27" s="697">
        <f>SUMIFS('TP2'!$P:$P,'TP2'!$AI:$AI,$Y$2,'TP2'!$R:$R,$X$9,'TP2'!$U:$U,Ohjaus!$U27,'TP2'!$W:$W,"vanha",'TP2'!$X:$X,$Y$1,'TP2'!$AD:$AD,$X$9,'TP2'!$AF:$AF,Ohjaus!$Y$6,'TP2'!$Q:$Q,Ohjaus!$Y$4,'TP2'!$AG:$AG,Ohjaus!$Y$5,'TP2'!$AL:$AL,$AF$4,'TP2'!AN:AN,"P")</f>
        <v>0</v>
      </c>
      <c r="AA27" s="176" t="s">
        <v>145</v>
      </c>
      <c r="AB27" s="169" t="str">
        <f>IFERROR(INDEX(Data_Omakoodi!E:E,MATCH(AA27,Data_Omakoodi!A:A,0)),"")</f>
        <v/>
      </c>
      <c r="AC27" t="s">
        <v>146</v>
      </c>
      <c r="AD27" s="169" t="str">
        <f>IFERROR(INDEX(Data_Omakoodi!E:E,MATCH(AC27,Data_Omakoodi!A:A,0)),"")</f>
        <v/>
      </c>
      <c r="AE27" t="s">
        <v>146</v>
      </c>
      <c r="AG27" s="702">
        <f>SUMIFS('TP2'!$P:$P,'TP2'!$AI:$AI,$W$7,'TP2'!$R:$R,$X$9,'TP2'!$U:$U,Ohjaus!$AF27,'TP2'!$W:$W,Ohjaus!$X$8,'TP2'!$X:$X,Ohjaus!$X$6,'TP2'!$AD:$AD,$X$9,'TP2'!$AF:$AF,Ohjaus!$Y$6,'TP2'!$Q:$Q,Ohjaus!$Y$4,'TP2'!$AG:$AG,Ohjaus!$Y$5,'TP2'!AL:AL,$AF$4,'TP2'!AN:AN,"P")</f>
        <v>0</v>
      </c>
      <c r="AH27" s="697">
        <f>SUMIFS('TP2'!$P:$P,'TP2'!$AI:$AI,$Y$2,'TP2'!$R:$R,$X$9,'TP2'!$U:$U,Ohjaus!$AF27,'TP2'!$W:$W,Ohjaus!$X$8,'TP2'!$X:$X,$Y$1,'TP2'!$AD:$AD,$X$9,'TP2'!$AF:$AF,Ohjaus!$Y$6,'TP2'!$Q:$Q,Ohjaus!$Y$4,'TP2'!$AG:$AG,Ohjaus!$Y$5,'TP2'!$AL:$AL,$AF$4,'TP2'!$V:$V,Ohjaus!$X$7,'TP2'!AN:AN,"P")</f>
        <v>0</v>
      </c>
      <c r="AI27" s="697">
        <f>SUMIFS('TP2'!$P:$P,'TP2'!$AI:$AI,$Y$2,'TP2'!$R:$R,$X$9,'TP2'!$U:$U,Ohjaus!$AF27,'TP2'!$W:$W,Ohjaus!$X$8,'TP2'!$X:$X,$Y$1,'TP2'!$AD:$AD,$X$9,'TP2'!$AF:$AF,Ohjaus!$Y$6,'TP2'!$Q:$Q,Ohjaus!$Y$4,'TP2'!$AG:$AG,Ohjaus!$Y$5,'TP2'!$AL:$AL,$AF$4,'TP2'!$V:$V,Ohjaus!$Y$7,'TP2'!AN:AN,"P")</f>
        <v>0</v>
      </c>
      <c r="AJ27" s="697">
        <f>SUMIFS('TP2'!$P:$P,'TP2'!$AI:$AI,$Y$2,'TP2'!$R:$R,$X$9,'TP2'!$U:$U,Ohjaus!$AF27,'TP2'!$W:$W,"vanha",'TP2'!$X:$X,$Y$1,'TP2'!$AD:$AD,$X$9,'TP2'!$AF:$AF,Ohjaus!$Y$6,'TP2'!$Q:$Q,Ohjaus!$Y$4,'TP2'!$AG:$AG,Ohjaus!$Y$5,'TP2'!$AL:$AL,$AF$4,'TP2'!AN:AN,"P")</f>
        <v>0</v>
      </c>
      <c r="AO27" s="704" t="s">
        <v>986</v>
      </c>
      <c r="AP27" s="705" t="s">
        <v>1030</v>
      </c>
      <c r="AQ27" s="705" t="s">
        <v>1031</v>
      </c>
      <c r="AR27" t="s">
        <v>1028</v>
      </c>
    </row>
    <row r="28" spans="1:48" x14ac:dyDescent="0.25">
      <c r="A28" s="1096"/>
      <c r="B28" s="696" t="s">
        <v>1032</v>
      </c>
      <c r="C28" s="697">
        <f>SUMIFS('TP2'!$P:$P,'TP2'!$AI:$AI,$Y$2,'TP2'!$R:$R,$X$9,'TP2'!$U:$U,Ohjaus!$T28,'TP2'!$W:$W,Ohjaus!$X$8,'TP2'!$X:$X,$Y$1,'TP2'!$AD:$AD,$X$9,'TP2'!$AF:$AF,Ohjaus!$Y$6,'TP2'!$Q:$Q,Ohjaus!$Y$4,'TP2'!$AG:$AG,Ohjaus!$Y$5,'TP2'!$AL:$AL,$AF$4,'TP2'!AN:AN,"P")+V28+AG28</f>
        <v>0</v>
      </c>
      <c r="D28" s="698">
        <f t="shared" si="2"/>
        <v>0</v>
      </c>
      <c r="E28" s="697">
        <f>SUMIFS('TP2'!$P:$P,'TP2'!$AI:$AI,$Y$2,'TP2'!$R:$R,$X$9,'TP2'!$U:$U,Ohjaus!$T28,'TP2'!$W:$W,Ohjaus!$X$8,'TP2'!$X:$X,$Y$1,'TP2'!$AD:$AD,$X$9,'TP2'!$AF:$AF,Ohjaus!$Y$6,'TP2'!$Q:$Q,Ohjaus!$Y$4,'TP2'!$AG:$AG,Ohjaus!$Y$5,'TP2'!$AL:$AL,$AF$4,'TP2'!$V:$V,Ohjaus!$X$7,'TP2'!AN:AN,"P")+W28+AH28</f>
        <v>0</v>
      </c>
      <c r="F28" s="697">
        <f>SUMIFS('TP2'!$P:$P,'TP2'!$AI:$AI,$Y$2,'TP2'!$R:$R,$X$9,'TP2'!$U:$U,Ohjaus!$T28,'TP2'!$W:$W,Ohjaus!$X$8,'TP2'!$X:$X,$Y$1,'TP2'!$AD:$AD,$X$9,'TP2'!$AF:$AF,Ohjaus!$Y$6,'TP2'!$Q:$Q,Ohjaus!$Y$4,'TP2'!$AG:$AG,Ohjaus!$Y$5,'TP2'!$AL:$AL,$AF$4,'TP2'!$V:$V,Ohjaus!$Y$7,'TP2'!AN:AN,"P")+X28+AI28</f>
        <v>0</v>
      </c>
      <c r="G28" s="697">
        <f>SUMIFS('TP2'!$P:$P,'TP2'!$AI:$AI,$Y$2,'TP2'!$R:$R,$X$9,'TP2'!$U:$U,Ohjaus!$T28,'TP2'!$W:$W,"vanha",'TP2'!$X:$X,$Y$1,'TP2'!$AD:$AD,$X$9,'TP2'!$AF:$AF,Ohjaus!$Y$6,'TP2'!$Q:$Q,Ohjaus!$Y$4,'TP2'!$AG:$AG,Ohjaus!$Y$5,'TP2'!$AL:$AL,$AF$4,'TP2'!AN:AN,"P")+Z28+AK28</f>
        <v>0</v>
      </c>
      <c r="H28" s="699"/>
      <c r="I28" s="700"/>
      <c r="J28" s="701">
        <f>SUMIFS('TP2'!$P:$P,'TP2'!$AI:$AI,$Y$2,'TP2'!$R:$R,$X$9,'TP2'!$U:$U,Ohjaus!$T28,'TP2'!$W:$W,Ohjaus!$X$8,'TP2'!$X:$X,$Y$1,'TP2'!$AD:$AD,$X$9,'TP2'!$AF:$AF,Ohjaus!$Y$6,'TP2'!$Q:$Q,Ohjaus!$Y$4,'TP2'!$AG:$AG,Ohjaus!$Y$5,'TP2'!$AL:$AL,$AF$4,'TP2'!$Z:$Z,1,'TP2'!AN:AN,"P")</f>
        <v>0</v>
      </c>
      <c r="K28" s="702">
        <f>SUMIFS('TP2'!$P:$P,'TP2'!$AI:$AI,$Y$2,'TP2'!$R:$R,$X$9,'TP2'!$U:$U,Ohjaus!$T28,'TP2'!$W:$W,Ohjaus!$X$8,'TP2'!$X:$X,$Y$1,'TP2'!$AD:$AD,$X$9,'TP2'!$AF:$AF,Ohjaus!$Y$6,'TP2'!$Q:$Q,Ohjaus!$Y$4,'TP2'!$AG:$AG,Ohjaus!$Y$5,'TP2'!$AL:$AL,$AF$4,'TP2'!$O:$O,$Z$3,'TP2'!AN:AN,"P")</f>
        <v>0</v>
      </c>
      <c r="L28" s="702">
        <f>SUMIFS('TP2'!$P:$P,'TP2'!$AI:$AI,$Y$2,'TP2'!$R:$R,$X$9,'TP2'!$U:$U,Ohjaus!$T28,'TP2'!$W:$W,Ohjaus!$X$8,'TP2'!$X:$X,$Y$1,'TP2'!$AD:$AD,$X$9,'TP2'!$AF:$AF,Ohjaus!$Y$6,'TP2'!$Q:$Q,Ohjaus!$Y$4,'TP2'!$AG:$AG,Ohjaus!$Y$5,'TP2'!$AL:$AL,$AF$4,'TP2'!$K:$K,$Z$6,'TP2'!AN:AN,"P")</f>
        <v>0</v>
      </c>
      <c r="M28" s="702">
        <f>SUMIFS('TP2'!$P:$P,'TP2'!$AI:$AI,$Y$2,'TP2'!$R:$R,$X$9,'TP2'!$U:$U,Ohjaus!$T28,'TP2'!$W:$W,Ohjaus!$X$8,'TP2'!$X:$X,$Y$1,'TP2'!$AD:$AD,$X$9,'TP2'!$AF:$AF,Ohjaus!$Y$6,'TP2'!$Q:$Q,Ohjaus!$Y$4,'TP2'!$AG:$AG,Ohjaus!$Y$5,'TP2'!$AL:$AL,$AF$4,'TP2'!$K:$K,$Z$7,'TP2'!AN:AN,"P")</f>
        <v>0</v>
      </c>
      <c r="N28" s="702">
        <f>SUMIFS('TP2'!$P:$P,'TP2'!$AI:$AI,$Y$2,'TP2'!$R:$R,$X$9,'TP2'!$U:$U,Ohjaus!$T28,'TP2'!$W:$W,Ohjaus!$X$8,'TP2'!$X:$X,$Y$1,'TP2'!$AD:$AD,$X$9,'TP2'!$AF:$AF,Ohjaus!$Y$6,'TP2'!$Q:$Q,Ohjaus!$Y$4,'TP2'!$AG:$AG,Ohjaus!$Y$5,'TP2'!$AL:$AL,$AF$4,'TP2'!$K:$K,$Z$8,'TP2'!AN:AN,"P")</f>
        <v>0</v>
      </c>
      <c r="O28" s="702">
        <f>SUMIFS('TP2'!$P:$P,'TP2'!$AI:$AI,$Y$2,'TP2'!$R:$R,$X$9,'TP2'!$U:$U,Ohjaus!$T28,'TP2'!$W:$W,Ohjaus!$X$8,'TP2'!$X:$X,$Y$1,'TP2'!$AD:$AD,$X$9,'TP2'!$AF:$AF,Ohjaus!$Y$6,'TP2'!$Q:$Q,Ohjaus!$Y$4,'TP2'!$AG:$AG,Ohjaus!$Y$5,'TP2'!$AL:$AL,$AF$4,'TP2'!$K:$K,$Z$5,'TP2'!AN:AN,"P")</f>
        <v>0</v>
      </c>
      <c r="T28" s="693" t="s">
        <v>1033</v>
      </c>
      <c r="V28" s="702">
        <f>SUMIFS('TP2'!$P:$P,'TP2'!$AI:$AI,$Y$2,'TP2'!$R:$R,$X$9,'TP2'!$U:$U,Ohjaus!$U28,'TP2'!$W:$W,Ohjaus!$X$8,'TP2'!$X:$X,$Y$1,'TP2'!$AD:$AD,$X$9,'TP2'!$AF:$AF,Ohjaus!$Y$6,'TP2'!$Q:$Q,Ohjaus!$Y$4,'TP2'!$AG:$AG,Ohjaus!$Y$5,'TP2'!AL:AL,$AF$4,'TP2'!AN:AN,"P")</f>
        <v>0</v>
      </c>
      <c r="W28" s="697">
        <f>SUMIFS('TP2'!$P:$P,'TP2'!$AI:$AI,$Y$2,'TP2'!$R:$R,$X$9,'TP2'!$U:$U,Ohjaus!$U28,'TP2'!$W:$W,Ohjaus!$X$8,'TP2'!$X:$X,$Y$1,'TP2'!$AD:$AD,$X$9,'TP2'!$AF:$AF,Ohjaus!$Y$6,'TP2'!$Q:$Q,Ohjaus!$Y$4,'TP2'!$AG:$AG,Ohjaus!$Y$5,'TP2'!$AL:$AL,$AF$4,'TP2'!$V:$V,Ohjaus!$X$7,'TP2'!AN:AN,"P")</f>
        <v>0</v>
      </c>
      <c r="X28" s="697">
        <f>SUMIFS('TP2'!$P:$P,'TP2'!$AI:$AI,$Y$2,'TP2'!$R:$R,$X$9,'TP2'!$U:$U,Ohjaus!$U28,'TP2'!$W:$W,Ohjaus!$X$8,'TP2'!$X:$X,$Y$1,'TP2'!$AD:$AD,$X$9,'TP2'!$AF:$AF,Ohjaus!$Y$6,'TP2'!$Q:$Q,Ohjaus!$Y$4,'TP2'!$AG:$AG,Ohjaus!$Y$5,'TP2'!$AL:$AL,$AF$4,'TP2'!$V:$V,Ohjaus!$Y$7,'TP2'!AN:AN,"P")</f>
        <v>0</v>
      </c>
      <c r="Y28" s="697">
        <f>SUMIFS('TP2'!$P:$P,'TP2'!$AI:$AI,$Y$2,'TP2'!$R:$R,$X$9,'TP2'!$U:$U,Ohjaus!$U28,'TP2'!$W:$W,"vanha",'TP2'!$X:$X,$Y$1,'TP2'!$AD:$AD,$X$9,'TP2'!$AF:$AF,Ohjaus!$Y$6,'TP2'!$Q:$Q,Ohjaus!$Y$4,'TP2'!$AG:$AG,Ohjaus!$Y$5,'TP2'!$AL:$AL,$AF$4,'TP2'!AN:AN,"P")</f>
        <v>0</v>
      </c>
      <c r="AA28" s="176" t="s">
        <v>150</v>
      </c>
      <c r="AB28" s="169" t="str">
        <f>IFERROR(INDEX(Data_Omakoodi!E:E,MATCH(AA28,Data_Omakoodi!A:A,0)),"")</f>
        <v/>
      </c>
      <c r="AC28" t="s">
        <v>151</v>
      </c>
      <c r="AD28" s="169" t="str">
        <f>IFERROR(INDEX(Data_Omakoodi!E:E,MATCH(AC28,Data_Omakoodi!A:A,0)),"")</f>
        <v/>
      </c>
      <c r="AE28" t="s">
        <v>151</v>
      </c>
      <c r="AG28" s="702">
        <f>SUMIFS('TP2'!$P:$P,'TP2'!$AI:$AI,$W$7,'TP2'!$R:$R,$X$9,'TP2'!$U:$U,Ohjaus!$AF28,'TP2'!$W:$W,Ohjaus!$X$8,'TP2'!$X:$X,Ohjaus!$X$6,'TP2'!$AD:$AD,$X$9,'TP2'!$AF:$AF,Ohjaus!$Y$6,'TP2'!$Q:$Q,Ohjaus!$Y$4,'TP2'!$AG:$AG,Ohjaus!$Y$5,'TP2'!AL:AL,$AF$4,'TP2'!AN:AN,"P")</f>
        <v>0</v>
      </c>
      <c r="AH28" s="697">
        <f>SUMIFS('TP2'!$P:$P,'TP2'!$AI:$AI,$Y$2,'TP2'!$R:$R,$X$9,'TP2'!$U:$U,Ohjaus!$AF28,'TP2'!$W:$W,Ohjaus!$X$8,'TP2'!$X:$X,$Y$1,'TP2'!$AD:$AD,$X$9,'TP2'!$AF:$AF,Ohjaus!$Y$6,'TP2'!$Q:$Q,Ohjaus!$Y$4,'TP2'!$AG:$AG,Ohjaus!$Y$5,'TP2'!$AL:$AL,$AF$4,'TP2'!$V:$V,Ohjaus!$X$7,'TP2'!AN:AN,"P")</f>
        <v>0</v>
      </c>
      <c r="AI28" s="697">
        <f>SUMIFS('TP2'!$P:$P,'TP2'!$AI:$AI,$Y$2,'TP2'!$R:$R,$X$9,'TP2'!$U:$U,Ohjaus!$AF28,'TP2'!$W:$W,Ohjaus!$X$8,'TP2'!$X:$X,$Y$1,'TP2'!$AD:$AD,$X$9,'TP2'!$AF:$AF,Ohjaus!$Y$6,'TP2'!$Q:$Q,Ohjaus!$Y$4,'TP2'!$AG:$AG,Ohjaus!$Y$5,'TP2'!$AL:$AL,$AF$4,'TP2'!$V:$V,Ohjaus!$Y$7,'TP2'!AN:AN,"P")</f>
        <v>0</v>
      </c>
      <c r="AJ28" s="697">
        <f>SUMIFS('TP2'!$P:$P,'TP2'!$AI:$AI,$Y$2,'TP2'!$R:$R,$X$9,'TP2'!$U:$U,Ohjaus!$AF28,'TP2'!$W:$W,"vanha",'TP2'!$X:$X,$Y$1,'TP2'!$AD:$AD,$X$9,'TP2'!$AF:$AF,Ohjaus!$Y$6,'TP2'!$Q:$Q,Ohjaus!$Y$4,'TP2'!$AG:$AG,Ohjaus!$Y$5,'TP2'!$AL:$AL,$AF$4,'TP2'!AN:AN,"P")</f>
        <v>0</v>
      </c>
      <c r="AO28" s="707"/>
      <c r="AP28" s="708" t="s">
        <v>1034</v>
      </c>
      <c r="AQ28" s="708" t="s">
        <v>1034</v>
      </c>
      <c r="AR28" t="s">
        <v>1033</v>
      </c>
    </row>
    <row r="29" spans="1:48" x14ac:dyDescent="0.25">
      <c r="A29" s="1097"/>
      <c r="B29" s="696" t="s">
        <v>1035</v>
      </c>
      <c r="C29" s="697">
        <f>SUMIFS('TP2'!$P:$P,'TP2'!$AI:$AI,$Y$2,'TP2'!$R:$R,$X$9,'TP2'!$U:$U,Ohjaus!$T29,'TP2'!$W:$W,Ohjaus!$X$8,'TP2'!$X:$X,$Y$1,'TP2'!$AD:$AD,$X$9,'TP2'!$AF:$AF,Ohjaus!$Y$6,'TP2'!$Q:$Q,Ohjaus!$Y$4,'TP2'!$AG:$AG,Ohjaus!$Y$5,'TP2'!$AL:$AL,$AF$4,'TP2'!AN:AN,"P")+V29+AG29</f>
        <v>0</v>
      </c>
      <c r="D29" s="698">
        <f t="shared" si="2"/>
        <v>0</v>
      </c>
      <c r="E29" s="697">
        <f>SUMIFS('TP2'!$P:$P,'TP2'!$AI:$AI,$Y$2,'TP2'!$R:$R,$X$9,'TP2'!$U:$U,Ohjaus!$T29,'TP2'!$W:$W,Ohjaus!$X$8,'TP2'!$X:$X,$Y$1,'TP2'!$AD:$AD,$X$9,'TP2'!$AF:$AF,Ohjaus!$Y$6,'TP2'!$Q:$Q,Ohjaus!$Y$4,'TP2'!$AG:$AG,Ohjaus!$Y$5,'TP2'!$AL:$AL,$AF$4,'TP2'!$V:$V,Ohjaus!$X$7,'TP2'!AN:AN,"P")+W29+AH29</f>
        <v>0</v>
      </c>
      <c r="F29" s="697">
        <f>SUMIFS('TP2'!$P:$P,'TP2'!$AI:$AI,$Y$2,'TP2'!$R:$R,$X$9,'TP2'!$U:$U,Ohjaus!$T29,'TP2'!$W:$W,Ohjaus!$X$8,'TP2'!$X:$X,$Y$1,'TP2'!$AD:$AD,$X$9,'TP2'!$AF:$AF,Ohjaus!$Y$6,'TP2'!$Q:$Q,Ohjaus!$Y$4,'TP2'!$AG:$AG,Ohjaus!$Y$5,'TP2'!$AL:$AL,$AF$4,'TP2'!$V:$V,Ohjaus!$Y$7,'TP2'!AN:AN,"P")+X29+AI29</f>
        <v>0</v>
      </c>
      <c r="G29" s="697">
        <f>SUMIFS('TP2'!$P:$P,'TP2'!$AI:$AI,$Y$2,'TP2'!$R:$R,$X$9,'TP2'!$U:$U,Ohjaus!$T29,'TP2'!$W:$W,"vanha",'TP2'!$X:$X,$Y$1,'TP2'!$AD:$AD,$X$9,'TP2'!$AF:$AF,Ohjaus!$Y$6,'TP2'!$Q:$Q,Ohjaus!$Y$4,'TP2'!$AG:$AG,Ohjaus!$Y$5,'TP2'!$AL:$AL,$AF$4,'TP2'!AN:AN,"P")+Z29+AK29</f>
        <v>0</v>
      </c>
      <c r="H29" s="699"/>
      <c r="I29" s="700"/>
      <c r="J29" s="701">
        <f>SUMIFS('TP2'!$P:$P,'TP2'!$AI:$AI,$Y$2,'TP2'!$R:$R,$X$9,'TP2'!$U:$U,Ohjaus!$T29,'TP2'!$W:$W,Ohjaus!$X$8,'TP2'!$X:$X,$Y$1,'TP2'!$AD:$AD,$X$9,'TP2'!$AF:$AF,Ohjaus!$Y$6,'TP2'!$Q:$Q,Ohjaus!$Y$4,'TP2'!$AG:$AG,Ohjaus!$Y$5,'TP2'!$AL:$AL,$AF$4,'TP2'!$Z:$Z,1,'TP2'!AN:AN,"P")</f>
        <v>0</v>
      </c>
      <c r="K29" s="702">
        <f>SUMIFS('TP2'!$P:$P,'TP2'!$AI:$AI,$Y$2,'TP2'!$R:$R,$X$9,'TP2'!$U:$U,Ohjaus!$T29,'TP2'!$W:$W,Ohjaus!$X$8,'TP2'!$X:$X,$Y$1,'TP2'!$AD:$AD,$X$9,'TP2'!$AF:$AF,Ohjaus!$Y$6,'TP2'!$Q:$Q,Ohjaus!$Y$4,'TP2'!$AG:$AG,Ohjaus!$Y$5,'TP2'!$AL:$AL,$AF$4,'TP2'!$O:$O,$Z$3,'TP2'!AN:AN,"P")</f>
        <v>0</v>
      </c>
      <c r="L29" s="702">
        <f>SUMIFS('TP2'!$P:$P,'TP2'!$AI:$AI,$Y$2,'TP2'!$R:$R,$X$9,'TP2'!$U:$U,Ohjaus!$T29,'TP2'!$W:$W,Ohjaus!$X$8,'TP2'!$X:$X,$Y$1,'TP2'!$AD:$AD,$X$9,'TP2'!$AF:$AF,Ohjaus!$Y$6,'TP2'!$Q:$Q,Ohjaus!$Y$4,'TP2'!$AG:$AG,Ohjaus!$Y$5,'TP2'!$AL:$AL,$AF$4,'TP2'!$K:$K,$Z$6,'TP2'!AN:AN,"P")</f>
        <v>0</v>
      </c>
      <c r="M29" s="702">
        <f>SUMIFS('TP2'!$P:$P,'TP2'!$AI:$AI,$Y$2,'TP2'!$R:$R,$X$9,'TP2'!$U:$U,Ohjaus!$T29,'TP2'!$W:$W,Ohjaus!$X$8,'TP2'!$X:$X,$Y$1,'TP2'!$AD:$AD,$X$9,'TP2'!$AF:$AF,Ohjaus!$Y$6,'TP2'!$Q:$Q,Ohjaus!$Y$4,'TP2'!$AG:$AG,Ohjaus!$Y$5,'TP2'!$AL:$AL,$AF$4,'TP2'!$K:$K,$Z$7,'TP2'!AN:AN,"P")</f>
        <v>0</v>
      </c>
      <c r="N29" s="702">
        <f>SUMIFS('TP2'!$P:$P,'TP2'!$AI:$AI,$Y$2,'TP2'!$R:$R,$X$9,'TP2'!$U:$U,Ohjaus!$T29,'TP2'!$W:$W,Ohjaus!$X$8,'TP2'!$X:$X,$Y$1,'TP2'!$AD:$AD,$X$9,'TP2'!$AF:$AF,Ohjaus!$Y$6,'TP2'!$Q:$Q,Ohjaus!$Y$4,'TP2'!$AG:$AG,Ohjaus!$Y$5,'TP2'!$AL:$AL,$AF$4,'TP2'!$K:$K,$Z$8,'TP2'!AN:AN,"P")</f>
        <v>0</v>
      </c>
      <c r="O29" s="702">
        <f>SUMIFS('TP2'!$P:$P,'TP2'!$AI:$AI,$Y$2,'TP2'!$R:$R,$X$9,'TP2'!$U:$U,Ohjaus!$T29,'TP2'!$W:$W,Ohjaus!$X$8,'TP2'!$X:$X,$Y$1,'TP2'!$AD:$AD,$X$9,'TP2'!$AF:$AF,Ohjaus!$Y$6,'TP2'!$Q:$Q,Ohjaus!$Y$4,'TP2'!$AG:$AG,Ohjaus!$Y$5,'TP2'!$AL:$AL,$AF$4,'TP2'!$K:$K,$Z$5,'TP2'!AN:AN,"P")</f>
        <v>0</v>
      </c>
      <c r="T29" s="706" t="s">
        <v>1036</v>
      </c>
      <c r="U29" s="703" t="s">
        <v>1037</v>
      </c>
      <c r="V29" s="702">
        <f>SUMIFS('TP2'!$P:$P,'TP2'!$AI:$AI,$Y$2,'TP2'!$R:$R,$X$9,'TP2'!$U:$U,Ohjaus!$U29,'TP2'!$W:$W,Ohjaus!$X$8,'TP2'!$X:$X,$Y$1,'TP2'!$AD:$AD,$X$9,'TP2'!$AF:$AF,Ohjaus!$Y$6,'TP2'!$Q:$Q,Ohjaus!$Y$4,'TP2'!$AG:$AG,Ohjaus!$Y$5,'TP2'!AL:AL,$AF$4,'TP2'!AN:AN,"P")</f>
        <v>0</v>
      </c>
      <c r="W29" s="697">
        <f>SUMIFS('TP2'!$P:$P,'TP2'!$AI:$AI,$Y$2,'TP2'!$R:$R,$X$9,'TP2'!$U:$U,Ohjaus!$U29,'TP2'!$W:$W,Ohjaus!$X$8,'TP2'!$X:$X,$Y$1,'TP2'!$AD:$AD,$X$9,'TP2'!$AF:$AF,Ohjaus!$Y$6,'TP2'!$Q:$Q,Ohjaus!$Y$4,'TP2'!$AG:$AG,Ohjaus!$Y$5,'TP2'!$AL:$AL,$AF$4,'TP2'!$V:$V,Ohjaus!$X$7,'TP2'!AN:AN,"P")</f>
        <v>0</v>
      </c>
      <c r="X29" s="697">
        <f>SUMIFS('TP2'!$P:$P,'TP2'!$AI:$AI,$Y$2,'TP2'!$R:$R,$X$9,'TP2'!$U:$U,Ohjaus!$U29,'TP2'!$W:$W,Ohjaus!$X$8,'TP2'!$X:$X,$Y$1,'TP2'!$AD:$AD,$X$9,'TP2'!$AF:$AF,Ohjaus!$Y$6,'TP2'!$Q:$Q,Ohjaus!$Y$4,'TP2'!$AG:$AG,Ohjaus!$Y$5,'TP2'!$AL:$AL,$AF$4,'TP2'!$V:$V,Ohjaus!$Y$7,'TP2'!AN:AN,"P")</f>
        <v>0</v>
      </c>
      <c r="Y29" s="697">
        <f>SUMIFS('TP2'!$P:$P,'TP2'!$AI:$AI,$Y$2,'TP2'!$R:$R,$X$9,'TP2'!$U:$U,Ohjaus!$U29,'TP2'!$W:$W,"vanha",'TP2'!$X:$X,$Y$1,'TP2'!$AD:$AD,$X$9,'TP2'!$AF:$AF,Ohjaus!$Y$6,'TP2'!$Q:$Q,Ohjaus!$Y$4,'TP2'!$AG:$AG,Ohjaus!$Y$5,'TP2'!$AL:$AL,$AF$4,'TP2'!AN:AN,"P")</f>
        <v>0</v>
      </c>
      <c r="AA29" s="176" t="s">
        <v>157</v>
      </c>
      <c r="AB29" s="169" t="str">
        <f>IFERROR(INDEX(Data_Omakoodi!E:E,MATCH(AA29,Data_Omakoodi!A:A,0)),"")</f>
        <v/>
      </c>
      <c r="AC29" t="s">
        <v>158</v>
      </c>
      <c r="AD29" s="169" t="str">
        <f>IFERROR(INDEX(Data_Omakoodi!E:E,MATCH(AC29,Data_Omakoodi!A:A,0)),"")</f>
        <v/>
      </c>
      <c r="AE29" t="s">
        <v>158</v>
      </c>
      <c r="AG29" s="702">
        <f>SUMIFS('TP2'!$P:$P,'TP2'!$AI:$AI,$W$7,'TP2'!$R:$R,$X$9,'TP2'!$U:$U,Ohjaus!$AF29,'TP2'!$W:$W,Ohjaus!$X$8,'TP2'!$X:$X,Ohjaus!$X$6,'TP2'!$AD:$AD,$X$9,'TP2'!$AF:$AF,Ohjaus!$Y$6,'TP2'!$Q:$Q,Ohjaus!$Y$4,'TP2'!$AG:$AG,Ohjaus!$Y$5,'TP2'!AL:AL,$AF$4,'TP2'!AN:AN,"P")</f>
        <v>0</v>
      </c>
      <c r="AH29" s="697">
        <f>SUMIFS('TP2'!$P:$P,'TP2'!$AI:$AI,$Y$2,'TP2'!$R:$R,$X$9,'TP2'!$U:$U,Ohjaus!$AF29,'TP2'!$W:$W,Ohjaus!$X$8,'TP2'!$X:$X,$Y$1,'TP2'!$AD:$AD,$X$9,'TP2'!$AF:$AF,Ohjaus!$Y$6,'TP2'!$Q:$Q,Ohjaus!$Y$4,'TP2'!$AG:$AG,Ohjaus!$Y$5,'TP2'!$AL:$AL,$AF$4,'TP2'!$V:$V,Ohjaus!$X$7,'TP2'!AN:AN,"P")</f>
        <v>0</v>
      </c>
      <c r="AI29" s="697">
        <f>SUMIFS('TP2'!$P:$P,'TP2'!$AI:$AI,$Y$2,'TP2'!$R:$R,$X$9,'TP2'!$U:$U,Ohjaus!$AF29,'TP2'!$W:$W,Ohjaus!$X$8,'TP2'!$X:$X,$Y$1,'TP2'!$AD:$AD,$X$9,'TP2'!$AF:$AF,Ohjaus!$Y$6,'TP2'!$Q:$Q,Ohjaus!$Y$4,'TP2'!$AG:$AG,Ohjaus!$Y$5,'TP2'!$AL:$AL,$AF$4,'TP2'!$V:$V,Ohjaus!$Y$7,'TP2'!AN:AN,"P")</f>
        <v>0</v>
      </c>
      <c r="AJ29" s="697">
        <f>SUMIFS('TP2'!$P:$P,'TP2'!$AI:$AI,$Y$2,'TP2'!$R:$R,$X$9,'TP2'!$U:$U,Ohjaus!$AF29,'TP2'!$W:$W,"vanha",'TP2'!$X:$X,$Y$1,'TP2'!$AD:$AD,$X$9,'TP2'!$AF:$AF,Ohjaus!$Y$6,'TP2'!$Q:$Q,Ohjaus!$Y$4,'TP2'!$AG:$AG,Ohjaus!$Y$5,'TP2'!$AL:$AL,$AF$4,'TP2'!AN:AN,"P")</f>
        <v>0</v>
      </c>
      <c r="AO29" s="707"/>
      <c r="AP29" s="708" t="s">
        <v>1038</v>
      </c>
      <c r="AQ29" s="708" t="s">
        <v>1038</v>
      </c>
      <c r="AR29" t="s">
        <v>1036</v>
      </c>
    </row>
    <row r="30" spans="1:48" x14ac:dyDescent="0.25">
      <c r="A30" s="713" t="s">
        <v>1039</v>
      </c>
      <c r="B30" s="714"/>
      <c r="C30" s="618"/>
      <c r="D30" s="715"/>
      <c r="E30" s="618"/>
      <c r="F30" s="618"/>
      <c r="G30" s="618"/>
      <c r="H30" s="716"/>
      <c r="I30" s="717"/>
      <c r="J30" s="718"/>
      <c r="K30" s="6"/>
      <c r="L30" s="6"/>
      <c r="M30" s="6"/>
      <c r="N30" s="719"/>
      <c r="O30" s="24"/>
      <c r="V30" s="335"/>
      <c r="W30" s="335"/>
      <c r="X30" s="335"/>
      <c r="Y30" s="335"/>
      <c r="AA30" s="176" t="s">
        <v>164</v>
      </c>
      <c r="AB30" s="169" t="str">
        <f>IFERROR(INDEX(Data_Omakoodi!E:E,MATCH(AA30,Data_Omakoodi!A:A,0)),"")</f>
        <v/>
      </c>
      <c r="AC30" t="s">
        <v>165</v>
      </c>
      <c r="AD30" s="169" t="str">
        <f>IFERROR(INDEX(Data_Omakoodi!E:E,MATCH(AC30,Data_Omakoodi!A:A,0)),"")</f>
        <v/>
      </c>
      <c r="AE30" t="s">
        <v>165</v>
      </c>
    </row>
    <row r="31" spans="1:48" x14ac:dyDescent="0.25">
      <c r="A31" s="687"/>
      <c r="B31" s="688" t="str">
        <f>A30</f>
        <v>Ohjattu muihin palveluihin / toimenpiteisiin</v>
      </c>
      <c r="C31" s="692">
        <f>C32+C43+C49+C59+C69</f>
        <v>0</v>
      </c>
      <c r="D31" s="692"/>
      <c r="E31" s="692"/>
      <c r="F31" s="692"/>
      <c r="G31" s="692"/>
      <c r="H31" s="690"/>
      <c r="I31" s="691"/>
      <c r="J31" s="690">
        <f t="shared" ref="J31:O31" si="3">J32+J43+J49+J59+J69</f>
        <v>0</v>
      </c>
      <c r="K31" s="692">
        <f t="shared" si="3"/>
        <v>0</v>
      </c>
      <c r="L31" s="692">
        <f t="shared" si="3"/>
        <v>0</v>
      </c>
      <c r="M31" s="692">
        <f t="shared" si="3"/>
        <v>0</v>
      </c>
      <c r="N31" s="692">
        <f t="shared" si="3"/>
        <v>0</v>
      </c>
      <c r="O31" s="691">
        <f t="shared" si="3"/>
        <v>0</v>
      </c>
      <c r="V31" s="335"/>
      <c r="W31" s="335"/>
      <c r="X31" s="335"/>
      <c r="Y31" s="335"/>
      <c r="AA31" s="176" t="s">
        <v>169</v>
      </c>
      <c r="AB31" s="169" t="str">
        <f>IFERROR(INDEX(Data_Omakoodi!E:E,MATCH(AA31,Data_Omakoodi!A:A,0)),"")</f>
        <v/>
      </c>
      <c r="AC31" t="s">
        <v>170</v>
      </c>
      <c r="AD31" s="169" t="str">
        <f>IFERROR(INDEX(Data_Omakoodi!E:E,MATCH(AC31,Data_Omakoodi!A:A,0)),"")</f>
        <v/>
      </c>
      <c r="AE31" t="s">
        <v>170</v>
      </c>
    </row>
    <row r="32" spans="1:48" ht="15" customHeight="1" x14ac:dyDescent="0.25">
      <c r="A32" s="687"/>
      <c r="B32" s="688" t="str">
        <f>A33</f>
        <v>Sosiaalityö ja terveydenhuolto</v>
      </c>
      <c r="C32" s="692">
        <f>SUM(C33:C42)</f>
        <v>0</v>
      </c>
      <c r="D32" s="692"/>
      <c r="E32" s="692"/>
      <c r="F32" s="692"/>
      <c r="G32" s="692"/>
      <c r="H32" s="690"/>
      <c r="I32" s="691"/>
      <c r="J32" s="690">
        <f t="shared" ref="J32:O32" si="4">SUM(J33:J42)</f>
        <v>0</v>
      </c>
      <c r="K32" s="692">
        <f t="shared" si="4"/>
        <v>0</v>
      </c>
      <c r="L32" s="692">
        <f t="shared" si="4"/>
        <v>0</v>
      </c>
      <c r="M32" s="692">
        <f t="shared" si="4"/>
        <v>0</v>
      </c>
      <c r="N32" s="692">
        <f t="shared" si="4"/>
        <v>0</v>
      </c>
      <c r="O32" s="691">
        <f t="shared" si="4"/>
        <v>0</v>
      </c>
      <c r="T32" s="720"/>
      <c r="V32" s="335"/>
      <c r="W32" s="335"/>
      <c r="X32" s="335"/>
      <c r="Y32" s="335"/>
      <c r="AA32" s="176" t="s">
        <v>174</v>
      </c>
      <c r="AB32" s="169" t="str">
        <f>IFERROR(INDEX(Data_Omakoodi!E:E,MATCH(AA32,Data_Omakoodi!A:A,0)),"")</f>
        <v/>
      </c>
      <c r="AC32" t="s">
        <v>175</v>
      </c>
      <c r="AD32" s="169" t="str">
        <f>IFERROR(INDEX(Data_Omakoodi!E:E,MATCH(AC32,Data_Omakoodi!A:A,0)),"")</f>
        <v/>
      </c>
      <c r="AE32" t="s">
        <v>175</v>
      </c>
      <c r="AG32" s="676" t="s">
        <v>4</v>
      </c>
      <c r="AH32" s="676" t="s">
        <v>961</v>
      </c>
      <c r="AI32" s="677" t="s">
        <v>962</v>
      </c>
      <c r="AJ32" s="678" t="s">
        <v>980</v>
      </c>
      <c r="AO32" s="721" t="s">
        <v>986</v>
      </c>
      <c r="AP32" s="722" t="s">
        <v>1040</v>
      </c>
      <c r="AQ32" s="722" t="s">
        <v>1041</v>
      </c>
    </row>
    <row r="33" spans="1:49" ht="15" customHeight="1" x14ac:dyDescent="0.25">
      <c r="A33" s="1077" t="s">
        <v>1040</v>
      </c>
      <c r="B33" s="696" t="s">
        <v>1042</v>
      </c>
      <c r="C33" s="697">
        <f>SUMIFS('TP2'!$P:$P,'TP2'!$AI:$AI,$Y$2,'TP2'!$R:$R,$X$9,'TP2'!$U:$U,Ohjaus!$T33,'TP2'!$W:$W,Ohjaus!$X$8,'TP2'!$X:$X,$Y$1,'TP2'!$AD:$AD,$X$9,'TP2'!$AF:$AF,Ohjaus!$Y$6,'TP2'!$Q:$Q,Ohjaus!$Y$4,'TP2'!$AG:$AG,Ohjaus!$Y$5,'TP2'!AL:AL,$AF$4,'TP2'!AN:AN,"P")+V33+AG33</f>
        <v>0</v>
      </c>
      <c r="D33" s="698">
        <f>IFERROR(C33/$C$13,0)</f>
        <v>0</v>
      </c>
      <c r="E33" s="697">
        <f>SUMIFS('TP2'!$P:$P,'TP2'!$AI:$AI,$Y$2,'TP2'!$R:$R,$X$9,'TP2'!$U:$U,Ohjaus!$T33,'TP2'!$W:$W,Ohjaus!$X$8,'TP2'!$X:$X,$Y$1,'TP2'!$AD:$AD,$X$9,'TP2'!$AF:$AF,Ohjaus!$Y$6,'TP2'!$Q:$Q,Ohjaus!$Y$4,'TP2'!$AG:$AG,Ohjaus!$Y$5,'TP2'!$AL:$AL,$AF$4,'TP2'!$V:$V,Ohjaus!$X$7,'TP2'!AN:AN,"P")+W33+AH33</f>
        <v>0</v>
      </c>
      <c r="F33" s="697">
        <f>SUMIFS('TP2'!$P:$P,'TP2'!$AI:$AI,$Y$2,'TP2'!$R:$R,$X$9,'TP2'!$U:$U,Ohjaus!$T33,'TP2'!$W:$W,Ohjaus!$X$8,'TP2'!$X:$X,$Y$1,'TP2'!$AD:$AD,$X$9,'TP2'!$AF:$AF,Ohjaus!$Y$6,'TP2'!$Q:$Q,Ohjaus!$Y$4,'TP2'!$AG:$AG,Ohjaus!$Y$5,'TP2'!$AL:$AL,$AF$4,'TP2'!$V:$V,Ohjaus!$Y$7,'TP2'!AN:AN,"P")+X33+AI33</f>
        <v>0</v>
      </c>
      <c r="G33" s="697">
        <f>SUMIFS('TP2'!$P:$P,'TP2'!$AI:$AI,$Y$2,'TP2'!$R:$R,$X$9,'TP2'!$U:$U,Ohjaus!$T33,'TP2'!$W:$W,"vanha",'TP2'!$X:$X,$Y$1,'TP2'!$AD:$AD,$X$9,'TP2'!$AF:$AF,Ohjaus!$Y$6,'TP2'!$Q:$Q,Ohjaus!$Y$4,'TP2'!$AG:$AG,Ohjaus!$Y$5,'TP2'!$AL:$AL,$AF$4,'TP2'!AN:AN,"P")+Z33+AK33</f>
        <v>0</v>
      </c>
      <c r="H33" s="723"/>
      <c r="I33" s="724"/>
      <c r="J33" s="701">
        <f>SUMIFS('TP2'!$P:$P,'TP2'!$AI:$AI,$Y$2,'TP2'!$R:$R,$X$9,'TP2'!$U:$U,Ohjaus!$T33,'TP2'!$W:$W,Ohjaus!$X$8,'TP2'!$X:$X,$Y$1,'TP2'!$AD:$AD,$X$9,'TP2'!$AF:$AF,Ohjaus!$Y$6,'TP2'!$Q:$Q,Ohjaus!$Y$4,'TP2'!$AG:$AG,Ohjaus!$Y$5,'TP2'!$AL:$AL,$AF$4,'TP2'!$Z:$Z,1,'TP2'!AN:AN,"P")</f>
        <v>0</v>
      </c>
      <c r="K33" s="702">
        <f>SUMIFS('TP2'!$P:$P,'TP2'!$AI:$AI,$Y$2,'TP2'!$R:$R,$X$9,'TP2'!$U:$U,Ohjaus!$T33,'TP2'!$W:$W,Ohjaus!$X$8,'TP2'!$X:$X,$Y$1,'TP2'!$AD:$AD,$X$9,'TP2'!$AF:$AF,Ohjaus!$Y$6,'TP2'!$Q:$Q,Ohjaus!$Y$4,'TP2'!$AG:$AG,Ohjaus!$Y$5,'TP2'!$AL:$AL,$AF$4,'TP2'!$O:$O,$Z$3,'TP2'!AN:AN,"P")</f>
        <v>0</v>
      </c>
      <c r="L33" s="702">
        <f>SUMIFS('TP2'!$P:$P,'TP2'!$AI:$AI,$Y$2,'TP2'!$R:$R,$X$9,'TP2'!$U:$U,Ohjaus!$T33,'TP2'!$W:$W,Ohjaus!$X$8,'TP2'!$X:$X,$Y$1,'TP2'!$AD:$AD,$X$9,'TP2'!$AF:$AF,Ohjaus!$Y$6,'TP2'!$Q:$Q,Ohjaus!$Y$4,'TP2'!$AG:$AG,Ohjaus!$Y$5,'TP2'!$AL:$AL,$AF$4,'TP2'!$K:$K,$Z$6,'TP2'!AN:AN,"P")</f>
        <v>0</v>
      </c>
      <c r="M33" s="702">
        <f>SUMIFS('TP2'!$P:$P,'TP2'!$AI:$AI,$Y$2,'TP2'!$R:$R,$X$9,'TP2'!$U:$U,Ohjaus!$T33,'TP2'!$W:$W,Ohjaus!$X$8,'TP2'!$X:$X,$Y$1,'TP2'!$AD:$AD,$X$9,'TP2'!$AF:$AF,Ohjaus!$Y$6,'TP2'!$Q:$Q,Ohjaus!$Y$4,'TP2'!$AG:$AG,Ohjaus!$Y$5,'TP2'!$AL:$AL,$AF$4,'TP2'!$K:$K,$Z$7,'TP2'!AN:AN,"P")</f>
        <v>0</v>
      </c>
      <c r="N33" s="702">
        <f>SUMIFS('TP2'!$P:$P,'TP2'!$AI:$AI,$Y$2,'TP2'!$R:$R,$X$9,'TP2'!$U:$U,Ohjaus!$T33,'TP2'!$W:$W,Ohjaus!$X$8,'TP2'!$X:$X,$Y$1,'TP2'!$AD:$AD,$X$9,'TP2'!$AF:$AF,Ohjaus!$Y$6,'TP2'!$Q:$Q,Ohjaus!$Y$4,'TP2'!$AG:$AG,Ohjaus!$Y$5,'TP2'!$AL:$AL,$AF$4,'TP2'!$K:$K,$Z$8,'TP2'!AN:AN,"P")</f>
        <v>0</v>
      </c>
      <c r="O33" s="702">
        <f>SUMIFS('TP2'!$P:$P,'TP2'!$AI:$AI,$Y$2,'TP2'!$R:$R,$X$9,'TP2'!$U:$U,Ohjaus!$T33,'TP2'!$W:$W,Ohjaus!$X$8,'TP2'!$X:$X,$Y$1,'TP2'!$AD:$AD,$X$9,'TP2'!$AF:$AF,Ohjaus!$Y$6,'TP2'!$Q:$Q,Ohjaus!$Y$4,'TP2'!$AG:$AG,Ohjaus!$Y$5,'TP2'!$AL:$AL,$AF$4,'TP2'!$K:$K,$Z$5,'TP2'!AN:AN,"P")</f>
        <v>0</v>
      </c>
      <c r="T33" t="s">
        <v>1043</v>
      </c>
      <c r="U33" s="709" t="s">
        <v>1044</v>
      </c>
      <c r="V33" s="702">
        <f>SUMIFS('TP2'!$P:$P,'TP2'!$AI:$AI,$Y$2,'TP2'!$R:$R,$X$9,'TP2'!$U:$U,Ohjaus!$U33,'TP2'!$W:$W,Ohjaus!$X$8,'TP2'!$X:$X,$Y$1,'TP2'!$AD:$AD,$X$9,'TP2'!$AF:$AF,Ohjaus!$Y$6,'TP2'!$Q:$Q,Ohjaus!$Y$4,'TP2'!$AG:$AG,Ohjaus!$Y$5,'TP2'!AL:AL,$AF$4,'TP2'!AN:AN,"P")</f>
        <v>0</v>
      </c>
      <c r="W33" s="697">
        <f>SUMIFS('TP2'!$P:$P,'TP2'!$AI:$AI,$Y$2,'TP2'!$R:$R,$X$9,'TP2'!$U:$U,Ohjaus!$U33,'TP2'!$W:$W,Ohjaus!$X$8,'TP2'!$X:$X,$Y$1,'TP2'!$AD:$AD,$X$9,'TP2'!$AF:$AF,Ohjaus!$Y$6,'TP2'!$Q:$Q,Ohjaus!$Y$4,'TP2'!$AG:$AG,Ohjaus!$Y$5,'TP2'!$AL:$AL,$AF$4,'TP2'!$V:$V,Ohjaus!$X$7,'TP2'!AN:AN,"P")</f>
        <v>0</v>
      </c>
      <c r="X33" s="697">
        <f>SUMIFS('TP2'!$P:$P,'TP2'!$AI:$AI,$Y$2,'TP2'!$R:$R,$X$9,'TP2'!$U:$U,Ohjaus!$U33,'TP2'!$W:$W,Ohjaus!$X$8,'TP2'!$X:$X,$Y$1,'TP2'!$AD:$AD,$X$9,'TP2'!$AF:$AF,Ohjaus!$Y$6,'TP2'!$Q:$Q,Ohjaus!$Y$4,'TP2'!$AG:$AG,Ohjaus!$Y$5,'TP2'!$AL:$AL,$AF$4,'TP2'!$V:$V,Ohjaus!$Y$7,'TP2'!AN:AN,"P")</f>
        <v>0</v>
      </c>
      <c r="Y33" s="697">
        <f>SUMIFS('TP2'!$P:$P,'TP2'!$AI:$AI,$Y$2,'TP2'!$R:$R,$X$9,'TP2'!$U:$U,Ohjaus!$U33,'TP2'!$W:$W,"vanha",'TP2'!$X:$X,$Y$1,'TP2'!$AD:$AD,$X$9,'TP2'!$AF:$AF,Ohjaus!$Y$6,'TP2'!$Q:$Q,Ohjaus!$Y$4,'TP2'!$AG:$AG,Ohjaus!$Y$5,'TP2'!$AL:$AL,$AF$4,'TP2'!AN:AN,"P")</f>
        <v>0</v>
      </c>
      <c r="AA33" s="176" t="s">
        <v>179</v>
      </c>
      <c r="AB33" s="169" t="str">
        <f>IFERROR(INDEX(Data_Omakoodi!E:E,MATCH(AA33,Data_Omakoodi!A:A,0)),"")</f>
        <v/>
      </c>
      <c r="AC33" t="s">
        <v>180</v>
      </c>
      <c r="AD33" s="169" t="str">
        <f>IFERROR(INDEX(Data_Omakoodi!E:E,MATCH(AC33,Data_Omakoodi!A:A,0)),"")</f>
        <v/>
      </c>
      <c r="AE33" t="s">
        <v>180</v>
      </c>
      <c r="AF33" s="703" t="s">
        <v>1045</v>
      </c>
      <c r="AG33" s="702">
        <f>SUMIFS('TP2'!$P:$P,'TP2'!$AI:$AI,$W$7,'TP2'!$R:$R,$X$9,'TP2'!$U:$U,Ohjaus!$AF33,'TP2'!$W:$W,Ohjaus!$X$8,'TP2'!$X:$X,Ohjaus!$X$6,'TP2'!$AD:$AD,$X$9,'TP2'!$AF:$AF,Ohjaus!$Y$6,'TP2'!$Q:$Q,Ohjaus!$Y$4,'TP2'!$AG:$AG,Ohjaus!$Y$5,'TP2'!AL:AL,$AF$4,'TP2'!AN:AN,"P")</f>
        <v>0</v>
      </c>
      <c r="AH33" s="697">
        <f>SUMIFS('TP2'!$P:$P,'TP2'!$AI:$AI,$Y$2,'TP2'!$R:$R,$X$9,'TP2'!$U:$U,Ohjaus!$AF33,'TP2'!$W:$W,Ohjaus!$X$8,'TP2'!$X:$X,$Y$1,'TP2'!$AD:$AD,$X$9,'TP2'!$AF:$AF,Ohjaus!$Y$6,'TP2'!$Q:$Q,Ohjaus!$Y$4,'TP2'!$AG:$AG,Ohjaus!$Y$5,'TP2'!$AL:$AL,$AF$4,'TP2'!$V:$V,Ohjaus!$X$7,'TP2'!AN:AN,"P")</f>
        <v>0</v>
      </c>
      <c r="AI33" s="697">
        <f>SUMIFS('TP2'!$P:$P,'TP2'!$AI:$AI,$Y$2,'TP2'!$R:$R,$X$9,'TP2'!$U:$U,Ohjaus!$AF33,'TP2'!$W:$W,Ohjaus!$X$8,'TP2'!$X:$X,$Y$1,'TP2'!$AD:$AD,$X$9,'TP2'!$AF:$AF,Ohjaus!$Y$6,'TP2'!$Q:$Q,Ohjaus!$Y$4,'TP2'!$AG:$AG,Ohjaus!$Y$5,'TP2'!$AL:$AL,$AF$4,'TP2'!$V:$V,Ohjaus!$Y$7,'TP2'!AN:AN,"P")</f>
        <v>0</v>
      </c>
      <c r="AJ33" s="697">
        <f>SUMIFS('TP2'!$P:$P,'TP2'!$AI:$AI,$Y$2,'TP2'!$R:$R,$X$9,'TP2'!$U:$U,Ohjaus!$AF33,'TP2'!$W:$W,"vanha",'TP2'!$X:$X,$Y$1,'TP2'!$AD:$AD,$X$9,'TP2'!$AF:$AF,Ohjaus!$Y$6,'TP2'!$Q:$Q,Ohjaus!$Y$4,'TP2'!$AG:$AG,Ohjaus!$Y$5,'TP2'!$AL:$AL,$AF$4,'TP2'!AN:AN,"P")</f>
        <v>0</v>
      </c>
      <c r="AO33" s="704" t="s">
        <v>986</v>
      </c>
      <c r="AP33" s="705" t="s">
        <v>1046</v>
      </c>
      <c r="AQ33" s="705" t="s">
        <v>790</v>
      </c>
      <c r="AR33" t="s">
        <v>1043</v>
      </c>
    </row>
    <row r="34" spans="1:49" ht="15" customHeight="1" x14ac:dyDescent="0.25">
      <c r="A34" s="1078"/>
      <c r="B34" s="696" t="s">
        <v>1047</v>
      </c>
      <c r="C34" s="697">
        <f>SUMIFS('TP2'!$P:$P,'TP2'!$AI:$AI,$Y$2,'TP2'!$R:$R,$X$9,'TP2'!$U:$U,Ohjaus!$T34,'TP2'!$W:$W,Ohjaus!$X$8,'TP2'!$X:$X,$Y$1,'TP2'!$AD:$AD,$X$9,'TP2'!$AF:$AF,Ohjaus!$Y$6,'TP2'!$Q:$Q,Ohjaus!$Y$4,'TP2'!$AG:$AG,Ohjaus!$Y$5,'TP2'!AL:AL,$AF$4,'TP2'!AN:AN,"P")+V34+AG34</f>
        <v>0</v>
      </c>
      <c r="D34" s="698">
        <f t="shared" ref="D34:D75" si="5">IFERROR(C34/$C$13,0)</f>
        <v>0</v>
      </c>
      <c r="E34" s="697">
        <f>SUMIFS('TP2'!$P:$P,'TP2'!$AI:$AI,$Y$2,'TP2'!$R:$R,$X$9,'TP2'!$U:$U,Ohjaus!$T34,'TP2'!$W:$W,Ohjaus!$X$8,'TP2'!$X:$X,$Y$1,'TP2'!$AD:$AD,$X$9,'TP2'!$AF:$AF,Ohjaus!$Y$6,'TP2'!$Q:$Q,Ohjaus!$Y$4,'TP2'!$AG:$AG,Ohjaus!$Y$5,'TP2'!$AL:$AL,$AF$4,'TP2'!$V:$V,Ohjaus!$X$7,'TP2'!AN:AN,"P")+W34+AH34</f>
        <v>0</v>
      </c>
      <c r="F34" s="697">
        <f>SUMIFS('TP2'!$P:$P,'TP2'!$AI:$AI,$Y$2,'TP2'!$R:$R,$X$9,'TP2'!$U:$U,Ohjaus!$T34,'TP2'!$W:$W,Ohjaus!$X$8,'TP2'!$X:$X,$Y$1,'TP2'!$AD:$AD,$X$9,'TP2'!$AF:$AF,Ohjaus!$Y$6,'TP2'!$Q:$Q,Ohjaus!$Y$4,'TP2'!$AG:$AG,Ohjaus!$Y$5,'TP2'!$AL:$AL,$AF$4,'TP2'!$V:$V,Ohjaus!$Y$7,'TP2'!AN:AN,"P")+X34+AI34</f>
        <v>0</v>
      </c>
      <c r="G34" s="697">
        <f>SUMIFS('TP2'!$P:$P,'TP2'!$AI:$AI,$Y$2,'TP2'!$R:$R,$X$9,'TP2'!$U:$U,Ohjaus!$T34,'TP2'!$W:$W,"vanha",'TP2'!$X:$X,$Y$1,'TP2'!$AD:$AD,$X$9,'TP2'!$AF:$AF,Ohjaus!$Y$6,'TP2'!$Q:$Q,Ohjaus!$Y$4,'TP2'!$AG:$AG,Ohjaus!$Y$5,'TP2'!$AL:$AL,$AF$4,'TP2'!AN:AN,"P")+Z34+AK34</f>
        <v>0</v>
      </c>
      <c r="H34" s="723"/>
      <c r="I34" s="724"/>
      <c r="J34" s="701">
        <f>SUMIFS('TP2'!$P:$P,'TP2'!$AI:$AI,$Y$2,'TP2'!$R:$R,$X$9,'TP2'!$U:$U,Ohjaus!$T34,'TP2'!$W:$W,Ohjaus!$X$8,'TP2'!$X:$X,$Y$1,'TP2'!$AD:$AD,$X$9,'TP2'!$AF:$AF,Ohjaus!$Y$6,'TP2'!$Q:$Q,Ohjaus!$Y$4,'TP2'!$AG:$AG,Ohjaus!$Y$5,'TP2'!$AL:$AL,$AF$4,'TP2'!$Z:$Z,1,'TP2'!AN:AN,"P")</f>
        <v>0</v>
      </c>
      <c r="K34" s="702">
        <f>SUMIFS('TP2'!$P:$P,'TP2'!$AI:$AI,$Y$2,'TP2'!$R:$R,$X$9,'TP2'!$U:$U,Ohjaus!$T34,'TP2'!$W:$W,Ohjaus!$X$8,'TP2'!$X:$X,$Y$1,'TP2'!$AD:$AD,$X$9,'TP2'!$AF:$AF,Ohjaus!$Y$6,'TP2'!$Q:$Q,Ohjaus!$Y$4,'TP2'!$AG:$AG,Ohjaus!$Y$5,'TP2'!$AL:$AL,$AF$4,'TP2'!$O:$O,$Z$3,'TP2'!AN:AN,"P")</f>
        <v>0</v>
      </c>
      <c r="L34" s="702">
        <f>SUMIFS('TP2'!$P:$P,'TP2'!$AI:$AI,$Y$2,'TP2'!$R:$R,$X$9,'TP2'!$U:$U,Ohjaus!$T34,'TP2'!$W:$W,Ohjaus!$X$8,'TP2'!$X:$X,$Y$1,'TP2'!$AD:$AD,$X$9,'TP2'!$AF:$AF,Ohjaus!$Y$6,'TP2'!$Q:$Q,Ohjaus!$Y$4,'TP2'!$AG:$AG,Ohjaus!$Y$5,'TP2'!$AL:$AL,$AF$4,'TP2'!$K:$K,$Z$6,'TP2'!AN:AN,"P")</f>
        <v>0</v>
      </c>
      <c r="M34" s="702">
        <f>SUMIFS('TP2'!$P:$P,'TP2'!$AI:$AI,$Y$2,'TP2'!$R:$R,$X$9,'TP2'!$U:$U,Ohjaus!$T34,'TP2'!$W:$W,Ohjaus!$X$8,'TP2'!$X:$X,$Y$1,'TP2'!$AD:$AD,$X$9,'TP2'!$AF:$AF,Ohjaus!$Y$6,'TP2'!$Q:$Q,Ohjaus!$Y$4,'TP2'!$AG:$AG,Ohjaus!$Y$5,'TP2'!$AL:$AL,$AF$4,'TP2'!$K:$K,$Z$7,'TP2'!AN:AN,"P")</f>
        <v>0</v>
      </c>
      <c r="N34" s="702">
        <f>SUMIFS('TP2'!$P:$P,'TP2'!$AI:$AI,$Y$2,'TP2'!$R:$R,$X$9,'TP2'!$U:$U,Ohjaus!$T34,'TP2'!$W:$W,Ohjaus!$X$8,'TP2'!$X:$X,$Y$1,'TP2'!$AD:$AD,$X$9,'TP2'!$AF:$AF,Ohjaus!$Y$6,'TP2'!$Q:$Q,Ohjaus!$Y$4,'TP2'!$AG:$AG,Ohjaus!$Y$5,'TP2'!$AL:$AL,$AF$4,'TP2'!$K:$K,$Z$8,'TP2'!AN:AN,"P")</f>
        <v>0</v>
      </c>
      <c r="O34" s="702">
        <f>SUMIFS('TP2'!$P:$P,'TP2'!$AI:$AI,$Y$2,'TP2'!$R:$R,$X$9,'TP2'!$U:$U,Ohjaus!$T34,'TP2'!$W:$W,Ohjaus!$X$8,'TP2'!$X:$X,$Y$1,'TP2'!$AD:$AD,$X$9,'TP2'!$AF:$AF,Ohjaus!$Y$6,'TP2'!$Q:$Q,Ohjaus!$Y$4,'TP2'!$AG:$AG,Ohjaus!$Y$5,'TP2'!$AL:$AL,$AF$4,'TP2'!$K:$K,$Z$5,'TP2'!AN:AN,"P")</f>
        <v>0</v>
      </c>
      <c r="T34" t="s">
        <v>1048</v>
      </c>
      <c r="U34" s="709" t="s">
        <v>1049</v>
      </c>
      <c r="V34" s="702">
        <f>SUMIFS('TP2'!$P:$P,'TP2'!$AI:$AI,$Y$2,'TP2'!$R:$R,$X$9,'TP2'!$U:$U,Ohjaus!$U34,'TP2'!$W:$W,Ohjaus!$X$8,'TP2'!$X:$X,$Y$1,'TP2'!$AD:$AD,$X$9,'TP2'!$AF:$AF,Ohjaus!$Y$6,'TP2'!$Q:$Q,Ohjaus!$Y$4,'TP2'!$AG:$AG,Ohjaus!$Y$5,'TP2'!AL:AL,$AF$4,'TP2'!AN:AN,"P")</f>
        <v>0</v>
      </c>
      <c r="W34" s="697">
        <f>SUMIFS('TP2'!$P:$P,'TP2'!$AI:$AI,$Y$2,'TP2'!$R:$R,$X$9,'TP2'!$U:$U,Ohjaus!$U34,'TP2'!$W:$W,Ohjaus!$X$8,'TP2'!$X:$X,$Y$1,'TP2'!$AD:$AD,$X$9,'TP2'!$AF:$AF,Ohjaus!$Y$6,'TP2'!$Q:$Q,Ohjaus!$Y$4,'TP2'!$AG:$AG,Ohjaus!$Y$5,'TP2'!$AL:$AL,$AF$4,'TP2'!$V:$V,Ohjaus!$X$7,'TP2'!AN:AN,"P")</f>
        <v>0</v>
      </c>
      <c r="X34" s="697">
        <f>SUMIFS('TP2'!$P:$P,'TP2'!$AI:$AI,$Y$2,'TP2'!$R:$R,$X$9,'TP2'!$U:$U,Ohjaus!$U34,'TP2'!$W:$W,Ohjaus!$X$8,'TP2'!$X:$X,$Y$1,'TP2'!$AD:$AD,$X$9,'TP2'!$AF:$AF,Ohjaus!$Y$6,'TP2'!$Q:$Q,Ohjaus!$Y$4,'TP2'!$AG:$AG,Ohjaus!$Y$5,'TP2'!$AL:$AL,$AF$4,'TP2'!$V:$V,Ohjaus!$Y$7,'TP2'!AN:AN,"P")</f>
        <v>0</v>
      </c>
      <c r="Y34" s="697">
        <f>SUMIFS('TP2'!$P:$P,'TP2'!$AI:$AI,$Y$2,'TP2'!$R:$R,$X$9,'TP2'!$U:$U,Ohjaus!$U34,'TP2'!$W:$W,"vanha",'TP2'!$X:$X,$Y$1,'TP2'!$AD:$AD,$X$9,'TP2'!$AF:$AF,Ohjaus!$Y$6,'TP2'!$Q:$Q,Ohjaus!$Y$4,'TP2'!$AG:$AG,Ohjaus!$Y$5,'TP2'!$AL:$AL,$AF$4,'TP2'!AN:AN,"P")</f>
        <v>0</v>
      </c>
      <c r="AA34" s="176" t="s">
        <v>183</v>
      </c>
      <c r="AB34" s="169" t="str">
        <f>IFERROR(INDEX(Data_Omakoodi!E:E,MATCH(AA34,Data_Omakoodi!A:A,0)),"")</f>
        <v/>
      </c>
      <c r="AC34" t="s">
        <v>184</v>
      </c>
      <c r="AD34" s="169" t="str">
        <f>IFERROR(INDEX(Data_Omakoodi!E:E,MATCH(AC34,Data_Omakoodi!A:A,0)),"")</f>
        <v/>
      </c>
      <c r="AE34" t="s">
        <v>184</v>
      </c>
      <c r="AF34" s="703" t="s">
        <v>1050</v>
      </c>
      <c r="AG34" s="702">
        <f>SUMIFS('TP2'!$P:$P,'TP2'!$AI:$AI,$W$7,'TP2'!$R:$R,$X$9,'TP2'!$U:$U,Ohjaus!$AF34,'TP2'!$W:$W,Ohjaus!$X$8,'TP2'!$X:$X,Ohjaus!$X$6,'TP2'!$AD:$AD,$X$9,'TP2'!$AF:$AF,Ohjaus!$Y$6,'TP2'!$Q:$Q,Ohjaus!$Y$4,'TP2'!$AG:$AG,Ohjaus!$Y$5,'TP2'!AL:AL,$AF$4,'TP2'!AN:AN,"P")</f>
        <v>0</v>
      </c>
      <c r="AH34" s="697">
        <f>SUMIFS('TP2'!$P:$P,'TP2'!$AI:$AI,$Y$2,'TP2'!$R:$R,$X$9,'TP2'!$U:$U,Ohjaus!$AF34,'TP2'!$W:$W,Ohjaus!$X$8,'TP2'!$X:$X,$Y$1,'TP2'!$AD:$AD,$X$9,'TP2'!$AF:$AF,Ohjaus!$Y$6,'TP2'!$Q:$Q,Ohjaus!$Y$4,'TP2'!$AG:$AG,Ohjaus!$Y$5,'TP2'!$AL:$AL,$AF$4,'TP2'!$V:$V,Ohjaus!$X$7,'TP2'!AN:AN,"P")</f>
        <v>0</v>
      </c>
      <c r="AI34" s="697">
        <f>SUMIFS('TP2'!$P:$P,'TP2'!$AI:$AI,$Y$2,'TP2'!$R:$R,$X$9,'TP2'!$U:$U,Ohjaus!$AF34,'TP2'!$W:$W,Ohjaus!$X$8,'TP2'!$X:$X,$Y$1,'TP2'!$AD:$AD,$X$9,'TP2'!$AF:$AF,Ohjaus!$Y$6,'TP2'!$Q:$Q,Ohjaus!$Y$4,'TP2'!$AG:$AG,Ohjaus!$Y$5,'TP2'!$AL:$AL,$AF$4,'TP2'!$V:$V,Ohjaus!$Y$7,'TP2'!AN:AN,"P")</f>
        <v>0</v>
      </c>
      <c r="AJ34" s="697">
        <f>SUMIFS('TP2'!$P:$P,'TP2'!$AI:$AI,$Y$2,'TP2'!$R:$R,$X$9,'TP2'!$U:$U,Ohjaus!$AF34,'TP2'!$W:$W,"vanha",'TP2'!$X:$X,$Y$1,'TP2'!$AD:$AD,$X$9,'TP2'!$AF:$AF,Ohjaus!$Y$6,'TP2'!$Q:$Q,Ohjaus!$Y$4,'TP2'!$AG:$AG,Ohjaus!$Y$5,'TP2'!$AL:$AL,$AF$4,'TP2'!AN:AN,"P")</f>
        <v>0</v>
      </c>
      <c r="AO34" s="704" t="s">
        <v>986</v>
      </c>
      <c r="AP34" s="705" t="s">
        <v>1051</v>
      </c>
      <c r="AQ34" s="705" t="s">
        <v>1052</v>
      </c>
      <c r="AR34" t="s">
        <v>1048</v>
      </c>
    </row>
    <row r="35" spans="1:49" x14ac:dyDescent="0.25">
      <c r="A35" s="1078"/>
      <c r="B35" s="696" t="s">
        <v>1053</v>
      </c>
      <c r="C35" s="697">
        <f>SUMIFS('TP2'!$P:$P,'TP2'!$AI:$AI,$Y$2,'TP2'!$R:$R,$X$9,'TP2'!$U:$U,Ohjaus!$T35,'TP2'!$W:$W,Ohjaus!$X$8,'TP2'!$X:$X,$Y$1,'TP2'!$AD:$AD,$X$9,'TP2'!$AF:$AF,Ohjaus!$Y$6,'TP2'!$Q:$Q,Ohjaus!$Y$4,'TP2'!$AG:$AG,Ohjaus!$Y$5,'TP2'!AL:AL,$AF$4,'TP2'!AN:AN,"P")+V35+AG35</f>
        <v>0</v>
      </c>
      <c r="D35" s="698">
        <f t="shared" si="5"/>
        <v>0</v>
      </c>
      <c r="E35" s="697">
        <f>SUMIFS('TP2'!$P:$P,'TP2'!$AI:$AI,$Y$2,'TP2'!$R:$R,$X$9,'TP2'!$U:$U,Ohjaus!$T35,'TP2'!$W:$W,Ohjaus!$X$8,'TP2'!$X:$X,$Y$1,'TP2'!$AD:$AD,$X$9,'TP2'!$AF:$AF,Ohjaus!$Y$6,'TP2'!$Q:$Q,Ohjaus!$Y$4,'TP2'!$AG:$AG,Ohjaus!$Y$5,'TP2'!$AL:$AL,$AF$4,'TP2'!$V:$V,Ohjaus!$X$7,'TP2'!AN:AN,"P")+W35+AH35</f>
        <v>0</v>
      </c>
      <c r="F35" s="697">
        <f>SUMIFS('TP2'!$P:$P,'TP2'!$AI:$AI,$Y$2,'TP2'!$R:$R,$X$9,'TP2'!$U:$U,Ohjaus!$T35,'TP2'!$W:$W,Ohjaus!$X$8,'TP2'!$X:$X,$Y$1,'TP2'!$AD:$AD,$X$9,'TP2'!$AF:$AF,Ohjaus!$Y$6,'TP2'!$Q:$Q,Ohjaus!$Y$4,'TP2'!$AG:$AG,Ohjaus!$Y$5,'TP2'!$AL:$AL,$AF$4,'TP2'!$V:$V,Ohjaus!$Y$7,'TP2'!AN:AN,"P")+X35+AI35</f>
        <v>0</v>
      </c>
      <c r="G35" s="697">
        <f>SUMIFS('TP2'!$P:$P,'TP2'!$AI:$AI,$Y$2,'TP2'!$R:$R,$X$9,'TP2'!$U:$U,Ohjaus!$T35,'TP2'!$W:$W,"vanha",'TP2'!$X:$X,$Y$1,'TP2'!$AD:$AD,$X$9,'TP2'!$AF:$AF,Ohjaus!$Y$6,'TP2'!$Q:$Q,Ohjaus!$Y$4,'TP2'!$AG:$AG,Ohjaus!$Y$5,'TP2'!$AL:$AL,$AF$4,'TP2'!AN:AN,"P")+Z35+AK35</f>
        <v>0</v>
      </c>
      <c r="H35" s="723"/>
      <c r="I35" s="724"/>
      <c r="J35" s="701">
        <f>SUMIFS('TP2'!$P:$P,'TP2'!$AI:$AI,$Y$2,'TP2'!$R:$R,$X$9,'TP2'!$U:$U,Ohjaus!$T35,'TP2'!$W:$W,Ohjaus!$X$8,'TP2'!$X:$X,$Y$1,'TP2'!$AD:$AD,$X$9,'TP2'!$AF:$AF,Ohjaus!$Y$6,'TP2'!$Q:$Q,Ohjaus!$Y$4,'TP2'!$AG:$AG,Ohjaus!$Y$5,'TP2'!$AL:$AL,$AF$4,'TP2'!$Z:$Z,1,'TP2'!AN:AN,"P")</f>
        <v>0</v>
      </c>
      <c r="K35" s="702">
        <f>SUMIFS('TP2'!$P:$P,'TP2'!$AI:$AI,$Y$2,'TP2'!$R:$R,$X$9,'TP2'!$U:$U,Ohjaus!$T35,'TP2'!$W:$W,Ohjaus!$X$8,'TP2'!$X:$X,$Y$1,'TP2'!$AD:$AD,$X$9,'TP2'!$AF:$AF,Ohjaus!$Y$6,'TP2'!$Q:$Q,Ohjaus!$Y$4,'TP2'!$AG:$AG,Ohjaus!$Y$5,'TP2'!$AL:$AL,$AF$4,'TP2'!$O:$O,$Z$3,'TP2'!AN:AN,"P")</f>
        <v>0</v>
      </c>
      <c r="L35" s="702">
        <f>SUMIFS('TP2'!$P:$P,'TP2'!$AI:$AI,$Y$2,'TP2'!$R:$R,$X$9,'TP2'!$U:$U,Ohjaus!$T35,'TP2'!$W:$W,Ohjaus!$X$8,'TP2'!$X:$X,$Y$1,'TP2'!$AD:$AD,$X$9,'TP2'!$AF:$AF,Ohjaus!$Y$6,'TP2'!$Q:$Q,Ohjaus!$Y$4,'TP2'!$AG:$AG,Ohjaus!$Y$5,'TP2'!$AL:$AL,$AF$4,'TP2'!$K:$K,$Z$6,'TP2'!AN:AN,"P")</f>
        <v>0</v>
      </c>
      <c r="M35" s="702">
        <f>SUMIFS('TP2'!$P:$P,'TP2'!$AI:$AI,$Y$2,'TP2'!$R:$R,$X$9,'TP2'!$U:$U,Ohjaus!$T35,'TP2'!$W:$W,Ohjaus!$X$8,'TP2'!$X:$X,$Y$1,'TP2'!$AD:$AD,$X$9,'TP2'!$AF:$AF,Ohjaus!$Y$6,'TP2'!$Q:$Q,Ohjaus!$Y$4,'TP2'!$AG:$AG,Ohjaus!$Y$5,'TP2'!$AL:$AL,$AF$4,'TP2'!$K:$K,$Z$7,'TP2'!AN:AN,"P")</f>
        <v>0</v>
      </c>
      <c r="N35" s="702">
        <f>SUMIFS('TP2'!$P:$P,'TP2'!$AI:$AI,$Y$2,'TP2'!$R:$R,$X$9,'TP2'!$U:$U,Ohjaus!$T35,'TP2'!$W:$W,Ohjaus!$X$8,'TP2'!$X:$X,$Y$1,'TP2'!$AD:$AD,$X$9,'TP2'!$AF:$AF,Ohjaus!$Y$6,'TP2'!$Q:$Q,Ohjaus!$Y$4,'TP2'!$AG:$AG,Ohjaus!$Y$5,'TP2'!$AL:$AL,$AF$4,'TP2'!$K:$K,$Z$8,'TP2'!AN:AN,"P")</f>
        <v>0</v>
      </c>
      <c r="O35" s="702">
        <f>SUMIFS('TP2'!$P:$P,'TP2'!$AI:$AI,$Y$2,'TP2'!$R:$R,$X$9,'TP2'!$U:$U,Ohjaus!$T35,'TP2'!$W:$W,Ohjaus!$X$8,'TP2'!$X:$X,$Y$1,'TP2'!$AD:$AD,$X$9,'TP2'!$AF:$AF,Ohjaus!$Y$6,'TP2'!$Q:$Q,Ohjaus!$Y$4,'TP2'!$AG:$AG,Ohjaus!$Y$5,'TP2'!$AL:$AL,$AF$4,'TP2'!$K:$K,$Z$5,'TP2'!AN:AN,"P")</f>
        <v>0</v>
      </c>
      <c r="T35" t="s">
        <v>1054</v>
      </c>
      <c r="U35"/>
      <c r="V35" s="702">
        <f>SUMIFS('TP2'!$P:$P,'TP2'!$AI:$AI,$Y$2,'TP2'!$R:$R,$X$9,'TP2'!$U:$U,Ohjaus!$U35,'TP2'!$W:$W,Ohjaus!$X$8,'TP2'!$X:$X,$Y$1,'TP2'!$AD:$AD,$X$9,'TP2'!$AF:$AF,Ohjaus!$Y$6,'TP2'!$Q:$Q,Ohjaus!$Y$4,'TP2'!$AG:$AG,Ohjaus!$Y$5,'TP2'!AL:AL,$AF$4,'TP2'!AN:AN,"P")</f>
        <v>0</v>
      </c>
      <c r="W35" s="697">
        <f>SUMIFS('TP2'!$P:$P,'TP2'!$AI:$AI,$Y$2,'TP2'!$R:$R,$X$9,'TP2'!$U:$U,Ohjaus!$U35,'TP2'!$W:$W,Ohjaus!$X$8,'TP2'!$X:$X,$Y$1,'TP2'!$AD:$AD,$X$9,'TP2'!$AF:$AF,Ohjaus!$Y$6,'TP2'!$Q:$Q,Ohjaus!$Y$4,'TP2'!$AG:$AG,Ohjaus!$Y$5,'TP2'!$AL:$AL,$AF$4,'TP2'!$V:$V,Ohjaus!$X$7,'TP2'!AN:AN,"P")</f>
        <v>0</v>
      </c>
      <c r="X35" s="697">
        <f>SUMIFS('TP2'!$P:$P,'TP2'!$AI:$AI,$Y$2,'TP2'!$R:$R,$X$9,'TP2'!$U:$U,Ohjaus!$U35,'TP2'!$W:$W,Ohjaus!$X$8,'TP2'!$X:$X,$Y$1,'TP2'!$AD:$AD,$X$9,'TP2'!$AF:$AF,Ohjaus!$Y$6,'TP2'!$Q:$Q,Ohjaus!$Y$4,'TP2'!$AG:$AG,Ohjaus!$Y$5,'TP2'!$AL:$AL,$AF$4,'TP2'!$V:$V,Ohjaus!$Y$7,'TP2'!AN:AN,"P")</f>
        <v>0</v>
      </c>
      <c r="Y35" s="697">
        <f>SUMIFS('TP2'!$P:$P,'TP2'!$AI:$AI,$Y$2,'TP2'!$R:$R,$X$9,'TP2'!$U:$U,Ohjaus!$U35,'TP2'!$W:$W,"vanha",'TP2'!$X:$X,$Y$1,'TP2'!$AD:$AD,$X$9,'TP2'!$AF:$AF,Ohjaus!$Y$6,'TP2'!$Q:$Q,Ohjaus!$Y$4,'TP2'!$AG:$AG,Ohjaus!$Y$5,'TP2'!$AL:$AL,$AF$4,'TP2'!AN:AN,"P")</f>
        <v>0</v>
      </c>
      <c r="AA35" s="176" t="s">
        <v>187</v>
      </c>
      <c r="AB35" s="169" t="str">
        <f>IFERROR(INDEX(Data_Omakoodi!E:E,MATCH(AA35,Data_Omakoodi!A:A,0)),"")</f>
        <v/>
      </c>
      <c r="AC35" t="s">
        <v>188</v>
      </c>
      <c r="AD35" s="169" t="str">
        <f>IFERROR(INDEX(Data_Omakoodi!E:E,MATCH(AC35,Data_Omakoodi!A:A,0)),"")</f>
        <v/>
      </c>
      <c r="AE35" t="s">
        <v>188</v>
      </c>
      <c r="AG35" s="702">
        <f>SUMIFS('TP2'!$P:$P,'TP2'!$AI:$AI,$W$7,'TP2'!$R:$R,$X$9,'TP2'!$U:$U,Ohjaus!$AF35,'TP2'!$W:$W,Ohjaus!$X$8,'TP2'!$X:$X,Ohjaus!$X$6,'TP2'!$AD:$AD,$X$9,'TP2'!$AF:$AF,Ohjaus!$Y$6,'TP2'!$Q:$Q,Ohjaus!$Y$4,'TP2'!$AG:$AG,Ohjaus!$Y$5,'TP2'!AL:AL,$AF$4,'TP2'!AN:AN,"P")</f>
        <v>0</v>
      </c>
      <c r="AH35" s="697">
        <f>SUMIFS('TP2'!$P:$P,'TP2'!$AI:$AI,$Y$2,'TP2'!$R:$R,$X$9,'TP2'!$U:$U,Ohjaus!$AF35,'TP2'!$W:$W,Ohjaus!$X$8,'TP2'!$X:$X,$Y$1,'TP2'!$AD:$AD,$X$9,'TP2'!$AF:$AF,Ohjaus!$Y$6,'TP2'!$Q:$Q,Ohjaus!$Y$4,'TP2'!$AG:$AG,Ohjaus!$Y$5,'TP2'!$AL:$AL,$AF$4,'TP2'!$V:$V,Ohjaus!$X$7,'TP2'!AN:AN,"P")</f>
        <v>0</v>
      </c>
      <c r="AI35" s="697">
        <f>SUMIFS('TP2'!$P:$P,'TP2'!$AI:$AI,$Y$2,'TP2'!$R:$R,$X$9,'TP2'!$U:$U,Ohjaus!$AF35,'TP2'!$W:$W,Ohjaus!$X$8,'TP2'!$X:$X,$Y$1,'TP2'!$AD:$AD,$X$9,'TP2'!$AF:$AF,Ohjaus!$Y$6,'TP2'!$Q:$Q,Ohjaus!$Y$4,'TP2'!$AG:$AG,Ohjaus!$Y$5,'TP2'!$AL:$AL,$AF$4,'TP2'!$V:$V,Ohjaus!$Y$7,'TP2'!AN:AN,"P")</f>
        <v>0</v>
      </c>
      <c r="AJ35" s="697">
        <f>SUMIFS('TP2'!$P:$P,'TP2'!$AI:$AI,$Y$2,'TP2'!$R:$R,$X$9,'TP2'!$U:$U,Ohjaus!$AF35,'TP2'!$W:$W,"vanha",'TP2'!$X:$X,$Y$1,'TP2'!$AD:$AD,$X$9,'TP2'!$AF:$AF,Ohjaus!$Y$6,'TP2'!$Q:$Q,Ohjaus!$Y$4,'TP2'!$AG:$AG,Ohjaus!$Y$5,'TP2'!$AL:$AL,$AF$4,'TP2'!AN:AN,"P")</f>
        <v>0</v>
      </c>
      <c r="AO35" s="725" t="s">
        <v>1055</v>
      </c>
      <c r="AP35" s="726" t="s">
        <v>1056</v>
      </c>
      <c r="AQ35" s="726"/>
      <c r="AR35" t="s">
        <v>1054</v>
      </c>
    </row>
    <row r="36" spans="1:49" x14ac:dyDescent="0.25">
      <c r="A36" s="1078"/>
      <c r="B36" s="696" t="s">
        <v>1057</v>
      </c>
      <c r="C36" s="697">
        <f>SUMIFS('TP2'!$P:$P,'TP2'!$AI:$AI,$Y$2,'TP2'!$R:$R,$X$9,'TP2'!$U:$U,Ohjaus!$T36,'TP2'!$W:$W,Ohjaus!$X$8,'TP2'!$X:$X,$Y$1,'TP2'!$AD:$AD,$X$9,'TP2'!$AF:$AF,Ohjaus!$Y$6,'TP2'!$Q:$Q,Ohjaus!$Y$4,'TP2'!$AG:$AG,Ohjaus!$Y$5,'TP2'!AL:AL,$AF$4,'TP2'!AN:AN,"P")+V36+AG36</f>
        <v>0</v>
      </c>
      <c r="D36" s="698">
        <f t="shared" si="5"/>
        <v>0</v>
      </c>
      <c r="E36" s="697">
        <f>SUMIFS('TP2'!$P:$P,'TP2'!$AI:$AI,$Y$2,'TP2'!$R:$R,$X$9,'TP2'!$U:$U,Ohjaus!$T36,'TP2'!$W:$W,Ohjaus!$X$8,'TP2'!$X:$X,$Y$1,'TP2'!$AD:$AD,$X$9,'TP2'!$AF:$AF,Ohjaus!$Y$6,'TP2'!$Q:$Q,Ohjaus!$Y$4,'TP2'!$AG:$AG,Ohjaus!$Y$5,'TP2'!$AL:$AL,$AF$4,'TP2'!$V:$V,Ohjaus!$X$7,'TP2'!AN:AN,"P")+W36+AH36</f>
        <v>0</v>
      </c>
      <c r="F36" s="697">
        <f>SUMIFS('TP2'!$P:$P,'TP2'!$AI:$AI,$Y$2,'TP2'!$R:$R,$X$9,'TP2'!$U:$U,Ohjaus!$T36,'TP2'!$W:$W,Ohjaus!$X$8,'TP2'!$X:$X,$Y$1,'TP2'!$AD:$AD,$X$9,'TP2'!$AF:$AF,Ohjaus!$Y$6,'TP2'!$Q:$Q,Ohjaus!$Y$4,'TP2'!$AG:$AG,Ohjaus!$Y$5,'TP2'!$AL:$AL,$AF$4,'TP2'!$V:$V,Ohjaus!$Y$7,'TP2'!AN:AN,"P")+X36+AI36</f>
        <v>0</v>
      </c>
      <c r="G36" s="697">
        <f>SUMIFS('TP2'!$P:$P,'TP2'!$AI:$AI,$Y$2,'TP2'!$R:$R,$X$9,'TP2'!$U:$U,Ohjaus!$T36,'TP2'!$W:$W,"vanha",'TP2'!$X:$X,$Y$1,'TP2'!$AD:$AD,$X$9,'TP2'!$AF:$AF,Ohjaus!$Y$6,'TP2'!$Q:$Q,Ohjaus!$Y$4,'TP2'!$AG:$AG,Ohjaus!$Y$5,'TP2'!$AL:$AL,$AF$4,'TP2'!AN:AN,"P")+Z36+AK36</f>
        <v>0</v>
      </c>
      <c r="H36" s="723"/>
      <c r="I36" s="724"/>
      <c r="J36" s="701">
        <f>SUMIFS('TP2'!$P:$P,'TP2'!$AI:$AI,$Y$2,'TP2'!$R:$R,$X$9,'TP2'!$U:$U,Ohjaus!$T36,'TP2'!$W:$W,Ohjaus!$X$8,'TP2'!$X:$X,$Y$1,'TP2'!$AD:$AD,$X$9,'TP2'!$AF:$AF,Ohjaus!$Y$6,'TP2'!$Q:$Q,Ohjaus!$Y$4,'TP2'!$AG:$AG,Ohjaus!$Y$5,'TP2'!$AL:$AL,$AF$4,'TP2'!$Z:$Z,1,'TP2'!AN:AN,"P")</f>
        <v>0</v>
      </c>
      <c r="K36" s="702">
        <f>SUMIFS('TP2'!$P:$P,'TP2'!$AI:$AI,$Y$2,'TP2'!$R:$R,$X$9,'TP2'!$U:$U,Ohjaus!$T36,'TP2'!$W:$W,Ohjaus!$X$8,'TP2'!$X:$X,$Y$1,'TP2'!$AD:$AD,$X$9,'TP2'!$AF:$AF,Ohjaus!$Y$6,'TP2'!$Q:$Q,Ohjaus!$Y$4,'TP2'!$AG:$AG,Ohjaus!$Y$5,'TP2'!$AL:$AL,$AF$4,'TP2'!$O:$O,$Z$3,'TP2'!AN:AN,"P")</f>
        <v>0</v>
      </c>
      <c r="L36" s="702">
        <f>SUMIFS('TP2'!$P:$P,'TP2'!$AI:$AI,$Y$2,'TP2'!$R:$R,$X$9,'TP2'!$U:$U,Ohjaus!$T36,'TP2'!$W:$W,Ohjaus!$X$8,'TP2'!$X:$X,$Y$1,'TP2'!$AD:$AD,$X$9,'TP2'!$AF:$AF,Ohjaus!$Y$6,'TP2'!$Q:$Q,Ohjaus!$Y$4,'TP2'!$AG:$AG,Ohjaus!$Y$5,'TP2'!$AL:$AL,$AF$4,'TP2'!$K:$K,$Z$6,'TP2'!AN:AN,"P")</f>
        <v>0</v>
      </c>
      <c r="M36" s="702">
        <f>SUMIFS('TP2'!$P:$P,'TP2'!$AI:$AI,$Y$2,'TP2'!$R:$R,$X$9,'TP2'!$U:$U,Ohjaus!$T36,'TP2'!$W:$W,Ohjaus!$X$8,'TP2'!$X:$X,$Y$1,'TP2'!$AD:$AD,$X$9,'TP2'!$AF:$AF,Ohjaus!$Y$6,'TP2'!$Q:$Q,Ohjaus!$Y$4,'TP2'!$AG:$AG,Ohjaus!$Y$5,'TP2'!$AL:$AL,$AF$4,'TP2'!$K:$K,$Z$7,'TP2'!AN:AN,"P")</f>
        <v>0</v>
      </c>
      <c r="N36" s="702">
        <f>SUMIFS('TP2'!$P:$P,'TP2'!$AI:$AI,$Y$2,'TP2'!$R:$R,$X$9,'TP2'!$U:$U,Ohjaus!$T36,'TP2'!$W:$W,Ohjaus!$X$8,'TP2'!$X:$X,$Y$1,'TP2'!$AD:$AD,$X$9,'TP2'!$AF:$AF,Ohjaus!$Y$6,'TP2'!$Q:$Q,Ohjaus!$Y$4,'TP2'!$AG:$AG,Ohjaus!$Y$5,'TP2'!$AL:$AL,$AF$4,'TP2'!$K:$K,$Z$8,'TP2'!AN:AN,"P")</f>
        <v>0</v>
      </c>
      <c r="O36" s="702">
        <f>SUMIFS('TP2'!$P:$P,'TP2'!$AI:$AI,$Y$2,'TP2'!$R:$R,$X$9,'TP2'!$U:$U,Ohjaus!$T36,'TP2'!$W:$W,Ohjaus!$X$8,'TP2'!$X:$X,$Y$1,'TP2'!$AD:$AD,$X$9,'TP2'!$AF:$AF,Ohjaus!$Y$6,'TP2'!$Q:$Q,Ohjaus!$Y$4,'TP2'!$AG:$AG,Ohjaus!$Y$5,'TP2'!$AL:$AL,$AF$4,'TP2'!$K:$K,$Z$5,'TP2'!AN:AN,"P")</f>
        <v>0</v>
      </c>
      <c r="T36" s="706" t="s">
        <v>1058</v>
      </c>
      <c r="U36" s="703" t="s">
        <v>1059</v>
      </c>
      <c r="V36" s="702">
        <f>SUMIFS('TP2'!$P:$P,'TP2'!$AI:$AI,$Y$2,'TP2'!$R:$R,$X$9,'TP2'!$U:$U,Ohjaus!$U36,'TP2'!$W:$W,Ohjaus!$X$8,'TP2'!$X:$X,$Y$1,'TP2'!$AD:$AD,$X$9,'TP2'!$AF:$AF,Ohjaus!$Y$6,'TP2'!$Q:$Q,Ohjaus!$Y$4,'TP2'!$AG:$AG,Ohjaus!$Y$5,'TP2'!AL:AL,$AF$4,'TP2'!AN:AN,"P")</f>
        <v>0</v>
      </c>
      <c r="W36" s="697">
        <f>SUMIFS('TP2'!$P:$P,'TP2'!$AI:$AI,$Y$2,'TP2'!$R:$R,$X$9,'TP2'!$U:$U,Ohjaus!$U36,'TP2'!$W:$W,Ohjaus!$X$8,'TP2'!$X:$X,$Y$1,'TP2'!$AD:$AD,$X$9,'TP2'!$AF:$AF,Ohjaus!$Y$6,'TP2'!$Q:$Q,Ohjaus!$Y$4,'TP2'!$AG:$AG,Ohjaus!$Y$5,'TP2'!$AL:$AL,$AF$4,'TP2'!$V:$V,Ohjaus!$X$7,'TP2'!AN:AN,"P")</f>
        <v>0</v>
      </c>
      <c r="X36" s="697">
        <f>SUMIFS('TP2'!$P:$P,'TP2'!$AI:$AI,$Y$2,'TP2'!$R:$R,$X$9,'TP2'!$U:$U,Ohjaus!$U36,'TP2'!$W:$W,Ohjaus!$X$8,'TP2'!$X:$X,$Y$1,'TP2'!$AD:$AD,$X$9,'TP2'!$AF:$AF,Ohjaus!$Y$6,'TP2'!$Q:$Q,Ohjaus!$Y$4,'TP2'!$AG:$AG,Ohjaus!$Y$5,'TP2'!$AL:$AL,$AF$4,'TP2'!$V:$V,Ohjaus!$Y$7,'TP2'!AN:AN,"P")</f>
        <v>0</v>
      </c>
      <c r="Y36" s="697">
        <f>SUMIFS('TP2'!$P:$P,'TP2'!$AI:$AI,$Y$2,'TP2'!$R:$R,$X$9,'TP2'!$U:$U,Ohjaus!$U36,'TP2'!$W:$W,"vanha",'TP2'!$X:$X,$Y$1,'TP2'!$AD:$AD,$X$9,'TP2'!$AF:$AF,Ohjaus!$Y$6,'TP2'!$Q:$Q,Ohjaus!$Y$4,'TP2'!$AG:$AG,Ohjaus!$Y$5,'TP2'!$AL:$AL,$AF$4,'TP2'!AN:AN,"P")</f>
        <v>0</v>
      </c>
      <c r="AA36" s="176" t="s">
        <v>190</v>
      </c>
      <c r="AB36" s="169" t="str">
        <f>IFERROR(INDEX(Data_Omakoodi!E:E,MATCH(AA36,Data_Omakoodi!A:A,0)),"")</f>
        <v/>
      </c>
      <c r="AC36" t="s">
        <v>191</v>
      </c>
      <c r="AD36" s="169" t="str">
        <f>IFERROR(INDEX(Data_Omakoodi!E:E,MATCH(AC36,Data_Omakoodi!A:A,0)),"")</f>
        <v/>
      </c>
      <c r="AE36" t="s">
        <v>191</v>
      </c>
      <c r="AG36" s="702">
        <f>SUMIFS('TP2'!$P:$P,'TP2'!$AI:$AI,$W$7,'TP2'!$R:$R,$X$9,'TP2'!$U:$U,Ohjaus!$AF36,'TP2'!$W:$W,Ohjaus!$X$8,'TP2'!$X:$X,Ohjaus!$X$6,'TP2'!$AD:$AD,$X$9,'TP2'!$AF:$AF,Ohjaus!$Y$6,'TP2'!$Q:$Q,Ohjaus!$Y$4,'TP2'!$AG:$AG,Ohjaus!$Y$5,'TP2'!AL:AL,$AF$4,'TP2'!AN:AN,"P")</f>
        <v>0</v>
      </c>
      <c r="AH36" s="697">
        <f>SUMIFS('TP2'!$P:$P,'TP2'!$AI:$AI,$Y$2,'TP2'!$R:$R,$X$9,'TP2'!$U:$U,Ohjaus!$AF36,'TP2'!$W:$W,Ohjaus!$X$8,'TP2'!$X:$X,$Y$1,'TP2'!$AD:$AD,$X$9,'TP2'!$AF:$AF,Ohjaus!$Y$6,'TP2'!$Q:$Q,Ohjaus!$Y$4,'TP2'!$AG:$AG,Ohjaus!$Y$5,'TP2'!$AL:$AL,$AF$4,'TP2'!$V:$V,Ohjaus!$X$7,'TP2'!AN:AN,"P")</f>
        <v>0</v>
      </c>
      <c r="AI36" s="697">
        <f>SUMIFS('TP2'!$P:$P,'TP2'!$AI:$AI,$Y$2,'TP2'!$R:$R,$X$9,'TP2'!$U:$U,Ohjaus!$AF36,'TP2'!$W:$W,Ohjaus!$X$8,'TP2'!$X:$X,$Y$1,'TP2'!$AD:$AD,$X$9,'TP2'!$AF:$AF,Ohjaus!$Y$6,'TP2'!$Q:$Q,Ohjaus!$Y$4,'TP2'!$AG:$AG,Ohjaus!$Y$5,'TP2'!$AL:$AL,$AF$4,'TP2'!$V:$V,Ohjaus!$Y$7,'TP2'!AN:AN,"P")</f>
        <v>0</v>
      </c>
      <c r="AJ36" s="697">
        <f>SUMIFS('TP2'!$P:$P,'TP2'!$AI:$AI,$Y$2,'TP2'!$R:$R,$X$9,'TP2'!$U:$U,Ohjaus!$AF36,'TP2'!$W:$W,"vanha",'TP2'!$X:$X,$Y$1,'TP2'!$AD:$AD,$X$9,'TP2'!$AF:$AF,Ohjaus!$Y$6,'TP2'!$Q:$Q,Ohjaus!$Y$4,'TP2'!$AG:$AG,Ohjaus!$Y$5,'TP2'!$AL:$AL,$AF$4,'TP2'!AN:AN,"P")</f>
        <v>0</v>
      </c>
      <c r="AO36" s="707"/>
      <c r="AP36" s="708" t="s">
        <v>1060</v>
      </c>
      <c r="AQ36" s="708" t="s">
        <v>1060</v>
      </c>
      <c r="AR36" t="s">
        <v>1058</v>
      </c>
    </row>
    <row r="37" spans="1:49" ht="15" customHeight="1" x14ac:dyDescent="0.25">
      <c r="A37" s="1078"/>
      <c r="B37" s="696" t="s">
        <v>1061</v>
      </c>
      <c r="C37" s="697">
        <f>SUMIFS('TP2'!$P:$P,'TP2'!$AI:$AI,$Y$2,'TP2'!$R:$R,$X$9,'TP2'!$U:$U,Ohjaus!$T37,'TP2'!$W:$W,Ohjaus!$X$8,'TP2'!$X:$X,$Y$1,'TP2'!$AD:$AD,$X$9,'TP2'!$AF:$AF,Ohjaus!$Y$6,'TP2'!$Q:$Q,Ohjaus!$Y$4,'TP2'!$AG:$AG,Ohjaus!$Y$5,'TP2'!AL:AL,$AF$4,'TP2'!AN:AN,"P")+V37+AG37</f>
        <v>0</v>
      </c>
      <c r="D37" s="698">
        <f t="shared" si="5"/>
        <v>0</v>
      </c>
      <c r="E37" s="697">
        <f>SUMIFS('TP2'!$P:$P,'TP2'!$AI:$AI,$Y$2,'TP2'!$R:$R,$X$9,'TP2'!$U:$U,Ohjaus!$T37,'TP2'!$W:$W,Ohjaus!$X$8,'TP2'!$X:$X,$Y$1,'TP2'!$AD:$AD,$X$9,'TP2'!$AF:$AF,Ohjaus!$Y$6,'TP2'!$Q:$Q,Ohjaus!$Y$4,'TP2'!$AG:$AG,Ohjaus!$Y$5,'TP2'!$AL:$AL,$AF$4,'TP2'!$V:$V,Ohjaus!$X$7,'TP2'!AN:AN,"P")+W37+AH37</f>
        <v>0</v>
      </c>
      <c r="F37" s="697">
        <f>SUMIFS('TP2'!$P:$P,'TP2'!$AI:$AI,$Y$2,'TP2'!$R:$R,$X$9,'TP2'!$U:$U,Ohjaus!$T37,'TP2'!$W:$W,Ohjaus!$X$8,'TP2'!$X:$X,$Y$1,'TP2'!$AD:$AD,$X$9,'TP2'!$AF:$AF,Ohjaus!$Y$6,'TP2'!$Q:$Q,Ohjaus!$Y$4,'TP2'!$AG:$AG,Ohjaus!$Y$5,'TP2'!$AL:$AL,$AF$4,'TP2'!$V:$V,Ohjaus!$Y$7,'TP2'!AN:AN,"P")+X37+AI37</f>
        <v>0</v>
      </c>
      <c r="G37" s="697">
        <f>SUMIFS('TP2'!$P:$P,'TP2'!$AI:$AI,$Y$2,'TP2'!$R:$R,$X$9,'TP2'!$U:$U,Ohjaus!$T37,'TP2'!$W:$W,"vanha",'TP2'!$X:$X,$Y$1,'TP2'!$AD:$AD,$X$9,'TP2'!$AF:$AF,Ohjaus!$Y$6,'TP2'!$Q:$Q,Ohjaus!$Y$4,'TP2'!$AG:$AG,Ohjaus!$Y$5,'TP2'!$AL:$AL,$AF$4,'TP2'!AN:AN,"P")+Z37+AK37</f>
        <v>0</v>
      </c>
      <c r="H37" s="699"/>
      <c r="I37" s="700"/>
      <c r="J37" s="701">
        <f>SUMIFS('TP2'!$P:$P,'TP2'!$AI:$AI,$Y$2,'TP2'!$R:$R,$X$9,'TP2'!$U:$U,Ohjaus!$T37,'TP2'!$W:$W,Ohjaus!$X$8,'TP2'!$X:$X,$Y$1,'TP2'!$AD:$AD,$X$9,'TP2'!$AF:$AF,Ohjaus!$Y$6,'TP2'!$Q:$Q,Ohjaus!$Y$4,'TP2'!$AG:$AG,Ohjaus!$Y$5,'TP2'!$AL:$AL,$AF$4,'TP2'!$Z:$Z,1,'TP2'!AN:AN,"P")</f>
        <v>0</v>
      </c>
      <c r="K37" s="702">
        <f>SUMIFS('TP2'!$P:$P,'TP2'!$AI:$AI,$Y$2,'TP2'!$R:$R,$X$9,'TP2'!$U:$U,Ohjaus!$T37,'TP2'!$W:$W,Ohjaus!$X$8,'TP2'!$X:$X,$Y$1,'TP2'!$AD:$AD,$X$9,'TP2'!$AF:$AF,Ohjaus!$Y$6,'TP2'!$Q:$Q,Ohjaus!$Y$4,'TP2'!$AG:$AG,Ohjaus!$Y$5,'TP2'!$AL:$AL,$AF$4,'TP2'!$O:$O,$Z$3,'TP2'!AN:AN,"P")</f>
        <v>0</v>
      </c>
      <c r="L37" s="702">
        <f>SUMIFS('TP2'!$P:$P,'TP2'!$AI:$AI,$Y$2,'TP2'!$R:$R,$X$9,'TP2'!$U:$U,Ohjaus!$T37,'TP2'!$W:$W,Ohjaus!$X$8,'TP2'!$X:$X,$Y$1,'TP2'!$AD:$AD,$X$9,'TP2'!$AF:$AF,Ohjaus!$Y$6,'TP2'!$Q:$Q,Ohjaus!$Y$4,'TP2'!$AG:$AG,Ohjaus!$Y$5,'TP2'!$AL:$AL,$AF$4,'TP2'!$K:$K,$Z$6,'TP2'!AN:AN,"P")</f>
        <v>0</v>
      </c>
      <c r="M37" s="702">
        <f>SUMIFS('TP2'!$P:$P,'TP2'!$AI:$AI,$Y$2,'TP2'!$R:$R,$X$9,'TP2'!$U:$U,Ohjaus!$T37,'TP2'!$W:$W,Ohjaus!$X$8,'TP2'!$X:$X,$Y$1,'TP2'!$AD:$AD,$X$9,'TP2'!$AF:$AF,Ohjaus!$Y$6,'TP2'!$Q:$Q,Ohjaus!$Y$4,'TP2'!$AG:$AG,Ohjaus!$Y$5,'TP2'!$AL:$AL,$AF$4,'TP2'!$K:$K,$Z$7,'TP2'!AN:AN,"P")</f>
        <v>0</v>
      </c>
      <c r="N37" s="702">
        <f>SUMIFS('TP2'!$P:$P,'TP2'!$AI:$AI,$Y$2,'TP2'!$R:$R,$X$9,'TP2'!$U:$U,Ohjaus!$T37,'TP2'!$W:$W,Ohjaus!$X$8,'TP2'!$X:$X,$Y$1,'TP2'!$AD:$AD,$X$9,'TP2'!$AF:$AF,Ohjaus!$Y$6,'TP2'!$Q:$Q,Ohjaus!$Y$4,'TP2'!$AG:$AG,Ohjaus!$Y$5,'TP2'!$AL:$AL,$AF$4,'TP2'!$K:$K,$Z$8,'TP2'!AN:AN,"P")</f>
        <v>0</v>
      </c>
      <c r="O37" s="702">
        <f>SUMIFS('TP2'!$P:$P,'TP2'!$AI:$AI,$Y$2,'TP2'!$R:$R,$X$9,'TP2'!$U:$U,Ohjaus!$T37,'TP2'!$W:$W,Ohjaus!$X$8,'TP2'!$X:$X,$Y$1,'TP2'!$AD:$AD,$X$9,'TP2'!$AF:$AF,Ohjaus!$Y$6,'TP2'!$Q:$Q,Ohjaus!$Y$4,'TP2'!$AG:$AG,Ohjaus!$Y$5,'TP2'!$AL:$AL,$AF$4,'TP2'!$K:$K,$Z$5,'TP2'!AN:AN,"P")</f>
        <v>0</v>
      </c>
      <c r="T37" s="693" t="s">
        <v>1062</v>
      </c>
      <c r="V37" s="702">
        <f>SUMIFS('TP2'!$P:$P,'TP2'!$AI:$AI,$Y$2,'TP2'!$R:$R,$X$9,'TP2'!$U:$U,Ohjaus!$U37,'TP2'!$W:$W,Ohjaus!$X$8,'TP2'!$X:$X,$Y$1,'TP2'!$AD:$AD,$X$9,'TP2'!$AF:$AF,Ohjaus!$Y$6,'TP2'!$Q:$Q,Ohjaus!$Y$4,'TP2'!$AG:$AG,Ohjaus!$Y$5,'TP2'!AL:AL,$AF$4,'TP2'!AN:AN,"P")</f>
        <v>0</v>
      </c>
      <c r="W37" s="697">
        <f>SUMIFS('TP2'!$P:$P,'TP2'!$AI:$AI,$Y$2,'TP2'!$R:$R,$X$9,'TP2'!$U:$U,Ohjaus!$U37,'TP2'!$W:$W,Ohjaus!$X$8,'TP2'!$X:$X,$Y$1,'TP2'!$AD:$AD,$X$9,'TP2'!$AF:$AF,Ohjaus!$Y$6,'TP2'!$Q:$Q,Ohjaus!$Y$4,'TP2'!$AG:$AG,Ohjaus!$Y$5,'TP2'!$AL:$AL,$AF$4,'TP2'!$V:$V,Ohjaus!$X$7,'TP2'!AN:AN,"P")</f>
        <v>0</v>
      </c>
      <c r="X37" s="697">
        <f>SUMIFS('TP2'!$P:$P,'TP2'!$AI:$AI,$Y$2,'TP2'!$R:$R,$X$9,'TP2'!$U:$U,Ohjaus!$U37,'TP2'!$W:$W,Ohjaus!$X$8,'TP2'!$X:$X,$Y$1,'TP2'!$AD:$AD,$X$9,'TP2'!$AF:$AF,Ohjaus!$Y$6,'TP2'!$Q:$Q,Ohjaus!$Y$4,'TP2'!$AG:$AG,Ohjaus!$Y$5,'TP2'!$AL:$AL,$AF$4,'TP2'!$V:$V,Ohjaus!$Y$7,'TP2'!AN:AN,"P")</f>
        <v>0</v>
      </c>
      <c r="Y37" s="697">
        <f>SUMIFS('TP2'!$P:$P,'TP2'!$AI:$AI,$Y$2,'TP2'!$R:$R,$X$9,'TP2'!$U:$U,Ohjaus!$U37,'TP2'!$W:$W,"vanha",'TP2'!$X:$X,$Y$1,'TP2'!$AD:$AD,$X$9,'TP2'!$AF:$AF,Ohjaus!$Y$6,'TP2'!$Q:$Q,Ohjaus!$Y$4,'TP2'!$AG:$AG,Ohjaus!$Y$5,'TP2'!$AL:$AL,$AF$4,'TP2'!AN:AN,"P")</f>
        <v>0</v>
      </c>
      <c r="AA37" s="176" t="s">
        <v>193</v>
      </c>
      <c r="AB37" s="169" t="str">
        <f>IFERROR(INDEX(Data_Omakoodi!E:E,MATCH(AA37,Data_Omakoodi!A:A,0)),"")</f>
        <v/>
      </c>
      <c r="AC37" t="s">
        <v>194</v>
      </c>
      <c r="AD37" s="169" t="str">
        <f>IFERROR(INDEX(Data_Omakoodi!E:E,MATCH(AC37,Data_Omakoodi!A:A,0)),"")</f>
        <v/>
      </c>
      <c r="AE37" t="s">
        <v>194</v>
      </c>
      <c r="AG37" s="702">
        <f>SUMIFS('TP2'!$P:$P,'TP2'!$AI:$AI,$W$7,'TP2'!$R:$R,$X$9,'TP2'!$U:$U,Ohjaus!$AF37,'TP2'!$W:$W,Ohjaus!$X$8,'TP2'!$X:$X,Ohjaus!$X$6,'TP2'!$AD:$AD,$X$9,'TP2'!$AF:$AF,Ohjaus!$Y$6,'TP2'!$Q:$Q,Ohjaus!$Y$4,'TP2'!$AG:$AG,Ohjaus!$Y$5,'TP2'!AL:AL,$AF$4,'TP2'!AN:AN,"P")</f>
        <v>0</v>
      </c>
      <c r="AH37" s="697">
        <f>SUMIFS('TP2'!$P:$P,'TP2'!$AI:$AI,$Y$2,'TP2'!$R:$R,$X$9,'TP2'!$U:$U,Ohjaus!$AF37,'TP2'!$W:$W,Ohjaus!$X$8,'TP2'!$X:$X,$Y$1,'TP2'!$AD:$AD,$X$9,'TP2'!$AF:$AF,Ohjaus!$Y$6,'TP2'!$Q:$Q,Ohjaus!$Y$4,'TP2'!$AG:$AG,Ohjaus!$Y$5,'TP2'!$AL:$AL,$AF$4,'TP2'!$V:$V,Ohjaus!$X$7,'TP2'!AN:AN,"P")</f>
        <v>0</v>
      </c>
      <c r="AI37" s="697">
        <f>SUMIFS('TP2'!$P:$P,'TP2'!$AI:$AI,$Y$2,'TP2'!$R:$R,$X$9,'TP2'!$U:$U,Ohjaus!$AF37,'TP2'!$W:$W,Ohjaus!$X$8,'TP2'!$X:$X,$Y$1,'TP2'!$AD:$AD,$X$9,'TP2'!$AF:$AF,Ohjaus!$Y$6,'TP2'!$Q:$Q,Ohjaus!$Y$4,'TP2'!$AG:$AG,Ohjaus!$Y$5,'TP2'!$AL:$AL,$AF$4,'TP2'!$V:$V,Ohjaus!$Y$7,'TP2'!AN:AN,"P")</f>
        <v>0</v>
      </c>
      <c r="AJ37" s="697">
        <f>SUMIFS('TP2'!$P:$P,'TP2'!$AI:$AI,$Y$2,'TP2'!$R:$R,$X$9,'TP2'!$U:$U,Ohjaus!$AF37,'TP2'!$W:$W,"vanha",'TP2'!$X:$X,$Y$1,'TP2'!$AD:$AD,$X$9,'TP2'!$AF:$AF,Ohjaus!$Y$6,'TP2'!$Q:$Q,Ohjaus!$Y$4,'TP2'!$AG:$AG,Ohjaus!$Y$5,'TP2'!$AL:$AL,$AF$4,'TP2'!AN:AN,"P")</f>
        <v>0</v>
      </c>
      <c r="AO37" s="707"/>
      <c r="AP37" s="708" t="s">
        <v>1063</v>
      </c>
      <c r="AQ37" s="708" t="s">
        <v>1063</v>
      </c>
      <c r="AR37" t="s">
        <v>1062</v>
      </c>
    </row>
    <row r="38" spans="1:49" x14ac:dyDescent="0.25">
      <c r="A38" s="1078"/>
      <c r="B38" s="696" t="s">
        <v>1064</v>
      </c>
      <c r="C38" s="697">
        <f>SUMIFS('TP2'!$P:$P,'TP2'!$AI:$AI,$Y$2,'TP2'!$R:$R,$X$9,'TP2'!$U:$U,Ohjaus!$T38,'TP2'!$W:$W,Ohjaus!$X$8,'TP2'!$X:$X,$Y$1,'TP2'!$AD:$AD,$X$9,'TP2'!$AF:$AF,Ohjaus!$Y$6,'TP2'!$Q:$Q,Ohjaus!$Y$4,'TP2'!$AG:$AG,Ohjaus!$Y$5,'TP2'!AL:AL,$AF$4,'TP2'!AN:AN,"P")+V38+AG38</f>
        <v>0</v>
      </c>
      <c r="D38" s="698">
        <f t="shared" si="5"/>
        <v>0</v>
      </c>
      <c r="E38" s="697">
        <f>SUMIFS('TP2'!$P:$P,'TP2'!$AI:$AI,$Y$2,'TP2'!$R:$R,$X$9,'TP2'!$U:$U,Ohjaus!$T38,'TP2'!$W:$W,Ohjaus!$X$8,'TP2'!$X:$X,$Y$1,'TP2'!$AD:$AD,$X$9,'TP2'!$AF:$AF,Ohjaus!$Y$6,'TP2'!$Q:$Q,Ohjaus!$Y$4,'TP2'!$AG:$AG,Ohjaus!$Y$5,'TP2'!$AL:$AL,$AF$4,'TP2'!$V:$V,Ohjaus!$X$7,'TP2'!AN:AN,"P")+W38+AH38</f>
        <v>0</v>
      </c>
      <c r="F38" s="697">
        <f>SUMIFS('TP2'!$P:$P,'TP2'!$AI:$AI,$Y$2,'TP2'!$R:$R,$X$9,'TP2'!$U:$U,Ohjaus!$T38,'TP2'!$W:$W,Ohjaus!$X$8,'TP2'!$X:$X,$Y$1,'TP2'!$AD:$AD,$X$9,'TP2'!$AF:$AF,Ohjaus!$Y$6,'TP2'!$Q:$Q,Ohjaus!$Y$4,'TP2'!$AG:$AG,Ohjaus!$Y$5,'TP2'!$AL:$AL,$AF$4,'TP2'!$V:$V,Ohjaus!$Y$7,'TP2'!AN:AN,"P")+X38+AI38</f>
        <v>0</v>
      </c>
      <c r="G38" s="697">
        <f>SUMIFS('TP2'!$P:$P,'TP2'!$AI:$AI,$Y$2,'TP2'!$R:$R,$X$9,'TP2'!$U:$U,Ohjaus!$T38,'TP2'!$W:$W,"vanha",'TP2'!$X:$X,$Y$1,'TP2'!$AD:$AD,$X$9,'TP2'!$AF:$AF,Ohjaus!$Y$6,'TP2'!$Q:$Q,Ohjaus!$Y$4,'TP2'!$AG:$AG,Ohjaus!$Y$5,'TP2'!$AL:$AL,$AF$4,'TP2'!AN:AN,"P")+Z38+AK38</f>
        <v>0</v>
      </c>
      <c r="H38" s="699"/>
      <c r="I38" s="700"/>
      <c r="J38" s="701">
        <f>SUMIFS('TP2'!$P:$P,'TP2'!$AI:$AI,$Y$2,'TP2'!$R:$R,$X$9,'TP2'!$U:$U,Ohjaus!$T38,'TP2'!$W:$W,Ohjaus!$X$8,'TP2'!$X:$X,$Y$1,'TP2'!$AD:$AD,$X$9,'TP2'!$AF:$AF,Ohjaus!$Y$6,'TP2'!$Q:$Q,Ohjaus!$Y$4,'TP2'!$AG:$AG,Ohjaus!$Y$5,'TP2'!$AL:$AL,$AF$4,'TP2'!$Z:$Z,1,'TP2'!AN:AN,"P")</f>
        <v>0</v>
      </c>
      <c r="K38" s="702">
        <f>SUMIFS('TP2'!$P:$P,'TP2'!$AI:$AI,$Y$2,'TP2'!$R:$R,$X$9,'TP2'!$U:$U,Ohjaus!$T38,'TP2'!$W:$W,Ohjaus!$X$8,'TP2'!$X:$X,$Y$1,'TP2'!$AD:$AD,$X$9,'TP2'!$AF:$AF,Ohjaus!$Y$6,'TP2'!$Q:$Q,Ohjaus!$Y$4,'TP2'!$AG:$AG,Ohjaus!$Y$5,'TP2'!$AL:$AL,$AF$4,'TP2'!$O:$O,$Z$3,'TP2'!AN:AN,"P")</f>
        <v>0</v>
      </c>
      <c r="L38" s="702">
        <f>SUMIFS('TP2'!$P:$P,'TP2'!$AI:$AI,$Y$2,'TP2'!$R:$R,$X$9,'TP2'!$U:$U,Ohjaus!$T38,'TP2'!$W:$W,Ohjaus!$X$8,'TP2'!$X:$X,$Y$1,'TP2'!$AD:$AD,$X$9,'TP2'!$AF:$AF,Ohjaus!$Y$6,'TP2'!$Q:$Q,Ohjaus!$Y$4,'TP2'!$AG:$AG,Ohjaus!$Y$5,'TP2'!$AL:$AL,$AF$4,'TP2'!$K:$K,$Z$6,'TP2'!AN:AN,"P")</f>
        <v>0</v>
      </c>
      <c r="M38" s="702">
        <f>SUMIFS('TP2'!$P:$P,'TP2'!$AI:$AI,$Y$2,'TP2'!$R:$R,$X$9,'TP2'!$U:$U,Ohjaus!$T38,'TP2'!$W:$W,Ohjaus!$X$8,'TP2'!$X:$X,$Y$1,'TP2'!$AD:$AD,$X$9,'TP2'!$AF:$AF,Ohjaus!$Y$6,'TP2'!$Q:$Q,Ohjaus!$Y$4,'TP2'!$AG:$AG,Ohjaus!$Y$5,'TP2'!$AL:$AL,$AF$4,'TP2'!$K:$K,$Z$7,'TP2'!AN:AN,"P")</f>
        <v>0</v>
      </c>
      <c r="N38" s="702">
        <f>SUMIFS('TP2'!$P:$P,'TP2'!$AI:$AI,$Y$2,'TP2'!$R:$R,$X$9,'TP2'!$U:$U,Ohjaus!$T38,'TP2'!$W:$W,Ohjaus!$X$8,'TP2'!$X:$X,$Y$1,'TP2'!$AD:$AD,$X$9,'TP2'!$AF:$AF,Ohjaus!$Y$6,'TP2'!$Q:$Q,Ohjaus!$Y$4,'TP2'!$AG:$AG,Ohjaus!$Y$5,'TP2'!$AL:$AL,$AF$4,'TP2'!$K:$K,$Z$8,'TP2'!AN:AN,"P")</f>
        <v>0</v>
      </c>
      <c r="O38" s="702">
        <f>SUMIFS('TP2'!$P:$P,'TP2'!$AI:$AI,$Y$2,'TP2'!$R:$R,$X$9,'TP2'!$U:$U,Ohjaus!$T38,'TP2'!$W:$W,Ohjaus!$X$8,'TP2'!$X:$X,$Y$1,'TP2'!$AD:$AD,$X$9,'TP2'!$AF:$AF,Ohjaus!$Y$6,'TP2'!$Q:$Q,Ohjaus!$Y$4,'TP2'!$AG:$AG,Ohjaus!$Y$5,'TP2'!$AL:$AL,$AF$4,'TP2'!$K:$K,$Z$5,'TP2'!AN:AN,"P")</f>
        <v>0</v>
      </c>
      <c r="T38" s="706" t="s">
        <v>1065</v>
      </c>
      <c r="U38" s="703" t="s">
        <v>1066</v>
      </c>
      <c r="V38" s="702">
        <f>SUMIFS('TP2'!$P:$P,'TP2'!$AI:$AI,$Y$2,'TP2'!$R:$R,$X$9,'TP2'!$U:$U,Ohjaus!$U38,'TP2'!$W:$W,Ohjaus!$X$8,'TP2'!$X:$X,$Y$1,'TP2'!$AD:$AD,$X$9,'TP2'!$AF:$AF,Ohjaus!$Y$6,'TP2'!$Q:$Q,Ohjaus!$Y$4,'TP2'!$AG:$AG,Ohjaus!$Y$5,'TP2'!AL:AL,$AF$4,'TP2'!AN:AN,"P")</f>
        <v>0</v>
      </c>
      <c r="W38" s="697">
        <f>SUMIFS('TP2'!$P:$P,'TP2'!$AI:$AI,$Y$2,'TP2'!$R:$R,$X$9,'TP2'!$U:$U,Ohjaus!$U38,'TP2'!$W:$W,Ohjaus!$X$8,'TP2'!$X:$X,$Y$1,'TP2'!$AD:$AD,$X$9,'TP2'!$AF:$AF,Ohjaus!$Y$6,'TP2'!$Q:$Q,Ohjaus!$Y$4,'TP2'!$AG:$AG,Ohjaus!$Y$5,'TP2'!$AL:$AL,$AF$4,'TP2'!$V:$V,Ohjaus!$X$7,'TP2'!AN:AN,"P")</f>
        <v>0</v>
      </c>
      <c r="X38" s="697">
        <f>SUMIFS('TP2'!$P:$P,'TP2'!$AI:$AI,$Y$2,'TP2'!$R:$R,$X$9,'TP2'!$U:$U,Ohjaus!$U38,'TP2'!$W:$W,Ohjaus!$X$8,'TP2'!$X:$X,$Y$1,'TP2'!$AD:$AD,$X$9,'TP2'!$AF:$AF,Ohjaus!$Y$6,'TP2'!$Q:$Q,Ohjaus!$Y$4,'TP2'!$AG:$AG,Ohjaus!$Y$5,'TP2'!$AL:$AL,$AF$4,'TP2'!$V:$V,Ohjaus!$Y$7,'TP2'!AN:AN,"P")</f>
        <v>0</v>
      </c>
      <c r="Y38" s="697">
        <f>SUMIFS('TP2'!$P:$P,'TP2'!$AI:$AI,$Y$2,'TP2'!$R:$R,$X$9,'TP2'!$U:$U,Ohjaus!$U38,'TP2'!$W:$W,"vanha",'TP2'!$X:$X,$Y$1,'TP2'!$AD:$AD,$X$9,'TP2'!$AF:$AF,Ohjaus!$Y$6,'TP2'!$Q:$Q,Ohjaus!$Y$4,'TP2'!$AG:$AG,Ohjaus!$Y$5,'TP2'!$AL:$AL,$AF$4,'TP2'!AN:AN,"P")</f>
        <v>0</v>
      </c>
      <c r="AG38" s="702">
        <f>SUMIFS('TP2'!$P:$P,'TP2'!$AI:$AI,$W$7,'TP2'!$R:$R,$X$9,'TP2'!$U:$U,Ohjaus!$AF38,'TP2'!$W:$W,Ohjaus!$X$8,'TP2'!$X:$X,Ohjaus!$X$6,'TP2'!$AD:$AD,$X$9,'TP2'!$AF:$AF,Ohjaus!$Y$6,'TP2'!$Q:$Q,Ohjaus!$Y$4,'TP2'!$AG:$AG,Ohjaus!$Y$5,'TP2'!AL:AL,$AF$4,'TP2'!AN:AN,"P")</f>
        <v>0</v>
      </c>
      <c r="AH38" s="697">
        <f>SUMIFS('TP2'!$P:$P,'TP2'!$AI:$AI,$Y$2,'TP2'!$R:$R,$X$9,'TP2'!$U:$U,Ohjaus!$AF38,'TP2'!$W:$W,Ohjaus!$X$8,'TP2'!$X:$X,$Y$1,'TP2'!$AD:$AD,$X$9,'TP2'!$AF:$AF,Ohjaus!$Y$6,'TP2'!$Q:$Q,Ohjaus!$Y$4,'TP2'!$AG:$AG,Ohjaus!$Y$5,'TP2'!$AL:$AL,$AF$4,'TP2'!$V:$V,Ohjaus!$X$7,'TP2'!AN:AN,"P")</f>
        <v>0</v>
      </c>
      <c r="AI38" s="697">
        <f>SUMIFS('TP2'!$P:$P,'TP2'!$AI:$AI,$Y$2,'TP2'!$R:$R,$X$9,'TP2'!$U:$U,Ohjaus!$AF38,'TP2'!$W:$W,Ohjaus!$X$8,'TP2'!$X:$X,$Y$1,'TP2'!$AD:$AD,$X$9,'TP2'!$AF:$AF,Ohjaus!$Y$6,'TP2'!$Q:$Q,Ohjaus!$Y$4,'TP2'!$AG:$AG,Ohjaus!$Y$5,'TP2'!$AL:$AL,$AF$4,'TP2'!$V:$V,Ohjaus!$Y$7,'TP2'!AN:AN,"P")</f>
        <v>0</v>
      </c>
      <c r="AJ38" s="697">
        <f>SUMIFS('TP2'!$P:$P,'TP2'!$AI:$AI,$Y$2,'TP2'!$R:$R,$X$9,'TP2'!$U:$U,Ohjaus!$AF38,'TP2'!$W:$W,"vanha",'TP2'!$X:$X,$Y$1,'TP2'!$AD:$AD,$X$9,'TP2'!$AF:$AF,Ohjaus!$Y$6,'TP2'!$Q:$Q,Ohjaus!$Y$4,'TP2'!$AG:$AG,Ohjaus!$Y$5,'TP2'!$AL:$AL,$AF$4,'TP2'!AN:AN,"P")</f>
        <v>0</v>
      </c>
      <c r="AO38" s="707"/>
      <c r="AP38" s="708" t="s">
        <v>1067</v>
      </c>
      <c r="AQ38" s="708" t="s">
        <v>1067</v>
      </c>
      <c r="AR38" t="s">
        <v>1065</v>
      </c>
    </row>
    <row r="39" spans="1:49" x14ac:dyDescent="0.25">
      <c r="A39" s="1078"/>
      <c r="B39" s="696" t="s">
        <v>1068</v>
      </c>
      <c r="C39" s="697">
        <f>SUMIFS('TP2'!$P:$P,'TP2'!$AI:$AI,$Y$2,'TP2'!$R:$R,$X$9,'TP2'!$U:$U,Ohjaus!$T39,'TP2'!$W:$W,Ohjaus!$X$8,'TP2'!$X:$X,$Y$1,'TP2'!$AD:$AD,$X$9,'TP2'!$AF:$AF,Ohjaus!$Y$6,'TP2'!$Q:$Q,Ohjaus!$Y$4,'TP2'!$AG:$AG,Ohjaus!$Y$5,'TP2'!AL:AL,$AF$4,'TP2'!AN:AN,"P")+V39+AG39</f>
        <v>0</v>
      </c>
      <c r="D39" s="698">
        <f t="shared" si="5"/>
        <v>0</v>
      </c>
      <c r="E39" s="697">
        <f>SUMIFS('TP2'!$P:$P,'TP2'!$AI:$AI,$Y$2,'TP2'!$R:$R,$X$9,'TP2'!$U:$U,Ohjaus!$T39,'TP2'!$W:$W,Ohjaus!$X$8,'TP2'!$X:$X,$Y$1,'TP2'!$AD:$AD,$X$9,'TP2'!$AF:$AF,Ohjaus!$Y$6,'TP2'!$Q:$Q,Ohjaus!$Y$4,'TP2'!$AG:$AG,Ohjaus!$Y$5,'TP2'!$AL:$AL,$AF$4,'TP2'!$V:$V,Ohjaus!$X$7,'TP2'!AN:AN,"P")+W39+AH39</f>
        <v>0</v>
      </c>
      <c r="F39" s="697">
        <f>SUMIFS('TP2'!$P:$P,'TP2'!$AI:$AI,$Y$2,'TP2'!$R:$R,$X$9,'TP2'!$U:$U,Ohjaus!$T39,'TP2'!$W:$W,Ohjaus!$X$8,'TP2'!$X:$X,$Y$1,'TP2'!$AD:$AD,$X$9,'TP2'!$AF:$AF,Ohjaus!$Y$6,'TP2'!$Q:$Q,Ohjaus!$Y$4,'TP2'!$AG:$AG,Ohjaus!$Y$5,'TP2'!$AL:$AL,$AF$4,'TP2'!$V:$V,Ohjaus!$Y$7,'TP2'!AN:AN,"P")+X39+AI39</f>
        <v>0</v>
      </c>
      <c r="G39" s="697">
        <f>SUMIFS('TP2'!$P:$P,'TP2'!$AI:$AI,$Y$2,'TP2'!$R:$R,$X$9,'TP2'!$U:$U,Ohjaus!$T39,'TP2'!$W:$W,"vanha",'TP2'!$X:$X,$Y$1,'TP2'!$AD:$AD,$X$9,'TP2'!$AF:$AF,Ohjaus!$Y$6,'TP2'!$Q:$Q,Ohjaus!$Y$4,'TP2'!$AG:$AG,Ohjaus!$Y$5,'TP2'!$AL:$AL,$AF$4,'TP2'!AN:AN,"P")+Z39+AK39</f>
        <v>0</v>
      </c>
      <c r="H39" s="699"/>
      <c r="I39" s="700"/>
      <c r="J39" s="701">
        <f>SUMIFS('TP2'!$P:$P,'TP2'!$AI:$AI,$Y$2,'TP2'!$R:$R,$X$9,'TP2'!$U:$U,Ohjaus!$T39,'TP2'!$W:$W,Ohjaus!$X$8,'TP2'!$X:$X,$Y$1,'TP2'!$AD:$AD,$X$9,'TP2'!$AF:$AF,Ohjaus!$Y$6,'TP2'!$Q:$Q,Ohjaus!$Y$4,'TP2'!$AG:$AG,Ohjaus!$Y$5,'TP2'!$AL:$AL,$AF$4,'TP2'!$Z:$Z,1,'TP2'!AN:AN,"P")</f>
        <v>0</v>
      </c>
      <c r="K39" s="702">
        <f>SUMIFS('TP2'!$P:$P,'TP2'!$AI:$AI,$Y$2,'TP2'!$R:$R,$X$9,'TP2'!$U:$U,Ohjaus!$T39,'TP2'!$W:$W,Ohjaus!$X$8,'TP2'!$X:$X,$Y$1,'TP2'!$AD:$AD,$X$9,'TP2'!$AF:$AF,Ohjaus!$Y$6,'TP2'!$Q:$Q,Ohjaus!$Y$4,'TP2'!$AG:$AG,Ohjaus!$Y$5,'TP2'!$AL:$AL,$AF$4,'TP2'!$O:$O,$Z$3,'TP2'!AN:AN,"P")</f>
        <v>0</v>
      </c>
      <c r="L39" s="702">
        <f>SUMIFS('TP2'!$P:$P,'TP2'!$AI:$AI,$Y$2,'TP2'!$R:$R,$X$9,'TP2'!$U:$U,Ohjaus!$T39,'TP2'!$W:$W,Ohjaus!$X$8,'TP2'!$X:$X,$Y$1,'TP2'!$AD:$AD,$X$9,'TP2'!$AF:$AF,Ohjaus!$Y$6,'TP2'!$Q:$Q,Ohjaus!$Y$4,'TP2'!$AG:$AG,Ohjaus!$Y$5,'TP2'!$AL:$AL,$AF$4,'TP2'!$K:$K,$Z$6,'TP2'!AN:AN,"P")</f>
        <v>0</v>
      </c>
      <c r="M39" s="702">
        <f>SUMIFS('TP2'!$P:$P,'TP2'!$AI:$AI,$Y$2,'TP2'!$R:$R,$X$9,'TP2'!$U:$U,Ohjaus!$T39,'TP2'!$W:$W,Ohjaus!$X$8,'TP2'!$X:$X,$Y$1,'TP2'!$AD:$AD,$X$9,'TP2'!$AF:$AF,Ohjaus!$Y$6,'TP2'!$Q:$Q,Ohjaus!$Y$4,'TP2'!$AG:$AG,Ohjaus!$Y$5,'TP2'!$AL:$AL,$AF$4,'TP2'!$K:$K,$Z$7,'TP2'!AN:AN,"P")</f>
        <v>0</v>
      </c>
      <c r="N39" s="702">
        <f>SUMIFS('TP2'!$P:$P,'TP2'!$AI:$AI,$Y$2,'TP2'!$R:$R,$X$9,'TP2'!$U:$U,Ohjaus!$T39,'TP2'!$W:$W,Ohjaus!$X$8,'TP2'!$X:$X,$Y$1,'TP2'!$AD:$AD,$X$9,'TP2'!$AF:$AF,Ohjaus!$Y$6,'TP2'!$Q:$Q,Ohjaus!$Y$4,'TP2'!$AG:$AG,Ohjaus!$Y$5,'TP2'!$AL:$AL,$AF$4,'TP2'!$K:$K,$Z$8,'TP2'!AN:AN,"P")</f>
        <v>0</v>
      </c>
      <c r="O39" s="702">
        <f>SUMIFS('TP2'!$P:$P,'TP2'!$AI:$AI,$Y$2,'TP2'!$R:$R,$X$9,'TP2'!$U:$U,Ohjaus!$T39,'TP2'!$W:$W,Ohjaus!$X$8,'TP2'!$X:$X,$Y$1,'TP2'!$AD:$AD,$X$9,'TP2'!$AF:$AF,Ohjaus!$Y$6,'TP2'!$Q:$Q,Ohjaus!$Y$4,'TP2'!$AG:$AG,Ohjaus!$Y$5,'TP2'!$AL:$AL,$AF$4,'TP2'!$K:$K,$Z$5,'TP2'!AN:AN,"P")</f>
        <v>0</v>
      </c>
      <c r="T39" t="s">
        <v>1069</v>
      </c>
      <c r="U39" s="709" t="s">
        <v>1070</v>
      </c>
      <c r="V39" s="702">
        <f>SUMIFS('TP2'!$P:$P,'TP2'!$AI:$AI,$Y$2,'TP2'!$R:$R,$X$9,'TP2'!$U:$U,Ohjaus!$U39,'TP2'!$W:$W,Ohjaus!$X$8,'TP2'!$X:$X,$Y$1,'TP2'!$AD:$AD,$X$9,'TP2'!$AF:$AF,Ohjaus!$Y$6,'TP2'!$Q:$Q,Ohjaus!$Y$4,'TP2'!$AG:$AG,Ohjaus!$Y$5,'TP2'!AL:AL,$AF$4,'TP2'!AN:AN,"P")</f>
        <v>0</v>
      </c>
      <c r="W39" s="697">
        <f>SUMIFS('TP2'!$P:$P,'TP2'!$AI:$AI,$Y$2,'TP2'!$R:$R,$X$9,'TP2'!$U:$U,Ohjaus!$U39,'TP2'!$W:$W,Ohjaus!$X$8,'TP2'!$X:$X,$Y$1,'TP2'!$AD:$AD,$X$9,'TP2'!$AF:$AF,Ohjaus!$Y$6,'TP2'!$Q:$Q,Ohjaus!$Y$4,'TP2'!$AG:$AG,Ohjaus!$Y$5,'TP2'!$AL:$AL,$AF$4,'TP2'!$V:$V,Ohjaus!$X$7,'TP2'!AN:AN,"P")</f>
        <v>0</v>
      </c>
      <c r="X39" s="697">
        <f>SUMIFS('TP2'!$P:$P,'TP2'!$AI:$AI,$Y$2,'TP2'!$R:$R,$X$9,'TP2'!$U:$U,Ohjaus!$U39,'TP2'!$W:$W,Ohjaus!$X$8,'TP2'!$X:$X,$Y$1,'TP2'!$AD:$AD,$X$9,'TP2'!$AF:$AF,Ohjaus!$Y$6,'TP2'!$Q:$Q,Ohjaus!$Y$4,'TP2'!$AG:$AG,Ohjaus!$Y$5,'TP2'!$AL:$AL,$AF$4,'TP2'!$V:$V,Ohjaus!$Y$7,'TP2'!AN:AN,"P")</f>
        <v>0</v>
      </c>
      <c r="Y39" s="697">
        <f>SUMIFS('TP2'!$P:$P,'TP2'!$AI:$AI,$Y$2,'TP2'!$R:$R,$X$9,'TP2'!$U:$U,Ohjaus!$U39,'TP2'!$W:$W,"vanha",'TP2'!$X:$X,$Y$1,'TP2'!$AD:$AD,$X$9,'TP2'!$AF:$AF,Ohjaus!$Y$6,'TP2'!$Q:$Q,Ohjaus!$Y$4,'TP2'!$AG:$AG,Ohjaus!$Y$5,'TP2'!$AL:$AL,$AF$4,'TP2'!AN:AN,"P")</f>
        <v>0</v>
      </c>
      <c r="AG39" s="702">
        <f>SUMIFS('TP2'!$P:$P,'TP2'!$AI:$AI,$W$7,'TP2'!$R:$R,$X$9,'TP2'!$U:$U,Ohjaus!$AF39,'TP2'!$W:$W,Ohjaus!$X$8,'TP2'!$X:$X,Ohjaus!$X$6,'TP2'!$AD:$AD,$X$9,'TP2'!$AF:$AF,Ohjaus!$Y$6,'TP2'!$Q:$Q,Ohjaus!$Y$4,'TP2'!$AG:$AG,Ohjaus!$Y$5,'TP2'!AL:AL,$AF$4,'TP2'!AN:AN,"P")</f>
        <v>0</v>
      </c>
      <c r="AH39" s="697">
        <f>SUMIFS('TP2'!$P:$P,'TP2'!$AI:$AI,$Y$2,'TP2'!$R:$R,$X$9,'TP2'!$U:$U,Ohjaus!$AF39,'TP2'!$W:$W,Ohjaus!$X$8,'TP2'!$X:$X,$Y$1,'TP2'!$AD:$AD,$X$9,'TP2'!$AF:$AF,Ohjaus!$Y$6,'TP2'!$Q:$Q,Ohjaus!$Y$4,'TP2'!$AG:$AG,Ohjaus!$Y$5,'TP2'!$AL:$AL,$AF$4,'TP2'!$V:$V,Ohjaus!$X$7,'TP2'!AN:AN,"P")</f>
        <v>0</v>
      </c>
      <c r="AI39" s="697">
        <f>SUMIFS('TP2'!$P:$P,'TP2'!$AI:$AI,$Y$2,'TP2'!$R:$R,$X$9,'TP2'!$U:$U,Ohjaus!$AF39,'TP2'!$W:$W,Ohjaus!$X$8,'TP2'!$X:$X,$Y$1,'TP2'!$AD:$AD,$X$9,'TP2'!$AF:$AF,Ohjaus!$Y$6,'TP2'!$Q:$Q,Ohjaus!$Y$4,'TP2'!$AG:$AG,Ohjaus!$Y$5,'TP2'!$AL:$AL,$AF$4,'TP2'!$V:$V,Ohjaus!$Y$7,'TP2'!AN:AN,"P")</f>
        <v>0</v>
      </c>
      <c r="AJ39" s="697">
        <f>SUMIFS('TP2'!$P:$P,'TP2'!$AI:$AI,$Y$2,'TP2'!$R:$R,$X$9,'TP2'!$U:$U,Ohjaus!$AF39,'TP2'!$W:$W,"vanha",'TP2'!$X:$X,$Y$1,'TP2'!$AD:$AD,$X$9,'TP2'!$AF:$AF,Ohjaus!$Y$6,'TP2'!$Q:$Q,Ohjaus!$Y$4,'TP2'!$AG:$AG,Ohjaus!$Y$5,'TP2'!$AL:$AL,$AF$4,'TP2'!AN:AN,"P")</f>
        <v>0</v>
      </c>
      <c r="AO39" s="704" t="s">
        <v>986</v>
      </c>
      <c r="AP39" s="705" t="s">
        <v>1071</v>
      </c>
      <c r="AQ39" s="705" t="s">
        <v>1072</v>
      </c>
      <c r="AR39" t="s">
        <v>1069</v>
      </c>
    </row>
    <row r="40" spans="1:49" x14ac:dyDescent="0.25">
      <c r="A40" s="1078"/>
      <c r="B40" s="696" t="s">
        <v>1073</v>
      </c>
      <c r="C40" s="697">
        <f>SUMIFS('TP2'!$P:$P,'TP2'!$AI:$AI,$Y$2,'TP2'!$R:$R,$X$9,'TP2'!$U:$U,Ohjaus!$T40,'TP2'!$W:$W,Ohjaus!$X$8,'TP2'!$X:$X,$Y$1,'TP2'!$AD:$AD,$X$9,'TP2'!$AF:$AF,Ohjaus!$Y$6,'TP2'!$Q:$Q,Ohjaus!$Y$4,'TP2'!$AG:$AG,Ohjaus!$Y$5,'TP2'!AL:AL,$AF$4,'TP2'!AN:AN,"P")+V40+AG40</f>
        <v>0</v>
      </c>
      <c r="D40" s="698">
        <f t="shared" si="5"/>
        <v>0</v>
      </c>
      <c r="E40" s="697">
        <f>SUMIFS('TP2'!$P:$P,'TP2'!$AI:$AI,$Y$2,'TP2'!$R:$R,$X$9,'TP2'!$U:$U,Ohjaus!$T40,'TP2'!$W:$W,Ohjaus!$X$8,'TP2'!$X:$X,$Y$1,'TP2'!$AD:$AD,$X$9,'TP2'!$AF:$AF,Ohjaus!$Y$6,'TP2'!$Q:$Q,Ohjaus!$Y$4,'TP2'!$AG:$AG,Ohjaus!$Y$5,'TP2'!$AL:$AL,$AF$4,'TP2'!$V:$V,Ohjaus!$X$7,'TP2'!AN:AN,"P")+W40+AH40</f>
        <v>0</v>
      </c>
      <c r="F40" s="697">
        <f>SUMIFS('TP2'!$P:$P,'TP2'!$AI:$AI,$Y$2,'TP2'!$R:$R,$X$9,'TP2'!$U:$U,Ohjaus!$T40,'TP2'!$W:$W,Ohjaus!$X$8,'TP2'!$X:$X,$Y$1,'TP2'!$AD:$AD,$X$9,'TP2'!$AF:$AF,Ohjaus!$Y$6,'TP2'!$Q:$Q,Ohjaus!$Y$4,'TP2'!$AG:$AG,Ohjaus!$Y$5,'TP2'!$AL:$AL,$AF$4,'TP2'!$V:$V,Ohjaus!$Y$7,'TP2'!AN:AN,"P")+X40+AI40</f>
        <v>0</v>
      </c>
      <c r="G40" s="697">
        <f>SUMIFS('TP2'!$P:$P,'TP2'!$AI:$AI,$Y$2,'TP2'!$R:$R,$X$9,'TP2'!$U:$U,Ohjaus!$T40,'TP2'!$W:$W,"vanha",'TP2'!$X:$X,$Y$1,'TP2'!$AD:$AD,$X$9,'TP2'!$AF:$AF,Ohjaus!$Y$6,'TP2'!$Q:$Q,Ohjaus!$Y$4,'TP2'!$AG:$AG,Ohjaus!$Y$5,'TP2'!$AL:$AL,$AF$4,'TP2'!AN:AN,"P")+Z40+AK40</f>
        <v>0</v>
      </c>
      <c r="H40" s="699"/>
      <c r="I40" s="700"/>
      <c r="J40" s="701">
        <f>SUMIFS('TP2'!$P:$P,'TP2'!$AI:$AI,$Y$2,'TP2'!$R:$R,$X$9,'TP2'!$U:$U,Ohjaus!$T40,'TP2'!$W:$W,Ohjaus!$X$8,'TP2'!$X:$X,$Y$1,'TP2'!$AD:$AD,$X$9,'TP2'!$AF:$AF,Ohjaus!$Y$6,'TP2'!$Q:$Q,Ohjaus!$Y$4,'TP2'!$AG:$AG,Ohjaus!$Y$5,'TP2'!$AL:$AL,$AF$4,'TP2'!$Z:$Z,1,'TP2'!AN:AN,"P")</f>
        <v>0</v>
      </c>
      <c r="K40" s="702">
        <f>SUMIFS('TP2'!$P:$P,'TP2'!$AI:$AI,$Y$2,'TP2'!$R:$R,$X$9,'TP2'!$U:$U,Ohjaus!$T40,'TP2'!$W:$W,Ohjaus!$X$8,'TP2'!$X:$X,$Y$1,'TP2'!$AD:$AD,$X$9,'TP2'!$AF:$AF,Ohjaus!$Y$6,'TP2'!$Q:$Q,Ohjaus!$Y$4,'TP2'!$AG:$AG,Ohjaus!$Y$5,'TP2'!$AL:$AL,$AF$4,'TP2'!$O:$O,$Z$3,'TP2'!AN:AN,"P")</f>
        <v>0</v>
      </c>
      <c r="L40" s="702">
        <f>SUMIFS('TP2'!$P:$P,'TP2'!$AI:$AI,$Y$2,'TP2'!$R:$R,$X$9,'TP2'!$U:$U,Ohjaus!$T40,'TP2'!$W:$W,Ohjaus!$X$8,'TP2'!$X:$X,$Y$1,'TP2'!$AD:$AD,$X$9,'TP2'!$AF:$AF,Ohjaus!$Y$6,'TP2'!$Q:$Q,Ohjaus!$Y$4,'TP2'!$AG:$AG,Ohjaus!$Y$5,'TP2'!$AL:$AL,$AF$4,'TP2'!$K:$K,$Z$6,'TP2'!AN:AN,"P")</f>
        <v>0</v>
      </c>
      <c r="M40" s="702">
        <f>SUMIFS('TP2'!$P:$P,'TP2'!$AI:$AI,$Y$2,'TP2'!$R:$R,$X$9,'TP2'!$U:$U,Ohjaus!$T40,'TP2'!$W:$W,Ohjaus!$X$8,'TP2'!$X:$X,$Y$1,'TP2'!$AD:$AD,$X$9,'TP2'!$AF:$AF,Ohjaus!$Y$6,'TP2'!$Q:$Q,Ohjaus!$Y$4,'TP2'!$AG:$AG,Ohjaus!$Y$5,'TP2'!$AL:$AL,$AF$4,'TP2'!$K:$K,$Z$7,'TP2'!AN:AN,"P")</f>
        <v>0</v>
      </c>
      <c r="N40" s="702">
        <f>SUMIFS('TP2'!$P:$P,'TP2'!$AI:$AI,$Y$2,'TP2'!$R:$R,$X$9,'TP2'!$U:$U,Ohjaus!$T40,'TP2'!$W:$W,Ohjaus!$X$8,'TP2'!$X:$X,$Y$1,'TP2'!$AD:$AD,$X$9,'TP2'!$AF:$AF,Ohjaus!$Y$6,'TP2'!$Q:$Q,Ohjaus!$Y$4,'TP2'!$AG:$AG,Ohjaus!$Y$5,'TP2'!$AL:$AL,$AF$4,'TP2'!$K:$K,$Z$8,'TP2'!AN:AN,"P")</f>
        <v>0</v>
      </c>
      <c r="O40" s="702">
        <f>SUMIFS('TP2'!$P:$P,'TP2'!$AI:$AI,$Y$2,'TP2'!$R:$R,$X$9,'TP2'!$U:$U,Ohjaus!$T40,'TP2'!$W:$W,Ohjaus!$X$8,'TP2'!$X:$X,$Y$1,'TP2'!$AD:$AD,$X$9,'TP2'!$AF:$AF,Ohjaus!$Y$6,'TP2'!$Q:$Q,Ohjaus!$Y$4,'TP2'!$AG:$AG,Ohjaus!$Y$5,'TP2'!$AL:$AL,$AF$4,'TP2'!$K:$K,$Z$5,'TP2'!AN:AN,"P")</f>
        <v>0</v>
      </c>
      <c r="T40" t="s">
        <v>1074</v>
      </c>
      <c r="U40" s="709" t="s">
        <v>1075</v>
      </c>
      <c r="V40" s="702">
        <f>SUMIFS('TP2'!$P:$P,'TP2'!$AI:$AI,$Y$2,'TP2'!$R:$R,$X$9,'TP2'!$U:$U,Ohjaus!$U40,'TP2'!$W:$W,Ohjaus!$X$8,'TP2'!$X:$X,$Y$1,'TP2'!$AD:$AD,$X$9,'TP2'!$AF:$AF,Ohjaus!$Y$6,'TP2'!$Q:$Q,Ohjaus!$Y$4,'TP2'!$AG:$AG,Ohjaus!$Y$5,'TP2'!AL:AL,$AF$4,'TP2'!AN:AN,"P")</f>
        <v>0</v>
      </c>
      <c r="W40" s="697">
        <f>SUMIFS('TP2'!$P:$P,'TP2'!$AI:$AI,$Y$2,'TP2'!$R:$R,$X$9,'TP2'!$U:$U,Ohjaus!$U40,'TP2'!$W:$W,Ohjaus!$X$8,'TP2'!$X:$X,$Y$1,'TP2'!$AD:$AD,$X$9,'TP2'!$AF:$AF,Ohjaus!$Y$6,'TP2'!$Q:$Q,Ohjaus!$Y$4,'TP2'!$AG:$AG,Ohjaus!$Y$5,'TP2'!$AL:$AL,$AF$4,'TP2'!$V:$V,Ohjaus!$X$7,'TP2'!AN:AN,"P")</f>
        <v>0</v>
      </c>
      <c r="X40" s="697">
        <f>SUMIFS('TP2'!$P:$P,'TP2'!$AI:$AI,$Y$2,'TP2'!$R:$R,$X$9,'TP2'!$U:$U,Ohjaus!$U40,'TP2'!$W:$W,Ohjaus!$X$8,'TP2'!$X:$X,$Y$1,'TP2'!$AD:$AD,$X$9,'TP2'!$AF:$AF,Ohjaus!$Y$6,'TP2'!$Q:$Q,Ohjaus!$Y$4,'TP2'!$AG:$AG,Ohjaus!$Y$5,'TP2'!$AL:$AL,$AF$4,'TP2'!$V:$V,Ohjaus!$Y$7,'TP2'!AN:AN,"P")</f>
        <v>0</v>
      </c>
      <c r="Y40" s="697">
        <f>SUMIFS('TP2'!$P:$P,'TP2'!$AI:$AI,$Y$2,'TP2'!$R:$R,$X$9,'TP2'!$U:$U,Ohjaus!$U40,'TP2'!$W:$W,"vanha",'TP2'!$X:$X,$Y$1,'TP2'!$AD:$AD,$X$9,'TP2'!$AF:$AF,Ohjaus!$Y$6,'TP2'!$Q:$Q,Ohjaus!$Y$4,'TP2'!$AG:$AG,Ohjaus!$Y$5,'TP2'!$AL:$AL,$AF$4,'TP2'!AN:AN,"P")</f>
        <v>0</v>
      </c>
      <c r="AG40" s="702">
        <f>SUMIFS('TP2'!$P:$P,'TP2'!$AI:$AI,$W$7,'TP2'!$R:$R,$X$9,'TP2'!$U:$U,Ohjaus!$AF40,'TP2'!$W:$W,Ohjaus!$X$8,'TP2'!$X:$X,Ohjaus!$X$6,'TP2'!$AD:$AD,$X$9,'TP2'!$AF:$AF,Ohjaus!$Y$6,'TP2'!$Q:$Q,Ohjaus!$Y$4,'TP2'!$AG:$AG,Ohjaus!$Y$5,'TP2'!AL:AL,$AF$4,'TP2'!AN:AN,"P")</f>
        <v>0</v>
      </c>
      <c r="AH40" s="697">
        <f>SUMIFS('TP2'!$P:$P,'TP2'!$AI:$AI,$Y$2,'TP2'!$R:$R,$X$9,'TP2'!$U:$U,Ohjaus!$AF40,'TP2'!$W:$W,Ohjaus!$X$8,'TP2'!$X:$X,$Y$1,'TP2'!$AD:$AD,$X$9,'TP2'!$AF:$AF,Ohjaus!$Y$6,'TP2'!$Q:$Q,Ohjaus!$Y$4,'TP2'!$AG:$AG,Ohjaus!$Y$5,'TP2'!$AL:$AL,$AF$4,'TP2'!$V:$V,Ohjaus!$X$7,'TP2'!AN:AN,"P")</f>
        <v>0</v>
      </c>
      <c r="AI40" s="697">
        <f>SUMIFS('TP2'!$P:$P,'TP2'!$AI:$AI,$Y$2,'TP2'!$R:$R,$X$9,'TP2'!$U:$U,Ohjaus!$AF40,'TP2'!$W:$W,Ohjaus!$X$8,'TP2'!$X:$X,$Y$1,'TP2'!$AD:$AD,$X$9,'TP2'!$AF:$AF,Ohjaus!$Y$6,'TP2'!$Q:$Q,Ohjaus!$Y$4,'TP2'!$AG:$AG,Ohjaus!$Y$5,'TP2'!$AL:$AL,$AF$4,'TP2'!$V:$V,Ohjaus!$Y$7,'TP2'!AN:AN,"P")</f>
        <v>0</v>
      </c>
      <c r="AJ40" s="697">
        <f>SUMIFS('TP2'!$P:$P,'TP2'!$AI:$AI,$Y$2,'TP2'!$R:$R,$X$9,'TP2'!$U:$U,Ohjaus!$AF40,'TP2'!$W:$W,"vanha",'TP2'!$X:$X,$Y$1,'TP2'!$AD:$AD,$X$9,'TP2'!$AF:$AF,Ohjaus!$Y$6,'TP2'!$Q:$Q,Ohjaus!$Y$4,'TP2'!$AG:$AG,Ohjaus!$Y$5,'TP2'!$AL:$AL,$AF$4,'TP2'!AN:AN,"P")</f>
        <v>0</v>
      </c>
      <c r="AO40" s="704" t="s">
        <v>986</v>
      </c>
      <c r="AP40" s="705" t="s">
        <v>1076</v>
      </c>
      <c r="AQ40" s="705" t="s">
        <v>1077</v>
      </c>
      <c r="AR40" t="s">
        <v>1074</v>
      </c>
    </row>
    <row r="41" spans="1:49" x14ac:dyDescent="0.25">
      <c r="A41" s="1078"/>
      <c r="B41" s="696" t="s">
        <v>1078</v>
      </c>
      <c r="C41" s="697">
        <f>SUMIFS('TP2'!$P:$P,'TP2'!$AI:$AI,$Y$2,'TP2'!$R:$R,$X$9,'TP2'!$U:$U,Ohjaus!$T41,'TP2'!$W:$W,Ohjaus!$X$8,'TP2'!$X:$X,$Y$1,'TP2'!$AD:$AD,$X$9,'TP2'!$AF:$AF,Ohjaus!$Y$6,'TP2'!$Q:$Q,Ohjaus!$Y$4,'TP2'!$AG:$AG,Ohjaus!$Y$5,'TP2'!AL:AL,$AF$4,'TP2'!AN:AN,"P")+V41+AG41</f>
        <v>0</v>
      </c>
      <c r="D41" s="698">
        <f t="shared" si="5"/>
        <v>0</v>
      </c>
      <c r="E41" s="697">
        <f>SUMIFS('TP2'!$P:$P,'TP2'!$AI:$AI,$Y$2,'TP2'!$R:$R,$X$9,'TP2'!$U:$U,Ohjaus!$T41,'TP2'!$W:$W,Ohjaus!$X$8,'TP2'!$X:$X,$Y$1,'TP2'!$AD:$AD,$X$9,'TP2'!$AF:$AF,Ohjaus!$Y$6,'TP2'!$Q:$Q,Ohjaus!$Y$4,'TP2'!$AG:$AG,Ohjaus!$Y$5,'TP2'!$AL:$AL,$AF$4,'TP2'!$V:$V,Ohjaus!$X$7,'TP2'!AN:AN,"P")+W41+AH41</f>
        <v>0</v>
      </c>
      <c r="F41" s="697">
        <f>SUMIFS('TP2'!$P:$P,'TP2'!$AI:$AI,$Y$2,'TP2'!$R:$R,$X$9,'TP2'!$U:$U,Ohjaus!$T41,'TP2'!$W:$W,Ohjaus!$X$8,'TP2'!$X:$X,$Y$1,'TP2'!$AD:$AD,$X$9,'TP2'!$AF:$AF,Ohjaus!$Y$6,'TP2'!$Q:$Q,Ohjaus!$Y$4,'TP2'!$AG:$AG,Ohjaus!$Y$5,'TP2'!$AL:$AL,$AF$4,'TP2'!$V:$V,Ohjaus!$Y$7,'TP2'!AN:AN,"P")+X41+AI41</f>
        <v>0</v>
      </c>
      <c r="G41" s="697">
        <f>SUMIFS('TP2'!$P:$P,'TP2'!$AI:$AI,$Y$2,'TP2'!$R:$R,$X$9,'TP2'!$U:$U,Ohjaus!$T41,'TP2'!$W:$W,"vanha",'TP2'!$X:$X,$Y$1,'TP2'!$AD:$AD,$X$9,'TP2'!$AF:$AF,Ohjaus!$Y$6,'TP2'!$Q:$Q,Ohjaus!$Y$4,'TP2'!$AG:$AG,Ohjaus!$Y$5,'TP2'!$AL:$AL,$AF$4,'TP2'!AN:AN,"P")+Z41+AK41</f>
        <v>0</v>
      </c>
      <c r="H41" s="699"/>
      <c r="I41" s="700"/>
      <c r="J41" s="701">
        <f>SUMIFS('TP2'!$P:$P,'TP2'!$AI:$AI,$Y$2,'TP2'!$R:$R,$X$9,'TP2'!$U:$U,Ohjaus!$T41,'TP2'!$W:$W,Ohjaus!$X$8,'TP2'!$X:$X,$Y$1,'TP2'!$AD:$AD,$X$9,'TP2'!$AF:$AF,Ohjaus!$Y$6,'TP2'!$Q:$Q,Ohjaus!$Y$4,'TP2'!$AG:$AG,Ohjaus!$Y$5,'TP2'!$AL:$AL,$AF$4,'TP2'!$Z:$Z,1,'TP2'!AN:AN,"P")</f>
        <v>0</v>
      </c>
      <c r="K41" s="702">
        <f>SUMIFS('TP2'!$P:$P,'TP2'!$AI:$AI,$Y$2,'TP2'!$R:$R,$X$9,'TP2'!$U:$U,Ohjaus!$T41,'TP2'!$W:$W,Ohjaus!$X$8,'TP2'!$X:$X,$Y$1,'TP2'!$AD:$AD,$X$9,'TP2'!$AF:$AF,Ohjaus!$Y$6,'TP2'!$Q:$Q,Ohjaus!$Y$4,'TP2'!$AG:$AG,Ohjaus!$Y$5,'TP2'!$AL:$AL,$AF$4,'TP2'!$O:$O,$Z$3,'TP2'!AN:AN,"P")</f>
        <v>0</v>
      </c>
      <c r="L41" s="702">
        <f>SUMIFS('TP2'!$P:$P,'TP2'!$AI:$AI,$Y$2,'TP2'!$R:$R,$X$9,'TP2'!$U:$U,Ohjaus!$T41,'TP2'!$W:$W,Ohjaus!$X$8,'TP2'!$X:$X,$Y$1,'TP2'!$AD:$AD,$X$9,'TP2'!$AF:$AF,Ohjaus!$Y$6,'TP2'!$Q:$Q,Ohjaus!$Y$4,'TP2'!$AG:$AG,Ohjaus!$Y$5,'TP2'!$AL:$AL,$AF$4,'TP2'!$K:$K,$Z$6,'TP2'!AN:AN,"P")</f>
        <v>0</v>
      </c>
      <c r="M41" s="702">
        <f>SUMIFS('TP2'!$P:$P,'TP2'!$AI:$AI,$Y$2,'TP2'!$R:$R,$X$9,'TP2'!$U:$U,Ohjaus!$T41,'TP2'!$W:$W,Ohjaus!$X$8,'TP2'!$X:$X,$Y$1,'TP2'!$AD:$AD,$X$9,'TP2'!$AF:$AF,Ohjaus!$Y$6,'TP2'!$Q:$Q,Ohjaus!$Y$4,'TP2'!$AG:$AG,Ohjaus!$Y$5,'TP2'!$AL:$AL,$AF$4,'TP2'!$K:$K,$Z$7,'TP2'!AN:AN,"P")</f>
        <v>0</v>
      </c>
      <c r="N41" s="702">
        <f>SUMIFS('TP2'!$P:$P,'TP2'!$AI:$AI,$Y$2,'TP2'!$R:$R,$X$9,'TP2'!$U:$U,Ohjaus!$T41,'TP2'!$W:$W,Ohjaus!$X$8,'TP2'!$X:$X,$Y$1,'TP2'!$AD:$AD,$X$9,'TP2'!$AF:$AF,Ohjaus!$Y$6,'TP2'!$Q:$Q,Ohjaus!$Y$4,'TP2'!$AG:$AG,Ohjaus!$Y$5,'TP2'!$AL:$AL,$AF$4,'TP2'!$K:$K,$Z$8,'TP2'!AN:AN,"P")</f>
        <v>0</v>
      </c>
      <c r="O41" s="702">
        <f>SUMIFS('TP2'!$P:$P,'TP2'!$AI:$AI,$Y$2,'TP2'!$R:$R,$X$9,'TP2'!$U:$U,Ohjaus!$T41,'TP2'!$W:$W,Ohjaus!$X$8,'TP2'!$X:$X,$Y$1,'TP2'!$AD:$AD,$X$9,'TP2'!$AF:$AF,Ohjaus!$Y$6,'TP2'!$Q:$Q,Ohjaus!$Y$4,'TP2'!$AG:$AG,Ohjaus!$Y$5,'TP2'!$AL:$AL,$AF$4,'TP2'!$K:$K,$Z$5,'TP2'!AN:AN,"P")</f>
        <v>0</v>
      </c>
      <c r="T41" s="706" t="s">
        <v>1079</v>
      </c>
      <c r="U41" s="709" t="s">
        <v>1080</v>
      </c>
      <c r="V41" s="702">
        <f>SUMIFS('TP2'!$P:$P,'TP2'!$AI:$AI,$Y$2,'TP2'!$R:$R,$X$9,'TP2'!$U:$U,Ohjaus!$U41,'TP2'!$W:$W,Ohjaus!$X$8,'TP2'!$X:$X,$Y$1,'TP2'!$AD:$AD,$X$9,'TP2'!$AF:$AF,Ohjaus!$Y$6,'TP2'!$Q:$Q,Ohjaus!$Y$4,'TP2'!$AG:$AG,Ohjaus!$Y$5,'TP2'!AL:AL,$AF$4,'TP2'!AN:AN,"P")</f>
        <v>0</v>
      </c>
      <c r="W41" s="697">
        <f>SUMIFS('TP2'!$P:$P,'TP2'!$AI:$AI,$Y$2,'TP2'!$R:$R,$X$9,'TP2'!$U:$U,Ohjaus!$U41,'TP2'!$W:$W,Ohjaus!$X$8,'TP2'!$X:$X,$Y$1,'TP2'!$AD:$AD,$X$9,'TP2'!$AF:$AF,Ohjaus!$Y$6,'TP2'!$Q:$Q,Ohjaus!$Y$4,'TP2'!$AG:$AG,Ohjaus!$Y$5,'TP2'!$AL:$AL,$AF$4,'TP2'!$V:$V,Ohjaus!$X$7,'TP2'!AN:AN,"P")</f>
        <v>0</v>
      </c>
      <c r="X41" s="697">
        <f>SUMIFS('TP2'!$P:$P,'TP2'!$AI:$AI,$Y$2,'TP2'!$R:$R,$X$9,'TP2'!$U:$U,Ohjaus!$U41,'TP2'!$W:$W,Ohjaus!$X$8,'TP2'!$X:$X,$Y$1,'TP2'!$AD:$AD,$X$9,'TP2'!$AF:$AF,Ohjaus!$Y$6,'TP2'!$Q:$Q,Ohjaus!$Y$4,'TP2'!$AG:$AG,Ohjaus!$Y$5,'TP2'!$AL:$AL,$AF$4,'TP2'!$V:$V,Ohjaus!$Y$7,'TP2'!AN:AN,"P")</f>
        <v>0</v>
      </c>
      <c r="Y41" s="697">
        <f>SUMIFS('TP2'!$P:$P,'TP2'!$AI:$AI,$Y$2,'TP2'!$R:$R,$X$9,'TP2'!$U:$U,Ohjaus!$U41,'TP2'!$W:$W,"vanha",'TP2'!$X:$X,$Y$1,'TP2'!$AD:$AD,$X$9,'TP2'!$AF:$AF,Ohjaus!$Y$6,'TP2'!$Q:$Q,Ohjaus!$Y$4,'TP2'!$AG:$AG,Ohjaus!$Y$5,'TP2'!$AL:$AL,$AF$4,'TP2'!AN:AN,"P")</f>
        <v>0</v>
      </c>
      <c r="AF41" s="709" t="s">
        <v>1081</v>
      </c>
      <c r="AG41" s="702">
        <f>SUMIFS('TP2'!$P:$P,'TP2'!$AI:$AI,$W$7,'TP2'!$R:$R,$X$9,'TP2'!$U:$U,Ohjaus!$AF41,'TP2'!$W:$W,Ohjaus!$X$8,'TP2'!$X:$X,Ohjaus!$X$6,'TP2'!$AD:$AD,$X$9,'TP2'!$AF:$AF,Ohjaus!$Y$6,'TP2'!$Q:$Q,Ohjaus!$Y$4,'TP2'!$AG:$AG,Ohjaus!$Y$5,'TP2'!AL:AL,$AF$4,'TP2'!AN:AN,"P")</f>
        <v>0</v>
      </c>
      <c r="AH41" s="697">
        <f>SUMIFS('TP2'!$P:$P,'TP2'!$AI:$AI,$Y$2,'TP2'!$R:$R,$X$9,'TP2'!$U:$U,Ohjaus!$AF41,'TP2'!$W:$W,Ohjaus!$X$8,'TP2'!$X:$X,$Y$1,'TP2'!$AD:$AD,$X$9,'TP2'!$AF:$AF,Ohjaus!$Y$6,'TP2'!$Q:$Q,Ohjaus!$Y$4,'TP2'!$AG:$AG,Ohjaus!$Y$5,'TP2'!$AL:$AL,$AF$4,'TP2'!$V:$V,Ohjaus!$X$7,'TP2'!AN:AN,"P")</f>
        <v>0</v>
      </c>
      <c r="AI41" s="697">
        <f>SUMIFS('TP2'!$P:$P,'TP2'!$AI:$AI,$Y$2,'TP2'!$R:$R,$X$9,'TP2'!$U:$U,Ohjaus!$AF41,'TP2'!$W:$W,Ohjaus!$X$8,'TP2'!$X:$X,$Y$1,'TP2'!$AD:$AD,$X$9,'TP2'!$AF:$AF,Ohjaus!$Y$6,'TP2'!$Q:$Q,Ohjaus!$Y$4,'TP2'!$AG:$AG,Ohjaus!$Y$5,'TP2'!$AL:$AL,$AF$4,'TP2'!$V:$V,Ohjaus!$Y$7,'TP2'!AN:AN,"P")</f>
        <v>0</v>
      </c>
      <c r="AJ41" s="697">
        <f>SUMIFS('TP2'!$P:$P,'TP2'!$AI:$AI,$Y$2,'TP2'!$R:$R,$X$9,'TP2'!$U:$U,Ohjaus!$AF41,'TP2'!$W:$W,"vanha",'TP2'!$X:$X,$Y$1,'TP2'!$AD:$AD,$X$9,'TP2'!$AF:$AF,Ohjaus!$Y$6,'TP2'!$Q:$Q,Ohjaus!$Y$4,'TP2'!$AG:$AG,Ohjaus!$Y$5,'TP2'!$AL:$AL,$AF$4,'TP2'!AN:AN,"P")</f>
        <v>0</v>
      </c>
      <c r="AO41" s="707"/>
      <c r="AP41" s="708" t="s">
        <v>1078</v>
      </c>
      <c r="AQ41" s="708" t="s">
        <v>1078</v>
      </c>
      <c r="AR41" t="s">
        <v>1079</v>
      </c>
      <c r="AS41" s="710" t="s">
        <v>1082</v>
      </c>
      <c r="AT41" s="711" t="s">
        <v>1083</v>
      </c>
      <c r="AU41" s="711" t="s">
        <v>1083</v>
      </c>
      <c r="AV41" s="710" t="s">
        <v>1082</v>
      </c>
      <c r="AW41" s="711" t="s">
        <v>1084</v>
      </c>
    </row>
    <row r="42" spans="1:49" x14ac:dyDescent="0.25">
      <c r="A42" s="1098"/>
      <c r="B42" s="696" t="s">
        <v>1085</v>
      </c>
      <c r="C42" s="697">
        <f>SUMIFS('TP2'!$P:$P,'TP2'!$AI:$AI,$Y$2,'TP2'!$R:$R,$X$9,'TP2'!$U:$U,Ohjaus!$T42,'TP2'!$W:$W,Ohjaus!$X$8,'TP2'!$X:$X,$Y$1,'TP2'!$AD:$AD,$X$9,'TP2'!$AF:$AF,Ohjaus!$Y$6,'TP2'!$Q:$Q,Ohjaus!$Y$4,'TP2'!$AG:$AG,Ohjaus!$Y$5,'TP2'!AL:AL,$AF$4,'TP2'!AN:AN,"P")+V42+AG42</f>
        <v>0</v>
      </c>
      <c r="D42" s="698">
        <f t="shared" si="5"/>
        <v>0</v>
      </c>
      <c r="E42" s="697">
        <f>SUMIFS('TP2'!$P:$P,'TP2'!$AI:$AI,$Y$2,'TP2'!$R:$R,$X$9,'TP2'!$U:$U,Ohjaus!$T42,'TP2'!$W:$W,Ohjaus!$X$8,'TP2'!$X:$X,$Y$1,'TP2'!$AD:$AD,$X$9,'TP2'!$AF:$AF,Ohjaus!$Y$6,'TP2'!$Q:$Q,Ohjaus!$Y$4,'TP2'!$AG:$AG,Ohjaus!$Y$5,'TP2'!$AL:$AL,$AF$4,'TP2'!$V:$V,Ohjaus!$X$7,'TP2'!AN:AN,"P")+W42+AH42</f>
        <v>0</v>
      </c>
      <c r="F42" s="697">
        <f>SUMIFS('TP2'!$P:$P,'TP2'!$AI:$AI,$Y$2,'TP2'!$R:$R,$X$9,'TP2'!$U:$U,Ohjaus!$T42,'TP2'!$W:$W,Ohjaus!$X$8,'TP2'!$X:$X,$Y$1,'TP2'!$AD:$AD,$X$9,'TP2'!$AF:$AF,Ohjaus!$Y$6,'TP2'!$Q:$Q,Ohjaus!$Y$4,'TP2'!$AG:$AG,Ohjaus!$Y$5,'TP2'!$AL:$AL,$AF$4,'TP2'!$V:$V,Ohjaus!$Y$7,'TP2'!AN:AN,"P")+X42+AI42</f>
        <v>0</v>
      </c>
      <c r="G42" s="697">
        <f>SUMIFS('TP2'!$P:$P,'TP2'!$AI:$AI,$Y$2,'TP2'!$R:$R,$X$9,'TP2'!$U:$U,Ohjaus!$T42,'TP2'!$W:$W,"vanha",'TP2'!$X:$X,$Y$1,'TP2'!$AD:$AD,$X$9,'TP2'!$AF:$AF,Ohjaus!$Y$6,'TP2'!$Q:$Q,Ohjaus!$Y$4,'TP2'!$AG:$AG,Ohjaus!$Y$5,'TP2'!$AL:$AL,$AF$4,'TP2'!AN:AN,"P")+Z42+AK42</f>
        <v>0</v>
      </c>
      <c r="H42" s="699"/>
      <c r="I42" s="700"/>
      <c r="J42" s="701">
        <f>SUMIFS('TP2'!$P:$P,'TP2'!$AI:$AI,$Y$2,'TP2'!$R:$R,$X$9,'TP2'!$U:$U,Ohjaus!$T42,'TP2'!$W:$W,Ohjaus!$X$8,'TP2'!$X:$X,$Y$1,'TP2'!$AD:$AD,$X$9,'TP2'!$AF:$AF,Ohjaus!$Y$6,'TP2'!$Q:$Q,Ohjaus!$Y$4,'TP2'!$AG:$AG,Ohjaus!$Y$5,'TP2'!$AL:$AL,$AF$4,'TP2'!$Z:$Z,1,'TP2'!AN:AN,"P")</f>
        <v>0</v>
      </c>
      <c r="K42" s="702">
        <f>SUMIFS('TP2'!$P:$P,'TP2'!$AI:$AI,$Y$2,'TP2'!$R:$R,$X$9,'TP2'!$U:$U,Ohjaus!$T42,'TP2'!$W:$W,Ohjaus!$X$8,'TP2'!$X:$X,$Y$1,'TP2'!$AD:$AD,$X$9,'TP2'!$AF:$AF,Ohjaus!$Y$6,'TP2'!$Q:$Q,Ohjaus!$Y$4,'TP2'!$AG:$AG,Ohjaus!$Y$5,'TP2'!$AL:$AL,$AF$4,'TP2'!$O:$O,$Z$3,'TP2'!AN:AN,"P")</f>
        <v>0</v>
      </c>
      <c r="L42" s="702">
        <f>SUMIFS('TP2'!$P:$P,'TP2'!$AI:$AI,$Y$2,'TP2'!$R:$R,$X$9,'TP2'!$U:$U,Ohjaus!$T42,'TP2'!$W:$W,Ohjaus!$X$8,'TP2'!$X:$X,$Y$1,'TP2'!$AD:$AD,$X$9,'TP2'!$AF:$AF,Ohjaus!$Y$6,'TP2'!$Q:$Q,Ohjaus!$Y$4,'TP2'!$AG:$AG,Ohjaus!$Y$5,'TP2'!$AL:$AL,$AF$4,'TP2'!$K:$K,$Z$6,'TP2'!AN:AN,"P")</f>
        <v>0</v>
      </c>
      <c r="M42" s="702">
        <f>SUMIFS('TP2'!$P:$P,'TP2'!$AI:$AI,$Y$2,'TP2'!$R:$R,$X$9,'TP2'!$U:$U,Ohjaus!$T42,'TP2'!$W:$W,Ohjaus!$X$8,'TP2'!$X:$X,$Y$1,'TP2'!$AD:$AD,$X$9,'TP2'!$AF:$AF,Ohjaus!$Y$6,'TP2'!$Q:$Q,Ohjaus!$Y$4,'TP2'!$AG:$AG,Ohjaus!$Y$5,'TP2'!$AL:$AL,$AF$4,'TP2'!$K:$K,$Z$7,'TP2'!AN:AN,"P")</f>
        <v>0</v>
      </c>
      <c r="N42" s="702">
        <f>SUMIFS('TP2'!$P:$P,'TP2'!$AI:$AI,$Y$2,'TP2'!$R:$R,$X$9,'TP2'!$U:$U,Ohjaus!$T42,'TP2'!$W:$W,Ohjaus!$X$8,'TP2'!$X:$X,$Y$1,'TP2'!$AD:$AD,$X$9,'TP2'!$AF:$AF,Ohjaus!$Y$6,'TP2'!$Q:$Q,Ohjaus!$Y$4,'TP2'!$AG:$AG,Ohjaus!$Y$5,'TP2'!$AL:$AL,$AF$4,'TP2'!$K:$K,$Z$8,'TP2'!AN:AN,"P")</f>
        <v>0</v>
      </c>
      <c r="O42" s="702">
        <f>SUMIFS('TP2'!$P:$P,'TP2'!$AI:$AI,$Y$2,'TP2'!$R:$R,$X$9,'TP2'!$U:$U,Ohjaus!$T42,'TP2'!$W:$W,Ohjaus!$X$8,'TP2'!$X:$X,$Y$1,'TP2'!$AD:$AD,$X$9,'TP2'!$AF:$AF,Ohjaus!$Y$6,'TP2'!$Q:$Q,Ohjaus!$Y$4,'TP2'!$AG:$AG,Ohjaus!$Y$5,'TP2'!$AL:$AL,$AF$4,'TP2'!$K:$K,$Z$5,'TP2'!AN:AN,"P")</f>
        <v>0</v>
      </c>
      <c r="T42" t="s">
        <v>1086</v>
      </c>
      <c r="V42" s="702">
        <f>SUMIFS('TP2'!$P:$P,'TP2'!$AI:$AI,$Y$2,'TP2'!$R:$R,$X$9,'TP2'!$U:$U,Ohjaus!$U42,'TP2'!$W:$W,Ohjaus!$X$8,'TP2'!$X:$X,$Y$1,'TP2'!$AD:$AD,$X$9,'TP2'!$AF:$AF,Ohjaus!$Y$6,'TP2'!$Q:$Q,Ohjaus!$Y$4,'TP2'!$AG:$AG,Ohjaus!$Y$5,'TP2'!AL:AL,$AF$4,'TP2'!AN:AN,"P")</f>
        <v>0</v>
      </c>
      <c r="W42" s="697">
        <f>SUMIFS('TP2'!$P:$P,'TP2'!$AI:$AI,$Y$2,'TP2'!$R:$R,$X$9,'TP2'!$U:$U,Ohjaus!$U42,'TP2'!$W:$W,Ohjaus!$X$8,'TP2'!$X:$X,$Y$1,'TP2'!$AD:$AD,$X$9,'TP2'!$AF:$AF,Ohjaus!$Y$6,'TP2'!$Q:$Q,Ohjaus!$Y$4,'TP2'!$AG:$AG,Ohjaus!$Y$5,'TP2'!$AL:$AL,$AF$4,'TP2'!$V:$V,Ohjaus!$X$7,'TP2'!AN:AN,"P")</f>
        <v>0</v>
      </c>
      <c r="X42" s="697">
        <f>SUMIFS('TP2'!$P:$P,'TP2'!$AI:$AI,$Y$2,'TP2'!$R:$R,$X$9,'TP2'!$U:$U,Ohjaus!$U42,'TP2'!$W:$W,Ohjaus!$X$8,'TP2'!$X:$X,$Y$1,'TP2'!$AD:$AD,$X$9,'TP2'!$AF:$AF,Ohjaus!$Y$6,'TP2'!$Q:$Q,Ohjaus!$Y$4,'TP2'!$AG:$AG,Ohjaus!$Y$5,'TP2'!$AL:$AL,$AF$4,'TP2'!$V:$V,Ohjaus!$Y$7,'TP2'!AN:AN,"P")</f>
        <v>0</v>
      </c>
      <c r="Y42" s="697">
        <f>SUMIFS('TP2'!$P:$P,'TP2'!$AI:$AI,$Y$2,'TP2'!$R:$R,$X$9,'TP2'!$U:$U,Ohjaus!$U42,'TP2'!$W:$W,"vanha",'TP2'!$X:$X,$Y$1,'TP2'!$AD:$AD,$X$9,'TP2'!$AF:$AF,Ohjaus!$Y$6,'TP2'!$Q:$Q,Ohjaus!$Y$4,'TP2'!$AG:$AG,Ohjaus!$Y$5,'TP2'!$AL:$AL,$AF$4,'TP2'!AN:AN,"P")</f>
        <v>0</v>
      </c>
      <c r="AG42" s="702">
        <f>SUMIFS('TP2'!$P:$P,'TP2'!$AI:$AI,$W$7,'TP2'!$R:$R,$X$9,'TP2'!$U:$U,Ohjaus!$AF42,'TP2'!$W:$W,Ohjaus!$X$8,'TP2'!$X:$X,Ohjaus!$X$6,'TP2'!$AD:$AD,$X$9,'TP2'!$AF:$AF,Ohjaus!$Y$6,'TP2'!$Q:$Q,Ohjaus!$Y$4,'TP2'!$AG:$AG,Ohjaus!$Y$5,'TP2'!AL:AL,$AF$4,'TP2'!AN:AN,"P")</f>
        <v>0</v>
      </c>
      <c r="AH42" s="697">
        <f>SUMIFS('TP2'!$P:$P,'TP2'!$AI:$AI,$Y$2,'TP2'!$R:$R,$X$9,'TP2'!$U:$U,Ohjaus!$AF42,'TP2'!$W:$W,Ohjaus!$X$8,'TP2'!$X:$X,$Y$1,'TP2'!$AD:$AD,$X$9,'TP2'!$AF:$AF,Ohjaus!$Y$6,'TP2'!$Q:$Q,Ohjaus!$Y$4,'TP2'!$AG:$AG,Ohjaus!$Y$5,'TP2'!$AL:$AL,$AF$4,'TP2'!$V:$V,Ohjaus!$X$7,'TP2'!AN:AN,"P")</f>
        <v>0</v>
      </c>
      <c r="AI42" s="697">
        <f>SUMIFS('TP2'!$P:$P,'TP2'!$AI:$AI,$Y$2,'TP2'!$R:$R,$X$9,'TP2'!$U:$U,Ohjaus!$AF42,'TP2'!$W:$W,Ohjaus!$X$8,'TP2'!$X:$X,$Y$1,'TP2'!$AD:$AD,$X$9,'TP2'!$AF:$AF,Ohjaus!$Y$6,'TP2'!$Q:$Q,Ohjaus!$Y$4,'TP2'!$AG:$AG,Ohjaus!$Y$5,'TP2'!$AL:$AL,$AF$4,'TP2'!$V:$V,Ohjaus!$Y$7,'TP2'!AN:AN,"P")</f>
        <v>0</v>
      </c>
      <c r="AJ42" s="697">
        <f>SUMIFS('TP2'!$P:$P,'TP2'!$AI:$AI,$Y$2,'TP2'!$R:$R,$X$9,'TP2'!$U:$U,Ohjaus!$AF42,'TP2'!$W:$W,"vanha",'TP2'!$X:$X,$Y$1,'TP2'!$AD:$AD,$X$9,'TP2'!$AF:$AF,Ohjaus!$Y$6,'TP2'!$Q:$Q,Ohjaus!$Y$4,'TP2'!$AG:$AG,Ohjaus!$Y$5,'TP2'!$AL:$AL,$AF$4,'TP2'!AN:AN,"P")</f>
        <v>0</v>
      </c>
      <c r="AO42" s="725" t="s">
        <v>1055</v>
      </c>
      <c r="AP42" s="726" t="s">
        <v>1087</v>
      </c>
      <c r="AQ42" s="726"/>
      <c r="AR42" t="s">
        <v>1086</v>
      </c>
    </row>
    <row r="43" spans="1:49" x14ac:dyDescent="0.25">
      <c r="A43" s="687"/>
      <c r="B43" s="688" t="str">
        <f>A44</f>
        <v>Nuoriso- ja vapaa-ajantoiminta ja 3.sektori</v>
      </c>
      <c r="C43" s="692">
        <f>SUM(C44:C48)</f>
        <v>0</v>
      </c>
      <c r="D43" s="692"/>
      <c r="E43" s="692"/>
      <c r="F43" s="692"/>
      <c r="G43" s="692"/>
      <c r="H43" s="690"/>
      <c r="I43" s="691"/>
      <c r="J43" s="690">
        <f t="shared" ref="J43:O43" si="6">SUM(J44:J48)</f>
        <v>0</v>
      </c>
      <c r="K43" s="692">
        <f t="shared" si="6"/>
        <v>0</v>
      </c>
      <c r="L43" s="692">
        <f t="shared" si="6"/>
        <v>0</v>
      </c>
      <c r="M43" s="692">
        <f t="shared" si="6"/>
        <v>0</v>
      </c>
      <c r="N43" s="692">
        <f t="shared" si="6"/>
        <v>0</v>
      </c>
      <c r="O43" s="691">
        <f t="shared" si="6"/>
        <v>0</v>
      </c>
      <c r="T43" s="693"/>
      <c r="V43" s="702">
        <f>SUMIFS('TP2'!$P:$P,'TP2'!$AI:$AI,$Y$2,'TP2'!$R:$R,$X$9,'TP2'!$U:$U,Ohjaus!$U43,'TP2'!$W:$W,Ohjaus!$X$8,'TP2'!$X:$X,$Y$1,'TP2'!$AD:$AD,$X$9,'TP2'!$AF:$AF,Ohjaus!$Y$6,'TP2'!$Q:$Q,Ohjaus!$Y$4,'TP2'!$AG:$AG,Ohjaus!$Y$5,'TP2'!AL:AL,$AF$4,'TP2'!AN:AN,"P")</f>
        <v>0</v>
      </c>
      <c r="W43" s="697">
        <f>SUMIFS('TP2'!$P:$P,'TP2'!$AI:$AI,$Y$2,'TP2'!$R:$R,$X$9,'TP2'!$U:$U,Ohjaus!$U43,'TP2'!$W:$W,Ohjaus!$X$8,'TP2'!$X:$X,$Y$1,'TP2'!$AD:$AD,$X$9,'TP2'!$AF:$AF,Ohjaus!$Y$6,'TP2'!$Q:$Q,Ohjaus!$Y$4,'TP2'!$AG:$AG,Ohjaus!$Y$5,'TP2'!$AL:$AL,$AF$4,'TP2'!$V:$V,Ohjaus!$X$7,'TP2'!AN:AN,"P")</f>
        <v>0</v>
      </c>
      <c r="X43" s="697">
        <f>SUMIFS('TP2'!$P:$P,'TP2'!$AI:$AI,$Y$2,'TP2'!$R:$R,$X$9,'TP2'!$U:$U,Ohjaus!$U43,'TP2'!$W:$W,Ohjaus!$X$8,'TP2'!$X:$X,$Y$1,'TP2'!$AD:$AD,$X$9,'TP2'!$AF:$AF,Ohjaus!$Y$6,'TP2'!$Q:$Q,Ohjaus!$Y$4,'TP2'!$AG:$AG,Ohjaus!$Y$5,'TP2'!$AL:$AL,$AF$4,'TP2'!$V:$V,Ohjaus!$Y$7,'TP2'!AN:AN,"P")</f>
        <v>0</v>
      </c>
      <c r="Y43" s="697">
        <f>SUMIFS('TP2'!$P:$P,'TP2'!$AI:$AI,$Y$2,'TP2'!$R:$R,$X$9,'TP2'!$U:$U,Ohjaus!$U43,'TP2'!$W:$W,"vanha",'TP2'!$X:$X,$Y$1,'TP2'!$AD:$AD,$X$9,'TP2'!$AF:$AF,Ohjaus!$Y$6,'TP2'!$Q:$Q,Ohjaus!$Y$4,'TP2'!$AG:$AG,Ohjaus!$Y$5,'TP2'!$AL:$AL,$AF$4,'TP2'!AN:AN,"P")</f>
        <v>0</v>
      </c>
      <c r="AG43" s="702">
        <f>SUMIFS('TP2'!$P:$P,'TP2'!$AI:$AI,$W$7,'TP2'!$R:$R,$X$9,'TP2'!$U:$U,Ohjaus!$AF43,'TP2'!$W:$W,Ohjaus!$X$8,'TP2'!$X:$X,Ohjaus!$X$6,'TP2'!$AD:$AD,$X$9,'TP2'!$AF:$AF,Ohjaus!$Y$6,'TP2'!$Q:$Q,Ohjaus!$Y$4,'TP2'!$AG:$AG,Ohjaus!$Y$5,'TP2'!AL:AL,$AF$4,'TP2'!AN:AN,"P")</f>
        <v>0</v>
      </c>
      <c r="AH43" s="697">
        <f>SUMIFS('TP2'!$P:$P,'TP2'!$AI:$AI,$Y$2,'TP2'!$R:$R,$X$9,'TP2'!$U:$U,Ohjaus!$AF43,'TP2'!$W:$W,Ohjaus!$X$8,'TP2'!$X:$X,$Y$1,'TP2'!$AD:$AD,$X$9,'TP2'!$AF:$AF,Ohjaus!$Y$6,'TP2'!$Q:$Q,Ohjaus!$Y$4,'TP2'!$AG:$AG,Ohjaus!$Y$5,'TP2'!$AL:$AL,$AF$4,'TP2'!$V:$V,Ohjaus!$X$7,'TP2'!AN:AN,"P")</f>
        <v>0</v>
      </c>
      <c r="AI43" s="697">
        <f>SUMIFS('TP2'!$P:$P,'TP2'!$AI:$AI,$Y$2,'TP2'!$R:$R,$X$9,'TP2'!$U:$U,Ohjaus!$AF43,'TP2'!$W:$W,Ohjaus!$X$8,'TP2'!$X:$X,$Y$1,'TP2'!$AD:$AD,$X$9,'TP2'!$AF:$AF,Ohjaus!$Y$6,'TP2'!$Q:$Q,Ohjaus!$Y$4,'TP2'!$AG:$AG,Ohjaus!$Y$5,'TP2'!$AL:$AL,$AF$4,'TP2'!$V:$V,Ohjaus!$Y$7,'TP2'!AN:AN,"P")</f>
        <v>0</v>
      </c>
      <c r="AJ43" s="697">
        <f>SUMIFS('TP2'!$P:$P,'TP2'!$AI:$AI,$Y$2,'TP2'!$R:$R,$X$9,'TP2'!$U:$U,Ohjaus!$AF43,'TP2'!$W:$W,"vanha",'TP2'!$X:$X,$Y$1,'TP2'!$AD:$AD,$X$9,'TP2'!$AF:$AF,Ohjaus!$Y$6,'TP2'!$Q:$Q,Ohjaus!$Y$4,'TP2'!$AG:$AG,Ohjaus!$Y$5,'TP2'!$AL:$AL,$AF$4,'TP2'!AN:AN,"P")</f>
        <v>0</v>
      </c>
      <c r="AO43" s="721" t="s">
        <v>986</v>
      </c>
      <c r="AP43" s="722" t="s">
        <v>1088</v>
      </c>
      <c r="AQ43" s="722" t="s">
        <v>1089</v>
      </c>
    </row>
    <row r="44" spans="1:49" ht="14.45" customHeight="1" x14ac:dyDescent="0.25">
      <c r="A44" s="1099" t="s">
        <v>1088</v>
      </c>
      <c r="B44" s="696" t="s">
        <v>258</v>
      </c>
      <c r="C44" s="697">
        <f>SUMIFS('TP2'!$P:$P,'TP2'!$AI:$AI,$Y$2,'TP2'!$R:$R,$X$9,'TP2'!$U:$U,Ohjaus!$T44,'TP2'!$W:$W,Ohjaus!$X$8,'TP2'!$X:$X,$Y$1,'TP2'!$AD:$AD,$X$9,'TP2'!$AF:$AF,Ohjaus!$Y$6,'TP2'!$Q:$Q,Ohjaus!$Y$4,'TP2'!$AG:$AG,Ohjaus!$Y$5,'TP2'!AL:AL,$AF$4,'TP2'!AN:AN,"P")+V44+AG44</f>
        <v>0</v>
      </c>
      <c r="D44" s="698">
        <f t="shared" si="5"/>
        <v>0</v>
      </c>
      <c r="E44" s="697">
        <f>SUMIFS('TP2'!$P:$P,'TP2'!$AI:$AI,$Y$2,'TP2'!$R:$R,$X$9,'TP2'!$U:$U,Ohjaus!$T44,'TP2'!$W:$W,Ohjaus!$X$8,'TP2'!$X:$X,$Y$1,'TP2'!$AD:$AD,$X$9,'TP2'!$AF:$AF,Ohjaus!$Y$6,'TP2'!$Q:$Q,Ohjaus!$Y$4,'TP2'!$AG:$AG,Ohjaus!$Y$5,'TP2'!$AL:$AL,$AF$4,'TP2'!$V:$V,Ohjaus!$X$7,'TP2'!AN:AN,"P")+W44+AH44</f>
        <v>0</v>
      </c>
      <c r="F44" s="697">
        <f>SUMIFS('TP2'!$P:$P,'TP2'!$AI:$AI,$Y$2,'TP2'!$R:$R,$X$9,'TP2'!$U:$U,Ohjaus!$T44,'TP2'!$W:$W,Ohjaus!$X$8,'TP2'!$X:$X,$Y$1,'TP2'!$AD:$AD,$X$9,'TP2'!$AF:$AF,Ohjaus!$Y$6,'TP2'!$Q:$Q,Ohjaus!$Y$4,'TP2'!$AG:$AG,Ohjaus!$Y$5,'TP2'!$AL:$AL,$AF$4,'TP2'!$V:$V,Ohjaus!$Y$7,'TP2'!AN:AN,"P")+X44+AI44</f>
        <v>0</v>
      </c>
      <c r="G44" s="697">
        <f>SUMIFS('TP2'!$P:$P,'TP2'!$AI:$AI,$Y$2,'TP2'!$R:$R,$X$9,'TP2'!$U:$U,Ohjaus!$T44,'TP2'!$W:$W,"vanha",'TP2'!$X:$X,$Y$1,'TP2'!$AD:$AD,$X$9,'TP2'!$AF:$AF,Ohjaus!$Y$6,'TP2'!$Q:$Q,Ohjaus!$Y$4,'TP2'!$AG:$AG,Ohjaus!$Y$5,'TP2'!$AL:$AL,$AF$4,'TP2'!AN:AN,"P")+Z44+AK44</f>
        <v>0</v>
      </c>
      <c r="H44" s="699"/>
      <c r="I44" s="700"/>
      <c r="J44" s="701">
        <f>SUMIFS('TP2'!$P:$P,'TP2'!$AI:$AI,$Y$2,'TP2'!$R:$R,$X$9,'TP2'!$U:$U,Ohjaus!$T44,'TP2'!$W:$W,Ohjaus!$X$8,'TP2'!$X:$X,$Y$1,'TP2'!$AD:$AD,$X$9,'TP2'!$AF:$AF,Ohjaus!$Y$6,'TP2'!$Q:$Q,Ohjaus!$Y$4,'TP2'!$AG:$AG,Ohjaus!$Y$5,'TP2'!$AL:$AL,$AF$4,'TP2'!$Z:$Z,1,'TP2'!AN:AN,"P")</f>
        <v>0</v>
      </c>
      <c r="K44" s="702">
        <f>SUMIFS('TP2'!$P:$P,'TP2'!$AI:$AI,$Y$2,'TP2'!$R:$R,$X$9,'TP2'!$U:$U,Ohjaus!$T44,'TP2'!$W:$W,Ohjaus!$X$8,'TP2'!$X:$X,$Y$1,'TP2'!$AD:$AD,$X$9,'TP2'!$AF:$AF,Ohjaus!$Y$6,'TP2'!$Q:$Q,Ohjaus!$Y$4,'TP2'!$AG:$AG,Ohjaus!$Y$5,'TP2'!$AL:$AL,$AF$4,'TP2'!$O:$O,$Z$3,'TP2'!AN:AN,"P")</f>
        <v>0</v>
      </c>
      <c r="L44" s="702">
        <f>SUMIFS('TP2'!$P:$P,'TP2'!$AI:$AI,$Y$2,'TP2'!$R:$R,$X$9,'TP2'!$U:$U,Ohjaus!$T44,'TP2'!$W:$W,Ohjaus!$X$8,'TP2'!$X:$X,$Y$1,'TP2'!$AD:$AD,$X$9,'TP2'!$AF:$AF,Ohjaus!$Y$6,'TP2'!$Q:$Q,Ohjaus!$Y$4,'TP2'!$AG:$AG,Ohjaus!$Y$5,'TP2'!$AL:$AL,$AF$4,'TP2'!$K:$K,$Z$6,'TP2'!AN:AN,"P")</f>
        <v>0</v>
      </c>
      <c r="M44" s="702">
        <f>SUMIFS('TP2'!$P:$P,'TP2'!$AI:$AI,$Y$2,'TP2'!$R:$R,$X$9,'TP2'!$U:$U,Ohjaus!$T44,'TP2'!$W:$W,Ohjaus!$X$8,'TP2'!$X:$X,$Y$1,'TP2'!$AD:$AD,$X$9,'TP2'!$AF:$AF,Ohjaus!$Y$6,'TP2'!$Q:$Q,Ohjaus!$Y$4,'TP2'!$AG:$AG,Ohjaus!$Y$5,'TP2'!$AL:$AL,$AF$4,'TP2'!$K:$K,$Z$7,'TP2'!AN:AN,"P")</f>
        <v>0</v>
      </c>
      <c r="N44" s="702">
        <f>SUMIFS('TP2'!$P:$P,'TP2'!$AI:$AI,$Y$2,'TP2'!$R:$R,$X$9,'TP2'!$U:$U,Ohjaus!$T44,'TP2'!$W:$W,Ohjaus!$X$8,'TP2'!$X:$X,$Y$1,'TP2'!$AD:$AD,$X$9,'TP2'!$AF:$AF,Ohjaus!$Y$6,'TP2'!$Q:$Q,Ohjaus!$Y$4,'TP2'!$AG:$AG,Ohjaus!$Y$5,'TP2'!$AL:$AL,$AF$4,'TP2'!$K:$K,$Z$8,'TP2'!AN:AN,"P")</f>
        <v>0</v>
      </c>
      <c r="O44" s="702">
        <f>SUMIFS('TP2'!$P:$P,'TP2'!$AI:$AI,$Y$2,'TP2'!$R:$R,$X$9,'TP2'!$U:$U,Ohjaus!$T44,'TP2'!$W:$W,Ohjaus!$X$8,'TP2'!$X:$X,$Y$1,'TP2'!$AD:$AD,$X$9,'TP2'!$AF:$AF,Ohjaus!$Y$6,'TP2'!$Q:$Q,Ohjaus!$Y$4,'TP2'!$AG:$AG,Ohjaus!$Y$5,'TP2'!$AL:$AL,$AF$4,'TP2'!$K:$K,$Z$5,'TP2'!AN:AN,"P")</f>
        <v>0</v>
      </c>
      <c r="T44" s="693" t="s">
        <v>1090</v>
      </c>
      <c r="V44" s="702">
        <f>SUMIFS('TP2'!$P:$P,'TP2'!$AI:$AI,$Y$2,'TP2'!$R:$R,$X$9,'TP2'!$U:$U,Ohjaus!$U44,'TP2'!$W:$W,Ohjaus!$X$8,'TP2'!$X:$X,$Y$1,'TP2'!$AD:$AD,$X$9,'TP2'!$AF:$AF,Ohjaus!$Y$6,'TP2'!$Q:$Q,Ohjaus!$Y$4,'TP2'!$AG:$AG,Ohjaus!$Y$5,'TP2'!AL:AL,$AF$4,'TP2'!AN:AN,"P")</f>
        <v>0</v>
      </c>
      <c r="W44" s="697">
        <f>SUMIFS('TP2'!$P:$P,'TP2'!$AI:$AI,$Y$2,'TP2'!$R:$R,$X$9,'TP2'!$U:$U,Ohjaus!$U44,'TP2'!$W:$W,Ohjaus!$X$8,'TP2'!$X:$X,$Y$1,'TP2'!$AD:$AD,$X$9,'TP2'!$AF:$AF,Ohjaus!$Y$6,'TP2'!$Q:$Q,Ohjaus!$Y$4,'TP2'!$AG:$AG,Ohjaus!$Y$5,'TP2'!$AL:$AL,$AF$4,'TP2'!$V:$V,Ohjaus!$X$7,'TP2'!AN:AN,"P")</f>
        <v>0</v>
      </c>
      <c r="X44" s="697">
        <f>SUMIFS('TP2'!$P:$P,'TP2'!$AI:$AI,$Y$2,'TP2'!$R:$R,$X$9,'TP2'!$U:$U,Ohjaus!$U44,'TP2'!$W:$W,Ohjaus!$X$8,'TP2'!$X:$X,$Y$1,'TP2'!$AD:$AD,$X$9,'TP2'!$AF:$AF,Ohjaus!$Y$6,'TP2'!$Q:$Q,Ohjaus!$Y$4,'TP2'!$AG:$AG,Ohjaus!$Y$5,'TP2'!$AL:$AL,$AF$4,'TP2'!$V:$V,Ohjaus!$Y$7,'TP2'!AN:AN,"P")</f>
        <v>0</v>
      </c>
      <c r="Y44" s="697">
        <f>SUMIFS('TP2'!$P:$P,'TP2'!$AI:$AI,$Y$2,'TP2'!$R:$R,$X$9,'TP2'!$U:$U,Ohjaus!$U44,'TP2'!$W:$W,"vanha",'TP2'!$X:$X,$Y$1,'TP2'!$AD:$AD,$X$9,'TP2'!$AF:$AF,Ohjaus!$Y$6,'TP2'!$Q:$Q,Ohjaus!$Y$4,'TP2'!$AG:$AG,Ohjaus!$Y$5,'TP2'!$AL:$AL,$AF$4,'TP2'!AN:AN,"P")</f>
        <v>0</v>
      </c>
      <c r="AG44" s="702">
        <f>SUMIFS('TP2'!$P:$P,'TP2'!$AI:$AI,$W$7,'TP2'!$R:$R,$X$9,'TP2'!$U:$U,Ohjaus!$AF44,'TP2'!$W:$W,Ohjaus!$X$8,'TP2'!$X:$X,Ohjaus!$X$6,'TP2'!$AD:$AD,$X$9,'TP2'!$AF:$AF,Ohjaus!$Y$6,'TP2'!$Q:$Q,Ohjaus!$Y$4,'TP2'!$AG:$AG,Ohjaus!$Y$5,'TP2'!AL:AL,$AF$4,'TP2'!AN:AN,"P")</f>
        <v>0</v>
      </c>
      <c r="AH44" s="697">
        <f>SUMIFS('TP2'!$P:$P,'TP2'!$AI:$AI,$Y$2,'TP2'!$R:$R,$X$9,'TP2'!$U:$U,Ohjaus!$AF44,'TP2'!$W:$W,Ohjaus!$X$8,'TP2'!$X:$X,$Y$1,'TP2'!$AD:$AD,$X$9,'TP2'!$AF:$AF,Ohjaus!$Y$6,'TP2'!$Q:$Q,Ohjaus!$Y$4,'TP2'!$AG:$AG,Ohjaus!$Y$5,'TP2'!$AL:$AL,$AF$4,'TP2'!$V:$V,Ohjaus!$X$7,'TP2'!AN:AN,"P")</f>
        <v>0</v>
      </c>
      <c r="AI44" s="697">
        <f>SUMIFS('TP2'!$P:$P,'TP2'!$AI:$AI,$Y$2,'TP2'!$R:$R,$X$9,'TP2'!$U:$U,Ohjaus!$AF44,'TP2'!$W:$W,Ohjaus!$X$8,'TP2'!$X:$X,$Y$1,'TP2'!$AD:$AD,$X$9,'TP2'!$AF:$AF,Ohjaus!$Y$6,'TP2'!$Q:$Q,Ohjaus!$Y$4,'TP2'!$AG:$AG,Ohjaus!$Y$5,'TP2'!$AL:$AL,$AF$4,'TP2'!$V:$V,Ohjaus!$Y$7,'TP2'!AN:AN,"P")</f>
        <v>0</v>
      </c>
      <c r="AJ44" s="697">
        <f>SUMIFS('TP2'!$P:$P,'TP2'!$AI:$AI,$Y$2,'TP2'!$R:$R,$X$9,'TP2'!$U:$U,Ohjaus!$AF44,'TP2'!$W:$W,"vanha",'TP2'!$X:$X,$Y$1,'TP2'!$AD:$AD,$X$9,'TP2'!$AF:$AF,Ohjaus!$Y$6,'TP2'!$Q:$Q,Ohjaus!$Y$4,'TP2'!$AG:$AG,Ohjaus!$Y$5,'TP2'!$AL:$AL,$AF$4,'TP2'!AN:AN,"P")</f>
        <v>0</v>
      </c>
      <c r="AO44" s="707"/>
      <c r="AP44" s="708" t="s">
        <v>1091</v>
      </c>
      <c r="AQ44" s="708" t="s">
        <v>1091</v>
      </c>
      <c r="AR44" t="s">
        <v>1090</v>
      </c>
    </row>
    <row r="45" spans="1:49" ht="15" customHeight="1" x14ac:dyDescent="0.25">
      <c r="A45" s="1078"/>
      <c r="B45" s="696" t="s">
        <v>1092</v>
      </c>
      <c r="C45" s="697">
        <f>SUMIFS('TP2'!$P:$P,'TP2'!$AI:$AI,$Y$2,'TP2'!$R:$R,$X$9,'TP2'!$U:$U,Ohjaus!$T45,'TP2'!$W:$W,Ohjaus!$X$8,'TP2'!$X:$X,$Y$1,'TP2'!$AD:$AD,$X$9,'TP2'!$AF:$AF,Ohjaus!$Y$6,'TP2'!$Q:$Q,Ohjaus!$Y$4,'TP2'!$AG:$AG,Ohjaus!$Y$5,'TP2'!AL:AL,$AF$4,'TP2'!AN:AN,"P")+V45+AG45</f>
        <v>0</v>
      </c>
      <c r="D45" s="698">
        <f t="shared" si="5"/>
        <v>0</v>
      </c>
      <c r="E45" s="697">
        <f>SUMIFS('TP2'!$P:$P,'TP2'!$AI:$AI,$Y$2,'TP2'!$R:$R,$X$9,'TP2'!$U:$U,Ohjaus!$T45,'TP2'!$W:$W,Ohjaus!$X$8,'TP2'!$X:$X,$Y$1,'TP2'!$AD:$AD,$X$9,'TP2'!$AF:$AF,Ohjaus!$Y$6,'TP2'!$Q:$Q,Ohjaus!$Y$4,'TP2'!$AG:$AG,Ohjaus!$Y$5,'TP2'!$AL:$AL,$AF$4,'TP2'!$V:$V,Ohjaus!$X$7,'TP2'!AN:AN,"P")+W45+AH45</f>
        <v>0</v>
      </c>
      <c r="F45" s="697">
        <f>SUMIFS('TP2'!$P:$P,'TP2'!$AI:$AI,$Y$2,'TP2'!$R:$R,$X$9,'TP2'!$U:$U,Ohjaus!$T45,'TP2'!$W:$W,Ohjaus!$X$8,'TP2'!$X:$X,$Y$1,'TP2'!$AD:$AD,$X$9,'TP2'!$AF:$AF,Ohjaus!$Y$6,'TP2'!$Q:$Q,Ohjaus!$Y$4,'TP2'!$AG:$AG,Ohjaus!$Y$5,'TP2'!$AL:$AL,$AF$4,'TP2'!$V:$V,Ohjaus!$Y$7,'TP2'!AN:AN,"P")+X45+AI45</f>
        <v>0</v>
      </c>
      <c r="G45" s="697">
        <f>SUMIFS('TP2'!$P:$P,'TP2'!$AI:$AI,$Y$2,'TP2'!$R:$R,$X$9,'TP2'!$U:$U,Ohjaus!$T45,'TP2'!$W:$W,"vanha",'TP2'!$X:$X,$Y$1,'TP2'!$AD:$AD,$X$9,'TP2'!$AF:$AF,Ohjaus!$Y$6,'TP2'!$Q:$Q,Ohjaus!$Y$4,'TP2'!$AG:$AG,Ohjaus!$Y$5,'TP2'!$AL:$AL,$AF$4,'TP2'!AN:AN,"P")+Z45+AK45</f>
        <v>0</v>
      </c>
      <c r="H45" s="699"/>
      <c r="I45" s="700"/>
      <c r="J45" s="701">
        <f>SUMIFS('TP2'!$P:$P,'TP2'!$AI:$AI,$Y$2,'TP2'!$R:$R,$X$9,'TP2'!$U:$U,Ohjaus!$T45,'TP2'!$W:$W,Ohjaus!$X$8,'TP2'!$X:$X,$Y$1,'TP2'!$AD:$AD,$X$9,'TP2'!$AF:$AF,Ohjaus!$Y$6,'TP2'!$Q:$Q,Ohjaus!$Y$4,'TP2'!$AG:$AG,Ohjaus!$Y$5,'TP2'!$AL:$AL,$AF$4,'TP2'!$Z:$Z,1,'TP2'!AN:AN,"P")</f>
        <v>0</v>
      </c>
      <c r="K45" s="702">
        <f>SUMIFS('TP2'!$P:$P,'TP2'!$AI:$AI,$Y$2,'TP2'!$R:$R,$X$9,'TP2'!$U:$U,Ohjaus!$T45,'TP2'!$W:$W,Ohjaus!$X$8,'TP2'!$X:$X,$Y$1,'TP2'!$AD:$AD,$X$9,'TP2'!$AF:$AF,Ohjaus!$Y$6,'TP2'!$Q:$Q,Ohjaus!$Y$4,'TP2'!$AG:$AG,Ohjaus!$Y$5,'TP2'!$AL:$AL,$AF$4,'TP2'!$O:$O,$Z$3,'TP2'!AN:AN,"P")</f>
        <v>0</v>
      </c>
      <c r="L45" s="702">
        <f>SUMIFS('TP2'!$P:$P,'TP2'!$AI:$AI,$Y$2,'TP2'!$R:$R,$X$9,'TP2'!$U:$U,Ohjaus!$T45,'TP2'!$W:$W,Ohjaus!$X$8,'TP2'!$X:$X,$Y$1,'TP2'!$AD:$AD,$X$9,'TP2'!$AF:$AF,Ohjaus!$Y$6,'TP2'!$Q:$Q,Ohjaus!$Y$4,'TP2'!$AG:$AG,Ohjaus!$Y$5,'TP2'!$AL:$AL,$AF$4,'TP2'!$K:$K,$Z$6,'TP2'!AN:AN,"P")</f>
        <v>0</v>
      </c>
      <c r="M45" s="702">
        <f>SUMIFS('TP2'!$P:$P,'TP2'!$AI:$AI,$Y$2,'TP2'!$R:$R,$X$9,'TP2'!$U:$U,Ohjaus!$T45,'TP2'!$W:$W,Ohjaus!$X$8,'TP2'!$X:$X,$Y$1,'TP2'!$AD:$AD,$X$9,'TP2'!$AF:$AF,Ohjaus!$Y$6,'TP2'!$Q:$Q,Ohjaus!$Y$4,'TP2'!$AG:$AG,Ohjaus!$Y$5,'TP2'!$AL:$AL,$AF$4,'TP2'!$K:$K,$Z$7,'TP2'!AN:AN,"P")</f>
        <v>0</v>
      </c>
      <c r="N45" s="702">
        <f>SUMIFS('TP2'!$P:$P,'TP2'!$AI:$AI,$Y$2,'TP2'!$R:$R,$X$9,'TP2'!$U:$U,Ohjaus!$T45,'TP2'!$W:$W,Ohjaus!$X$8,'TP2'!$X:$X,$Y$1,'TP2'!$AD:$AD,$X$9,'TP2'!$AF:$AF,Ohjaus!$Y$6,'TP2'!$Q:$Q,Ohjaus!$Y$4,'TP2'!$AG:$AG,Ohjaus!$Y$5,'TP2'!$AL:$AL,$AF$4,'TP2'!$K:$K,$Z$8,'TP2'!AN:AN,"P")</f>
        <v>0</v>
      </c>
      <c r="O45" s="702">
        <f>SUMIFS('TP2'!$P:$P,'TP2'!$AI:$AI,$Y$2,'TP2'!$R:$R,$X$9,'TP2'!$U:$U,Ohjaus!$T45,'TP2'!$W:$W,Ohjaus!$X$8,'TP2'!$X:$X,$Y$1,'TP2'!$AD:$AD,$X$9,'TP2'!$AF:$AF,Ohjaus!$Y$6,'TP2'!$Q:$Q,Ohjaus!$Y$4,'TP2'!$AG:$AG,Ohjaus!$Y$5,'TP2'!$AL:$AL,$AF$4,'TP2'!$K:$K,$Z$5,'TP2'!AN:AN,"P")</f>
        <v>0</v>
      </c>
      <c r="T45" t="s">
        <v>1093</v>
      </c>
      <c r="V45" s="702">
        <f>SUMIFS('TP2'!$P:$P,'TP2'!$AI:$AI,$Y$2,'TP2'!$R:$R,$X$9,'TP2'!$U:$U,Ohjaus!$U45,'TP2'!$W:$W,Ohjaus!$X$8,'TP2'!$X:$X,$Y$1,'TP2'!$AD:$AD,$X$9,'TP2'!$AF:$AF,Ohjaus!$Y$6,'TP2'!$Q:$Q,Ohjaus!$Y$4,'TP2'!$AG:$AG,Ohjaus!$Y$5,'TP2'!AL:AL,$AF$4,'TP2'!AN:AN,"P")</f>
        <v>0</v>
      </c>
      <c r="W45" s="697">
        <f>SUMIFS('TP2'!$P:$P,'TP2'!$AI:$AI,$Y$2,'TP2'!$R:$R,$X$9,'TP2'!$U:$U,Ohjaus!$U45,'TP2'!$W:$W,Ohjaus!$X$8,'TP2'!$X:$X,$Y$1,'TP2'!$AD:$AD,$X$9,'TP2'!$AF:$AF,Ohjaus!$Y$6,'TP2'!$Q:$Q,Ohjaus!$Y$4,'TP2'!$AG:$AG,Ohjaus!$Y$5,'TP2'!$AL:$AL,$AF$4,'TP2'!$V:$V,Ohjaus!$X$7,'TP2'!AN:AN,"P")</f>
        <v>0</v>
      </c>
      <c r="X45" s="697">
        <f>SUMIFS('TP2'!$P:$P,'TP2'!$AI:$AI,$Y$2,'TP2'!$R:$R,$X$9,'TP2'!$U:$U,Ohjaus!$U45,'TP2'!$W:$W,Ohjaus!$X$8,'TP2'!$X:$X,$Y$1,'TP2'!$AD:$AD,$X$9,'TP2'!$AF:$AF,Ohjaus!$Y$6,'TP2'!$Q:$Q,Ohjaus!$Y$4,'TP2'!$AG:$AG,Ohjaus!$Y$5,'TP2'!$AL:$AL,$AF$4,'TP2'!$V:$V,Ohjaus!$Y$7,'TP2'!AN:AN,"P")</f>
        <v>0</v>
      </c>
      <c r="Y45" s="697">
        <f>SUMIFS('TP2'!$P:$P,'TP2'!$AI:$AI,$Y$2,'TP2'!$R:$R,$X$9,'TP2'!$U:$U,Ohjaus!$U45,'TP2'!$W:$W,"vanha",'TP2'!$X:$X,$Y$1,'TP2'!$AD:$AD,$X$9,'TP2'!$AF:$AF,Ohjaus!$Y$6,'TP2'!$Q:$Q,Ohjaus!$Y$4,'TP2'!$AG:$AG,Ohjaus!$Y$5,'TP2'!$AL:$AL,$AF$4,'TP2'!AN:AN,"P")</f>
        <v>0</v>
      </c>
      <c r="AG45" s="702">
        <f>SUMIFS('TP2'!$P:$P,'TP2'!$AI:$AI,$W$7,'TP2'!$R:$R,$X$9,'TP2'!$U:$U,Ohjaus!$AF45,'TP2'!$W:$W,Ohjaus!$X$8,'TP2'!$X:$X,Ohjaus!$X$6,'TP2'!$AD:$AD,$X$9,'TP2'!$AF:$AF,Ohjaus!$Y$6,'TP2'!$Q:$Q,Ohjaus!$Y$4,'TP2'!$AG:$AG,Ohjaus!$Y$5,'TP2'!AL:AL,$AF$4,'TP2'!AN:AN,"P")</f>
        <v>0</v>
      </c>
      <c r="AH45" s="697">
        <f>SUMIFS('TP2'!$P:$P,'TP2'!$AI:$AI,$Y$2,'TP2'!$R:$R,$X$9,'TP2'!$U:$U,Ohjaus!$AF45,'TP2'!$W:$W,Ohjaus!$X$8,'TP2'!$X:$X,$Y$1,'TP2'!$AD:$AD,$X$9,'TP2'!$AF:$AF,Ohjaus!$Y$6,'TP2'!$Q:$Q,Ohjaus!$Y$4,'TP2'!$AG:$AG,Ohjaus!$Y$5,'TP2'!$AL:$AL,$AF$4,'TP2'!$V:$V,Ohjaus!$X$7,'TP2'!AN:AN,"P")</f>
        <v>0</v>
      </c>
      <c r="AI45" s="697">
        <f>SUMIFS('TP2'!$P:$P,'TP2'!$AI:$AI,$Y$2,'TP2'!$R:$R,$X$9,'TP2'!$U:$U,Ohjaus!$AF45,'TP2'!$W:$W,Ohjaus!$X$8,'TP2'!$X:$X,$Y$1,'TP2'!$AD:$AD,$X$9,'TP2'!$AF:$AF,Ohjaus!$Y$6,'TP2'!$Q:$Q,Ohjaus!$Y$4,'TP2'!$AG:$AG,Ohjaus!$Y$5,'TP2'!$AL:$AL,$AF$4,'TP2'!$V:$V,Ohjaus!$Y$7,'TP2'!AN:AN,"P")</f>
        <v>0</v>
      </c>
      <c r="AJ45" s="697">
        <f>SUMIFS('TP2'!$P:$P,'TP2'!$AI:$AI,$Y$2,'TP2'!$R:$R,$X$9,'TP2'!$U:$U,Ohjaus!$AF45,'TP2'!$W:$W,"vanha",'TP2'!$X:$X,$Y$1,'TP2'!$AD:$AD,$X$9,'TP2'!$AF:$AF,Ohjaus!$Y$6,'TP2'!$Q:$Q,Ohjaus!$Y$4,'TP2'!$AG:$AG,Ohjaus!$Y$5,'TP2'!$AL:$AL,$AF$4,'TP2'!AN:AN,"P")</f>
        <v>0</v>
      </c>
      <c r="AO45" s="725" t="s">
        <v>1055</v>
      </c>
      <c r="AP45" s="726" t="s">
        <v>1094</v>
      </c>
      <c r="AQ45" s="726"/>
      <c r="AR45" t="s">
        <v>1093</v>
      </c>
    </row>
    <row r="46" spans="1:49" x14ac:dyDescent="0.25">
      <c r="A46" s="1078"/>
      <c r="B46" s="696" t="s">
        <v>1095</v>
      </c>
      <c r="C46" s="697">
        <f>SUMIFS('TP2'!$P:$P,'TP2'!$AI:$AI,$Y$2,'TP2'!$R:$R,$X$9,'TP2'!$U:$U,Ohjaus!$T46,'TP2'!$W:$W,Ohjaus!$X$8,'TP2'!$X:$X,$Y$1,'TP2'!$AD:$AD,$X$9,'TP2'!$AF:$AF,Ohjaus!$Y$6,'TP2'!$Q:$Q,Ohjaus!$Y$4,'TP2'!$AG:$AG,Ohjaus!$Y$5,'TP2'!AL:AL,$AF$4,'TP2'!AN:AN,"P")+V46+AG46</f>
        <v>0</v>
      </c>
      <c r="D46" s="698">
        <f t="shared" si="5"/>
        <v>0</v>
      </c>
      <c r="E46" s="697">
        <f>SUMIFS('TP2'!$P:$P,'TP2'!$AI:$AI,$Y$2,'TP2'!$R:$R,$X$9,'TP2'!$U:$U,Ohjaus!$T46,'TP2'!$W:$W,Ohjaus!$X$8,'TP2'!$X:$X,$Y$1,'TP2'!$AD:$AD,$X$9,'TP2'!$AF:$AF,Ohjaus!$Y$6,'TP2'!$Q:$Q,Ohjaus!$Y$4,'TP2'!$AG:$AG,Ohjaus!$Y$5,'TP2'!$AL:$AL,$AF$4,'TP2'!$V:$V,Ohjaus!$X$7,'TP2'!AN:AN,"P")+W46+AH46</f>
        <v>0</v>
      </c>
      <c r="F46" s="697">
        <f>SUMIFS('TP2'!$P:$P,'TP2'!$AI:$AI,$Y$2,'TP2'!$R:$R,$X$9,'TP2'!$U:$U,Ohjaus!$T46,'TP2'!$W:$W,Ohjaus!$X$8,'TP2'!$X:$X,$Y$1,'TP2'!$AD:$AD,$X$9,'TP2'!$AF:$AF,Ohjaus!$Y$6,'TP2'!$Q:$Q,Ohjaus!$Y$4,'TP2'!$AG:$AG,Ohjaus!$Y$5,'TP2'!$AL:$AL,$AF$4,'TP2'!$V:$V,Ohjaus!$Y$7,'TP2'!AN:AN,"P")+X46+AI46</f>
        <v>0</v>
      </c>
      <c r="G46" s="697">
        <f>SUMIFS('TP2'!$P:$P,'TP2'!$AI:$AI,$Y$2,'TP2'!$R:$R,$X$9,'TP2'!$U:$U,Ohjaus!$T46,'TP2'!$W:$W,"vanha",'TP2'!$X:$X,$Y$1,'TP2'!$AD:$AD,$X$9,'TP2'!$AF:$AF,Ohjaus!$Y$6,'TP2'!$Q:$Q,Ohjaus!$Y$4,'TP2'!$AG:$AG,Ohjaus!$Y$5,'TP2'!$AL:$AL,$AF$4,'TP2'!AN:AN,"P")+Z46+AK46</f>
        <v>0</v>
      </c>
      <c r="H46" s="699"/>
      <c r="I46" s="700"/>
      <c r="J46" s="701">
        <f>SUMIFS('TP2'!$P:$P,'TP2'!$AI:$AI,$Y$2,'TP2'!$R:$R,$X$9,'TP2'!$U:$U,Ohjaus!$T46,'TP2'!$W:$W,Ohjaus!$X$8,'TP2'!$X:$X,$Y$1,'TP2'!$AD:$AD,$X$9,'TP2'!$AF:$AF,Ohjaus!$Y$6,'TP2'!$Q:$Q,Ohjaus!$Y$4,'TP2'!$AG:$AG,Ohjaus!$Y$5,'TP2'!$AL:$AL,$AF$4,'TP2'!$Z:$Z,1,'TP2'!AN:AN,"P")</f>
        <v>0</v>
      </c>
      <c r="K46" s="702">
        <f>SUMIFS('TP2'!$P:$P,'TP2'!$AI:$AI,$Y$2,'TP2'!$R:$R,$X$9,'TP2'!$U:$U,Ohjaus!$T46,'TP2'!$W:$W,Ohjaus!$X$8,'TP2'!$X:$X,$Y$1,'TP2'!$AD:$AD,$X$9,'TP2'!$AF:$AF,Ohjaus!$Y$6,'TP2'!$Q:$Q,Ohjaus!$Y$4,'TP2'!$AG:$AG,Ohjaus!$Y$5,'TP2'!$AL:$AL,$AF$4,'TP2'!$O:$O,$Z$3,'TP2'!AN:AN,"P")</f>
        <v>0</v>
      </c>
      <c r="L46" s="702">
        <f>SUMIFS('TP2'!$P:$P,'TP2'!$AI:$AI,$Y$2,'TP2'!$R:$R,$X$9,'TP2'!$U:$U,Ohjaus!$T46,'TP2'!$W:$W,Ohjaus!$X$8,'TP2'!$X:$X,$Y$1,'TP2'!$AD:$AD,$X$9,'TP2'!$AF:$AF,Ohjaus!$Y$6,'TP2'!$Q:$Q,Ohjaus!$Y$4,'TP2'!$AG:$AG,Ohjaus!$Y$5,'TP2'!$AL:$AL,$AF$4,'TP2'!$K:$K,$Z$6,'TP2'!AN:AN,"P")</f>
        <v>0</v>
      </c>
      <c r="M46" s="702">
        <f>SUMIFS('TP2'!$P:$P,'TP2'!$AI:$AI,$Y$2,'TP2'!$R:$R,$X$9,'TP2'!$U:$U,Ohjaus!$T46,'TP2'!$W:$W,Ohjaus!$X$8,'TP2'!$X:$X,$Y$1,'TP2'!$AD:$AD,$X$9,'TP2'!$AF:$AF,Ohjaus!$Y$6,'TP2'!$Q:$Q,Ohjaus!$Y$4,'TP2'!$AG:$AG,Ohjaus!$Y$5,'TP2'!$AL:$AL,$AF$4,'TP2'!$K:$K,$Z$7,'TP2'!AN:AN,"P")</f>
        <v>0</v>
      </c>
      <c r="N46" s="702">
        <f>SUMIFS('TP2'!$P:$P,'TP2'!$AI:$AI,$Y$2,'TP2'!$R:$R,$X$9,'TP2'!$U:$U,Ohjaus!$T46,'TP2'!$W:$W,Ohjaus!$X$8,'TP2'!$X:$X,$Y$1,'TP2'!$AD:$AD,$X$9,'TP2'!$AF:$AF,Ohjaus!$Y$6,'TP2'!$Q:$Q,Ohjaus!$Y$4,'TP2'!$AG:$AG,Ohjaus!$Y$5,'TP2'!$AL:$AL,$AF$4,'TP2'!$K:$K,$Z$8,'TP2'!AN:AN,"P")</f>
        <v>0</v>
      </c>
      <c r="O46" s="702">
        <f>SUMIFS('TP2'!$P:$P,'TP2'!$AI:$AI,$Y$2,'TP2'!$R:$R,$X$9,'TP2'!$U:$U,Ohjaus!$T46,'TP2'!$W:$W,Ohjaus!$X$8,'TP2'!$X:$X,$Y$1,'TP2'!$AD:$AD,$X$9,'TP2'!$AF:$AF,Ohjaus!$Y$6,'TP2'!$Q:$Q,Ohjaus!$Y$4,'TP2'!$AG:$AG,Ohjaus!$Y$5,'TP2'!$AL:$AL,$AF$4,'TP2'!$K:$K,$Z$5,'TP2'!AN:AN,"P")</f>
        <v>0</v>
      </c>
      <c r="T46" t="s">
        <v>1096</v>
      </c>
      <c r="U46" s="709" t="s">
        <v>1097</v>
      </c>
      <c r="V46" s="702">
        <f>SUMIFS('TP2'!$P:$P,'TP2'!$AI:$AI,$Y$2,'TP2'!$R:$R,$X$9,'TP2'!$U:$U,Ohjaus!$U46,'TP2'!$W:$W,Ohjaus!$X$8,'TP2'!$X:$X,$Y$1,'TP2'!$AD:$AD,$X$9,'TP2'!$AF:$AF,Ohjaus!$Y$6,'TP2'!$Q:$Q,Ohjaus!$Y$4,'TP2'!$AG:$AG,Ohjaus!$Y$5,'TP2'!AL:AL,$AF$4,'TP2'!AN:AN,"P")</f>
        <v>0</v>
      </c>
      <c r="W46" s="697">
        <f>SUMIFS('TP2'!$P:$P,'TP2'!$AI:$AI,$Y$2,'TP2'!$R:$R,$X$9,'TP2'!$U:$U,Ohjaus!$U46,'TP2'!$W:$W,Ohjaus!$X$8,'TP2'!$X:$X,$Y$1,'TP2'!$AD:$AD,$X$9,'TP2'!$AF:$AF,Ohjaus!$Y$6,'TP2'!$Q:$Q,Ohjaus!$Y$4,'TP2'!$AG:$AG,Ohjaus!$Y$5,'TP2'!$AL:$AL,$AF$4,'TP2'!$V:$V,Ohjaus!$X$7,'TP2'!AN:AN,"P")</f>
        <v>0</v>
      </c>
      <c r="X46" s="697">
        <f>SUMIFS('TP2'!$P:$P,'TP2'!$AI:$AI,$Y$2,'TP2'!$R:$R,$X$9,'TP2'!$U:$U,Ohjaus!$U46,'TP2'!$W:$W,Ohjaus!$X$8,'TP2'!$X:$X,$Y$1,'TP2'!$AD:$AD,$X$9,'TP2'!$AF:$AF,Ohjaus!$Y$6,'TP2'!$Q:$Q,Ohjaus!$Y$4,'TP2'!$AG:$AG,Ohjaus!$Y$5,'TP2'!$AL:$AL,$AF$4,'TP2'!$V:$V,Ohjaus!$Y$7,'TP2'!AN:AN,"P")</f>
        <v>0</v>
      </c>
      <c r="Y46" s="697">
        <f>SUMIFS('TP2'!$P:$P,'TP2'!$AI:$AI,$Y$2,'TP2'!$R:$R,$X$9,'TP2'!$U:$U,Ohjaus!$U46,'TP2'!$W:$W,"vanha",'TP2'!$X:$X,$Y$1,'TP2'!$AD:$AD,$X$9,'TP2'!$AF:$AF,Ohjaus!$Y$6,'TP2'!$Q:$Q,Ohjaus!$Y$4,'TP2'!$AG:$AG,Ohjaus!$Y$5,'TP2'!$AL:$AL,$AF$4,'TP2'!AN:AN,"P")</f>
        <v>0</v>
      </c>
      <c r="AG46" s="702">
        <f>SUMIFS('TP2'!$P:$P,'TP2'!$AI:$AI,$W$7,'TP2'!$R:$R,$X$9,'TP2'!$U:$U,Ohjaus!$AF46,'TP2'!$W:$W,Ohjaus!$X$8,'TP2'!$X:$X,Ohjaus!$X$6,'TP2'!$AD:$AD,$X$9,'TP2'!$AF:$AF,Ohjaus!$Y$6,'TP2'!$Q:$Q,Ohjaus!$Y$4,'TP2'!$AG:$AG,Ohjaus!$Y$5,'TP2'!AL:AL,$AF$4,'TP2'!AN:AN,"P")</f>
        <v>0</v>
      </c>
      <c r="AH46" s="697">
        <f>SUMIFS('TP2'!$P:$P,'TP2'!$AI:$AI,$Y$2,'TP2'!$R:$R,$X$9,'TP2'!$U:$U,Ohjaus!$AF46,'TP2'!$W:$W,Ohjaus!$X$8,'TP2'!$X:$X,$Y$1,'TP2'!$AD:$AD,$X$9,'TP2'!$AF:$AF,Ohjaus!$Y$6,'TP2'!$Q:$Q,Ohjaus!$Y$4,'TP2'!$AG:$AG,Ohjaus!$Y$5,'TP2'!$AL:$AL,$AF$4,'TP2'!$V:$V,Ohjaus!$X$7,'TP2'!AN:AN,"P")</f>
        <v>0</v>
      </c>
      <c r="AI46" s="697">
        <f>SUMIFS('TP2'!$P:$P,'TP2'!$AI:$AI,$Y$2,'TP2'!$R:$R,$X$9,'TP2'!$U:$U,Ohjaus!$AF46,'TP2'!$W:$W,Ohjaus!$X$8,'TP2'!$X:$X,$Y$1,'TP2'!$AD:$AD,$X$9,'TP2'!$AF:$AF,Ohjaus!$Y$6,'TP2'!$Q:$Q,Ohjaus!$Y$4,'TP2'!$AG:$AG,Ohjaus!$Y$5,'TP2'!$AL:$AL,$AF$4,'TP2'!$V:$V,Ohjaus!$Y$7,'TP2'!AN:AN,"P")</f>
        <v>0</v>
      </c>
      <c r="AJ46" s="697">
        <f>SUMIFS('TP2'!$P:$P,'TP2'!$AI:$AI,$Y$2,'TP2'!$R:$R,$X$9,'TP2'!$U:$U,Ohjaus!$AF46,'TP2'!$W:$W,"vanha",'TP2'!$X:$X,$Y$1,'TP2'!$AD:$AD,$X$9,'TP2'!$AF:$AF,Ohjaus!$Y$6,'TP2'!$Q:$Q,Ohjaus!$Y$4,'TP2'!$AG:$AG,Ohjaus!$Y$5,'TP2'!$AL:$AL,$AF$4,'TP2'!AN:AN,"P")</f>
        <v>0</v>
      </c>
      <c r="AO46" s="704" t="s">
        <v>986</v>
      </c>
      <c r="AP46" s="705" t="s">
        <v>1098</v>
      </c>
      <c r="AQ46" s="705" t="s">
        <v>1099</v>
      </c>
      <c r="AR46" t="s">
        <v>1096</v>
      </c>
    </row>
    <row r="47" spans="1:49" x14ac:dyDescent="0.25">
      <c r="A47" s="1078"/>
      <c r="B47" s="696" t="s">
        <v>1100</v>
      </c>
      <c r="C47" s="697">
        <f>SUMIFS('TP2'!$P:$P,'TP2'!$AI:$AI,$Y$2,'TP2'!$R:$R,$X$9,'TP2'!$U:$U,Ohjaus!$T47,'TP2'!$W:$W,Ohjaus!$X$8,'TP2'!$X:$X,$Y$1,'TP2'!$AD:$AD,$X$9,'TP2'!$AF:$AF,Ohjaus!$Y$6,'TP2'!$Q:$Q,Ohjaus!$Y$4,'TP2'!$AG:$AG,Ohjaus!$Y$5,'TP2'!AL:AL,$AF$4,'TP2'!AN:AN,"P")+V47+AG47</f>
        <v>0</v>
      </c>
      <c r="D47" s="698">
        <f t="shared" si="5"/>
        <v>0</v>
      </c>
      <c r="E47" s="697">
        <f>SUMIFS('TP2'!$P:$P,'TP2'!$AI:$AI,$Y$2,'TP2'!$R:$R,$X$9,'TP2'!$U:$U,Ohjaus!$T47,'TP2'!$W:$W,Ohjaus!$X$8,'TP2'!$X:$X,$Y$1,'TP2'!$AD:$AD,$X$9,'TP2'!$AF:$AF,Ohjaus!$Y$6,'TP2'!$Q:$Q,Ohjaus!$Y$4,'TP2'!$AG:$AG,Ohjaus!$Y$5,'TP2'!$AL:$AL,$AF$4,'TP2'!$V:$V,Ohjaus!$X$7,'TP2'!AN:AN,"P")+W47+AH47</f>
        <v>0</v>
      </c>
      <c r="F47" s="697">
        <f>SUMIFS('TP2'!$P:$P,'TP2'!$AI:$AI,$Y$2,'TP2'!$R:$R,$X$9,'TP2'!$U:$U,Ohjaus!$T47,'TP2'!$W:$W,Ohjaus!$X$8,'TP2'!$X:$X,$Y$1,'TP2'!$AD:$AD,$X$9,'TP2'!$AF:$AF,Ohjaus!$Y$6,'TP2'!$Q:$Q,Ohjaus!$Y$4,'TP2'!$AG:$AG,Ohjaus!$Y$5,'TP2'!$AL:$AL,$AF$4,'TP2'!$V:$V,Ohjaus!$Y$7,'TP2'!AN:AN,"P")+X47+AI47</f>
        <v>0</v>
      </c>
      <c r="G47" s="697">
        <f>SUMIFS('TP2'!$P:$P,'TP2'!$AI:$AI,$Y$2,'TP2'!$R:$R,$X$9,'TP2'!$U:$U,Ohjaus!$T47,'TP2'!$W:$W,"vanha",'TP2'!$X:$X,$Y$1,'TP2'!$AD:$AD,$X$9,'TP2'!$AF:$AF,Ohjaus!$Y$6,'TP2'!$Q:$Q,Ohjaus!$Y$4,'TP2'!$AG:$AG,Ohjaus!$Y$5,'TP2'!$AL:$AL,$AF$4,'TP2'!AN:AN,"P")+Z47+AK47</f>
        <v>0</v>
      </c>
      <c r="H47" s="699"/>
      <c r="I47" s="700"/>
      <c r="J47" s="701">
        <f>SUMIFS('TP2'!$P:$P,'TP2'!$AI:$AI,$Y$2,'TP2'!$R:$R,$X$9,'TP2'!$U:$U,Ohjaus!$T47,'TP2'!$W:$W,Ohjaus!$X$8,'TP2'!$X:$X,$Y$1,'TP2'!$AD:$AD,$X$9,'TP2'!$AF:$AF,Ohjaus!$Y$6,'TP2'!$Q:$Q,Ohjaus!$Y$4,'TP2'!$AG:$AG,Ohjaus!$Y$5,'TP2'!$AL:$AL,$AF$4,'TP2'!$Z:$Z,1,'TP2'!AN:AN,"P")</f>
        <v>0</v>
      </c>
      <c r="K47" s="702">
        <f>SUMIFS('TP2'!$P:$P,'TP2'!$AI:$AI,$Y$2,'TP2'!$R:$R,$X$9,'TP2'!$U:$U,Ohjaus!$T47,'TP2'!$W:$W,Ohjaus!$X$8,'TP2'!$X:$X,$Y$1,'TP2'!$AD:$AD,$X$9,'TP2'!$AF:$AF,Ohjaus!$Y$6,'TP2'!$Q:$Q,Ohjaus!$Y$4,'TP2'!$AG:$AG,Ohjaus!$Y$5,'TP2'!$AL:$AL,$AF$4,'TP2'!$O:$O,$Z$3,'TP2'!AN:AN,"P")</f>
        <v>0</v>
      </c>
      <c r="L47" s="702">
        <f>SUMIFS('TP2'!$P:$P,'TP2'!$AI:$AI,$Y$2,'TP2'!$R:$R,$X$9,'TP2'!$U:$U,Ohjaus!$T47,'TP2'!$W:$W,Ohjaus!$X$8,'TP2'!$X:$X,$Y$1,'TP2'!$AD:$AD,$X$9,'TP2'!$AF:$AF,Ohjaus!$Y$6,'TP2'!$Q:$Q,Ohjaus!$Y$4,'TP2'!$AG:$AG,Ohjaus!$Y$5,'TP2'!$AL:$AL,$AF$4,'TP2'!$K:$K,$Z$6,'TP2'!AN:AN,"P")</f>
        <v>0</v>
      </c>
      <c r="M47" s="702">
        <f>SUMIFS('TP2'!$P:$P,'TP2'!$AI:$AI,$Y$2,'TP2'!$R:$R,$X$9,'TP2'!$U:$U,Ohjaus!$T47,'TP2'!$W:$W,Ohjaus!$X$8,'TP2'!$X:$X,$Y$1,'TP2'!$AD:$AD,$X$9,'TP2'!$AF:$AF,Ohjaus!$Y$6,'TP2'!$Q:$Q,Ohjaus!$Y$4,'TP2'!$AG:$AG,Ohjaus!$Y$5,'TP2'!$AL:$AL,$AF$4,'TP2'!$K:$K,$Z$7,'TP2'!AN:AN,"P")</f>
        <v>0</v>
      </c>
      <c r="N47" s="702">
        <f>SUMIFS('TP2'!$P:$P,'TP2'!$AI:$AI,$Y$2,'TP2'!$R:$R,$X$9,'TP2'!$U:$U,Ohjaus!$T47,'TP2'!$W:$W,Ohjaus!$X$8,'TP2'!$X:$X,$Y$1,'TP2'!$AD:$AD,$X$9,'TP2'!$AF:$AF,Ohjaus!$Y$6,'TP2'!$Q:$Q,Ohjaus!$Y$4,'TP2'!$AG:$AG,Ohjaus!$Y$5,'TP2'!$AL:$AL,$AF$4,'TP2'!$K:$K,$Z$8,'TP2'!AN:AN,"P")</f>
        <v>0</v>
      </c>
      <c r="O47" s="702">
        <f>SUMIFS('TP2'!$P:$P,'TP2'!$AI:$AI,$Y$2,'TP2'!$R:$R,$X$9,'TP2'!$U:$U,Ohjaus!$T47,'TP2'!$W:$W,Ohjaus!$X$8,'TP2'!$X:$X,$Y$1,'TP2'!$AD:$AD,$X$9,'TP2'!$AF:$AF,Ohjaus!$Y$6,'TP2'!$Q:$Q,Ohjaus!$Y$4,'TP2'!$AG:$AG,Ohjaus!$Y$5,'TP2'!$AL:$AL,$AF$4,'TP2'!$K:$K,$Z$5,'TP2'!AN:AN,"P")</f>
        <v>0</v>
      </c>
      <c r="T47" t="s">
        <v>1101</v>
      </c>
      <c r="U47" s="709" t="s">
        <v>1102</v>
      </c>
      <c r="V47" s="702">
        <f>SUMIFS('TP2'!$P:$P,'TP2'!$AI:$AI,$Y$2,'TP2'!$R:$R,$X$9,'TP2'!$U:$U,Ohjaus!$U47,'TP2'!$W:$W,Ohjaus!$X$8,'TP2'!$X:$X,$Y$1,'TP2'!$AD:$AD,$X$9,'TP2'!$AF:$AF,Ohjaus!$Y$6,'TP2'!$Q:$Q,Ohjaus!$Y$4,'TP2'!$AG:$AG,Ohjaus!$Y$5,'TP2'!AL:AL,$AF$4,'TP2'!AN:AN,"P")</f>
        <v>0</v>
      </c>
      <c r="W47" s="697">
        <f>SUMIFS('TP2'!$P:$P,'TP2'!$AI:$AI,$Y$2,'TP2'!$R:$R,$X$9,'TP2'!$U:$U,Ohjaus!$U47,'TP2'!$W:$W,Ohjaus!$X$8,'TP2'!$X:$X,$Y$1,'TP2'!$AD:$AD,$X$9,'TP2'!$AF:$AF,Ohjaus!$Y$6,'TP2'!$Q:$Q,Ohjaus!$Y$4,'TP2'!$AG:$AG,Ohjaus!$Y$5,'TP2'!$AL:$AL,$AF$4,'TP2'!$V:$V,Ohjaus!$X$7,'TP2'!AN:AN,"P")</f>
        <v>0</v>
      </c>
      <c r="X47" s="697">
        <f>SUMIFS('TP2'!$P:$P,'TP2'!$AI:$AI,$Y$2,'TP2'!$R:$R,$X$9,'TP2'!$U:$U,Ohjaus!$U47,'TP2'!$W:$W,Ohjaus!$X$8,'TP2'!$X:$X,$Y$1,'TP2'!$AD:$AD,$X$9,'TP2'!$AF:$AF,Ohjaus!$Y$6,'TP2'!$Q:$Q,Ohjaus!$Y$4,'TP2'!$AG:$AG,Ohjaus!$Y$5,'TP2'!$AL:$AL,$AF$4,'TP2'!$V:$V,Ohjaus!$Y$7,'TP2'!AN:AN,"P")</f>
        <v>0</v>
      </c>
      <c r="Y47" s="697">
        <f>SUMIFS('TP2'!$P:$P,'TP2'!$AI:$AI,$Y$2,'TP2'!$R:$R,$X$9,'TP2'!$U:$U,Ohjaus!$U47,'TP2'!$W:$W,"vanha",'TP2'!$X:$X,$Y$1,'TP2'!$AD:$AD,$X$9,'TP2'!$AF:$AF,Ohjaus!$Y$6,'TP2'!$Q:$Q,Ohjaus!$Y$4,'TP2'!$AG:$AG,Ohjaus!$Y$5,'TP2'!$AL:$AL,$AF$4,'TP2'!AN:AN,"P")</f>
        <v>0</v>
      </c>
      <c r="AG47" s="702">
        <f>SUMIFS('TP2'!$P:$P,'TP2'!$AI:$AI,$W$7,'TP2'!$R:$R,$X$9,'TP2'!$U:$U,Ohjaus!$AF47,'TP2'!$W:$W,Ohjaus!$X$8,'TP2'!$X:$X,Ohjaus!$X$6,'TP2'!$AD:$AD,$X$9,'TP2'!$AF:$AF,Ohjaus!$Y$6,'TP2'!$Q:$Q,Ohjaus!$Y$4,'TP2'!$AG:$AG,Ohjaus!$Y$5,'TP2'!AL:AL,$AF$4,'TP2'!AN:AN,"P")</f>
        <v>0</v>
      </c>
      <c r="AH47" s="697">
        <f>SUMIFS('TP2'!$P:$P,'TP2'!$AI:$AI,$Y$2,'TP2'!$R:$R,$X$9,'TP2'!$U:$U,Ohjaus!$AF47,'TP2'!$W:$W,Ohjaus!$X$8,'TP2'!$X:$X,$Y$1,'TP2'!$AD:$AD,$X$9,'TP2'!$AF:$AF,Ohjaus!$Y$6,'TP2'!$Q:$Q,Ohjaus!$Y$4,'TP2'!$AG:$AG,Ohjaus!$Y$5,'TP2'!$AL:$AL,$AF$4,'TP2'!$V:$V,Ohjaus!$X$7,'TP2'!AN:AN,"P")</f>
        <v>0</v>
      </c>
      <c r="AI47" s="697">
        <f>SUMIFS('TP2'!$P:$P,'TP2'!$AI:$AI,$Y$2,'TP2'!$R:$R,$X$9,'TP2'!$U:$U,Ohjaus!$AF47,'TP2'!$W:$W,Ohjaus!$X$8,'TP2'!$X:$X,$Y$1,'TP2'!$AD:$AD,$X$9,'TP2'!$AF:$AF,Ohjaus!$Y$6,'TP2'!$Q:$Q,Ohjaus!$Y$4,'TP2'!$AG:$AG,Ohjaus!$Y$5,'TP2'!$AL:$AL,$AF$4,'TP2'!$V:$V,Ohjaus!$Y$7,'TP2'!AN:AN,"P")</f>
        <v>0</v>
      </c>
      <c r="AJ47" s="697">
        <f>SUMIFS('TP2'!$P:$P,'TP2'!$AI:$AI,$Y$2,'TP2'!$R:$R,$X$9,'TP2'!$U:$U,Ohjaus!$AF47,'TP2'!$W:$W,"vanha",'TP2'!$X:$X,$Y$1,'TP2'!$AD:$AD,$X$9,'TP2'!$AF:$AF,Ohjaus!$Y$6,'TP2'!$Q:$Q,Ohjaus!$Y$4,'TP2'!$AG:$AG,Ohjaus!$Y$5,'TP2'!$AL:$AL,$AF$4,'TP2'!AN:AN,"P")</f>
        <v>0</v>
      </c>
      <c r="AO47" s="704" t="s">
        <v>986</v>
      </c>
      <c r="AP47" s="705" t="s">
        <v>1103</v>
      </c>
      <c r="AQ47" s="705" t="s">
        <v>1104</v>
      </c>
      <c r="AR47" t="s">
        <v>1101</v>
      </c>
    </row>
    <row r="48" spans="1:49" x14ac:dyDescent="0.25">
      <c r="A48" s="1100"/>
      <c r="B48" s="696" t="s">
        <v>1105</v>
      </c>
      <c r="C48" s="697">
        <f>SUMIFS('TP2'!$P:$P,'TP2'!$AI:$AI,$Y$2,'TP2'!$R:$R,$X$9,'TP2'!$U:$U,Ohjaus!$T48,'TP2'!$W:$W,Ohjaus!$X$8,'TP2'!$X:$X,$Y$1,'TP2'!$AD:$AD,$X$9,'TP2'!$AF:$AF,Ohjaus!$Y$6,'TP2'!$Q:$Q,Ohjaus!$Y$4,'TP2'!$AG:$AG,Ohjaus!$Y$5,'TP2'!AL:AL,$AF$4,'TP2'!AN:AN,"P")+V48+AG48</f>
        <v>0</v>
      </c>
      <c r="D48" s="698">
        <f t="shared" si="5"/>
        <v>0</v>
      </c>
      <c r="E48" s="697">
        <f>SUMIFS('TP2'!$P:$P,'TP2'!$AI:$AI,$Y$2,'TP2'!$R:$R,$X$9,'TP2'!$U:$U,Ohjaus!$T48,'TP2'!$W:$W,Ohjaus!$X$8,'TP2'!$X:$X,$Y$1,'TP2'!$AD:$AD,$X$9,'TP2'!$AF:$AF,Ohjaus!$Y$6,'TP2'!$Q:$Q,Ohjaus!$Y$4,'TP2'!$AG:$AG,Ohjaus!$Y$5,'TP2'!$AL:$AL,$AF$4,'TP2'!$V:$V,Ohjaus!$X$7,'TP2'!AN:AN,"P")+W48+AH48</f>
        <v>0</v>
      </c>
      <c r="F48" s="697">
        <f>SUMIFS('TP2'!$P:$P,'TP2'!$AI:$AI,$Y$2,'TP2'!$R:$R,$X$9,'TP2'!$U:$U,Ohjaus!$T48,'TP2'!$W:$W,Ohjaus!$X$8,'TP2'!$X:$X,$Y$1,'TP2'!$AD:$AD,$X$9,'TP2'!$AF:$AF,Ohjaus!$Y$6,'TP2'!$Q:$Q,Ohjaus!$Y$4,'TP2'!$AG:$AG,Ohjaus!$Y$5,'TP2'!$AL:$AL,$AF$4,'TP2'!$V:$V,Ohjaus!$Y$7,'TP2'!AN:AN,"P")+X48+AI48</f>
        <v>0</v>
      </c>
      <c r="G48" s="697">
        <f>SUMIFS('TP2'!$P:$P,'TP2'!$AI:$AI,$Y$2,'TP2'!$R:$R,$X$9,'TP2'!$U:$U,Ohjaus!$T48,'TP2'!$W:$W,"vanha",'TP2'!$X:$X,$Y$1,'TP2'!$AD:$AD,$X$9,'TP2'!$AF:$AF,Ohjaus!$Y$6,'TP2'!$Q:$Q,Ohjaus!$Y$4,'TP2'!$AG:$AG,Ohjaus!$Y$5,'TP2'!$AL:$AL,$AF$4,'TP2'!AN:AN,"P")+Z48+AK48</f>
        <v>0</v>
      </c>
      <c r="H48" s="699"/>
      <c r="I48" s="700"/>
      <c r="J48" s="701">
        <f>SUMIFS('TP2'!$P:$P,'TP2'!$AI:$AI,$Y$2,'TP2'!$R:$R,$X$9,'TP2'!$U:$U,Ohjaus!$T48,'TP2'!$W:$W,Ohjaus!$X$8,'TP2'!$X:$X,$Y$1,'TP2'!$AD:$AD,$X$9,'TP2'!$AF:$AF,Ohjaus!$Y$6,'TP2'!$Q:$Q,Ohjaus!$Y$4,'TP2'!$AG:$AG,Ohjaus!$Y$5,'TP2'!$AL:$AL,$AF$4,'TP2'!$Z:$Z,1,'TP2'!AN:AN,"P")</f>
        <v>0</v>
      </c>
      <c r="K48" s="702">
        <f>SUMIFS('TP2'!$P:$P,'TP2'!$AI:$AI,$Y$2,'TP2'!$R:$R,$X$9,'TP2'!$U:$U,Ohjaus!$T48,'TP2'!$W:$W,Ohjaus!$X$8,'TP2'!$X:$X,$Y$1,'TP2'!$AD:$AD,$X$9,'TP2'!$AF:$AF,Ohjaus!$Y$6,'TP2'!$Q:$Q,Ohjaus!$Y$4,'TP2'!$AG:$AG,Ohjaus!$Y$5,'TP2'!$AL:$AL,$AF$4,'TP2'!$O:$O,$Z$3,'TP2'!AN:AN,"P")</f>
        <v>0</v>
      </c>
      <c r="L48" s="702">
        <f>SUMIFS('TP2'!$P:$P,'TP2'!$AI:$AI,$Y$2,'TP2'!$R:$R,$X$9,'TP2'!$U:$U,Ohjaus!$T48,'TP2'!$W:$W,Ohjaus!$X$8,'TP2'!$X:$X,$Y$1,'TP2'!$AD:$AD,$X$9,'TP2'!$AF:$AF,Ohjaus!$Y$6,'TP2'!$Q:$Q,Ohjaus!$Y$4,'TP2'!$AG:$AG,Ohjaus!$Y$5,'TP2'!$AL:$AL,$AF$4,'TP2'!$K:$K,$Z$6,'TP2'!AN:AN,"P")</f>
        <v>0</v>
      </c>
      <c r="M48" s="702">
        <f>SUMIFS('TP2'!$P:$P,'TP2'!$AI:$AI,$Y$2,'TP2'!$R:$R,$X$9,'TP2'!$U:$U,Ohjaus!$T48,'TP2'!$W:$W,Ohjaus!$X$8,'TP2'!$X:$X,$Y$1,'TP2'!$AD:$AD,$X$9,'TP2'!$AF:$AF,Ohjaus!$Y$6,'TP2'!$Q:$Q,Ohjaus!$Y$4,'TP2'!$AG:$AG,Ohjaus!$Y$5,'TP2'!$AL:$AL,$AF$4,'TP2'!$K:$K,$Z$7,'TP2'!AN:AN,"P")</f>
        <v>0</v>
      </c>
      <c r="N48" s="702">
        <f>SUMIFS('TP2'!$P:$P,'TP2'!$AI:$AI,$Y$2,'TP2'!$R:$R,$X$9,'TP2'!$U:$U,Ohjaus!$T48,'TP2'!$W:$W,Ohjaus!$X$8,'TP2'!$X:$X,$Y$1,'TP2'!$AD:$AD,$X$9,'TP2'!$AF:$AF,Ohjaus!$Y$6,'TP2'!$Q:$Q,Ohjaus!$Y$4,'TP2'!$AG:$AG,Ohjaus!$Y$5,'TP2'!$AL:$AL,$AF$4,'TP2'!$K:$K,$Z$8,'TP2'!AN:AN,"P")</f>
        <v>0</v>
      </c>
      <c r="O48" s="702">
        <f>SUMIFS('TP2'!$P:$P,'TP2'!$AI:$AI,$Y$2,'TP2'!$R:$R,$X$9,'TP2'!$U:$U,Ohjaus!$T48,'TP2'!$W:$W,Ohjaus!$X$8,'TP2'!$X:$X,$Y$1,'TP2'!$AD:$AD,$X$9,'TP2'!$AF:$AF,Ohjaus!$Y$6,'TP2'!$Q:$Q,Ohjaus!$Y$4,'TP2'!$AG:$AG,Ohjaus!$Y$5,'TP2'!$AL:$AL,$AF$4,'TP2'!$K:$K,$Z$5,'TP2'!AN:AN,"P")</f>
        <v>0</v>
      </c>
      <c r="T48" t="s">
        <v>1106</v>
      </c>
      <c r="U48" s="709" t="s">
        <v>1107</v>
      </c>
      <c r="V48" s="702">
        <f>SUMIFS('TP2'!$P:$P,'TP2'!$AI:$AI,$Y$2,'TP2'!$R:$R,$X$9,'TP2'!$U:$U,Ohjaus!$U48,'TP2'!$W:$W,Ohjaus!$X$8,'TP2'!$X:$X,$Y$1,'TP2'!$AD:$AD,$X$9,'TP2'!$AF:$AF,Ohjaus!$Y$6,'TP2'!$Q:$Q,Ohjaus!$Y$4,'TP2'!$AG:$AG,Ohjaus!$Y$5,'TP2'!AL:AL,$AF$4,'TP2'!AN:AN,"P")</f>
        <v>0</v>
      </c>
      <c r="W48" s="697">
        <f>SUMIFS('TP2'!$P:$P,'TP2'!$AI:$AI,$Y$2,'TP2'!$R:$R,$X$9,'TP2'!$U:$U,Ohjaus!$U48,'TP2'!$W:$W,Ohjaus!$X$8,'TP2'!$X:$X,$Y$1,'TP2'!$AD:$AD,$X$9,'TP2'!$AF:$AF,Ohjaus!$Y$6,'TP2'!$Q:$Q,Ohjaus!$Y$4,'TP2'!$AG:$AG,Ohjaus!$Y$5,'TP2'!$AL:$AL,$AF$4,'TP2'!$V:$V,Ohjaus!$X$7,'TP2'!AN:AN,"P")</f>
        <v>0</v>
      </c>
      <c r="X48" s="697">
        <f>SUMIFS('TP2'!$P:$P,'TP2'!$AI:$AI,$Y$2,'TP2'!$R:$R,$X$9,'TP2'!$U:$U,Ohjaus!$U48,'TP2'!$W:$W,Ohjaus!$X$8,'TP2'!$X:$X,$Y$1,'TP2'!$AD:$AD,$X$9,'TP2'!$AF:$AF,Ohjaus!$Y$6,'TP2'!$Q:$Q,Ohjaus!$Y$4,'TP2'!$AG:$AG,Ohjaus!$Y$5,'TP2'!$AL:$AL,$AF$4,'TP2'!$V:$V,Ohjaus!$Y$7,'TP2'!AN:AN,"P")</f>
        <v>0</v>
      </c>
      <c r="Y48" s="697">
        <f>SUMIFS('TP2'!$P:$P,'TP2'!$AI:$AI,$Y$2,'TP2'!$R:$R,$X$9,'TP2'!$U:$U,Ohjaus!$U48,'TP2'!$W:$W,"vanha",'TP2'!$X:$X,$Y$1,'TP2'!$AD:$AD,$X$9,'TP2'!$AF:$AF,Ohjaus!$Y$6,'TP2'!$Q:$Q,Ohjaus!$Y$4,'TP2'!$AG:$AG,Ohjaus!$Y$5,'TP2'!$AL:$AL,$AF$4,'TP2'!AN:AN,"P")</f>
        <v>0</v>
      </c>
      <c r="AG48" s="702">
        <f>SUMIFS('TP2'!$P:$P,'TP2'!$AI:$AI,$W$7,'TP2'!$R:$R,$X$9,'TP2'!$U:$U,Ohjaus!$AF48,'TP2'!$W:$W,Ohjaus!$X$8,'TP2'!$X:$X,Ohjaus!$X$6,'TP2'!$AD:$AD,$X$9,'TP2'!$AF:$AF,Ohjaus!$Y$6,'TP2'!$Q:$Q,Ohjaus!$Y$4,'TP2'!$AG:$AG,Ohjaus!$Y$5,'TP2'!AL:AL,$AF$4,'TP2'!AN:AN,"P")</f>
        <v>0</v>
      </c>
      <c r="AH48" s="697">
        <f>SUMIFS('TP2'!$P:$P,'TP2'!$AI:$AI,$Y$2,'TP2'!$R:$R,$X$9,'TP2'!$U:$U,Ohjaus!$AF48,'TP2'!$W:$W,Ohjaus!$X$8,'TP2'!$X:$X,$Y$1,'TP2'!$AD:$AD,$X$9,'TP2'!$AF:$AF,Ohjaus!$Y$6,'TP2'!$Q:$Q,Ohjaus!$Y$4,'TP2'!$AG:$AG,Ohjaus!$Y$5,'TP2'!$AL:$AL,$AF$4,'TP2'!$V:$V,Ohjaus!$X$7,'TP2'!AN:AN,"P")</f>
        <v>0</v>
      </c>
      <c r="AI48" s="697">
        <f>SUMIFS('TP2'!$P:$P,'TP2'!$AI:$AI,$Y$2,'TP2'!$R:$R,$X$9,'TP2'!$U:$U,Ohjaus!$AF48,'TP2'!$W:$W,Ohjaus!$X$8,'TP2'!$X:$X,$Y$1,'TP2'!$AD:$AD,$X$9,'TP2'!$AF:$AF,Ohjaus!$Y$6,'TP2'!$Q:$Q,Ohjaus!$Y$4,'TP2'!$AG:$AG,Ohjaus!$Y$5,'TP2'!$AL:$AL,$AF$4,'TP2'!$V:$V,Ohjaus!$Y$7,'TP2'!AN:AN,"P")</f>
        <v>0</v>
      </c>
      <c r="AJ48" s="697">
        <f>SUMIFS('TP2'!$P:$P,'TP2'!$AI:$AI,$Y$2,'TP2'!$R:$R,$X$9,'TP2'!$U:$U,Ohjaus!$AF48,'TP2'!$W:$W,"vanha",'TP2'!$X:$X,$Y$1,'TP2'!$AD:$AD,$X$9,'TP2'!$AF:$AF,Ohjaus!$Y$6,'TP2'!$Q:$Q,Ohjaus!$Y$4,'TP2'!$AG:$AG,Ohjaus!$Y$5,'TP2'!$AL:$AL,$AF$4,'TP2'!AN:AN,"P")</f>
        <v>0</v>
      </c>
      <c r="AO48" s="704" t="s">
        <v>986</v>
      </c>
      <c r="AP48" s="705" t="s">
        <v>1108</v>
      </c>
      <c r="AQ48" s="705" t="s">
        <v>1109</v>
      </c>
      <c r="AR48" t="s">
        <v>1106</v>
      </c>
    </row>
    <row r="49" spans="1:48" x14ac:dyDescent="0.25">
      <c r="A49" s="727"/>
      <c r="B49" s="728" t="str">
        <f>A50</f>
        <v>Opinnot</v>
      </c>
      <c r="C49" s="692">
        <f>SUM(C50:C58)</f>
        <v>0</v>
      </c>
      <c r="D49" s="692"/>
      <c r="E49" s="692"/>
      <c r="F49" s="692"/>
      <c r="G49" s="692"/>
      <c r="H49" s="690"/>
      <c r="I49" s="691"/>
      <c r="J49" s="690">
        <f t="shared" ref="J49:O49" si="7">SUM(J50:J58)</f>
        <v>0</v>
      </c>
      <c r="K49" s="692">
        <f t="shared" si="7"/>
        <v>0</v>
      </c>
      <c r="L49" s="692">
        <f t="shared" si="7"/>
        <v>0</v>
      </c>
      <c r="M49" s="692">
        <f t="shared" si="7"/>
        <v>0</v>
      </c>
      <c r="N49" s="692">
        <f t="shared" si="7"/>
        <v>0</v>
      </c>
      <c r="O49" s="691">
        <f t="shared" si="7"/>
        <v>0</v>
      </c>
      <c r="T49" s="693"/>
      <c r="V49" s="702">
        <f>SUMIFS('TP2'!$P:$P,'TP2'!$AI:$AI,$Y$2,'TP2'!$R:$R,$X$9,'TP2'!$U:$U,Ohjaus!$U49,'TP2'!$W:$W,Ohjaus!$X$8,'TP2'!$X:$X,$Y$1,'TP2'!$AD:$AD,$X$9,'TP2'!$AF:$AF,Ohjaus!$Y$6,'TP2'!$Q:$Q,Ohjaus!$Y$4,'TP2'!$AG:$AG,Ohjaus!$Y$5,'TP2'!AL:AL,$AF$4,'TP2'!AN:AN,"P")</f>
        <v>0</v>
      </c>
      <c r="W49" s="697">
        <f>SUMIFS('TP2'!$P:$P,'TP2'!$AI:$AI,$Y$2,'TP2'!$R:$R,$X$9,'TP2'!$U:$U,Ohjaus!$U49,'TP2'!$W:$W,Ohjaus!$X$8,'TP2'!$X:$X,$Y$1,'TP2'!$AD:$AD,$X$9,'TP2'!$AF:$AF,Ohjaus!$Y$6,'TP2'!$Q:$Q,Ohjaus!$Y$4,'TP2'!$AG:$AG,Ohjaus!$Y$5,'TP2'!$AL:$AL,$AF$4,'TP2'!$V:$V,Ohjaus!$X$7,'TP2'!AN:AN,"P")</f>
        <v>0</v>
      </c>
      <c r="X49" s="697">
        <f>SUMIFS('TP2'!$P:$P,'TP2'!$AI:$AI,$Y$2,'TP2'!$R:$R,$X$9,'TP2'!$U:$U,Ohjaus!$U49,'TP2'!$W:$W,Ohjaus!$X$8,'TP2'!$X:$X,$Y$1,'TP2'!$AD:$AD,$X$9,'TP2'!$AF:$AF,Ohjaus!$Y$6,'TP2'!$Q:$Q,Ohjaus!$Y$4,'TP2'!$AG:$AG,Ohjaus!$Y$5,'TP2'!$AL:$AL,$AF$4,'TP2'!$V:$V,Ohjaus!$Y$7,'TP2'!AN:AN,"P")</f>
        <v>0</v>
      </c>
      <c r="Y49" s="697">
        <f>SUMIFS('TP2'!$P:$P,'TP2'!$AI:$AI,$Y$2,'TP2'!$R:$R,$X$9,'TP2'!$U:$U,Ohjaus!$U49,'TP2'!$W:$W,"vanha",'TP2'!$X:$X,$Y$1,'TP2'!$AD:$AD,$X$9,'TP2'!$AF:$AF,Ohjaus!$Y$6,'TP2'!$Q:$Q,Ohjaus!$Y$4,'TP2'!$AG:$AG,Ohjaus!$Y$5,'TP2'!$AL:$AL,$AF$4,'TP2'!AN:AN,"P")</f>
        <v>0</v>
      </c>
      <c r="AG49" s="702">
        <f>SUMIFS('TP2'!$P:$P,'TP2'!$AI:$AI,$W$7,'TP2'!$R:$R,$X$9,'TP2'!$U:$U,Ohjaus!$AF49,'TP2'!$W:$W,Ohjaus!$X$8,'TP2'!$X:$X,Ohjaus!$X$6,'TP2'!$AD:$AD,$X$9,'TP2'!$AF:$AF,Ohjaus!$Y$6,'TP2'!$Q:$Q,Ohjaus!$Y$4,'TP2'!$AG:$AG,Ohjaus!$Y$5,'TP2'!AL:AL,$AF$4,'TP2'!AN:AN,"P")</f>
        <v>0</v>
      </c>
      <c r="AH49" s="697">
        <f>SUMIFS('TP2'!$P:$P,'TP2'!$AI:$AI,$Y$2,'TP2'!$R:$R,$X$9,'TP2'!$U:$U,Ohjaus!$AF49,'TP2'!$W:$W,Ohjaus!$X$8,'TP2'!$X:$X,$Y$1,'TP2'!$AD:$AD,$X$9,'TP2'!$AF:$AF,Ohjaus!$Y$6,'TP2'!$Q:$Q,Ohjaus!$Y$4,'TP2'!$AG:$AG,Ohjaus!$Y$5,'TP2'!$AL:$AL,$AF$4,'TP2'!$V:$V,Ohjaus!$X$7,'TP2'!AN:AN,"P")</f>
        <v>0</v>
      </c>
      <c r="AI49" s="697">
        <f>SUMIFS('TP2'!$P:$P,'TP2'!$AI:$AI,$Y$2,'TP2'!$R:$R,$X$9,'TP2'!$U:$U,Ohjaus!$AF49,'TP2'!$W:$W,Ohjaus!$X$8,'TP2'!$X:$X,$Y$1,'TP2'!$AD:$AD,$X$9,'TP2'!$AF:$AF,Ohjaus!$Y$6,'TP2'!$Q:$Q,Ohjaus!$Y$4,'TP2'!$AG:$AG,Ohjaus!$Y$5,'TP2'!$AL:$AL,$AF$4,'TP2'!$V:$V,Ohjaus!$Y$7,'TP2'!AN:AN,"P")</f>
        <v>0</v>
      </c>
      <c r="AJ49" s="697">
        <f>SUMIFS('TP2'!$P:$P,'TP2'!$AI:$AI,$Y$2,'TP2'!$R:$R,$X$9,'TP2'!$U:$U,Ohjaus!$AF49,'TP2'!$W:$W,"vanha",'TP2'!$X:$X,$Y$1,'TP2'!$AD:$AD,$X$9,'TP2'!$AF:$AF,Ohjaus!$Y$6,'TP2'!$Q:$Q,Ohjaus!$Y$4,'TP2'!$AG:$AG,Ohjaus!$Y$5,'TP2'!$AL:$AL,$AF$4,'TP2'!AN:AN,"P")</f>
        <v>0</v>
      </c>
      <c r="AO49" s="694"/>
      <c r="AP49" s="695" t="s">
        <v>1110</v>
      </c>
      <c r="AQ49" s="695" t="s">
        <v>1110</v>
      </c>
      <c r="AR49" t="s">
        <v>1111</v>
      </c>
    </row>
    <row r="50" spans="1:48" x14ac:dyDescent="0.25">
      <c r="A50" s="1077" t="s">
        <v>1110</v>
      </c>
      <c r="B50" s="696" t="s">
        <v>1112</v>
      </c>
      <c r="C50" s="697">
        <f>SUMIFS('TP2'!$P:$P,'TP2'!$AI:$AI,$Y$2,'TP2'!$R:$R,$X$9,'TP2'!$U:$U,Ohjaus!$T50,'TP2'!$W:$W,Ohjaus!$X$8,'TP2'!$X:$X,$Y$1,'TP2'!$AD:$AD,$X$9,'TP2'!$AF:$AF,Ohjaus!$Y$6,'TP2'!$Q:$Q,Ohjaus!$Y$4,'TP2'!$AG:$AG,Ohjaus!$Y$5,'TP2'!AL:AL,$AF$4,'TP2'!AN:AN,"P")+V50+AG50</f>
        <v>0</v>
      </c>
      <c r="D50" s="698">
        <f t="shared" si="5"/>
        <v>0</v>
      </c>
      <c r="E50" s="697">
        <f>SUMIFS('TP2'!$P:$P,'TP2'!$AI:$AI,$Y$2,'TP2'!$R:$R,$X$9,'TP2'!$U:$U,Ohjaus!$T50,'TP2'!$W:$W,Ohjaus!$X$8,'TP2'!$X:$X,$Y$1,'TP2'!$AD:$AD,$X$9,'TP2'!$AF:$AF,Ohjaus!$Y$6,'TP2'!$Q:$Q,Ohjaus!$Y$4,'TP2'!$AG:$AG,Ohjaus!$Y$5,'TP2'!$AL:$AL,$AF$4,'TP2'!$V:$V,Ohjaus!$X$7,'TP2'!AN:AN,"P")+W50+AH50</f>
        <v>0</v>
      </c>
      <c r="F50" s="697">
        <f>SUMIFS('TP2'!$P:$P,'TP2'!$AI:$AI,$Y$2,'TP2'!$R:$R,$X$9,'TP2'!$U:$U,Ohjaus!$T50,'TP2'!$W:$W,Ohjaus!$X$8,'TP2'!$X:$X,$Y$1,'TP2'!$AD:$AD,$X$9,'TP2'!$AF:$AF,Ohjaus!$Y$6,'TP2'!$Q:$Q,Ohjaus!$Y$4,'TP2'!$AG:$AG,Ohjaus!$Y$5,'TP2'!$AL:$AL,$AF$4,'TP2'!$V:$V,Ohjaus!$Y$7,'TP2'!AN:AN,"P")+X50+AI50</f>
        <v>0</v>
      </c>
      <c r="G50" s="697">
        <f>SUMIFS('TP2'!$P:$P,'TP2'!$AI:$AI,$Y$2,'TP2'!$R:$R,$X$9,'TP2'!$U:$U,Ohjaus!$T50,'TP2'!$W:$W,"vanha",'TP2'!$X:$X,$Y$1,'TP2'!$AD:$AD,$X$9,'TP2'!$AF:$AF,Ohjaus!$Y$6,'TP2'!$Q:$Q,Ohjaus!$Y$4,'TP2'!$AG:$AG,Ohjaus!$Y$5,'TP2'!$AL:$AL,$AF$4,'TP2'!AN:AN,"P")+Z50+AK50</f>
        <v>0</v>
      </c>
      <c r="H50" s="699"/>
      <c r="I50" s="700"/>
      <c r="J50" s="701">
        <f>SUMIFS('TP2'!$P:$P,'TP2'!$AI:$AI,$Y$2,'TP2'!$R:$R,$X$9,'TP2'!$U:$U,Ohjaus!$T50,'TP2'!$W:$W,Ohjaus!$X$8,'TP2'!$X:$X,$Y$1,'TP2'!$AD:$AD,$X$9,'TP2'!$AF:$AF,Ohjaus!$Y$6,'TP2'!$Q:$Q,Ohjaus!$Y$4,'TP2'!$AG:$AG,Ohjaus!$Y$5,'TP2'!$AL:$AL,$AF$4,'TP2'!$Z:$Z,1,'TP2'!AN:AN,"P")</f>
        <v>0</v>
      </c>
      <c r="K50" s="702">
        <f>SUMIFS('TP2'!$P:$P,'TP2'!$AI:$AI,$Y$2,'TP2'!$R:$R,$X$9,'TP2'!$U:$U,Ohjaus!$T50,'TP2'!$W:$W,Ohjaus!$X$8,'TP2'!$X:$X,$Y$1,'TP2'!$AD:$AD,$X$9,'TP2'!$AF:$AF,Ohjaus!$Y$6,'TP2'!$Q:$Q,Ohjaus!$Y$4,'TP2'!$AG:$AG,Ohjaus!$Y$5,'TP2'!$AL:$AL,$AF$4,'TP2'!$O:$O,$Z$3,'TP2'!AN:AN,"P")</f>
        <v>0</v>
      </c>
      <c r="L50" s="702">
        <f>SUMIFS('TP2'!$P:$P,'TP2'!$AI:$AI,$Y$2,'TP2'!$R:$R,$X$9,'TP2'!$U:$U,Ohjaus!$T50,'TP2'!$W:$W,Ohjaus!$X$8,'TP2'!$X:$X,$Y$1,'TP2'!$AD:$AD,$X$9,'TP2'!$AF:$AF,Ohjaus!$Y$6,'TP2'!$Q:$Q,Ohjaus!$Y$4,'TP2'!$AG:$AG,Ohjaus!$Y$5,'TP2'!$AL:$AL,$AF$4,'TP2'!$K:$K,$Z$6,'TP2'!AN:AN,"P")</f>
        <v>0</v>
      </c>
      <c r="M50" s="702">
        <f>SUMIFS('TP2'!$P:$P,'TP2'!$AI:$AI,$Y$2,'TP2'!$R:$R,$X$9,'TP2'!$U:$U,Ohjaus!$T50,'TP2'!$W:$W,Ohjaus!$X$8,'TP2'!$X:$X,$Y$1,'TP2'!$AD:$AD,$X$9,'TP2'!$AF:$AF,Ohjaus!$Y$6,'TP2'!$Q:$Q,Ohjaus!$Y$4,'TP2'!$AG:$AG,Ohjaus!$Y$5,'TP2'!$AL:$AL,$AF$4,'TP2'!$K:$K,$Z$7,'TP2'!AN:AN,"P")</f>
        <v>0</v>
      </c>
      <c r="N50" s="702">
        <f>SUMIFS('TP2'!$P:$P,'TP2'!$AI:$AI,$Y$2,'TP2'!$R:$R,$X$9,'TP2'!$U:$U,Ohjaus!$T50,'TP2'!$W:$W,Ohjaus!$X$8,'TP2'!$X:$X,$Y$1,'TP2'!$AD:$AD,$X$9,'TP2'!$AF:$AF,Ohjaus!$Y$6,'TP2'!$Q:$Q,Ohjaus!$Y$4,'TP2'!$AG:$AG,Ohjaus!$Y$5,'TP2'!$AL:$AL,$AF$4,'TP2'!$K:$K,$Z$8,'TP2'!AN:AN,"P")</f>
        <v>0</v>
      </c>
      <c r="O50" s="702">
        <f>SUMIFS('TP2'!$P:$P,'TP2'!$AI:$AI,$Y$2,'TP2'!$R:$R,$X$9,'TP2'!$U:$U,Ohjaus!$T50,'TP2'!$W:$W,Ohjaus!$X$8,'TP2'!$X:$X,$Y$1,'TP2'!$AD:$AD,$X$9,'TP2'!$AF:$AF,Ohjaus!$Y$6,'TP2'!$Q:$Q,Ohjaus!$Y$4,'TP2'!$AG:$AG,Ohjaus!$Y$5,'TP2'!$AL:$AL,$AF$4,'TP2'!$K:$K,$Z$5,'TP2'!AN:AN,"P")</f>
        <v>0</v>
      </c>
      <c r="T50" s="693" t="s">
        <v>1113</v>
      </c>
      <c r="V50" s="702">
        <f>SUMIFS('TP2'!$P:$P,'TP2'!$AI:$AI,$Y$2,'TP2'!$R:$R,$X$9,'TP2'!$U:$U,Ohjaus!$U50,'TP2'!$W:$W,Ohjaus!$X$8,'TP2'!$X:$X,$Y$1,'TP2'!$AD:$AD,$X$9,'TP2'!$AF:$AF,Ohjaus!$Y$6,'TP2'!$Q:$Q,Ohjaus!$Y$4,'TP2'!$AG:$AG,Ohjaus!$Y$5,'TP2'!AL:AL,$AF$4,'TP2'!AN:AN,"P")</f>
        <v>0</v>
      </c>
      <c r="W50" s="697">
        <f>SUMIFS('TP2'!$P:$P,'TP2'!$AI:$AI,$Y$2,'TP2'!$R:$R,$X$9,'TP2'!$U:$U,Ohjaus!$U50,'TP2'!$W:$W,Ohjaus!$X$8,'TP2'!$X:$X,$Y$1,'TP2'!$AD:$AD,$X$9,'TP2'!$AF:$AF,Ohjaus!$Y$6,'TP2'!$Q:$Q,Ohjaus!$Y$4,'TP2'!$AG:$AG,Ohjaus!$Y$5,'TP2'!$AL:$AL,$AF$4,'TP2'!$V:$V,Ohjaus!$X$7,'TP2'!AN:AN,"P")</f>
        <v>0</v>
      </c>
      <c r="X50" s="697">
        <f>SUMIFS('TP2'!$P:$P,'TP2'!$AI:$AI,$Y$2,'TP2'!$R:$R,$X$9,'TP2'!$U:$U,Ohjaus!$U50,'TP2'!$W:$W,Ohjaus!$X$8,'TP2'!$X:$X,$Y$1,'TP2'!$AD:$AD,$X$9,'TP2'!$AF:$AF,Ohjaus!$Y$6,'TP2'!$Q:$Q,Ohjaus!$Y$4,'TP2'!$AG:$AG,Ohjaus!$Y$5,'TP2'!$AL:$AL,$AF$4,'TP2'!$V:$V,Ohjaus!$Y$7,'TP2'!AN:AN,"P")</f>
        <v>0</v>
      </c>
      <c r="Y50" s="697">
        <f>SUMIFS('TP2'!$P:$P,'TP2'!$AI:$AI,$Y$2,'TP2'!$R:$R,$X$9,'TP2'!$U:$U,Ohjaus!$U50,'TP2'!$W:$W,"vanha",'TP2'!$X:$X,$Y$1,'TP2'!$AD:$AD,$X$9,'TP2'!$AF:$AF,Ohjaus!$Y$6,'TP2'!$Q:$Q,Ohjaus!$Y$4,'TP2'!$AG:$AG,Ohjaus!$Y$5,'TP2'!$AL:$AL,$AF$4,'TP2'!AN:AN,"P")</f>
        <v>0</v>
      </c>
      <c r="AG50" s="702">
        <f>SUMIFS('TP2'!$P:$P,'TP2'!$AI:$AI,$W$7,'TP2'!$R:$R,$X$9,'TP2'!$U:$U,Ohjaus!$AF50,'TP2'!$W:$W,Ohjaus!$X$8,'TP2'!$X:$X,Ohjaus!$X$6,'TP2'!$AD:$AD,$X$9,'TP2'!$AF:$AF,Ohjaus!$Y$6,'TP2'!$Q:$Q,Ohjaus!$Y$4,'TP2'!$AG:$AG,Ohjaus!$Y$5,'TP2'!AL:AL,$AF$4,'TP2'!AN:AN,"P")</f>
        <v>0</v>
      </c>
      <c r="AH50" s="697">
        <f>SUMIFS('TP2'!$P:$P,'TP2'!$AI:$AI,$Y$2,'TP2'!$R:$R,$X$9,'TP2'!$U:$U,Ohjaus!$AF50,'TP2'!$W:$W,Ohjaus!$X$8,'TP2'!$X:$X,$Y$1,'TP2'!$AD:$AD,$X$9,'TP2'!$AF:$AF,Ohjaus!$Y$6,'TP2'!$Q:$Q,Ohjaus!$Y$4,'TP2'!$AG:$AG,Ohjaus!$Y$5,'TP2'!$AL:$AL,$AF$4,'TP2'!$V:$V,Ohjaus!$X$7,'TP2'!AN:AN,"P")</f>
        <v>0</v>
      </c>
      <c r="AI50" s="697">
        <f>SUMIFS('TP2'!$P:$P,'TP2'!$AI:$AI,$Y$2,'TP2'!$R:$R,$X$9,'TP2'!$U:$U,Ohjaus!$AF50,'TP2'!$W:$W,Ohjaus!$X$8,'TP2'!$X:$X,$Y$1,'TP2'!$AD:$AD,$X$9,'TP2'!$AF:$AF,Ohjaus!$Y$6,'TP2'!$Q:$Q,Ohjaus!$Y$4,'TP2'!$AG:$AG,Ohjaus!$Y$5,'TP2'!$AL:$AL,$AF$4,'TP2'!$V:$V,Ohjaus!$Y$7,'TP2'!AN:AN,"P")</f>
        <v>0</v>
      </c>
      <c r="AJ50" s="697">
        <f>SUMIFS('TP2'!$P:$P,'TP2'!$AI:$AI,$Y$2,'TP2'!$R:$R,$X$9,'TP2'!$U:$U,Ohjaus!$AF50,'TP2'!$W:$W,"vanha",'TP2'!$X:$X,$Y$1,'TP2'!$AD:$AD,$X$9,'TP2'!$AF:$AF,Ohjaus!$Y$6,'TP2'!$Q:$Q,Ohjaus!$Y$4,'TP2'!$AG:$AG,Ohjaus!$Y$5,'TP2'!$AL:$AL,$AF$4,'TP2'!AN:AN,"P")</f>
        <v>0</v>
      </c>
      <c r="AO50" s="707"/>
      <c r="AP50" s="708" t="s">
        <v>1114</v>
      </c>
      <c r="AQ50" s="708" t="s">
        <v>1114</v>
      </c>
      <c r="AR50" t="s">
        <v>1113</v>
      </c>
    </row>
    <row r="51" spans="1:48" x14ac:dyDescent="0.25">
      <c r="A51" s="1078"/>
      <c r="B51" s="696" t="s">
        <v>413</v>
      </c>
      <c r="C51" s="697">
        <f>SUMIFS('TP2'!$P:$P,'TP2'!$AI:$AI,$Y$2,'TP2'!$R:$R,$X$9,'TP2'!$U:$U,Ohjaus!$T51,'TP2'!$W:$W,Ohjaus!$X$8,'TP2'!$X:$X,$Y$1,'TP2'!$AD:$AD,$X$9,'TP2'!$AF:$AF,Ohjaus!$Y$6,'TP2'!$Q:$Q,Ohjaus!$Y$4,'TP2'!$AG:$AG,Ohjaus!$Y$5,'TP2'!AL:AL,$AF$4,'TP2'!AN:AN,"P")+V51+AG51</f>
        <v>0</v>
      </c>
      <c r="D51" s="698">
        <f t="shared" si="5"/>
        <v>0</v>
      </c>
      <c r="E51" s="697">
        <f>SUMIFS('TP2'!$P:$P,'TP2'!$AI:$AI,$Y$2,'TP2'!$R:$R,$X$9,'TP2'!$U:$U,Ohjaus!$T51,'TP2'!$W:$W,Ohjaus!$X$8,'TP2'!$X:$X,$Y$1,'TP2'!$AD:$AD,$X$9,'TP2'!$AF:$AF,Ohjaus!$Y$6,'TP2'!$Q:$Q,Ohjaus!$Y$4,'TP2'!$AG:$AG,Ohjaus!$Y$5,'TP2'!$AL:$AL,$AF$4,'TP2'!$V:$V,Ohjaus!$X$7,'TP2'!AN:AN,"P")+W51+AH51</f>
        <v>0</v>
      </c>
      <c r="F51" s="697">
        <f>SUMIFS('TP2'!$P:$P,'TP2'!$AI:$AI,$Y$2,'TP2'!$R:$R,$X$9,'TP2'!$U:$U,Ohjaus!$T51,'TP2'!$W:$W,Ohjaus!$X$8,'TP2'!$X:$X,$Y$1,'TP2'!$AD:$AD,$X$9,'TP2'!$AF:$AF,Ohjaus!$Y$6,'TP2'!$Q:$Q,Ohjaus!$Y$4,'TP2'!$AG:$AG,Ohjaus!$Y$5,'TP2'!$AL:$AL,$AF$4,'TP2'!$V:$V,Ohjaus!$Y$7,'TP2'!AN:AN,"P")+X51+AI51</f>
        <v>0</v>
      </c>
      <c r="G51" s="697">
        <f>SUMIFS('TP2'!$P:$P,'TP2'!$AI:$AI,$Y$2,'TP2'!$R:$R,$X$9,'TP2'!$U:$U,Ohjaus!$T51,'TP2'!$W:$W,"vanha",'TP2'!$X:$X,$Y$1,'TP2'!$AD:$AD,$X$9,'TP2'!$AF:$AF,Ohjaus!$Y$6,'TP2'!$Q:$Q,Ohjaus!$Y$4,'TP2'!$AG:$AG,Ohjaus!$Y$5,'TP2'!$AL:$AL,$AF$4,'TP2'!AN:AN,"P")+Z51+AK51</f>
        <v>0</v>
      </c>
      <c r="H51" s="699"/>
      <c r="I51" s="700"/>
      <c r="J51" s="701">
        <f>SUMIFS('TP2'!$P:$P,'TP2'!$AI:$AI,$Y$2,'TP2'!$R:$R,$X$9,'TP2'!$U:$U,Ohjaus!$T51,'TP2'!$W:$W,Ohjaus!$X$8,'TP2'!$X:$X,$Y$1,'TP2'!$AD:$AD,$X$9,'TP2'!$AF:$AF,Ohjaus!$Y$6,'TP2'!$Q:$Q,Ohjaus!$Y$4,'TP2'!$AG:$AG,Ohjaus!$Y$5,'TP2'!$AL:$AL,$AF$4,'TP2'!$Z:$Z,1,'TP2'!AN:AN,"P")</f>
        <v>0</v>
      </c>
      <c r="K51" s="702">
        <f>SUMIFS('TP2'!$P:$P,'TP2'!$AI:$AI,$Y$2,'TP2'!$R:$R,$X$9,'TP2'!$U:$U,Ohjaus!$T51,'TP2'!$W:$W,Ohjaus!$X$8,'TP2'!$X:$X,$Y$1,'TP2'!$AD:$AD,$X$9,'TP2'!$AF:$AF,Ohjaus!$Y$6,'TP2'!$Q:$Q,Ohjaus!$Y$4,'TP2'!$AG:$AG,Ohjaus!$Y$5,'TP2'!$AL:$AL,$AF$4,'TP2'!$O:$O,$Z$3,'TP2'!AN:AN,"P")</f>
        <v>0</v>
      </c>
      <c r="L51" s="702">
        <f>SUMIFS('TP2'!$P:$P,'TP2'!$AI:$AI,$Y$2,'TP2'!$R:$R,$X$9,'TP2'!$U:$U,Ohjaus!$T51,'TP2'!$W:$W,Ohjaus!$X$8,'TP2'!$X:$X,$Y$1,'TP2'!$AD:$AD,$X$9,'TP2'!$AF:$AF,Ohjaus!$Y$6,'TP2'!$Q:$Q,Ohjaus!$Y$4,'TP2'!$AG:$AG,Ohjaus!$Y$5,'TP2'!$AL:$AL,$AF$4,'TP2'!$K:$K,$Z$6,'TP2'!AN:AN,"P")</f>
        <v>0</v>
      </c>
      <c r="M51" s="702">
        <f>SUMIFS('TP2'!$P:$P,'TP2'!$AI:$AI,$Y$2,'TP2'!$R:$R,$X$9,'TP2'!$U:$U,Ohjaus!$T51,'TP2'!$W:$W,Ohjaus!$X$8,'TP2'!$X:$X,$Y$1,'TP2'!$AD:$AD,$X$9,'TP2'!$AF:$AF,Ohjaus!$Y$6,'TP2'!$Q:$Q,Ohjaus!$Y$4,'TP2'!$AG:$AG,Ohjaus!$Y$5,'TP2'!$AL:$AL,$AF$4,'TP2'!$K:$K,$Z$7,'TP2'!AN:AN,"P")</f>
        <v>0</v>
      </c>
      <c r="N51" s="702">
        <f>SUMIFS('TP2'!$P:$P,'TP2'!$AI:$AI,$Y$2,'TP2'!$R:$R,$X$9,'TP2'!$U:$U,Ohjaus!$T51,'TP2'!$W:$W,Ohjaus!$X$8,'TP2'!$X:$X,$Y$1,'TP2'!$AD:$AD,$X$9,'TP2'!$AF:$AF,Ohjaus!$Y$6,'TP2'!$Q:$Q,Ohjaus!$Y$4,'TP2'!$AG:$AG,Ohjaus!$Y$5,'TP2'!$AL:$AL,$AF$4,'TP2'!$K:$K,$Z$8,'TP2'!AN:AN,"P")</f>
        <v>0</v>
      </c>
      <c r="O51" s="702">
        <f>SUMIFS('TP2'!$P:$P,'TP2'!$AI:$AI,$Y$2,'TP2'!$R:$R,$X$9,'TP2'!$U:$U,Ohjaus!$T51,'TP2'!$W:$W,Ohjaus!$X$8,'TP2'!$X:$X,$Y$1,'TP2'!$AD:$AD,$X$9,'TP2'!$AF:$AF,Ohjaus!$Y$6,'TP2'!$Q:$Q,Ohjaus!$Y$4,'TP2'!$AG:$AG,Ohjaus!$Y$5,'TP2'!$AL:$AL,$AF$4,'TP2'!$K:$K,$Z$5,'TP2'!AN:AN,"P")</f>
        <v>0</v>
      </c>
      <c r="T51" t="s">
        <v>1115</v>
      </c>
      <c r="U51" s="709" t="s">
        <v>1116</v>
      </c>
      <c r="V51" s="702">
        <f>SUMIFS('TP2'!$P:$P,'TP2'!$AI:$AI,$Y$2,'TP2'!$R:$R,$X$9,'TP2'!$U:$U,Ohjaus!$U51,'TP2'!$W:$W,Ohjaus!$X$8,'TP2'!$X:$X,$Y$1,'TP2'!$AD:$AD,$X$9,'TP2'!$AF:$AF,Ohjaus!$Y$6,'TP2'!$Q:$Q,Ohjaus!$Y$4,'TP2'!$AG:$AG,Ohjaus!$Y$5,'TP2'!AL:AL,$AF$4,'TP2'!AN:AN,"P")</f>
        <v>0</v>
      </c>
      <c r="W51" s="697">
        <f>SUMIFS('TP2'!$P:$P,'TP2'!$AI:$AI,$Y$2,'TP2'!$R:$R,$X$9,'TP2'!$U:$U,Ohjaus!$U51,'TP2'!$W:$W,Ohjaus!$X$8,'TP2'!$X:$X,$Y$1,'TP2'!$AD:$AD,$X$9,'TP2'!$AF:$AF,Ohjaus!$Y$6,'TP2'!$Q:$Q,Ohjaus!$Y$4,'TP2'!$AG:$AG,Ohjaus!$Y$5,'TP2'!$AL:$AL,$AF$4,'TP2'!$V:$V,Ohjaus!$X$7,'TP2'!AN:AN,"P")</f>
        <v>0</v>
      </c>
      <c r="X51" s="697">
        <f>SUMIFS('TP2'!$P:$P,'TP2'!$AI:$AI,$Y$2,'TP2'!$R:$R,$X$9,'TP2'!$U:$U,Ohjaus!$U51,'TP2'!$W:$W,Ohjaus!$X$8,'TP2'!$X:$X,$Y$1,'TP2'!$AD:$AD,$X$9,'TP2'!$AF:$AF,Ohjaus!$Y$6,'TP2'!$Q:$Q,Ohjaus!$Y$4,'TP2'!$AG:$AG,Ohjaus!$Y$5,'TP2'!$AL:$AL,$AF$4,'TP2'!$V:$V,Ohjaus!$Y$7,'TP2'!AN:AN,"P")</f>
        <v>0</v>
      </c>
      <c r="Y51" s="697">
        <f>SUMIFS('TP2'!$P:$P,'TP2'!$AI:$AI,$Y$2,'TP2'!$R:$R,$X$9,'TP2'!$U:$U,Ohjaus!$U51,'TP2'!$W:$W,"vanha",'TP2'!$X:$X,$Y$1,'TP2'!$AD:$AD,$X$9,'TP2'!$AF:$AF,Ohjaus!$Y$6,'TP2'!$Q:$Q,Ohjaus!$Y$4,'TP2'!$AG:$AG,Ohjaus!$Y$5,'TP2'!$AL:$AL,$AF$4,'TP2'!AN:AN,"P")</f>
        <v>0</v>
      </c>
      <c r="AF51" s="709" t="s">
        <v>1117</v>
      </c>
      <c r="AG51" s="702">
        <f>SUMIFS('TP2'!$P:$P,'TP2'!$AI:$AI,$W$7,'TP2'!$R:$R,$X$9,'TP2'!$U:$U,Ohjaus!$AF51,'TP2'!$W:$W,Ohjaus!$X$8,'TP2'!$X:$X,Ohjaus!$X$6,'TP2'!$AD:$AD,$X$9,'TP2'!$AF:$AF,Ohjaus!$Y$6,'TP2'!$Q:$Q,Ohjaus!$Y$4,'TP2'!$AG:$AG,Ohjaus!$Y$5,'TP2'!AL:AL,$AF$4,'TP2'!AN:AN,"P")</f>
        <v>0</v>
      </c>
      <c r="AH51" s="697">
        <f>SUMIFS('TP2'!$P:$P,'TP2'!$AI:$AI,$Y$2,'TP2'!$R:$R,$X$9,'TP2'!$U:$U,Ohjaus!$AF51,'TP2'!$W:$W,Ohjaus!$X$8,'TP2'!$X:$X,$Y$1,'TP2'!$AD:$AD,$X$9,'TP2'!$AF:$AF,Ohjaus!$Y$6,'TP2'!$Q:$Q,Ohjaus!$Y$4,'TP2'!$AG:$AG,Ohjaus!$Y$5,'TP2'!$AL:$AL,$AF$4,'TP2'!$V:$V,Ohjaus!$X$7,'TP2'!AN:AN,"P")</f>
        <v>0</v>
      </c>
      <c r="AI51" s="697">
        <f>SUMIFS('TP2'!$P:$P,'TP2'!$AI:$AI,$Y$2,'TP2'!$R:$R,$X$9,'TP2'!$U:$U,Ohjaus!$AF51,'TP2'!$W:$W,Ohjaus!$X$8,'TP2'!$X:$X,$Y$1,'TP2'!$AD:$AD,$X$9,'TP2'!$AF:$AF,Ohjaus!$Y$6,'TP2'!$Q:$Q,Ohjaus!$Y$4,'TP2'!$AG:$AG,Ohjaus!$Y$5,'TP2'!$AL:$AL,$AF$4,'TP2'!$V:$V,Ohjaus!$Y$7,'TP2'!AN:AN,"P")</f>
        <v>0</v>
      </c>
      <c r="AJ51" s="697">
        <f>SUMIFS('TP2'!$P:$P,'TP2'!$AI:$AI,$Y$2,'TP2'!$R:$R,$X$9,'TP2'!$U:$U,Ohjaus!$AF51,'TP2'!$W:$W,"vanha",'TP2'!$X:$X,$Y$1,'TP2'!$AD:$AD,$X$9,'TP2'!$AF:$AF,Ohjaus!$Y$6,'TP2'!$Q:$Q,Ohjaus!$Y$4,'TP2'!$AG:$AG,Ohjaus!$Y$5,'TP2'!$AL:$AL,$AF$4,'TP2'!AN:AN,"P")</f>
        <v>0</v>
      </c>
      <c r="AO51" s="704" t="s">
        <v>986</v>
      </c>
      <c r="AP51" s="705" t="s">
        <v>413</v>
      </c>
      <c r="AQ51" s="705" t="s">
        <v>1118</v>
      </c>
      <c r="AR51" t="s">
        <v>1115</v>
      </c>
      <c r="AS51" s="710" t="s">
        <v>997</v>
      </c>
      <c r="AT51" s="711" t="s">
        <v>1119</v>
      </c>
      <c r="AU51" s="711" t="s">
        <v>1119</v>
      </c>
      <c r="AV51" t="s">
        <v>1117</v>
      </c>
    </row>
    <row r="52" spans="1:48" x14ac:dyDescent="0.25">
      <c r="A52" s="1078"/>
      <c r="B52" s="696" t="s">
        <v>1120</v>
      </c>
      <c r="C52" s="697">
        <f>SUMIFS('TP2'!$P:$P,'TP2'!$AI:$AI,$Y$2,'TP2'!$R:$R,$X$9,'TP2'!$U:$U,Ohjaus!$T52,'TP2'!$W:$W,Ohjaus!$X$8,'TP2'!$X:$X,$Y$1,'TP2'!$AD:$AD,$X$9,'TP2'!$AF:$AF,Ohjaus!$Y$6,'TP2'!$Q:$Q,Ohjaus!$Y$4,'TP2'!$AG:$AG,Ohjaus!$Y$5,'TP2'!AL:AL,$AF$4,'TP2'!AN:AN,"P")+V52+AG52</f>
        <v>0</v>
      </c>
      <c r="D52" s="698">
        <f t="shared" si="5"/>
        <v>0</v>
      </c>
      <c r="E52" s="697">
        <f>SUMIFS('TP2'!$P:$P,'TP2'!$AI:$AI,$Y$2,'TP2'!$R:$R,$X$9,'TP2'!$U:$U,Ohjaus!$T52,'TP2'!$W:$W,Ohjaus!$X$8,'TP2'!$X:$X,$Y$1,'TP2'!$AD:$AD,$X$9,'TP2'!$AF:$AF,Ohjaus!$Y$6,'TP2'!$Q:$Q,Ohjaus!$Y$4,'TP2'!$AG:$AG,Ohjaus!$Y$5,'TP2'!$AL:$AL,$AF$4,'TP2'!$V:$V,Ohjaus!$X$7,'TP2'!AN:AN,"P")+W52+AH52</f>
        <v>0</v>
      </c>
      <c r="F52" s="697">
        <f>SUMIFS('TP2'!$P:$P,'TP2'!$AI:$AI,$Y$2,'TP2'!$R:$R,$X$9,'TP2'!$U:$U,Ohjaus!$T52,'TP2'!$W:$W,Ohjaus!$X$8,'TP2'!$X:$X,$Y$1,'TP2'!$AD:$AD,$X$9,'TP2'!$AF:$AF,Ohjaus!$Y$6,'TP2'!$Q:$Q,Ohjaus!$Y$4,'TP2'!$AG:$AG,Ohjaus!$Y$5,'TP2'!$AL:$AL,$AF$4,'TP2'!$V:$V,Ohjaus!$Y$7,'TP2'!AN:AN,"P")+X52+AI52</f>
        <v>0</v>
      </c>
      <c r="G52" s="697">
        <f>SUMIFS('TP2'!$P:$P,'TP2'!$AI:$AI,$Y$2,'TP2'!$R:$R,$X$9,'TP2'!$U:$U,Ohjaus!$T52,'TP2'!$W:$W,"vanha",'TP2'!$X:$X,$Y$1,'TP2'!$AD:$AD,$X$9,'TP2'!$AF:$AF,Ohjaus!$Y$6,'TP2'!$Q:$Q,Ohjaus!$Y$4,'TP2'!$AG:$AG,Ohjaus!$Y$5,'TP2'!$AL:$AL,$AF$4,'TP2'!AN:AN,"P")+Z52+AK52</f>
        <v>0</v>
      </c>
      <c r="H52" s="699"/>
      <c r="I52" s="700"/>
      <c r="J52" s="701">
        <f>SUMIFS('TP2'!$P:$P,'TP2'!$AI:$AI,$Y$2,'TP2'!$R:$R,$X$9,'TP2'!$U:$U,Ohjaus!$T52,'TP2'!$W:$W,Ohjaus!$X$8,'TP2'!$X:$X,$Y$1,'TP2'!$AD:$AD,$X$9,'TP2'!$AF:$AF,Ohjaus!$Y$6,'TP2'!$Q:$Q,Ohjaus!$Y$4,'TP2'!$AG:$AG,Ohjaus!$Y$5,'TP2'!$AL:$AL,$AF$4,'TP2'!$Z:$Z,1,'TP2'!AN:AN,"P")</f>
        <v>0</v>
      </c>
      <c r="K52" s="702">
        <f>SUMIFS('TP2'!$P:$P,'TP2'!$AI:$AI,$Y$2,'TP2'!$R:$R,$X$9,'TP2'!$U:$U,Ohjaus!$T52,'TP2'!$W:$W,Ohjaus!$X$8,'TP2'!$X:$X,$Y$1,'TP2'!$AD:$AD,$X$9,'TP2'!$AF:$AF,Ohjaus!$Y$6,'TP2'!$Q:$Q,Ohjaus!$Y$4,'TP2'!$AG:$AG,Ohjaus!$Y$5,'TP2'!$AL:$AL,$AF$4,'TP2'!$O:$O,$Z$3,'TP2'!AN:AN,"P")</f>
        <v>0</v>
      </c>
      <c r="L52" s="702">
        <f>SUMIFS('TP2'!$P:$P,'TP2'!$AI:$AI,$Y$2,'TP2'!$R:$R,$X$9,'TP2'!$U:$U,Ohjaus!$T52,'TP2'!$W:$W,Ohjaus!$X$8,'TP2'!$X:$X,$Y$1,'TP2'!$AD:$AD,$X$9,'TP2'!$AF:$AF,Ohjaus!$Y$6,'TP2'!$Q:$Q,Ohjaus!$Y$4,'TP2'!$AG:$AG,Ohjaus!$Y$5,'TP2'!$AL:$AL,$AF$4,'TP2'!$K:$K,$Z$6,'TP2'!AN:AN,"P")</f>
        <v>0</v>
      </c>
      <c r="M52" s="702">
        <f>SUMIFS('TP2'!$P:$P,'TP2'!$AI:$AI,$Y$2,'TP2'!$R:$R,$X$9,'TP2'!$U:$U,Ohjaus!$T52,'TP2'!$W:$W,Ohjaus!$X$8,'TP2'!$X:$X,$Y$1,'TP2'!$AD:$AD,$X$9,'TP2'!$AF:$AF,Ohjaus!$Y$6,'TP2'!$Q:$Q,Ohjaus!$Y$4,'TP2'!$AG:$AG,Ohjaus!$Y$5,'TP2'!$AL:$AL,$AF$4,'TP2'!$K:$K,$Z$7,'TP2'!AN:AN,"P")</f>
        <v>0</v>
      </c>
      <c r="N52" s="702">
        <f>SUMIFS('TP2'!$P:$P,'TP2'!$AI:$AI,$Y$2,'TP2'!$R:$R,$X$9,'TP2'!$U:$U,Ohjaus!$T52,'TP2'!$W:$W,Ohjaus!$X$8,'TP2'!$X:$X,$Y$1,'TP2'!$AD:$AD,$X$9,'TP2'!$AF:$AF,Ohjaus!$Y$6,'TP2'!$Q:$Q,Ohjaus!$Y$4,'TP2'!$AG:$AG,Ohjaus!$Y$5,'TP2'!$AL:$AL,$AF$4,'TP2'!$K:$K,$Z$8,'TP2'!AN:AN,"P")</f>
        <v>0</v>
      </c>
      <c r="O52" s="702">
        <f>SUMIFS('TP2'!$P:$P,'TP2'!$AI:$AI,$Y$2,'TP2'!$R:$R,$X$9,'TP2'!$U:$U,Ohjaus!$T52,'TP2'!$W:$W,Ohjaus!$X$8,'TP2'!$X:$X,$Y$1,'TP2'!$AD:$AD,$X$9,'TP2'!$AF:$AF,Ohjaus!$Y$6,'TP2'!$Q:$Q,Ohjaus!$Y$4,'TP2'!$AG:$AG,Ohjaus!$Y$5,'TP2'!$AL:$AL,$AF$4,'TP2'!$K:$K,$Z$5,'TP2'!AN:AN,"P")</f>
        <v>0</v>
      </c>
      <c r="T52" s="693" t="s">
        <v>1121</v>
      </c>
      <c r="V52" s="702">
        <f>SUMIFS('TP2'!$P:$P,'TP2'!$AI:$AI,$Y$2,'TP2'!$R:$R,$X$9,'TP2'!$U:$U,Ohjaus!$U52,'TP2'!$W:$W,Ohjaus!$X$8,'TP2'!$X:$X,$Y$1,'TP2'!$AD:$AD,$X$9,'TP2'!$AF:$AF,Ohjaus!$Y$6,'TP2'!$Q:$Q,Ohjaus!$Y$4,'TP2'!$AG:$AG,Ohjaus!$Y$5,'TP2'!AL:AL,$AF$4,'TP2'!AN:AN,"P")</f>
        <v>0</v>
      </c>
      <c r="W52" s="697">
        <f>SUMIFS('TP2'!$P:$P,'TP2'!$AI:$AI,$Y$2,'TP2'!$R:$R,$X$9,'TP2'!$U:$U,Ohjaus!$U52,'TP2'!$W:$W,Ohjaus!$X$8,'TP2'!$X:$X,$Y$1,'TP2'!$AD:$AD,$X$9,'TP2'!$AF:$AF,Ohjaus!$Y$6,'TP2'!$Q:$Q,Ohjaus!$Y$4,'TP2'!$AG:$AG,Ohjaus!$Y$5,'TP2'!$AL:$AL,$AF$4,'TP2'!$V:$V,Ohjaus!$X$7,'TP2'!AN:AN,"P")</f>
        <v>0</v>
      </c>
      <c r="X52" s="697">
        <f>SUMIFS('TP2'!$P:$P,'TP2'!$AI:$AI,$Y$2,'TP2'!$R:$R,$X$9,'TP2'!$U:$U,Ohjaus!$U52,'TP2'!$W:$W,Ohjaus!$X$8,'TP2'!$X:$X,$Y$1,'TP2'!$AD:$AD,$X$9,'TP2'!$AF:$AF,Ohjaus!$Y$6,'TP2'!$Q:$Q,Ohjaus!$Y$4,'TP2'!$AG:$AG,Ohjaus!$Y$5,'TP2'!$AL:$AL,$AF$4,'TP2'!$V:$V,Ohjaus!$Y$7,'TP2'!AN:AN,"P")</f>
        <v>0</v>
      </c>
      <c r="Y52" s="697">
        <f>SUMIFS('TP2'!$P:$P,'TP2'!$AI:$AI,$Y$2,'TP2'!$R:$R,$X$9,'TP2'!$U:$U,Ohjaus!$U52,'TP2'!$W:$W,"vanha",'TP2'!$X:$X,$Y$1,'TP2'!$AD:$AD,$X$9,'TP2'!$AF:$AF,Ohjaus!$Y$6,'TP2'!$Q:$Q,Ohjaus!$Y$4,'TP2'!$AG:$AG,Ohjaus!$Y$5,'TP2'!$AL:$AL,$AF$4,'TP2'!AN:AN,"P")</f>
        <v>0</v>
      </c>
      <c r="AG52" s="702">
        <f>SUMIFS('TP2'!$P:$P,'TP2'!$AI:$AI,$W$7,'TP2'!$R:$R,$X$9,'TP2'!$U:$U,Ohjaus!$AF52,'TP2'!$W:$W,Ohjaus!$X$8,'TP2'!$X:$X,Ohjaus!$X$6,'TP2'!$AD:$AD,$X$9,'TP2'!$AF:$AF,Ohjaus!$Y$6,'TP2'!$Q:$Q,Ohjaus!$Y$4,'TP2'!$AG:$AG,Ohjaus!$Y$5,'TP2'!AL:AL,$AF$4,'TP2'!AN:AN,"P")</f>
        <v>0</v>
      </c>
      <c r="AH52" s="697">
        <f>SUMIFS('TP2'!$P:$P,'TP2'!$AI:$AI,$Y$2,'TP2'!$R:$R,$X$9,'TP2'!$U:$U,Ohjaus!$AF52,'TP2'!$W:$W,Ohjaus!$X$8,'TP2'!$X:$X,$Y$1,'TP2'!$AD:$AD,$X$9,'TP2'!$AF:$AF,Ohjaus!$Y$6,'TP2'!$Q:$Q,Ohjaus!$Y$4,'TP2'!$AG:$AG,Ohjaus!$Y$5,'TP2'!$AL:$AL,$AF$4,'TP2'!$V:$V,Ohjaus!$X$7,'TP2'!AN:AN,"P")</f>
        <v>0</v>
      </c>
      <c r="AI52" s="697">
        <f>SUMIFS('TP2'!$P:$P,'TP2'!$AI:$AI,$Y$2,'TP2'!$R:$R,$X$9,'TP2'!$U:$U,Ohjaus!$AF52,'TP2'!$W:$W,Ohjaus!$X$8,'TP2'!$X:$X,$Y$1,'TP2'!$AD:$AD,$X$9,'TP2'!$AF:$AF,Ohjaus!$Y$6,'TP2'!$Q:$Q,Ohjaus!$Y$4,'TP2'!$AG:$AG,Ohjaus!$Y$5,'TP2'!$AL:$AL,$AF$4,'TP2'!$V:$V,Ohjaus!$Y$7,'TP2'!AN:AN,"P")</f>
        <v>0</v>
      </c>
      <c r="AJ52" s="697">
        <f>SUMIFS('TP2'!$P:$P,'TP2'!$AI:$AI,$Y$2,'TP2'!$R:$R,$X$9,'TP2'!$U:$U,Ohjaus!$AF52,'TP2'!$W:$W,"vanha",'TP2'!$X:$X,$Y$1,'TP2'!$AD:$AD,$X$9,'TP2'!$AF:$AF,Ohjaus!$Y$6,'TP2'!$Q:$Q,Ohjaus!$Y$4,'TP2'!$AG:$AG,Ohjaus!$Y$5,'TP2'!$AL:$AL,$AF$4,'TP2'!AN:AN,"P")</f>
        <v>0</v>
      </c>
      <c r="AO52" s="707"/>
      <c r="AP52" s="708" t="s">
        <v>1122</v>
      </c>
      <c r="AQ52" s="708" t="s">
        <v>1122</v>
      </c>
      <c r="AR52" t="s">
        <v>1121</v>
      </c>
    </row>
    <row r="53" spans="1:48" x14ac:dyDescent="0.25">
      <c r="A53" s="1078"/>
      <c r="B53" s="696" t="s">
        <v>1123</v>
      </c>
      <c r="C53" s="697">
        <f>SUMIFS('TP2'!$P:$P,'TP2'!$AI:$AI,$Y$2,'TP2'!$R:$R,$X$9,'TP2'!$U:$U,Ohjaus!$T53,'TP2'!$W:$W,Ohjaus!$X$8,'TP2'!$X:$X,$Y$1,'TP2'!$AD:$AD,$X$9,'TP2'!$AF:$AF,Ohjaus!$Y$6,'TP2'!$Q:$Q,Ohjaus!$Y$4,'TP2'!$AG:$AG,Ohjaus!$Y$5,'TP2'!AL:AL,$AF$4,'TP2'!AN:AN,"P")+V53+AG53</f>
        <v>0</v>
      </c>
      <c r="D53" s="698">
        <f t="shared" si="5"/>
        <v>0</v>
      </c>
      <c r="E53" s="697">
        <f>SUMIFS('TP2'!$P:$P,'TP2'!$AI:$AI,$Y$2,'TP2'!$R:$R,$X$9,'TP2'!$U:$U,Ohjaus!$T53,'TP2'!$W:$W,Ohjaus!$X$8,'TP2'!$X:$X,$Y$1,'TP2'!$AD:$AD,$X$9,'TP2'!$AF:$AF,Ohjaus!$Y$6,'TP2'!$Q:$Q,Ohjaus!$Y$4,'TP2'!$AG:$AG,Ohjaus!$Y$5,'TP2'!$AL:$AL,$AF$4,'TP2'!$V:$V,Ohjaus!$X$7,'TP2'!AN:AN,"P")+W53+AH53</f>
        <v>0</v>
      </c>
      <c r="F53" s="697">
        <f>SUMIFS('TP2'!$P:$P,'TP2'!$AI:$AI,$Y$2,'TP2'!$R:$R,$X$9,'TP2'!$U:$U,Ohjaus!$T53,'TP2'!$W:$W,Ohjaus!$X$8,'TP2'!$X:$X,$Y$1,'TP2'!$AD:$AD,$X$9,'TP2'!$AF:$AF,Ohjaus!$Y$6,'TP2'!$Q:$Q,Ohjaus!$Y$4,'TP2'!$AG:$AG,Ohjaus!$Y$5,'TP2'!$AL:$AL,$AF$4,'TP2'!$V:$V,Ohjaus!$Y$7,'TP2'!AN:AN,"P")+X53+AI53</f>
        <v>0</v>
      </c>
      <c r="G53" s="697">
        <f>SUMIFS('TP2'!$P:$P,'TP2'!$AI:$AI,$Y$2,'TP2'!$R:$R,$X$9,'TP2'!$U:$U,Ohjaus!$T53,'TP2'!$W:$W,"vanha",'TP2'!$X:$X,$Y$1,'TP2'!$AD:$AD,$X$9,'TP2'!$AF:$AF,Ohjaus!$Y$6,'TP2'!$Q:$Q,Ohjaus!$Y$4,'TP2'!$AG:$AG,Ohjaus!$Y$5,'TP2'!$AL:$AL,$AF$4,'TP2'!AN:AN,"P")+Z53+AK53</f>
        <v>0</v>
      </c>
      <c r="H53" s="699"/>
      <c r="I53" s="700"/>
      <c r="J53" s="701">
        <f>SUMIFS('TP2'!$P:$P,'TP2'!$AI:$AI,$Y$2,'TP2'!$R:$R,$X$9,'TP2'!$U:$U,Ohjaus!$T53,'TP2'!$W:$W,Ohjaus!$X$8,'TP2'!$X:$X,$Y$1,'TP2'!$AD:$AD,$X$9,'TP2'!$AF:$AF,Ohjaus!$Y$6,'TP2'!$Q:$Q,Ohjaus!$Y$4,'TP2'!$AG:$AG,Ohjaus!$Y$5,'TP2'!$AL:$AL,$AF$4,'TP2'!$Z:$Z,1,'TP2'!AN:AN,"P")</f>
        <v>0</v>
      </c>
      <c r="K53" s="702">
        <f>SUMIFS('TP2'!$P:$P,'TP2'!$AI:$AI,$Y$2,'TP2'!$R:$R,$X$9,'TP2'!$U:$U,Ohjaus!$T53,'TP2'!$W:$W,Ohjaus!$X$8,'TP2'!$X:$X,$Y$1,'TP2'!$AD:$AD,$X$9,'TP2'!$AF:$AF,Ohjaus!$Y$6,'TP2'!$Q:$Q,Ohjaus!$Y$4,'TP2'!$AG:$AG,Ohjaus!$Y$5,'TP2'!$AL:$AL,$AF$4,'TP2'!$O:$O,$Z$3,'TP2'!AN:AN,"P")</f>
        <v>0</v>
      </c>
      <c r="L53" s="702">
        <f>SUMIFS('TP2'!$P:$P,'TP2'!$AI:$AI,$Y$2,'TP2'!$R:$R,$X$9,'TP2'!$U:$U,Ohjaus!$T53,'TP2'!$W:$W,Ohjaus!$X$8,'TP2'!$X:$X,$Y$1,'TP2'!$AD:$AD,$X$9,'TP2'!$AF:$AF,Ohjaus!$Y$6,'TP2'!$Q:$Q,Ohjaus!$Y$4,'TP2'!$AG:$AG,Ohjaus!$Y$5,'TP2'!$AL:$AL,$AF$4,'TP2'!$K:$K,$Z$6,'TP2'!AN:AN,"P")</f>
        <v>0</v>
      </c>
      <c r="M53" s="702">
        <f>SUMIFS('TP2'!$P:$P,'TP2'!$AI:$AI,$Y$2,'TP2'!$R:$R,$X$9,'TP2'!$U:$U,Ohjaus!$T53,'TP2'!$W:$W,Ohjaus!$X$8,'TP2'!$X:$X,$Y$1,'TP2'!$AD:$AD,$X$9,'TP2'!$AF:$AF,Ohjaus!$Y$6,'TP2'!$Q:$Q,Ohjaus!$Y$4,'TP2'!$AG:$AG,Ohjaus!$Y$5,'TP2'!$AL:$AL,$AF$4,'TP2'!$K:$K,$Z$7,'TP2'!AN:AN,"P")</f>
        <v>0</v>
      </c>
      <c r="N53" s="702">
        <f>SUMIFS('TP2'!$P:$P,'TP2'!$AI:$AI,$Y$2,'TP2'!$R:$R,$X$9,'TP2'!$U:$U,Ohjaus!$T53,'TP2'!$W:$W,Ohjaus!$X$8,'TP2'!$X:$X,$Y$1,'TP2'!$AD:$AD,$X$9,'TP2'!$AF:$AF,Ohjaus!$Y$6,'TP2'!$Q:$Q,Ohjaus!$Y$4,'TP2'!$AG:$AG,Ohjaus!$Y$5,'TP2'!$AL:$AL,$AF$4,'TP2'!$K:$K,$Z$8,'TP2'!AN:AN,"P")</f>
        <v>0</v>
      </c>
      <c r="O53" s="702">
        <f>SUMIFS('TP2'!$P:$P,'TP2'!$AI:$AI,$Y$2,'TP2'!$R:$R,$X$9,'TP2'!$U:$U,Ohjaus!$T53,'TP2'!$W:$W,Ohjaus!$X$8,'TP2'!$X:$X,$Y$1,'TP2'!$AD:$AD,$X$9,'TP2'!$AF:$AF,Ohjaus!$Y$6,'TP2'!$Q:$Q,Ohjaus!$Y$4,'TP2'!$AG:$AG,Ohjaus!$Y$5,'TP2'!$AL:$AL,$AF$4,'TP2'!$K:$K,$Z$5,'TP2'!AN:AN,"P")</f>
        <v>0</v>
      </c>
      <c r="T53" t="s">
        <v>1124</v>
      </c>
      <c r="U53" s="709" t="s">
        <v>1125</v>
      </c>
      <c r="V53" s="702">
        <f>SUMIFS('TP2'!$P:$P,'TP2'!$AI:$AI,$Y$2,'TP2'!$R:$R,$X$9,'TP2'!$U:$U,Ohjaus!$U53,'TP2'!$W:$W,Ohjaus!$X$8,'TP2'!$X:$X,$Y$1,'TP2'!$AD:$AD,$X$9,'TP2'!$AF:$AF,Ohjaus!$Y$6,'TP2'!$Q:$Q,Ohjaus!$Y$4,'TP2'!$AG:$AG,Ohjaus!$Y$5,'TP2'!AL:AL,$AF$4,'TP2'!AN:AN,"P")</f>
        <v>0</v>
      </c>
      <c r="W53" s="697">
        <f>SUMIFS('TP2'!$P:$P,'TP2'!$AI:$AI,$Y$2,'TP2'!$R:$R,$X$9,'TP2'!$U:$U,Ohjaus!$U53,'TP2'!$W:$W,Ohjaus!$X$8,'TP2'!$X:$X,$Y$1,'TP2'!$AD:$AD,$X$9,'TP2'!$AF:$AF,Ohjaus!$Y$6,'TP2'!$Q:$Q,Ohjaus!$Y$4,'TP2'!$AG:$AG,Ohjaus!$Y$5,'TP2'!$AL:$AL,$AF$4,'TP2'!$V:$V,Ohjaus!$X$7,'TP2'!AN:AN,"P")</f>
        <v>0</v>
      </c>
      <c r="X53" s="697">
        <f>SUMIFS('TP2'!$P:$P,'TP2'!$AI:$AI,$Y$2,'TP2'!$R:$R,$X$9,'TP2'!$U:$U,Ohjaus!$U53,'TP2'!$W:$W,Ohjaus!$X$8,'TP2'!$X:$X,$Y$1,'TP2'!$AD:$AD,$X$9,'TP2'!$AF:$AF,Ohjaus!$Y$6,'TP2'!$Q:$Q,Ohjaus!$Y$4,'TP2'!$AG:$AG,Ohjaus!$Y$5,'TP2'!$AL:$AL,$AF$4,'TP2'!$V:$V,Ohjaus!$Y$7,'TP2'!AN:AN,"P")</f>
        <v>0</v>
      </c>
      <c r="Y53" s="697">
        <f>SUMIFS('TP2'!$P:$P,'TP2'!$AI:$AI,$Y$2,'TP2'!$R:$R,$X$9,'TP2'!$U:$U,Ohjaus!$U53,'TP2'!$W:$W,"vanha",'TP2'!$X:$X,$Y$1,'TP2'!$AD:$AD,$X$9,'TP2'!$AF:$AF,Ohjaus!$Y$6,'TP2'!$Q:$Q,Ohjaus!$Y$4,'TP2'!$AG:$AG,Ohjaus!$Y$5,'TP2'!$AL:$AL,$AF$4,'TP2'!AN:AN,"P")</f>
        <v>0</v>
      </c>
      <c r="AF53" s="709" t="s">
        <v>1126</v>
      </c>
      <c r="AG53" s="702">
        <f>SUMIFS('TP2'!$P:$P,'TP2'!$AI:$AI,$W$7,'TP2'!$R:$R,$X$9,'TP2'!$U:$U,Ohjaus!$AF53,'TP2'!$W:$W,Ohjaus!$X$8,'TP2'!$X:$X,Ohjaus!$X$6,'TP2'!$AD:$AD,$X$9,'TP2'!$AF:$AF,Ohjaus!$Y$6,'TP2'!$Q:$Q,Ohjaus!$Y$4,'TP2'!$AG:$AG,Ohjaus!$Y$5,'TP2'!AL:AL,$AF$4,'TP2'!AN:AN,"P")</f>
        <v>0</v>
      </c>
      <c r="AH53" s="697">
        <f>SUMIFS('TP2'!$P:$P,'TP2'!$AI:$AI,$Y$2,'TP2'!$R:$R,$X$9,'TP2'!$U:$U,Ohjaus!$AF53,'TP2'!$W:$W,Ohjaus!$X$8,'TP2'!$X:$X,$Y$1,'TP2'!$AD:$AD,$X$9,'TP2'!$AF:$AF,Ohjaus!$Y$6,'TP2'!$Q:$Q,Ohjaus!$Y$4,'TP2'!$AG:$AG,Ohjaus!$Y$5,'TP2'!$AL:$AL,$AF$4,'TP2'!$V:$V,Ohjaus!$X$7,'TP2'!AN:AN,"P")</f>
        <v>0</v>
      </c>
      <c r="AI53" s="697">
        <f>SUMIFS('TP2'!$P:$P,'TP2'!$AI:$AI,$Y$2,'TP2'!$R:$R,$X$9,'TP2'!$U:$U,Ohjaus!$AF53,'TP2'!$W:$W,Ohjaus!$X$8,'TP2'!$X:$X,$Y$1,'TP2'!$AD:$AD,$X$9,'TP2'!$AF:$AF,Ohjaus!$Y$6,'TP2'!$Q:$Q,Ohjaus!$Y$4,'TP2'!$AG:$AG,Ohjaus!$Y$5,'TP2'!$AL:$AL,$AF$4,'TP2'!$V:$V,Ohjaus!$Y$7,'TP2'!AN:AN,"P")</f>
        <v>0</v>
      </c>
      <c r="AJ53" s="697">
        <f>SUMIFS('TP2'!$P:$P,'TP2'!$AI:$AI,$Y$2,'TP2'!$R:$R,$X$9,'TP2'!$U:$U,Ohjaus!$AF53,'TP2'!$W:$W,"vanha",'TP2'!$X:$X,$Y$1,'TP2'!$AD:$AD,$X$9,'TP2'!$AF:$AF,Ohjaus!$Y$6,'TP2'!$Q:$Q,Ohjaus!$Y$4,'TP2'!$AG:$AG,Ohjaus!$Y$5,'TP2'!$AL:$AL,$AF$4,'TP2'!AN:AN,"P")</f>
        <v>0</v>
      </c>
      <c r="AO53" s="704" t="s">
        <v>986</v>
      </c>
      <c r="AP53" s="705" t="s">
        <v>1127</v>
      </c>
      <c r="AQ53" s="705" t="s">
        <v>1128</v>
      </c>
      <c r="AR53" t="s">
        <v>1124</v>
      </c>
      <c r="AS53" s="710" t="s">
        <v>1129</v>
      </c>
      <c r="AT53" s="711" t="s">
        <v>1130</v>
      </c>
      <c r="AU53" s="711" t="s">
        <v>1130</v>
      </c>
      <c r="AV53" t="s">
        <v>1126</v>
      </c>
    </row>
    <row r="54" spans="1:48" x14ac:dyDescent="0.25">
      <c r="A54" s="1078"/>
      <c r="B54" s="696" t="s">
        <v>1131</v>
      </c>
      <c r="C54" s="697">
        <f>SUMIFS('TP2'!$P:$P,'TP2'!$AI:$AI,$Y$2,'TP2'!$R:$R,$X$9,'TP2'!$U:$U,Ohjaus!$T54,'TP2'!$W:$W,Ohjaus!$X$8,'TP2'!$X:$X,$Y$1,'TP2'!$AD:$AD,$X$9,'TP2'!$AF:$AF,Ohjaus!$Y$6,'TP2'!$Q:$Q,Ohjaus!$Y$4,'TP2'!$AG:$AG,Ohjaus!$Y$5,'TP2'!AL:AL,$AF$4,'TP2'!AN:AN,"P")+V54+AG54</f>
        <v>0</v>
      </c>
      <c r="D54" s="698">
        <f t="shared" si="5"/>
        <v>0</v>
      </c>
      <c r="E54" s="697">
        <f>SUMIFS('TP2'!$P:$P,'TP2'!$AI:$AI,$Y$2,'TP2'!$R:$R,$X$9,'TP2'!$U:$U,Ohjaus!$T54,'TP2'!$W:$W,Ohjaus!$X$8,'TP2'!$X:$X,$Y$1,'TP2'!$AD:$AD,$X$9,'TP2'!$AF:$AF,Ohjaus!$Y$6,'TP2'!$Q:$Q,Ohjaus!$Y$4,'TP2'!$AG:$AG,Ohjaus!$Y$5,'TP2'!$AL:$AL,$AF$4,'TP2'!$V:$V,Ohjaus!$X$7,'TP2'!AN:AN,"P")+W54+AH54</f>
        <v>0</v>
      </c>
      <c r="F54" s="697">
        <f>SUMIFS('TP2'!$P:$P,'TP2'!$AI:$AI,$Y$2,'TP2'!$R:$R,$X$9,'TP2'!$U:$U,Ohjaus!$T54,'TP2'!$W:$W,Ohjaus!$X$8,'TP2'!$X:$X,$Y$1,'TP2'!$AD:$AD,$X$9,'TP2'!$AF:$AF,Ohjaus!$Y$6,'TP2'!$Q:$Q,Ohjaus!$Y$4,'TP2'!$AG:$AG,Ohjaus!$Y$5,'TP2'!$AL:$AL,$AF$4,'TP2'!$V:$V,Ohjaus!$Y$7,'TP2'!AN:AN,"P")+X54+AI54</f>
        <v>0</v>
      </c>
      <c r="G54" s="697">
        <f>SUMIFS('TP2'!$P:$P,'TP2'!$AI:$AI,$Y$2,'TP2'!$R:$R,$X$9,'TP2'!$U:$U,Ohjaus!$T54,'TP2'!$W:$W,"vanha",'TP2'!$X:$X,$Y$1,'TP2'!$AD:$AD,$X$9,'TP2'!$AF:$AF,Ohjaus!$Y$6,'TP2'!$Q:$Q,Ohjaus!$Y$4,'TP2'!$AG:$AG,Ohjaus!$Y$5,'TP2'!$AL:$AL,$AF$4,'TP2'!AN:AN,"P")+Z54+AK54</f>
        <v>0</v>
      </c>
      <c r="H54" s="699"/>
      <c r="I54" s="700"/>
      <c r="J54" s="701">
        <f>SUMIFS('TP2'!$P:$P,'TP2'!$AI:$AI,$Y$2,'TP2'!$R:$R,$X$9,'TP2'!$U:$U,Ohjaus!$T54,'TP2'!$W:$W,Ohjaus!$X$8,'TP2'!$X:$X,$Y$1,'TP2'!$AD:$AD,$X$9,'TP2'!$AF:$AF,Ohjaus!$Y$6,'TP2'!$Q:$Q,Ohjaus!$Y$4,'TP2'!$AG:$AG,Ohjaus!$Y$5,'TP2'!$AL:$AL,$AF$4,'TP2'!$Z:$Z,1,'TP2'!AN:AN,"P")</f>
        <v>0</v>
      </c>
      <c r="K54" s="702">
        <f>SUMIFS('TP2'!$P:$P,'TP2'!$AI:$AI,$Y$2,'TP2'!$R:$R,$X$9,'TP2'!$U:$U,Ohjaus!$T54,'TP2'!$W:$W,Ohjaus!$X$8,'TP2'!$X:$X,$Y$1,'TP2'!$AD:$AD,$X$9,'TP2'!$AF:$AF,Ohjaus!$Y$6,'TP2'!$Q:$Q,Ohjaus!$Y$4,'TP2'!$AG:$AG,Ohjaus!$Y$5,'TP2'!$AL:$AL,$AF$4,'TP2'!$O:$O,$Z$3,'TP2'!AN:AN,"P")</f>
        <v>0</v>
      </c>
      <c r="L54" s="702">
        <f>SUMIFS('TP2'!$P:$P,'TP2'!$AI:$AI,$Y$2,'TP2'!$R:$R,$X$9,'TP2'!$U:$U,Ohjaus!$T54,'TP2'!$W:$W,Ohjaus!$X$8,'TP2'!$X:$X,$Y$1,'TP2'!$AD:$AD,$X$9,'TP2'!$AF:$AF,Ohjaus!$Y$6,'TP2'!$Q:$Q,Ohjaus!$Y$4,'TP2'!$AG:$AG,Ohjaus!$Y$5,'TP2'!$AL:$AL,$AF$4,'TP2'!$K:$K,$Z$6,'TP2'!AN:AN,"P")</f>
        <v>0</v>
      </c>
      <c r="M54" s="702">
        <f>SUMIFS('TP2'!$P:$P,'TP2'!$AI:$AI,$Y$2,'TP2'!$R:$R,$X$9,'TP2'!$U:$U,Ohjaus!$T54,'TP2'!$W:$W,Ohjaus!$X$8,'TP2'!$X:$X,$Y$1,'TP2'!$AD:$AD,$X$9,'TP2'!$AF:$AF,Ohjaus!$Y$6,'TP2'!$Q:$Q,Ohjaus!$Y$4,'TP2'!$AG:$AG,Ohjaus!$Y$5,'TP2'!$AL:$AL,$AF$4,'TP2'!$K:$K,$Z$7,'TP2'!AN:AN,"P")</f>
        <v>0</v>
      </c>
      <c r="N54" s="702">
        <f>SUMIFS('TP2'!$P:$P,'TP2'!$AI:$AI,$Y$2,'TP2'!$R:$R,$X$9,'TP2'!$U:$U,Ohjaus!$T54,'TP2'!$W:$W,Ohjaus!$X$8,'TP2'!$X:$X,$Y$1,'TP2'!$AD:$AD,$X$9,'TP2'!$AF:$AF,Ohjaus!$Y$6,'TP2'!$Q:$Q,Ohjaus!$Y$4,'TP2'!$AG:$AG,Ohjaus!$Y$5,'TP2'!$AL:$AL,$AF$4,'TP2'!$K:$K,$Z$8,'TP2'!AN:AN,"P")</f>
        <v>0</v>
      </c>
      <c r="O54" s="702">
        <f>SUMIFS('TP2'!$P:$P,'TP2'!$AI:$AI,$Y$2,'TP2'!$R:$R,$X$9,'TP2'!$U:$U,Ohjaus!$T54,'TP2'!$W:$W,Ohjaus!$X$8,'TP2'!$X:$X,$Y$1,'TP2'!$AD:$AD,$X$9,'TP2'!$AF:$AF,Ohjaus!$Y$6,'TP2'!$Q:$Q,Ohjaus!$Y$4,'TP2'!$AG:$AG,Ohjaus!$Y$5,'TP2'!$AL:$AL,$AF$4,'TP2'!$K:$K,$Z$5,'TP2'!AN:AN,"P")</f>
        <v>0</v>
      </c>
      <c r="T54" s="693" t="s">
        <v>1132</v>
      </c>
      <c r="V54" s="702">
        <f>SUMIFS('TP2'!$P:$P,'TP2'!$AI:$AI,$Y$2,'TP2'!$R:$R,$X$9,'TP2'!$U:$U,Ohjaus!$U54,'TP2'!$W:$W,Ohjaus!$X$8,'TP2'!$X:$X,$Y$1,'TP2'!$AD:$AD,$X$9,'TP2'!$AF:$AF,Ohjaus!$Y$6,'TP2'!$Q:$Q,Ohjaus!$Y$4,'TP2'!$AG:$AG,Ohjaus!$Y$5,'TP2'!AL:AL,$AF$4,'TP2'!AN:AN,"P")</f>
        <v>0</v>
      </c>
      <c r="W54" s="697">
        <f>SUMIFS('TP2'!$P:$P,'TP2'!$AI:$AI,$Y$2,'TP2'!$R:$R,$X$9,'TP2'!$U:$U,Ohjaus!$U54,'TP2'!$W:$W,Ohjaus!$X$8,'TP2'!$X:$X,$Y$1,'TP2'!$AD:$AD,$X$9,'TP2'!$AF:$AF,Ohjaus!$Y$6,'TP2'!$Q:$Q,Ohjaus!$Y$4,'TP2'!$AG:$AG,Ohjaus!$Y$5,'TP2'!$AL:$AL,$AF$4,'TP2'!$V:$V,Ohjaus!$X$7,'TP2'!AN:AN,"P")</f>
        <v>0</v>
      </c>
      <c r="X54" s="697">
        <f>SUMIFS('TP2'!$P:$P,'TP2'!$AI:$AI,$Y$2,'TP2'!$R:$R,$X$9,'TP2'!$U:$U,Ohjaus!$U54,'TP2'!$W:$W,Ohjaus!$X$8,'TP2'!$X:$X,$Y$1,'TP2'!$AD:$AD,$X$9,'TP2'!$AF:$AF,Ohjaus!$Y$6,'TP2'!$Q:$Q,Ohjaus!$Y$4,'TP2'!$AG:$AG,Ohjaus!$Y$5,'TP2'!$AL:$AL,$AF$4,'TP2'!$V:$V,Ohjaus!$Y$7,'TP2'!AN:AN,"P")</f>
        <v>0</v>
      </c>
      <c r="Y54" s="697">
        <f>SUMIFS('TP2'!$P:$P,'TP2'!$AI:$AI,$Y$2,'TP2'!$R:$R,$X$9,'TP2'!$U:$U,Ohjaus!$U54,'TP2'!$W:$W,"vanha",'TP2'!$X:$X,$Y$1,'TP2'!$AD:$AD,$X$9,'TP2'!$AF:$AF,Ohjaus!$Y$6,'TP2'!$Q:$Q,Ohjaus!$Y$4,'TP2'!$AG:$AG,Ohjaus!$Y$5,'TP2'!$AL:$AL,$AF$4,'TP2'!AN:AN,"P")</f>
        <v>0</v>
      </c>
      <c r="AG54" s="702">
        <f>SUMIFS('TP2'!$P:$P,'TP2'!$AI:$AI,$W$7,'TP2'!$R:$R,$X$9,'TP2'!$U:$U,Ohjaus!$AF54,'TP2'!$W:$W,Ohjaus!$X$8,'TP2'!$X:$X,Ohjaus!$X$6,'TP2'!$AD:$AD,$X$9,'TP2'!$AF:$AF,Ohjaus!$Y$6,'TP2'!$Q:$Q,Ohjaus!$Y$4,'TP2'!$AG:$AG,Ohjaus!$Y$5,'TP2'!AL:AL,$AF$4,'TP2'!AN:AN,"P")</f>
        <v>0</v>
      </c>
      <c r="AH54" s="697">
        <f>SUMIFS('TP2'!$P:$P,'TP2'!$AI:$AI,$Y$2,'TP2'!$R:$R,$X$9,'TP2'!$U:$U,Ohjaus!$AF54,'TP2'!$W:$W,Ohjaus!$X$8,'TP2'!$X:$X,$Y$1,'TP2'!$AD:$AD,$X$9,'TP2'!$AF:$AF,Ohjaus!$Y$6,'TP2'!$Q:$Q,Ohjaus!$Y$4,'TP2'!$AG:$AG,Ohjaus!$Y$5,'TP2'!$AL:$AL,$AF$4,'TP2'!$V:$V,Ohjaus!$X$7,'TP2'!AN:AN,"P")</f>
        <v>0</v>
      </c>
      <c r="AI54" s="697">
        <f>SUMIFS('TP2'!$P:$P,'TP2'!$AI:$AI,$Y$2,'TP2'!$R:$R,$X$9,'TP2'!$U:$U,Ohjaus!$AF54,'TP2'!$W:$W,Ohjaus!$X$8,'TP2'!$X:$X,$Y$1,'TP2'!$AD:$AD,$X$9,'TP2'!$AF:$AF,Ohjaus!$Y$6,'TP2'!$Q:$Q,Ohjaus!$Y$4,'TP2'!$AG:$AG,Ohjaus!$Y$5,'TP2'!$AL:$AL,$AF$4,'TP2'!$V:$V,Ohjaus!$Y$7,'TP2'!AN:AN,"P")</f>
        <v>0</v>
      </c>
      <c r="AJ54" s="697">
        <f>SUMIFS('TP2'!$P:$P,'TP2'!$AI:$AI,$Y$2,'TP2'!$R:$R,$X$9,'TP2'!$U:$U,Ohjaus!$AF54,'TP2'!$W:$W,"vanha",'TP2'!$X:$X,$Y$1,'TP2'!$AD:$AD,$X$9,'TP2'!$AF:$AF,Ohjaus!$Y$6,'TP2'!$Q:$Q,Ohjaus!$Y$4,'TP2'!$AG:$AG,Ohjaus!$Y$5,'TP2'!$AL:$AL,$AF$4,'TP2'!AN:AN,"P")</f>
        <v>0</v>
      </c>
      <c r="AO54" s="707"/>
      <c r="AP54" s="708" t="s">
        <v>1133</v>
      </c>
      <c r="AQ54" s="708" t="s">
        <v>1133</v>
      </c>
      <c r="AR54" t="s">
        <v>1132</v>
      </c>
    </row>
    <row r="55" spans="1:48" x14ac:dyDescent="0.25">
      <c r="A55" s="1078"/>
      <c r="B55" s="696" t="s">
        <v>1134</v>
      </c>
      <c r="C55" s="697">
        <f>SUMIFS('TP2'!$P:$P,'TP2'!$AI:$AI,$Y$2,'TP2'!$R:$R,$X$9,'TP2'!$U:$U,Ohjaus!$T55,'TP2'!$W:$W,Ohjaus!$X$8,'TP2'!$X:$X,$Y$1,'TP2'!$AD:$AD,$X$9,'TP2'!$AF:$AF,Ohjaus!$Y$6,'TP2'!$Q:$Q,Ohjaus!$Y$4,'TP2'!$AG:$AG,Ohjaus!$Y$5,'TP2'!AL:AL,$AF$4,'TP2'!AN:AN,"P")+V55+AG55</f>
        <v>0</v>
      </c>
      <c r="D55" s="698">
        <f t="shared" si="5"/>
        <v>0</v>
      </c>
      <c r="E55" s="697">
        <f>SUMIFS('TP2'!$P:$P,'TP2'!$AI:$AI,$Y$2,'TP2'!$R:$R,$X$9,'TP2'!$U:$U,Ohjaus!$T55,'TP2'!$W:$W,Ohjaus!$X$8,'TP2'!$X:$X,$Y$1,'TP2'!$AD:$AD,$X$9,'TP2'!$AF:$AF,Ohjaus!$Y$6,'TP2'!$Q:$Q,Ohjaus!$Y$4,'TP2'!$AG:$AG,Ohjaus!$Y$5,'TP2'!$AL:$AL,$AF$4,'TP2'!$V:$V,Ohjaus!$X$7,'TP2'!AN:AN,"P")+W55+AH55</f>
        <v>0</v>
      </c>
      <c r="F55" s="697">
        <f>SUMIFS('TP2'!$P:$P,'TP2'!$AI:$AI,$Y$2,'TP2'!$R:$R,$X$9,'TP2'!$U:$U,Ohjaus!$T55,'TP2'!$W:$W,Ohjaus!$X$8,'TP2'!$X:$X,$Y$1,'TP2'!$AD:$AD,$X$9,'TP2'!$AF:$AF,Ohjaus!$Y$6,'TP2'!$Q:$Q,Ohjaus!$Y$4,'TP2'!$AG:$AG,Ohjaus!$Y$5,'TP2'!$AL:$AL,$AF$4,'TP2'!$V:$V,Ohjaus!$Y$7,'TP2'!AN:AN,"P")+X55+AI55</f>
        <v>0</v>
      </c>
      <c r="G55" s="697">
        <f>SUMIFS('TP2'!$P:$P,'TP2'!$AI:$AI,$Y$2,'TP2'!$R:$R,$X$9,'TP2'!$U:$U,Ohjaus!$T55,'TP2'!$W:$W,"vanha",'TP2'!$X:$X,$Y$1,'TP2'!$AD:$AD,$X$9,'TP2'!$AF:$AF,Ohjaus!$Y$6,'TP2'!$Q:$Q,Ohjaus!$Y$4,'TP2'!$AG:$AG,Ohjaus!$Y$5,'TP2'!$AL:$AL,$AF$4,'TP2'!AN:AN,"P")+Z55+AK55</f>
        <v>0</v>
      </c>
      <c r="H55" s="699"/>
      <c r="I55" s="700"/>
      <c r="J55" s="701">
        <f>SUMIFS('TP2'!$P:$P,'TP2'!$AI:$AI,$Y$2,'TP2'!$R:$R,$X$9,'TP2'!$U:$U,Ohjaus!$T55,'TP2'!$W:$W,Ohjaus!$X$8,'TP2'!$X:$X,$Y$1,'TP2'!$AD:$AD,$X$9,'TP2'!$AF:$AF,Ohjaus!$Y$6,'TP2'!$Q:$Q,Ohjaus!$Y$4,'TP2'!$AG:$AG,Ohjaus!$Y$5,'TP2'!$AL:$AL,$AF$4,'TP2'!$Z:$Z,1,'TP2'!AN:AN,"P")</f>
        <v>0</v>
      </c>
      <c r="K55" s="702">
        <f>SUMIFS('TP2'!$P:$P,'TP2'!$AI:$AI,$Y$2,'TP2'!$R:$R,$X$9,'TP2'!$U:$U,Ohjaus!$T55,'TP2'!$W:$W,Ohjaus!$X$8,'TP2'!$X:$X,$Y$1,'TP2'!$AD:$AD,$X$9,'TP2'!$AF:$AF,Ohjaus!$Y$6,'TP2'!$Q:$Q,Ohjaus!$Y$4,'TP2'!$AG:$AG,Ohjaus!$Y$5,'TP2'!$AL:$AL,$AF$4,'TP2'!$O:$O,$Z$3,'TP2'!AN:AN,"P")</f>
        <v>0</v>
      </c>
      <c r="L55" s="702">
        <f>SUMIFS('TP2'!$P:$P,'TP2'!$AI:$AI,$Y$2,'TP2'!$R:$R,$X$9,'TP2'!$U:$U,Ohjaus!$T55,'TP2'!$W:$W,Ohjaus!$X$8,'TP2'!$X:$X,$Y$1,'TP2'!$AD:$AD,$X$9,'TP2'!$AF:$AF,Ohjaus!$Y$6,'TP2'!$Q:$Q,Ohjaus!$Y$4,'TP2'!$AG:$AG,Ohjaus!$Y$5,'TP2'!$AL:$AL,$AF$4,'TP2'!$K:$K,$Z$6,'TP2'!AN:AN,"P")</f>
        <v>0</v>
      </c>
      <c r="M55" s="702">
        <f>SUMIFS('TP2'!$P:$P,'TP2'!$AI:$AI,$Y$2,'TP2'!$R:$R,$X$9,'TP2'!$U:$U,Ohjaus!$T55,'TP2'!$W:$W,Ohjaus!$X$8,'TP2'!$X:$X,$Y$1,'TP2'!$AD:$AD,$X$9,'TP2'!$AF:$AF,Ohjaus!$Y$6,'TP2'!$Q:$Q,Ohjaus!$Y$4,'TP2'!$AG:$AG,Ohjaus!$Y$5,'TP2'!$AL:$AL,$AF$4,'TP2'!$K:$K,$Z$7,'TP2'!AN:AN,"P")</f>
        <v>0</v>
      </c>
      <c r="N55" s="702">
        <f>SUMIFS('TP2'!$P:$P,'TP2'!$AI:$AI,$Y$2,'TP2'!$R:$R,$X$9,'TP2'!$U:$U,Ohjaus!$T55,'TP2'!$W:$W,Ohjaus!$X$8,'TP2'!$X:$X,$Y$1,'TP2'!$AD:$AD,$X$9,'TP2'!$AF:$AF,Ohjaus!$Y$6,'TP2'!$Q:$Q,Ohjaus!$Y$4,'TP2'!$AG:$AG,Ohjaus!$Y$5,'TP2'!$AL:$AL,$AF$4,'TP2'!$K:$K,$Z$8,'TP2'!AN:AN,"P")</f>
        <v>0</v>
      </c>
      <c r="O55" s="702">
        <f>SUMIFS('TP2'!$P:$P,'TP2'!$AI:$AI,$Y$2,'TP2'!$R:$R,$X$9,'TP2'!$U:$U,Ohjaus!$T55,'TP2'!$W:$W,Ohjaus!$X$8,'TP2'!$X:$X,$Y$1,'TP2'!$AD:$AD,$X$9,'TP2'!$AF:$AF,Ohjaus!$Y$6,'TP2'!$Q:$Q,Ohjaus!$Y$4,'TP2'!$AG:$AG,Ohjaus!$Y$5,'TP2'!$AL:$AL,$AF$4,'TP2'!$K:$K,$Z$5,'TP2'!AN:AN,"P")</f>
        <v>0</v>
      </c>
      <c r="T55" s="693" t="s">
        <v>1135</v>
      </c>
      <c r="V55" s="702">
        <f>SUMIFS('TP2'!$P:$P,'TP2'!$AI:$AI,$Y$2,'TP2'!$R:$R,$X$9,'TP2'!$U:$U,Ohjaus!$U55,'TP2'!$W:$W,Ohjaus!$X$8,'TP2'!$X:$X,$Y$1,'TP2'!$AD:$AD,$X$9,'TP2'!$AF:$AF,Ohjaus!$Y$6,'TP2'!$Q:$Q,Ohjaus!$Y$4,'TP2'!$AG:$AG,Ohjaus!$Y$5,'TP2'!AL:AL,$AF$4,'TP2'!AN:AN,"P")</f>
        <v>0</v>
      </c>
      <c r="W55" s="697">
        <f>SUMIFS('TP2'!$P:$P,'TP2'!$AI:$AI,$Y$2,'TP2'!$R:$R,$X$9,'TP2'!$U:$U,Ohjaus!$U55,'TP2'!$W:$W,Ohjaus!$X$8,'TP2'!$X:$X,$Y$1,'TP2'!$AD:$AD,$X$9,'TP2'!$AF:$AF,Ohjaus!$Y$6,'TP2'!$Q:$Q,Ohjaus!$Y$4,'TP2'!$AG:$AG,Ohjaus!$Y$5,'TP2'!$AL:$AL,$AF$4,'TP2'!$V:$V,Ohjaus!$X$7,'TP2'!AN:AN,"P")</f>
        <v>0</v>
      </c>
      <c r="X55" s="697">
        <f>SUMIFS('TP2'!$P:$P,'TP2'!$AI:$AI,$Y$2,'TP2'!$R:$R,$X$9,'TP2'!$U:$U,Ohjaus!$U55,'TP2'!$W:$W,Ohjaus!$X$8,'TP2'!$X:$X,$Y$1,'TP2'!$AD:$AD,$X$9,'TP2'!$AF:$AF,Ohjaus!$Y$6,'TP2'!$Q:$Q,Ohjaus!$Y$4,'TP2'!$AG:$AG,Ohjaus!$Y$5,'TP2'!$AL:$AL,$AF$4,'TP2'!$V:$V,Ohjaus!$Y$7,'TP2'!AN:AN,"P")</f>
        <v>0</v>
      </c>
      <c r="Y55" s="697">
        <f>SUMIFS('TP2'!$P:$P,'TP2'!$AI:$AI,$Y$2,'TP2'!$R:$R,$X$9,'TP2'!$U:$U,Ohjaus!$U55,'TP2'!$W:$W,"vanha",'TP2'!$X:$X,$Y$1,'TP2'!$AD:$AD,$X$9,'TP2'!$AF:$AF,Ohjaus!$Y$6,'TP2'!$Q:$Q,Ohjaus!$Y$4,'TP2'!$AG:$AG,Ohjaus!$Y$5,'TP2'!$AL:$AL,$AF$4,'TP2'!AN:AN,"P")</f>
        <v>0</v>
      </c>
      <c r="AG55" s="702">
        <f>SUMIFS('TP2'!$P:$P,'TP2'!$AI:$AI,$W$7,'TP2'!$R:$R,$X$9,'TP2'!$U:$U,Ohjaus!$AF55,'TP2'!$W:$W,Ohjaus!$X$8,'TP2'!$X:$X,Ohjaus!$X$6,'TP2'!$AD:$AD,$X$9,'TP2'!$AF:$AF,Ohjaus!$Y$6,'TP2'!$Q:$Q,Ohjaus!$Y$4,'TP2'!$AG:$AG,Ohjaus!$Y$5,'TP2'!AL:AL,$AF$4,'TP2'!AN:AN,"P")</f>
        <v>0</v>
      </c>
      <c r="AH55" s="697">
        <f>SUMIFS('TP2'!$P:$P,'TP2'!$AI:$AI,$Y$2,'TP2'!$R:$R,$X$9,'TP2'!$U:$U,Ohjaus!$AF55,'TP2'!$W:$W,Ohjaus!$X$8,'TP2'!$X:$X,$Y$1,'TP2'!$AD:$AD,$X$9,'TP2'!$AF:$AF,Ohjaus!$Y$6,'TP2'!$Q:$Q,Ohjaus!$Y$4,'TP2'!$AG:$AG,Ohjaus!$Y$5,'TP2'!$AL:$AL,$AF$4,'TP2'!$V:$V,Ohjaus!$X$7,'TP2'!AN:AN,"P")</f>
        <v>0</v>
      </c>
      <c r="AI55" s="697">
        <f>SUMIFS('TP2'!$P:$P,'TP2'!$AI:$AI,$Y$2,'TP2'!$R:$R,$X$9,'TP2'!$U:$U,Ohjaus!$AF55,'TP2'!$W:$W,Ohjaus!$X$8,'TP2'!$X:$X,$Y$1,'TP2'!$AD:$AD,$X$9,'TP2'!$AF:$AF,Ohjaus!$Y$6,'TP2'!$Q:$Q,Ohjaus!$Y$4,'TP2'!$AG:$AG,Ohjaus!$Y$5,'TP2'!$AL:$AL,$AF$4,'TP2'!$V:$V,Ohjaus!$Y$7,'TP2'!AN:AN,"P")</f>
        <v>0</v>
      </c>
      <c r="AJ55" s="697">
        <f>SUMIFS('TP2'!$P:$P,'TP2'!$AI:$AI,$Y$2,'TP2'!$R:$R,$X$9,'TP2'!$U:$U,Ohjaus!$AF55,'TP2'!$W:$W,"vanha",'TP2'!$X:$X,$Y$1,'TP2'!$AD:$AD,$X$9,'TP2'!$AF:$AF,Ohjaus!$Y$6,'TP2'!$Q:$Q,Ohjaus!$Y$4,'TP2'!$AG:$AG,Ohjaus!$Y$5,'TP2'!$AL:$AL,$AF$4,'TP2'!AN:AN,"P")</f>
        <v>0</v>
      </c>
      <c r="AO55" s="707"/>
      <c r="AP55" s="708" t="s">
        <v>1136</v>
      </c>
      <c r="AQ55" s="708" t="s">
        <v>1136</v>
      </c>
      <c r="AR55" t="s">
        <v>1135</v>
      </c>
    </row>
    <row r="56" spans="1:48" x14ac:dyDescent="0.25">
      <c r="A56" s="1078"/>
      <c r="B56" s="696" t="s">
        <v>1137</v>
      </c>
      <c r="C56" s="697">
        <f>SUMIFS('TP2'!$P:$P,'TP2'!$AI:$AI,$Y$2,'TP2'!$R:$R,$X$9,'TP2'!$U:$U,Ohjaus!$T56,'TP2'!$W:$W,Ohjaus!$X$8,'TP2'!$X:$X,$Y$1,'TP2'!$AD:$AD,$X$9,'TP2'!$AF:$AF,Ohjaus!$Y$6,'TP2'!$Q:$Q,Ohjaus!$Y$4,'TP2'!$AG:$AG,Ohjaus!$Y$5,'TP2'!AL:AL,$AF$4,'TP2'!AN:AN,"P")+V56+AG56</f>
        <v>0</v>
      </c>
      <c r="D56" s="698">
        <f t="shared" si="5"/>
        <v>0</v>
      </c>
      <c r="E56" s="697">
        <f>SUMIFS('TP2'!$P:$P,'TP2'!$AI:$AI,$Y$2,'TP2'!$R:$R,$X$9,'TP2'!$U:$U,Ohjaus!$T56,'TP2'!$W:$W,Ohjaus!$X$8,'TP2'!$X:$X,$Y$1,'TP2'!$AD:$AD,$X$9,'TP2'!$AF:$AF,Ohjaus!$Y$6,'TP2'!$Q:$Q,Ohjaus!$Y$4,'TP2'!$AG:$AG,Ohjaus!$Y$5,'TP2'!$AL:$AL,$AF$4,'TP2'!$V:$V,Ohjaus!$X$7,'TP2'!AN:AN,"P")+W56+AH56</f>
        <v>0</v>
      </c>
      <c r="F56" s="697">
        <f>SUMIFS('TP2'!$P:$P,'TP2'!$AI:$AI,$Y$2,'TP2'!$R:$R,$X$9,'TP2'!$U:$U,Ohjaus!$T56,'TP2'!$W:$W,Ohjaus!$X$8,'TP2'!$X:$X,$Y$1,'TP2'!$AD:$AD,$X$9,'TP2'!$AF:$AF,Ohjaus!$Y$6,'TP2'!$Q:$Q,Ohjaus!$Y$4,'TP2'!$AG:$AG,Ohjaus!$Y$5,'TP2'!$AL:$AL,$AF$4,'TP2'!$V:$V,Ohjaus!$Y$7,'TP2'!AN:AN,"P")+X56+AI56</f>
        <v>0</v>
      </c>
      <c r="G56" s="697">
        <f>SUMIFS('TP2'!$P:$P,'TP2'!$AI:$AI,$Y$2,'TP2'!$R:$R,$X$9,'TP2'!$U:$U,Ohjaus!$T56,'TP2'!$W:$W,"vanha",'TP2'!$X:$X,$Y$1,'TP2'!$AD:$AD,$X$9,'TP2'!$AF:$AF,Ohjaus!$Y$6,'TP2'!$Q:$Q,Ohjaus!$Y$4,'TP2'!$AG:$AG,Ohjaus!$Y$5,'TP2'!$AL:$AL,$AF$4,'TP2'!AN:AN,"P")+Z56+AK56</f>
        <v>0</v>
      </c>
      <c r="H56" s="699"/>
      <c r="I56" s="700"/>
      <c r="J56" s="701">
        <f>SUMIFS('TP2'!$P:$P,'TP2'!$AI:$AI,$Y$2,'TP2'!$R:$R,$X$9,'TP2'!$U:$U,Ohjaus!$T56,'TP2'!$W:$W,Ohjaus!$X$8,'TP2'!$X:$X,$Y$1,'TP2'!$AD:$AD,$X$9,'TP2'!$AF:$AF,Ohjaus!$Y$6,'TP2'!$Q:$Q,Ohjaus!$Y$4,'TP2'!$AG:$AG,Ohjaus!$Y$5,'TP2'!$AL:$AL,$AF$4,'TP2'!$Z:$Z,1,'TP2'!AN:AN,"P")</f>
        <v>0</v>
      </c>
      <c r="K56" s="702">
        <f>SUMIFS('TP2'!$P:$P,'TP2'!$AI:$AI,$Y$2,'TP2'!$R:$R,$X$9,'TP2'!$U:$U,Ohjaus!$T56,'TP2'!$W:$W,Ohjaus!$X$8,'TP2'!$X:$X,$Y$1,'TP2'!$AD:$AD,$X$9,'TP2'!$AF:$AF,Ohjaus!$Y$6,'TP2'!$Q:$Q,Ohjaus!$Y$4,'TP2'!$AG:$AG,Ohjaus!$Y$5,'TP2'!$AL:$AL,$AF$4,'TP2'!$O:$O,$Z$3,'TP2'!AN:AN,"P")</f>
        <v>0</v>
      </c>
      <c r="L56" s="702">
        <f>SUMIFS('TP2'!$P:$P,'TP2'!$AI:$AI,$Y$2,'TP2'!$R:$R,$X$9,'TP2'!$U:$U,Ohjaus!$T56,'TP2'!$W:$W,Ohjaus!$X$8,'TP2'!$X:$X,$Y$1,'TP2'!$AD:$AD,$X$9,'TP2'!$AF:$AF,Ohjaus!$Y$6,'TP2'!$Q:$Q,Ohjaus!$Y$4,'TP2'!$AG:$AG,Ohjaus!$Y$5,'TP2'!$AL:$AL,$AF$4,'TP2'!$K:$K,$Z$6,'TP2'!AN:AN,"P")</f>
        <v>0</v>
      </c>
      <c r="M56" s="702">
        <f>SUMIFS('TP2'!$P:$P,'TP2'!$AI:$AI,$Y$2,'TP2'!$R:$R,$X$9,'TP2'!$U:$U,Ohjaus!$T56,'TP2'!$W:$W,Ohjaus!$X$8,'TP2'!$X:$X,$Y$1,'TP2'!$AD:$AD,$X$9,'TP2'!$AF:$AF,Ohjaus!$Y$6,'TP2'!$Q:$Q,Ohjaus!$Y$4,'TP2'!$AG:$AG,Ohjaus!$Y$5,'TP2'!$AL:$AL,$AF$4,'TP2'!$K:$K,$Z$7,'TP2'!AN:AN,"P")</f>
        <v>0</v>
      </c>
      <c r="N56" s="702">
        <f>SUMIFS('TP2'!$P:$P,'TP2'!$AI:$AI,$Y$2,'TP2'!$R:$R,$X$9,'TP2'!$U:$U,Ohjaus!$T56,'TP2'!$W:$W,Ohjaus!$X$8,'TP2'!$X:$X,$Y$1,'TP2'!$AD:$AD,$X$9,'TP2'!$AF:$AF,Ohjaus!$Y$6,'TP2'!$Q:$Q,Ohjaus!$Y$4,'TP2'!$AG:$AG,Ohjaus!$Y$5,'TP2'!$AL:$AL,$AF$4,'TP2'!$K:$K,$Z$8,'TP2'!AN:AN,"P")</f>
        <v>0</v>
      </c>
      <c r="O56" s="702">
        <f>SUMIFS('TP2'!$P:$P,'TP2'!$AI:$AI,$Y$2,'TP2'!$R:$R,$X$9,'TP2'!$U:$U,Ohjaus!$T56,'TP2'!$W:$W,Ohjaus!$X$8,'TP2'!$X:$X,$Y$1,'TP2'!$AD:$AD,$X$9,'TP2'!$AF:$AF,Ohjaus!$Y$6,'TP2'!$Q:$Q,Ohjaus!$Y$4,'TP2'!$AG:$AG,Ohjaus!$Y$5,'TP2'!$AL:$AL,$AF$4,'TP2'!$K:$K,$Z$5,'TP2'!AN:AN,"P")</f>
        <v>0</v>
      </c>
      <c r="T56" t="s">
        <v>1138</v>
      </c>
      <c r="V56" s="702">
        <f>SUMIFS('TP2'!$P:$P,'TP2'!$AI:$AI,$Y$2,'TP2'!$R:$R,$X$9,'TP2'!$U:$U,Ohjaus!$U56,'TP2'!$W:$W,Ohjaus!$X$8,'TP2'!$X:$X,$Y$1,'TP2'!$AD:$AD,$X$9,'TP2'!$AF:$AF,Ohjaus!$Y$6,'TP2'!$Q:$Q,Ohjaus!$Y$4,'TP2'!$AG:$AG,Ohjaus!$Y$5,'TP2'!AL:AL,$AF$4,'TP2'!AN:AN,"P")</f>
        <v>0</v>
      </c>
      <c r="W56" s="697">
        <f>SUMIFS('TP2'!$P:$P,'TP2'!$AI:$AI,$Y$2,'TP2'!$R:$R,$X$9,'TP2'!$U:$U,Ohjaus!$U56,'TP2'!$W:$W,Ohjaus!$X$8,'TP2'!$X:$X,$Y$1,'TP2'!$AD:$AD,$X$9,'TP2'!$AF:$AF,Ohjaus!$Y$6,'TP2'!$Q:$Q,Ohjaus!$Y$4,'TP2'!$AG:$AG,Ohjaus!$Y$5,'TP2'!$AL:$AL,$AF$4,'TP2'!$V:$V,Ohjaus!$X$7,'TP2'!AN:AN,"P")</f>
        <v>0</v>
      </c>
      <c r="X56" s="697">
        <f>SUMIFS('TP2'!$P:$P,'TP2'!$AI:$AI,$Y$2,'TP2'!$R:$R,$X$9,'TP2'!$U:$U,Ohjaus!$U56,'TP2'!$W:$W,Ohjaus!$X$8,'TP2'!$X:$X,$Y$1,'TP2'!$AD:$AD,$X$9,'TP2'!$AF:$AF,Ohjaus!$Y$6,'TP2'!$Q:$Q,Ohjaus!$Y$4,'TP2'!$AG:$AG,Ohjaus!$Y$5,'TP2'!$AL:$AL,$AF$4,'TP2'!$V:$V,Ohjaus!$Y$7,'TP2'!AN:AN,"P")</f>
        <v>0</v>
      </c>
      <c r="Y56" s="697">
        <f>SUMIFS('TP2'!$P:$P,'TP2'!$AI:$AI,$Y$2,'TP2'!$R:$R,$X$9,'TP2'!$U:$U,Ohjaus!$U56,'TP2'!$W:$W,"vanha",'TP2'!$X:$X,$Y$1,'TP2'!$AD:$AD,$X$9,'TP2'!$AF:$AF,Ohjaus!$Y$6,'TP2'!$Q:$Q,Ohjaus!$Y$4,'TP2'!$AG:$AG,Ohjaus!$Y$5,'TP2'!$AL:$AL,$AF$4,'TP2'!AN:AN,"P")</f>
        <v>0</v>
      </c>
      <c r="AG56" s="702">
        <f>SUMIFS('TP2'!$P:$P,'TP2'!$AI:$AI,$W$7,'TP2'!$R:$R,$X$9,'TP2'!$U:$U,Ohjaus!$AF56,'TP2'!$W:$W,Ohjaus!$X$8,'TP2'!$X:$X,Ohjaus!$X$6,'TP2'!$AD:$AD,$X$9,'TP2'!$AF:$AF,Ohjaus!$Y$6,'TP2'!$Q:$Q,Ohjaus!$Y$4,'TP2'!$AG:$AG,Ohjaus!$Y$5,'TP2'!AL:AL,$AF$4,'TP2'!AN:AN,"P")</f>
        <v>0</v>
      </c>
      <c r="AH56" s="697">
        <f>SUMIFS('TP2'!$P:$P,'TP2'!$AI:$AI,$Y$2,'TP2'!$R:$R,$X$9,'TP2'!$U:$U,Ohjaus!$AF56,'TP2'!$W:$W,Ohjaus!$X$8,'TP2'!$X:$X,$Y$1,'TP2'!$AD:$AD,$X$9,'TP2'!$AF:$AF,Ohjaus!$Y$6,'TP2'!$Q:$Q,Ohjaus!$Y$4,'TP2'!$AG:$AG,Ohjaus!$Y$5,'TP2'!$AL:$AL,$AF$4,'TP2'!$V:$V,Ohjaus!$X$7,'TP2'!AN:AN,"P")</f>
        <v>0</v>
      </c>
      <c r="AI56" s="697">
        <f>SUMIFS('TP2'!$P:$P,'TP2'!$AI:$AI,$Y$2,'TP2'!$R:$R,$X$9,'TP2'!$U:$U,Ohjaus!$AF56,'TP2'!$W:$W,Ohjaus!$X$8,'TP2'!$X:$X,$Y$1,'TP2'!$AD:$AD,$X$9,'TP2'!$AF:$AF,Ohjaus!$Y$6,'TP2'!$Q:$Q,Ohjaus!$Y$4,'TP2'!$AG:$AG,Ohjaus!$Y$5,'TP2'!$AL:$AL,$AF$4,'TP2'!$V:$V,Ohjaus!$Y$7,'TP2'!AN:AN,"P")</f>
        <v>0</v>
      </c>
      <c r="AJ56" s="697">
        <f>SUMIFS('TP2'!$P:$P,'TP2'!$AI:$AI,$Y$2,'TP2'!$R:$R,$X$9,'TP2'!$U:$U,Ohjaus!$AF56,'TP2'!$W:$W,"vanha",'TP2'!$X:$X,$Y$1,'TP2'!$AD:$AD,$X$9,'TP2'!$AF:$AF,Ohjaus!$Y$6,'TP2'!$Q:$Q,Ohjaus!$Y$4,'TP2'!$AG:$AG,Ohjaus!$Y$5,'TP2'!$AL:$AL,$AF$4,'TP2'!AN:AN,"P")</f>
        <v>0</v>
      </c>
      <c r="AO56" s="725" t="s">
        <v>1055</v>
      </c>
      <c r="AP56" s="726" t="s">
        <v>1139</v>
      </c>
      <c r="AQ56" s="726"/>
      <c r="AR56" t="s">
        <v>1138</v>
      </c>
    </row>
    <row r="57" spans="1:48" x14ac:dyDescent="0.25">
      <c r="A57" s="1078"/>
      <c r="B57" s="696" t="s">
        <v>1140</v>
      </c>
      <c r="C57" s="697">
        <f>SUMIFS('TP2'!$P:$P,'TP2'!$AI:$AI,$Y$2,'TP2'!$R:$R,$X$9,'TP2'!$U:$U,Ohjaus!$T57,'TP2'!$W:$W,Ohjaus!$X$8,'TP2'!$X:$X,$Y$1,'TP2'!$AD:$AD,$X$9,'TP2'!$AF:$AF,Ohjaus!$Y$6,'TP2'!$Q:$Q,Ohjaus!$Y$4,'TP2'!$AG:$AG,Ohjaus!$Y$5,'TP2'!AL:AL,$AF$4,'TP2'!AN:AN,"P")+V57+AG57</f>
        <v>0</v>
      </c>
      <c r="D57" s="698">
        <f t="shared" si="5"/>
        <v>0</v>
      </c>
      <c r="E57" s="697">
        <f>SUMIFS('TP2'!$P:$P,'TP2'!$AI:$AI,$Y$2,'TP2'!$R:$R,$X$9,'TP2'!$U:$U,Ohjaus!$T57,'TP2'!$W:$W,Ohjaus!$X$8,'TP2'!$X:$X,$Y$1,'TP2'!$AD:$AD,$X$9,'TP2'!$AF:$AF,Ohjaus!$Y$6,'TP2'!$Q:$Q,Ohjaus!$Y$4,'TP2'!$AG:$AG,Ohjaus!$Y$5,'TP2'!$AL:$AL,$AF$4,'TP2'!$V:$V,Ohjaus!$X$7,'TP2'!AN:AN,"P")+W57+AH57</f>
        <v>0</v>
      </c>
      <c r="F57" s="697">
        <f>SUMIFS('TP2'!$P:$P,'TP2'!$AI:$AI,$Y$2,'TP2'!$R:$R,$X$9,'TP2'!$U:$U,Ohjaus!$T57,'TP2'!$W:$W,Ohjaus!$X$8,'TP2'!$X:$X,$Y$1,'TP2'!$AD:$AD,$X$9,'TP2'!$AF:$AF,Ohjaus!$Y$6,'TP2'!$Q:$Q,Ohjaus!$Y$4,'TP2'!$AG:$AG,Ohjaus!$Y$5,'TP2'!$AL:$AL,$AF$4,'TP2'!$V:$V,Ohjaus!$Y$7,'TP2'!AN:AN,"P")+X57+AI57</f>
        <v>0</v>
      </c>
      <c r="G57" s="697">
        <f>SUMIFS('TP2'!$P:$P,'TP2'!$AI:$AI,$Y$2,'TP2'!$R:$R,$X$9,'TP2'!$U:$U,Ohjaus!$T57,'TP2'!$W:$W,"vanha",'TP2'!$X:$X,$Y$1,'TP2'!$AD:$AD,$X$9,'TP2'!$AF:$AF,Ohjaus!$Y$6,'TP2'!$Q:$Q,Ohjaus!$Y$4,'TP2'!$AG:$AG,Ohjaus!$Y$5,'TP2'!$AL:$AL,$AF$4,'TP2'!AN:AN,"P")+Z57+AK57</f>
        <v>0</v>
      </c>
      <c r="H57" s="699"/>
      <c r="I57" s="700"/>
      <c r="J57" s="701">
        <f>SUMIFS('TP2'!$P:$P,'TP2'!$AI:$AI,$Y$2,'TP2'!$R:$R,$X$9,'TP2'!$U:$U,Ohjaus!$T57,'TP2'!$W:$W,Ohjaus!$X$8,'TP2'!$X:$X,$Y$1,'TP2'!$AD:$AD,$X$9,'TP2'!$AF:$AF,Ohjaus!$Y$6,'TP2'!$Q:$Q,Ohjaus!$Y$4,'TP2'!$AG:$AG,Ohjaus!$Y$5,'TP2'!$AL:$AL,$AF$4,'TP2'!$Z:$Z,1,'TP2'!AN:AN,"P")</f>
        <v>0</v>
      </c>
      <c r="K57" s="702">
        <f>SUMIFS('TP2'!$P:$P,'TP2'!$AI:$AI,$Y$2,'TP2'!$R:$R,$X$9,'TP2'!$U:$U,Ohjaus!$T57,'TP2'!$W:$W,Ohjaus!$X$8,'TP2'!$X:$X,$Y$1,'TP2'!$AD:$AD,$X$9,'TP2'!$AF:$AF,Ohjaus!$Y$6,'TP2'!$Q:$Q,Ohjaus!$Y$4,'TP2'!$AG:$AG,Ohjaus!$Y$5,'TP2'!$AL:$AL,$AF$4,'TP2'!$O:$O,$Z$3,'TP2'!AN:AN,"P")</f>
        <v>0</v>
      </c>
      <c r="L57" s="702">
        <f>SUMIFS('TP2'!$P:$P,'TP2'!$AI:$AI,$Y$2,'TP2'!$R:$R,$X$9,'TP2'!$U:$U,Ohjaus!$T57,'TP2'!$W:$W,Ohjaus!$X$8,'TP2'!$X:$X,$Y$1,'TP2'!$AD:$AD,$X$9,'TP2'!$AF:$AF,Ohjaus!$Y$6,'TP2'!$Q:$Q,Ohjaus!$Y$4,'TP2'!$AG:$AG,Ohjaus!$Y$5,'TP2'!$AL:$AL,$AF$4,'TP2'!$K:$K,$Z$6,'TP2'!AN:AN,"P")</f>
        <v>0</v>
      </c>
      <c r="M57" s="702">
        <f>SUMIFS('TP2'!$P:$P,'TP2'!$AI:$AI,$Y$2,'TP2'!$R:$R,$X$9,'TP2'!$U:$U,Ohjaus!$T57,'TP2'!$W:$W,Ohjaus!$X$8,'TP2'!$X:$X,$Y$1,'TP2'!$AD:$AD,$X$9,'TP2'!$AF:$AF,Ohjaus!$Y$6,'TP2'!$Q:$Q,Ohjaus!$Y$4,'TP2'!$AG:$AG,Ohjaus!$Y$5,'TP2'!$AL:$AL,$AF$4,'TP2'!$K:$K,$Z$7,'TP2'!AN:AN,"P")</f>
        <v>0</v>
      </c>
      <c r="N57" s="702">
        <f>SUMIFS('TP2'!$P:$P,'TP2'!$AI:$AI,$Y$2,'TP2'!$R:$R,$X$9,'TP2'!$U:$U,Ohjaus!$T57,'TP2'!$W:$W,Ohjaus!$X$8,'TP2'!$X:$X,$Y$1,'TP2'!$AD:$AD,$X$9,'TP2'!$AF:$AF,Ohjaus!$Y$6,'TP2'!$Q:$Q,Ohjaus!$Y$4,'TP2'!$AG:$AG,Ohjaus!$Y$5,'TP2'!$AL:$AL,$AF$4,'TP2'!$K:$K,$Z$8,'TP2'!AN:AN,"P")</f>
        <v>0</v>
      </c>
      <c r="O57" s="702">
        <f>SUMIFS('TP2'!$P:$P,'TP2'!$AI:$AI,$Y$2,'TP2'!$R:$R,$X$9,'TP2'!$U:$U,Ohjaus!$T57,'TP2'!$W:$W,Ohjaus!$X$8,'TP2'!$X:$X,$Y$1,'TP2'!$AD:$AD,$X$9,'TP2'!$AF:$AF,Ohjaus!$Y$6,'TP2'!$Q:$Q,Ohjaus!$Y$4,'TP2'!$AG:$AG,Ohjaus!$Y$5,'TP2'!$AL:$AL,$AF$4,'TP2'!$K:$K,$Z$5,'TP2'!AN:AN,"P")</f>
        <v>0</v>
      </c>
      <c r="T57" t="s">
        <v>1141</v>
      </c>
      <c r="V57" s="702">
        <f>SUMIFS('TP2'!$P:$P,'TP2'!$AI:$AI,$Y$2,'TP2'!$R:$R,$X$9,'TP2'!$U:$U,Ohjaus!$U57,'TP2'!$W:$W,Ohjaus!$X$8,'TP2'!$X:$X,$Y$1,'TP2'!$AD:$AD,$X$9,'TP2'!$AF:$AF,Ohjaus!$Y$6,'TP2'!$Q:$Q,Ohjaus!$Y$4,'TP2'!$AG:$AG,Ohjaus!$Y$5,'TP2'!AL:AL,$AF$4,'TP2'!AN:AN,"P")</f>
        <v>0</v>
      </c>
      <c r="W57" s="697">
        <f>SUMIFS('TP2'!$P:$P,'TP2'!$AI:$AI,$Y$2,'TP2'!$R:$R,$X$9,'TP2'!$U:$U,Ohjaus!$U57,'TP2'!$W:$W,Ohjaus!$X$8,'TP2'!$X:$X,$Y$1,'TP2'!$AD:$AD,$X$9,'TP2'!$AF:$AF,Ohjaus!$Y$6,'TP2'!$Q:$Q,Ohjaus!$Y$4,'TP2'!$AG:$AG,Ohjaus!$Y$5,'TP2'!$AL:$AL,$AF$4,'TP2'!$V:$V,Ohjaus!$X$7,'TP2'!AN:AN,"P")</f>
        <v>0</v>
      </c>
      <c r="X57" s="697">
        <f>SUMIFS('TP2'!$P:$P,'TP2'!$AI:$AI,$Y$2,'TP2'!$R:$R,$X$9,'TP2'!$U:$U,Ohjaus!$U57,'TP2'!$W:$W,Ohjaus!$X$8,'TP2'!$X:$X,$Y$1,'TP2'!$AD:$AD,$X$9,'TP2'!$AF:$AF,Ohjaus!$Y$6,'TP2'!$Q:$Q,Ohjaus!$Y$4,'TP2'!$AG:$AG,Ohjaus!$Y$5,'TP2'!$AL:$AL,$AF$4,'TP2'!$V:$V,Ohjaus!$Y$7,'TP2'!AN:AN,"P")</f>
        <v>0</v>
      </c>
      <c r="Y57" s="697">
        <f>SUMIFS('TP2'!$P:$P,'TP2'!$AI:$AI,$Y$2,'TP2'!$R:$R,$X$9,'TP2'!$U:$U,Ohjaus!$U57,'TP2'!$W:$W,"vanha",'TP2'!$X:$X,$Y$1,'TP2'!$AD:$AD,$X$9,'TP2'!$AF:$AF,Ohjaus!$Y$6,'TP2'!$Q:$Q,Ohjaus!$Y$4,'TP2'!$AG:$AG,Ohjaus!$Y$5,'TP2'!$AL:$AL,$AF$4,'TP2'!AN:AN,"P")</f>
        <v>0</v>
      </c>
      <c r="AG57" s="702">
        <f>SUMIFS('TP2'!$P:$P,'TP2'!$AI:$AI,$W$7,'TP2'!$R:$R,$X$9,'TP2'!$U:$U,Ohjaus!$AF57,'TP2'!$W:$W,Ohjaus!$X$8,'TP2'!$X:$X,Ohjaus!$X$6,'TP2'!$AD:$AD,$X$9,'TP2'!$AF:$AF,Ohjaus!$Y$6,'TP2'!$Q:$Q,Ohjaus!$Y$4,'TP2'!$AG:$AG,Ohjaus!$Y$5,'TP2'!AL:AL,$AF$4,'TP2'!AN:AN,"P")</f>
        <v>0</v>
      </c>
      <c r="AH57" s="697">
        <f>SUMIFS('TP2'!$P:$P,'TP2'!$AI:$AI,$Y$2,'TP2'!$R:$R,$X$9,'TP2'!$U:$U,Ohjaus!$AF57,'TP2'!$W:$W,Ohjaus!$X$8,'TP2'!$X:$X,$Y$1,'TP2'!$AD:$AD,$X$9,'TP2'!$AF:$AF,Ohjaus!$Y$6,'TP2'!$Q:$Q,Ohjaus!$Y$4,'TP2'!$AG:$AG,Ohjaus!$Y$5,'TP2'!$AL:$AL,$AF$4,'TP2'!$V:$V,Ohjaus!$X$7,'TP2'!AN:AN,"P")</f>
        <v>0</v>
      </c>
      <c r="AI57" s="697">
        <f>SUMIFS('TP2'!$P:$P,'TP2'!$AI:$AI,$Y$2,'TP2'!$R:$R,$X$9,'TP2'!$U:$U,Ohjaus!$AF57,'TP2'!$W:$W,Ohjaus!$X$8,'TP2'!$X:$X,$Y$1,'TP2'!$AD:$AD,$X$9,'TP2'!$AF:$AF,Ohjaus!$Y$6,'TP2'!$Q:$Q,Ohjaus!$Y$4,'TP2'!$AG:$AG,Ohjaus!$Y$5,'TP2'!$AL:$AL,$AF$4,'TP2'!$V:$V,Ohjaus!$Y$7,'TP2'!AN:AN,"P")</f>
        <v>0</v>
      </c>
      <c r="AJ57" s="697">
        <f>SUMIFS('TP2'!$P:$P,'TP2'!$AI:$AI,$Y$2,'TP2'!$R:$R,$X$9,'TP2'!$U:$U,Ohjaus!$AF57,'TP2'!$W:$W,"vanha",'TP2'!$X:$X,$Y$1,'TP2'!$AD:$AD,$X$9,'TP2'!$AF:$AF,Ohjaus!$Y$6,'TP2'!$Q:$Q,Ohjaus!$Y$4,'TP2'!$AG:$AG,Ohjaus!$Y$5,'TP2'!$AL:$AL,$AF$4,'TP2'!AN:AN,"P")</f>
        <v>0</v>
      </c>
      <c r="AO57" s="725" t="s">
        <v>1055</v>
      </c>
      <c r="AP57" s="726" t="s">
        <v>1142</v>
      </c>
      <c r="AQ57" s="726"/>
      <c r="AR57" t="s">
        <v>1141</v>
      </c>
    </row>
    <row r="58" spans="1:48" x14ac:dyDescent="0.25">
      <c r="A58" s="1100"/>
      <c r="B58" s="696" t="s">
        <v>1143</v>
      </c>
      <c r="C58" s="697">
        <f>SUMIFS('TP2'!$P:$P,'TP2'!$AI:$AI,$Y$2,'TP2'!$R:$R,$X$9,'TP2'!$U:$U,Ohjaus!$T58,'TP2'!$W:$W,Ohjaus!$X$8,'TP2'!$X:$X,$Y$1,'TP2'!$AD:$AD,$X$9,'TP2'!$AF:$AF,Ohjaus!$Y$6,'TP2'!$Q:$Q,Ohjaus!$Y$4,'TP2'!$AG:$AG,Ohjaus!$Y$5,'TP2'!AL:AL,$AF$4,'TP2'!AN:AN,"P")+V58+AG58</f>
        <v>0</v>
      </c>
      <c r="D58" s="698">
        <f t="shared" si="5"/>
        <v>0</v>
      </c>
      <c r="E58" s="697">
        <f>SUMIFS('TP2'!$P:$P,'TP2'!$AI:$AI,$Y$2,'TP2'!$R:$R,$X$9,'TP2'!$U:$U,Ohjaus!$T58,'TP2'!$W:$W,Ohjaus!$X$8,'TP2'!$X:$X,$Y$1,'TP2'!$AD:$AD,$X$9,'TP2'!$AF:$AF,Ohjaus!$Y$6,'TP2'!$Q:$Q,Ohjaus!$Y$4,'TP2'!$AG:$AG,Ohjaus!$Y$5,'TP2'!$AL:$AL,$AF$4,'TP2'!$V:$V,Ohjaus!$X$7,'TP2'!AN:AN,"P")+W58+AH58</f>
        <v>0</v>
      </c>
      <c r="F58" s="697">
        <f>SUMIFS('TP2'!$P:$P,'TP2'!$AI:$AI,$Y$2,'TP2'!$R:$R,$X$9,'TP2'!$U:$U,Ohjaus!$T58,'TP2'!$W:$W,Ohjaus!$X$8,'TP2'!$X:$X,$Y$1,'TP2'!$AD:$AD,$X$9,'TP2'!$AF:$AF,Ohjaus!$Y$6,'TP2'!$Q:$Q,Ohjaus!$Y$4,'TP2'!$AG:$AG,Ohjaus!$Y$5,'TP2'!$AL:$AL,$AF$4,'TP2'!$V:$V,Ohjaus!$Y$7,'TP2'!AN:AN,"P")+X58+AI58</f>
        <v>0</v>
      </c>
      <c r="G58" s="697">
        <f>SUMIFS('TP2'!$P:$P,'TP2'!$AI:$AI,$Y$2,'TP2'!$R:$R,$X$9,'TP2'!$U:$U,Ohjaus!$T58,'TP2'!$W:$W,"vanha",'TP2'!$X:$X,$Y$1,'TP2'!$AD:$AD,$X$9,'TP2'!$AF:$AF,Ohjaus!$Y$6,'TP2'!$Q:$Q,Ohjaus!$Y$4,'TP2'!$AG:$AG,Ohjaus!$Y$5,'TP2'!$AL:$AL,$AF$4,'TP2'!AN:AN,"P")+Z58+AK58</f>
        <v>0</v>
      </c>
      <c r="H58" s="699"/>
      <c r="I58" s="700"/>
      <c r="J58" s="701">
        <f>SUMIFS('TP2'!$P:$P,'TP2'!$AI:$AI,$Y$2,'TP2'!$R:$R,$X$9,'TP2'!$U:$U,Ohjaus!$T58,'TP2'!$W:$W,Ohjaus!$X$8,'TP2'!$X:$X,$Y$1,'TP2'!$AD:$AD,$X$9,'TP2'!$AF:$AF,Ohjaus!$Y$6,'TP2'!$Q:$Q,Ohjaus!$Y$4,'TP2'!$AG:$AG,Ohjaus!$Y$5,'TP2'!$AL:$AL,$AF$4,'TP2'!$Z:$Z,1,'TP2'!AN:AN,"P")</f>
        <v>0</v>
      </c>
      <c r="K58" s="702">
        <f>SUMIFS('TP2'!$P:$P,'TP2'!$AI:$AI,$Y$2,'TP2'!$R:$R,$X$9,'TP2'!$U:$U,Ohjaus!$T58,'TP2'!$W:$W,Ohjaus!$X$8,'TP2'!$X:$X,$Y$1,'TP2'!$AD:$AD,$X$9,'TP2'!$AF:$AF,Ohjaus!$Y$6,'TP2'!$Q:$Q,Ohjaus!$Y$4,'TP2'!$AG:$AG,Ohjaus!$Y$5,'TP2'!$AL:$AL,$AF$4,'TP2'!$O:$O,$Z$3,'TP2'!AN:AN,"P")</f>
        <v>0</v>
      </c>
      <c r="L58" s="702">
        <f>SUMIFS('TP2'!$P:$P,'TP2'!$AI:$AI,$Y$2,'TP2'!$R:$R,$X$9,'TP2'!$U:$U,Ohjaus!$T58,'TP2'!$W:$W,Ohjaus!$X$8,'TP2'!$X:$X,$Y$1,'TP2'!$AD:$AD,$X$9,'TP2'!$AF:$AF,Ohjaus!$Y$6,'TP2'!$Q:$Q,Ohjaus!$Y$4,'TP2'!$AG:$AG,Ohjaus!$Y$5,'TP2'!$AL:$AL,$AF$4,'TP2'!$K:$K,$Z$6,'TP2'!AN:AN,"P")</f>
        <v>0</v>
      </c>
      <c r="M58" s="702">
        <f>SUMIFS('TP2'!$P:$P,'TP2'!$AI:$AI,$Y$2,'TP2'!$R:$R,$X$9,'TP2'!$U:$U,Ohjaus!$T58,'TP2'!$W:$W,Ohjaus!$X$8,'TP2'!$X:$X,$Y$1,'TP2'!$AD:$AD,$X$9,'TP2'!$AF:$AF,Ohjaus!$Y$6,'TP2'!$Q:$Q,Ohjaus!$Y$4,'TP2'!$AG:$AG,Ohjaus!$Y$5,'TP2'!$AL:$AL,$AF$4,'TP2'!$K:$K,$Z$7,'TP2'!AN:AN,"P")</f>
        <v>0</v>
      </c>
      <c r="N58" s="702">
        <f>SUMIFS('TP2'!$P:$P,'TP2'!$AI:$AI,$Y$2,'TP2'!$R:$R,$X$9,'TP2'!$U:$U,Ohjaus!$T58,'TP2'!$W:$W,Ohjaus!$X$8,'TP2'!$X:$X,$Y$1,'TP2'!$AD:$AD,$X$9,'TP2'!$AF:$AF,Ohjaus!$Y$6,'TP2'!$Q:$Q,Ohjaus!$Y$4,'TP2'!$AG:$AG,Ohjaus!$Y$5,'TP2'!$AL:$AL,$AF$4,'TP2'!$K:$K,$Z$8,'TP2'!AN:AN,"P")</f>
        <v>0</v>
      </c>
      <c r="O58" s="702">
        <f>SUMIFS('TP2'!$P:$P,'TP2'!$AI:$AI,$Y$2,'TP2'!$R:$R,$X$9,'TP2'!$U:$U,Ohjaus!$T58,'TP2'!$W:$W,Ohjaus!$X$8,'TP2'!$X:$X,$Y$1,'TP2'!$AD:$AD,$X$9,'TP2'!$AF:$AF,Ohjaus!$Y$6,'TP2'!$Q:$Q,Ohjaus!$Y$4,'TP2'!$AG:$AG,Ohjaus!$Y$5,'TP2'!$AL:$AL,$AF$4,'TP2'!$K:$K,$Z$5,'TP2'!AN:AN,"P")</f>
        <v>0</v>
      </c>
      <c r="T58" s="693" t="s">
        <v>1144</v>
      </c>
      <c r="V58" s="702">
        <f>SUMIFS('TP2'!$P:$P,'TP2'!$AI:$AI,$Y$2,'TP2'!$R:$R,$X$9,'TP2'!$U:$U,Ohjaus!$U58,'TP2'!$W:$W,Ohjaus!$X$8,'TP2'!$X:$X,$Y$1,'TP2'!$AD:$AD,$X$9,'TP2'!$AF:$AF,Ohjaus!$Y$6,'TP2'!$Q:$Q,Ohjaus!$Y$4,'TP2'!$AG:$AG,Ohjaus!$Y$5,'TP2'!AL:AL,$AF$4,'TP2'!AN:AN,"P")</f>
        <v>0</v>
      </c>
      <c r="W58" s="697">
        <f>SUMIFS('TP2'!$P:$P,'TP2'!$AI:$AI,$Y$2,'TP2'!$R:$R,$X$9,'TP2'!$U:$U,Ohjaus!$U58,'TP2'!$W:$W,Ohjaus!$X$8,'TP2'!$X:$X,$Y$1,'TP2'!$AD:$AD,$X$9,'TP2'!$AF:$AF,Ohjaus!$Y$6,'TP2'!$Q:$Q,Ohjaus!$Y$4,'TP2'!$AG:$AG,Ohjaus!$Y$5,'TP2'!$AL:$AL,$AF$4,'TP2'!$V:$V,Ohjaus!$X$7,'TP2'!AN:AN,"P")</f>
        <v>0</v>
      </c>
      <c r="X58" s="697">
        <f>SUMIFS('TP2'!$P:$P,'TP2'!$AI:$AI,$Y$2,'TP2'!$R:$R,$X$9,'TP2'!$U:$U,Ohjaus!$U58,'TP2'!$W:$W,Ohjaus!$X$8,'TP2'!$X:$X,$Y$1,'TP2'!$AD:$AD,$X$9,'TP2'!$AF:$AF,Ohjaus!$Y$6,'TP2'!$Q:$Q,Ohjaus!$Y$4,'TP2'!$AG:$AG,Ohjaus!$Y$5,'TP2'!$AL:$AL,$AF$4,'TP2'!$V:$V,Ohjaus!$Y$7,'TP2'!AN:AN,"P")</f>
        <v>0</v>
      </c>
      <c r="Y58" s="697">
        <f>SUMIFS('TP2'!$P:$P,'TP2'!$AI:$AI,$Y$2,'TP2'!$R:$R,$X$9,'TP2'!$U:$U,Ohjaus!$U58,'TP2'!$W:$W,"vanha",'TP2'!$X:$X,$Y$1,'TP2'!$AD:$AD,$X$9,'TP2'!$AF:$AF,Ohjaus!$Y$6,'TP2'!$Q:$Q,Ohjaus!$Y$4,'TP2'!$AG:$AG,Ohjaus!$Y$5,'TP2'!$AL:$AL,$AF$4,'TP2'!AN:AN,"P")</f>
        <v>0</v>
      </c>
      <c r="AG58" s="702">
        <f>SUMIFS('TP2'!$P:$P,'TP2'!$AI:$AI,$W$7,'TP2'!$R:$R,$X$9,'TP2'!$U:$U,Ohjaus!$AF58,'TP2'!$W:$W,Ohjaus!$X$8,'TP2'!$X:$X,Ohjaus!$X$6,'TP2'!$AD:$AD,$X$9,'TP2'!$AF:$AF,Ohjaus!$Y$6,'TP2'!$Q:$Q,Ohjaus!$Y$4,'TP2'!$AG:$AG,Ohjaus!$Y$5,'TP2'!AL:AL,$AF$4,'TP2'!AN:AN,"P")</f>
        <v>0</v>
      </c>
      <c r="AH58" s="697">
        <f>SUMIFS('TP2'!$P:$P,'TP2'!$AI:$AI,$Y$2,'TP2'!$R:$R,$X$9,'TP2'!$U:$U,Ohjaus!$AF58,'TP2'!$W:$W,Ohjaus!$X$8,'TP2'!$X:$X,$Y$1,'TP2'!$AD:$AD,$X$9,'TP2'!$AF:$AF,Ohjaus!$Y$6,'TP2'!$Q:$Q,Ohjaus!$Y$4,'TP2'!$AG:$AG,Ohjaus!$Y$5,'TP2'!$AL:$AL,$AF$4,'TP2'!$V:$V,Ohjaus!$X$7,'TP2'!AN:AN,"P")</f>
        <v>0</v>
      </c>
      <c r="AI58" s="697">
        <f>SUMIFS('TP2'!$P:$P,'TP2'!$AI:$AI,$Y$2,'TP2'!$R:$R,$X$9,'TP2'!$U:$U,Ohjaus!$AF58,'TP2'!$W:$W,Ohjaus!$X$8,'TP2'!$X:$X,$Y$1,'TP2'!$AD:$AD,$X$9,'TP2'!$AF:$AF,Ohjaus!$Y$6,'TP2'!$Q:$Q,Ohjaus!$Y$4,'TP2'!$AG:$AG,Ohjaus!$Y$5,'TP2'!$AL:$AL,$AF$4,'TP2'!$V:$V,Ohjaus!$Y$7,'TP2'!AN:AN,"P")</f>
        <v>0</v>
      </c>
      <c r="AJ58" s="697">
        <f>SUMIFS('TP2'!$P:$P,'TP2'!$AI:$AI,$Y$2,'TP2'!$R:$R,$X$9,'TP2'!$U:$U,Ohjaus!$AF58,'TP2'!$W:$W,"vanha",'TP2'!$X:$X,$Y$1,'TP2'!$AD:$AD,$X$9,'TP2'!$AF:$AF,Ohjaus!$Y$6,'TP2'!$Q:$Q,Ohjaus!$Y$4,'TP2'!$AG:$AG,Ohjaus!$Y$5,'TP2'!$AL:$AL,$AF$4,'TP2'!AN:AN,"P")</f>
        <v>0</v>
      </c>
      <c r="AO58" s="707"/>
      <c r="AP58" s="708" t="s">
        <v>1145</v>
      </c>
      <c r="AQ58" s="708" t="s">
        <v>1145</v>
      </c>
      <c r="AR58" t="s">
        <v>1144</v>
      </c>
    </row>
    <row r="59" spans="1:48" x14ac:dyDescent="0.25">
      <c r="A59" s="727"/>
      <c r="B59" s="728" t="str">
        <f>A60</f>
        <v>Työllistymistä tukeva toiminta</v>
      </c>
      <c r="C59" s="692">
        <f>SUM(C60:C68)</f>
        <v>0</v>
      </c>
      <c r="D59" s="692"/>
      <c r="E59" s="692"/>
      <c r="F59" s="692"/>
      <c r="G59" s="692"/>
      <c r="H59" s="690"/>
      <c r="I59" s="691"/>
      <c r="J59" s="690">
        <f t="shared" ref="J59:O59" si="8">SUM(J61:J68)</f>
        <v>0</v>
      </c>
      <c r="K59" s="692">
        <f t="shared" si="8"/>
        <v>0</v>
      </c>
      <c r="L59" s="692">
        <f t="shared" si="8"/>
        <v>0</v>
      </c>
      <c r="M59" s="692">
        <f t="shared" si="8"/>
        <v>0</v>
      </c>
      <c r="N59" s="692">
        <f t="shared" si="8"/>
        <v>0</v>
      </c>
      <c r="O59" s="691">
        <f t="shared" si="8"/>
        <v>0</v>
      </c>
      <c r="T59" s="693"/>
      <c r="V59" s="702">
        <f>SUMIFS('TP2'!$P:$P,'TP2'!$AI:$AI,$Y$2,'TP2'!$R:$R,$X$9,'TP2'!$U:$U,Ohjaus!$U59,'TP2'!$W:$W,Ohjaus!$X$8,'TP2'!$X:$X,$Y$1,'TP2'!$AD:$AD,$X$9,'TP2'!$AF:$AF,Ohjaus!$Y$6,'TP2'!$Q:$Q,Ohjaus!$Y$4,'TP2'!$AG:$AG,Ohjaus!$Y$5,'TP2'!AL:AL,$AF$4,'TP2'!AN:AN,"P")</f>
        <v>0</v>
      </c>
      <c r="W59" s="697">
        <f>SUMIFS('TP2'!$P:$P,'TP2'!$AI:$AI,$Y$2,'TP2'!$R:$R,$X$9,'TP2'!$U:$U,Ohjaus!$U59,'TP2'!$W:$W,Ohjaus!$X$8,'TP2'!$X:$X,$Y$1,'TP2'!$AD:$AD,$X$9,'TP2'!$AF:$AF,Ohjaus!$Y$6,'TP2'!$Q:$Q,Ohjaus!$Y$4,'TP2'!$AG:$AG,Ohjaus!$Y$5,'TP2'!$AL:$AL,$AF$4,'TP2'!$V:$V,Ohjaus!$X$7,'TP2'!AN:AN,"P")</f>
        <v>0</v>
      </c>
      <c r="X59" s="697">
        <f>SUMIFS('TP2'!$P:$P,'TP2'!$AI:$AI,$Y$2,'TP2'!$R:$R,$X$9,'TP2'!$U:$U,Ohjaus!$U59,'TP2'!$W:$W,Ohjaus!$X$8,'TP2'!$X:$X,$Y$1,'TP2'!$AD:$AD,$X$9,'TP2'!$AF:$AF,Ohjaus!$Y$6,'TP2'!$Q:$Q,Ohjaus!$Y$4,'TP2'!$AG:$AG,Ohjaus!$Y$5,'TP2'!$AL:$AL,$AF$4,'TP2'!$V:$V,Ohjaus!$Y$7,'TP2'!AN:AN,"P")</f>
        <v>0</v>
      </c>
      <c r="Y59" s="697">
        <f>SUMIFS('TP2'!$P:$P,'TP2'!$AI:$AI,$Y$2,'TP2'!$R:$R,$X$9,'TP2'!$U:$U,Ohjaus!$U59,'TP2'!$W:$W,"vanha",'TP2'!$X:$X,$Y$1,'TP2'!$AD:$AD,$X$9,'TP2'!$AF:$AF,Ohjaus!$Y$6,'TP2'!$Q:$Q,Ohjaus!$Y$4,'TP2'!$AG:$AG,Ohjaus!$Y$5,'TP2'!$AL:$AL,$AF$4,'TP2'!AN:AN,"P")</f>
        <v>0</v>
      </c>
      <c r="AG59" s="702">
        <f>SUMIFS('TP2'!$P:$P,'TP2'!$AI:$AI,$W$7,'TP2'!$R:$R,$X$9,'TP2'!$U:$U,Ohjaus!$AF59,'TP2'!$W:$W,Ohjaus!$X$8,'TP2'!$X:$X,Ohjaus!$X$6,'TP2'!$AD:$AD,$X$9,'TP2'!$AF:$AF,Ohjaus!$Y$6,'TP2'!$Q:$Q,Ohjaus!$Y$4,'TP2'!$AG:$AG,Ohjaus!$Y$5,'TP2'!AL:AL,$AF$4,'TP2'!AN:AN,"P")</f>
        <v>0</v>
      </c>
      <c r="AH59" s="697">
        <f>SUMIFS('TP2'!$P:$P,'TP2'!$AI:$AI,$Y$2,'TP2'!$R:$R,$X$9,'TP2'!$U:$U,Ohjaus!$AF59,'TP2'!$W:$W,Ohjaus!$X$8,'TP2'!$X:$X,$Y$1,'TP2'!$AD:$AD,$X$9,'TP2'!$AF:$AF,Ohjaus!$Y$6,'TP2'!$Q:$Q,Ohjaus!$Y$4,'TP2'!$AG:$AG,Ohjaus!$Y$5,'TP2'!$AL:$AL,$AF$4,'TP2'!$V:$V,Ohjaus!$X$7,'TP2'!AN:AN,"P")</f>
        <v>0</v>
      </c>
      <c r="AI59" s="697">
        <f>SUMIFS('TP2'!$P:$P,'TP2'!$AI:$AI,$Y$2,'TP2'!$R:$R,$X$9,'TP2'!$U:$U,Ohjaus!$AF59,'TP2'!$W:$W,Ohjaus!$X$8,'TP2'!$X:$X,$Y$1,'TP2'!$AD:$AD,$X$9,'TP2'!$AF:$AF,Ohjaus!$Y$6,'TP2'!$Q:$Q,Ohjaus!$Y$4,'TP2'!$AG:$AG,Ohjaus!$Y$5,'TP2'!$AL:$AL,$AF$4,'TP2'!$V:$V,Ohjaus!$Y$7,'TP2'!AN:AN,"P")</f>
        <v>0</v>
      </c>
      <c r="AJ59" s="697">
        <f>SUMIFS('TP2'!$P:$P,'TP2'!$AI:$AI,$Y$2,'TP2'!$R:$R,$X$9,'TP2'!$U:$U,Ohjaus!$AF59,'TP2'!$W:$W,"vanha",'TP2'!$X:$X,$Y$1,'TP2'!$AD:$AD,$X$9,'TP2'!$AF:$AF,Ohjaus!$Y$6,'TP2'!$Q:$Q,Ohjaus!$Y$4,'TP2'!$AG:$AG,Ohjaus!$Y$5,'TP2'!$AL:$AL,$AF$4,'TP2'!AN:AN,"P")</f>
        <v>0</v>
      </c>
      <c r="AO59" s="721" t="s">
        <v>986</v>
      </c>
      <c r="AP59" s="722" t="s">
        <v>1146</v>
      </c>
      <c r="AQ59" s="722" t="s">
        <v>1147</v>
      </c>
      <c r="AR59" t="s">
        <v>1148</v>
      </c>
    </row>
    <row r="60" spans="1:48" ht="14.45" customHeight="1" x14ac:dyDescent="0.25">
      <c r="A60" s="1077" t="s">
        <v>1146</v>
      </c>
      <c r="B60" s="696" t="s">
        <v>1149</v>
      </c>
      <c r="C60" s="697">
        <f>SUMIFS('TP2'!$P:$P,'TP2'!$AI:$AI,$Y$2,'TP2'!$R:$R,$X$9,'TP2'!$U:$U,Ohjaus!$T60,'TP2'!$W:$W,Ohjaus!$X$8,'TP2'!$X:$X,$Y$1,'TP2'!$AD:$AD,$X$9,'TP2'!$AF:$AF,Ohjaus!$Y$6,'TP2'!$Q:$Q,Ohjaus!$Y$4,'TP2'!$AG:$AG,Ohjaus!$Y$5,'TP2'!AL:AL,$AF$4,'TP2'!AN:AN,"P")+V60+AG60</f>
        <v>0</v>
      </c>
      <c r="D60" s="698">
        <f t="shared" si="5"/>
        <v>0</v>
      </c>
      <c r="E60" s="697">
        <f>SUMIFS('TP2'!$P:$P,'TP2'!$AI:$AI,$Y$2,'TP2'!$R:$R,$X$9,'TP2'!$U:$U,Ohjaus!$T60,'TP2'!$W:$W,Ohjaus!$X$8,'TP2'!$X:$X,$Y$1,'TP2'!$AD:$AD,$X$9,'TP2'!$AF:$AF,Ohjaus!$Y$6,'TP2'!$Q:$Q,Ohjaus!$Y$4,'TP2'!$AG:$AG,Ohjaus!$Y$5,'TP2'!$AL:$AL,$AF$4,'TP2'!$V:$V,Ohjaus!$X$7,'TP2'!AN:AN,"P")+W60+AH60</f>
        <v>0</v>
      </c>
      <c r="F60" s="697">
        <f>SUMIFS('TP2'!$P:$P,'TP2'!$AI:$AI,$Y$2,'TP2'!$R:$R,$X$9,'TP2'!$U:$U,Ohjaus!$T60,'TP2'!$W:$W,Ohjaus!$X$8,'TP2'!$X:$X,$Y$1,'TP2'!$AD:$AD,$X$9,'TP2'!$AF:$AF,Ohjaus!$Y$6,'TP2'!$Q:$Q,Ohjaus!$Y$4,'TP2'!$AG:$AG,Ohjaus!$Y$5,'TP2'!$AL:$AL,$AF$4,'TP2'!$V:$V,Ohjaus!$Y$7,'TP2'!AN:AN,"P")+X60+AI60</f>
        <v>0</v>
      </c>
      <c r="G60" s="697">
        <f>SUMIFS('TP2'!$P:$P,'TP2'!$AI:$AI,$Y$2,'TP2'!$R:$R,$X$9,'TP2'!$U:$U,Ohjaus!$T60,'TP2'!$W:$W,"vanha",'TP2'!$X:$X,$Y$1,'TP2'!$AD:$AD,$X$9,'TP2'!$AF:$AF,Ohjaus!$Y$6,'TP2'!$Q:$Q,Ohjaus!$Y$4,'TP2'!$AG:$AG,Ohjaus!$Y$5,'TP2'!$AL:$AL,$AF$4,'TP2'!AN:AN,"P")+Z60+AK60</f>
        <v>0</v>
      </c>
      <c r="H60" s="699"/>
      <c r="I60" s="700"/>
      <c r="J60" s="701">
        <f>SUMIFS('TP2'!$P:$P,'TP2'!$AI:$AI,$Y$2,'TP2'!$R:$R,$X$9,'TP2'!$U:$U,Ohjaus!$T60,'TP2'!$W:$W,Ohjaus!$X$8,'TP2'!$X:$X,$Y$1,'TP2'!$AD:$AD,$X$9,'TP2'!$AF:$AF,Ohjaus!$Y$6,'TP2'!$Q:$Q,Ohjaus!$Y$4,'TP2'!$AG:$AG,Ohjaus!$Y$5,'TP2'!$AL:$AL,$AF$4,'TP2'!$Z:$Z,1,'TP2'!AN:AN,"P")</f>
        <v>0</v>
      </c>
      <c r="K60" s="702">
        <f>SUMIFS('TP2'!$P:$P,'TP2'!$AI:$AI,$Y$2,'TP2'!$R:$R,$X$9,'TP2'!$U:$U,Ohjaus!$T60,'TP2'!$W:$W,Ohjaus!$X$8,'TP2'!$X:$X,$Y$1,'TP2'!$AD:$AD,$X$9,'TP2'!$AF:$AF,Ohjaus!$Y$6,'TP2'!$Q:$Q,Ohjaus!$Y$4,'TP2'!$AG:$AG,Ohjaus!$Y$5,'TP2'!$AL:$AL,$AF$4,'TP2'!$O:$O,$Z$3,'TP2'!AN:AN,"P")</f>
        <v>0</v>
      </c>
      <c r="L60" s="702">
        <f>SUMIFS('TP2'!$P:$P,'TP2'!$AI:$AI,$Y$2,'TP2'!$R:$R,$X$9,'TP2'!$U:$U,Ohjaus!$T60,'TP2'!$W:$W,Ohjaus!$X$8,'TP2'!$X:$X,$Y$1,'TP2'!$AD:$AD,$X$9,'TP2'!$AF:$AF,Ohjaus!$Y$6,'TP2'!$Q:$Q,Ohjaus!$Y$4,'TP2'!$AG:$AG,Ohjaus!$Y$5,'TP2'!$AL:$AL,$AF$4,'TP2'!$K:$K,$Z$6,'TP2'!AN:AN,"P")</f>
        <v>0</v>
      </c>
      <c r="M60" s="702">
        <f>SUMIFS('TP2'!$P:$P,'TP2'!$AI:$AI,$Y$2,'TP2'!$R:$R,$X$9,'TP2'!$U:$U,Ohjaus!$T60,'TP2'!$W:$W,Ohjaus!$X$8,'TP2'!$X:$X,$Y$1,'TP2'!$AD:$AD,$X$9,'TP2'!$AF:$AF,Ohjaus!$Y$6,'TP2'!$Q:$Q,Ohjaus!$Y$4,'TP2'!$AG:$AG,Ohjaus!$Y$5,'TP2'!$AL:$AL,$AF$4,'TP2'!$K:$K,$Z$7,'TP2'!AN:AN,"P")</f>
        <v>0</v>
      </c>
      <c r="N60" s="702">
        <f>SUMIFS('TP2'!$P:$P,'TP2'!$AI:$AI,$Y$2,'TP2'!$R:$R,$X$9,'TP2'!$U:$U,Ohjaus!$T60,'TP2'!$W:$W,Ohjaus!$X$8,'TP2'!$X:$X,$Y$1,'TP2'!$AD:$AD,$X$9,'TP2'!$AF:$AF,Ohjaus!$Y$6,'TP2'!$Q:$Q,Ohjaus!$Y$4,'TP2'!$AG:$AG,Ohjaus!$Y$5,'TP2'!$AL:$AL,$AF$4,'TP2'!$K:$K,$Z$8,'TP2'!AN:AN,"P")</f>
        <v>0</v>
      </c>
      <c r="O60" s="702">
        <f>SUMIFS('TP2'!$P:$P,'TP2'!$AI:$AI,$Y$2,'TP2'!$R:$R,$X$9,'TP2'!$U:$U,Ohjaus!$T60,'TP2'!$W:$W,Ohjaus!$X$8,'TP2'!$X:$X,$Y$1,'TP2'!$AD:$AD,$X$9,'TP2'!$AF:$AF,Ohjaus!$Y$6,'TP2'!$Q:$Q,Ohjaus!$Y$4,'TP2'!$AG:$AG,Ohjaus!$Y$5,'TP2'!$AL:$AL,$AF$4,'TP2'!$K:$K,$Z$5,'TP2'!AN:AN,"P")</f>
        <v>0</v>
      </c>
      <c r="T60" s="693" t="s">
        <v>1150</v>
      </c>
      <c r="V60" s="702">
        <f>SUMIFS('TP2'!$P:$P,'TP2'!$AI:$AI,$Y$2,'TP2'!$R:$R,$X$9,'TP2'!$U:$U,Ohjaus!$U60,'TP2'!$W:$W,Ohjaus!$X$8,'TP2'!$X:$X,$Y$1,'TP2'!$AD:$AD,$X$9,'TP2'!$AF:$AF,Ohjaus!$Y$6,'TP2'!$Q:$Q,Ohjaus!$Y$4,'TP2'!$AG:$AG,Ohjaus!$Y$5,'TP2'!AL:AL,$AF$4,'TP2'!AN:AN,"P")</f>
        <v>0</v>
      </c>
      <c r="W60" s="697">
        <f>SUMIFS('TP2'!$P:$P,'TP2'!$AI:$AI,$Y$2,'TP2'!$R:$R,$X$9,'TP2'!$U:$U,Ohjaus!$U60,'TP2'!$W:$W,Ohjaus!$X$8,'TP2'!$X:$X,$Y$1,'TP2'!$AD:$AD,$X$9,'TP2'!$AF:$AF,Ohjaus!$Y$6,'TP2'!$Q:$Q,Ohjaus!$Y$4,'TP2'!$AG:$AG,Ohjaus!$Y$5,'TP2'!$AL:$AL,$AF$4,'TP2'!$V:$V,Ohjaus!$X$7,'TP2'!AN:AN,"P")</f>
        <v>0</v>
      </c>
      <c r="X60" s="697">
        <f>SUMIFS('TP2'!$P:$P,'TP2'!$AI:$AI,$Y$2,'TP2'!$R:$R,$X$9,'TP2'!$U:$U,Ohjaus!$U60,'TP2'!$W:$W,Ohjaus!$X$8,'TP2'!$X:$X,$Y$1,'TP2'!$AD:$AD,$X$9,'TP2'!$AF:$AF,Ohjaus!$Y$6,'TP2'!$Q:$Q,Ohjaus!$Y$4,'TP2'!$AG:$AG,Ohjaus!$Y$5,'TP2'!$AL:$AL,$AF$4,'TP2'!$V:$V,Ohjaus!$Y$7,'TP2'!AN:AN,"P")</f>
        <v>0</v>
      </c>
      <c r="Y60" s="697">
        <f>SUMIFS('TP2'!$P:$P,'TP2'!$AI:$AI,$Y$2,'TP2'!$R:$R,$X$9,'TP2'!$U:$U,Ohjaus!$U60,'TP2'!$W:$W,"vanha",'TP2'!$X:$X,$Y$1,'TP2'!$AD:$AD,$X$9,'TP2'!$AF:$AF,Ohjaus!$Y$6,'TP2'!$Q:$Q,Ohjaus!$Y$4,'TP2'!$AG:$AG,Ohjaus!$Y$5,'TP2'!$AL:$AL,$AF$4,'TP2'!AN:AN,"P")</f>
        <v>0</v>
      </c>
      <c r="AG60" s="702">
        <f>SUMIFS('TP2'!$P:$P,'TP2'!$AI:$AI,$W$7,'TP2'!$R:$R,$X$9,'TP2'!$U:$U,Ohjaus!$AF60,'TP2'!$W:$W,Ohjaus!$X$8,'TP2'!$X:$X,Ohjaus!$X$6,'TP2'!$AD:$AD,$X$9,'TP2'!$AF:$AF,Ohjaus!$Y$6,'TP2'!$Q:$Q,Ohjaus!$Y$4,'TP2'!$AG:$AG,Ohjaus!$Y$5,'TP2'!AL:AL,$AF$4,'TP2'!AN:AN,"P")</f>
        <v>0</v>
      </c>
      <c r="AH60" s="697">
        <f>SUMIFS('TP2'!$P:$P,'TP2'!$AI:$AI,$Y$2,'TP2'!$R:$R,$X$9,'TP2'!$U:$U,Ohjaus!$AF60,'TP2'!$W:$W,Ohjaus!$X$8,'TP2'!$X:$X,$Y$1,'TP2'!$AD:$AD,$X$9,'TP2'!$AF:$AF,Ohjaus!$Y$6,'TP2'!$Q:$Q,Ohjaus!$Y$4,'TP2'!$AG:$AG,Ohjaus!$Y$5,'TP2'!$AL:$AL,$AF$4,'TP2'!$V:$V,Ohjaus!$X$7,'TP2'!AN:AN,"P")</f>
        <v>0</v>
      </c>
      <c r="AI60" s="697">
        <f>SUMIFS('TP2'!$P:$P,'TP2'!$AI:$AI,$Y$2,'TP2'!$R:$R,$X$9,'TP2'!$U:$U,Ohjaus!$AF60,'TP2'!$W:$W,Ohjaus!$X$8,'TP2'!$X:$X,$Y$1,'TP2'!$AD:$AD,$X$9,'TP2'!$AF:$AF,Ohjaus!$Y$6,'TP2'!$Q:$Q,Ohjaus!$Y$4,'TP2'!$AG:$AG,Ohjaus!$Y$5,'TP2'!$AL:$AL,$AF$4,'TP2'!$V:$V,Ohjaus!$Y$7,'TP2'!AN:AN,"P")</f>
        <v>0</v>
      </c>
      <c r="AJ60" s="697">
        <f>SUMIFS('TP2'!$P:$P,'TP2'!$AI:$AI,$Y$2,'TP2'!$R:$R,$X$9,'TP2'!$U:$U,Ohjaus!$AF60,'TP2'!$W:$W,"vanha",'TP2'!$X:$X,$Y$1,'TP2'!$AD:$AD,$X$9,'TP2'!$AF:$AF,Ohjaus!$Y$6,'TP2'!$Q:$Q,Ohjaus!$Y$4,'TP2'!$AG:$AG,Ohjaus!$Y$5,'TP2'!$AL:$AL,$AF$4,'TP2'!AN:AN,"P")</f>
        <v>0</v>
      </c>
      <c r="AO60" s="707"/>
      <c r="AP60" s="708" t="s">
        <v>1151</v>
      </c>
      <c r="AQ60" s="708" t="s">
        <v>1151</v>
      </c>
      <c r="AR60" t="s">
        <v>1150</v>
      </c>
    </row>
    <row r="61" spans="1:48" x14ac:dyDescent="0.25">
      <c r="A61" s="1078"/>
      <c r="B61" s="696" t="s">
        <v>1152</v>
      </c>
      <c r="C61" s="697">
        <f>SUMIFS('TP2'!$P:$P,'TP2'!$AI:$AI,$Y$2,'TP2'!$R:$R,$X$9,'TP2'!$U:$U,Ohjaus!$T61,'TP2'!$W:$W,Ohjaus!$X$8,'TP2'!$X:$X,$Y$1,'TP2'!$AD:$AD,$X$9,'TP2'!$AF:$AF,Ohjaus!$Y$6,'TP2'!$Q:$Q,Ohjaus!$Y$4,'TP2'!$AG:$AG,Ohjaus!$Y$5,'TP2'!AL:AL,$AF$4,'TP2'!AN:AN,"P")+V61+AG61</f>
        <v>0</v>
      </c>
      <c r="D61" s="698">
        <f t="shared" si="5"/>
        <v>0</v>
      </c>
      <c r="E61" s="697">
        <f>SUMIFS('TP2'!$P:$P,'TP2'!$AI:$AI,$Y$2,'TP2'!$R:$R,$X$9,'TP2'!$U:$U,Ohjaus!$T61,'TP2'!$W:$W,Ohjaus!$X$8,'TP2'!$X:$X,$Y$1,'TP2'!$AD:$AD,$X$9,'TP2'!$AF:$AF,Ohjaus!$Y$6,'TP2'!$Q:$Q,Ohjaus!$Y$4,'TP2'!$AG:$AG,Ohjaus!$Y$5,'TP2'!$AL:$AL,$AF$4,'TP2'!$V:$V,Ohjaus!$X$7,'TP2'!AN:AN,"P")+W61+AH61</f>
        <v>0</v>
      </c>
      <c r="F61" s="697">
        <f>SUMIFS('TP2'!$P:$P,'TP2'!$AI:$AI,$Y$2,'TP2'!$R:$R,$X$9,'TP2'!$U:$U,Ohjaus!$T61,'TP2'!$W:$W,Ohjaus!$X$8,'TP2'!$X:$X,$Y$1,'TP2'!$AD:$AD,$X$9,'TP2'!$AF:$AF,Ohjaus!$Y$6,'TP2'!$Q:$Q,Ohjaus!$Y$4,'TP2'!$AG:$AG,Ohjaus!$Y$5,'TP2'!$AL:$AL,$AF$4,'TP2'!$V:$V,Ohjaus!$Y$7,'TP2'!AN:AN,"P")+X61+AI61</f>
        <v>0</v>
      </c>
      <c r="G61" s="697">
        <f>SUMIFS('TP2'!$P:$P,'TP2'!$AI:$AI,$Y$2,'TP2'!$R:$R,$X$9,'TP2'!$U:$U,Ohjaus!$T61,'TP2'!$W:$W,"vanha",'TP2'!$X:$X,$Y$1,'TP2'!$AD:$AD,$X$9,'TP2'!$AF:$AF,Ohjaus!$Y$6,'TP2'!$Q:$Q,Ohjaus!$Y$4,'TP2'!$AG:$AG,Ohjaus!$Y$5,'TP2'!$AL:$AL,$AF$4,'TP2'!AN:AN,"P")+Z61+AK61</f>
        <v>0</v>
      </c>
      <c r="H61" s="699"/>
      <c r="I61" s="700"/>
      <c r="J61" s="701">
        <f>SUMIFS('TP2'!$P:$P,'TP2'!$AI:$AI,$Y$2,'TP2'!$R:$R,$X$9,'TP2'!$U:$U,Ohjaus!$T61,'TP2'!$W:$W,Ohjaus!$X$8,'TP2'!$X:$X,$Y$1,'TP2'!$AD:$AD,$X$9,'TP2'!$AF:$AF,Ohjaus!$Y$6,'TP2'!$Q:$Q,Ohjaus!$Y$4,'TP2'!$AG:$AG,Ohjaus!$Y$5,'TP2'!$AL:$AL,$AF$4,'TP2'!$Z:$Z,1,'TP2'!AN:AN,"P")</f>
        <v>0</v>
      </c>
      <c r="K61" s="702">
        <f>SUMIFS('TP2'!$P:$P,'TP2'!$AI:$AI,$Y$2,'TP2'!$R:$R,$X$9,'TP2'!$U:$U,Ohjaus!$T61,'TP2'!$W:$W,Ohjaus!$X$8,'TP2'!$X:$X,$Y$1,'TP2'!$AD:$AD,$X$9,'TP2'!$AF:$AF,Ohjaus!$Y$6,'TP2'!$Q:$Q,Ohjaus!$Y$4,'TP2'!$AG:$AG,Ohjaus!$Y$5,'TP2'!$AL:$AL,$AF$4,'TP2'!$O:$O,$Z$3,'TP2'!AN:AN,"P")</f>
        <v>0</v>
      </c>
      <c r="L61" s="702">
        <f>SUMIFS('TP2'!$P:$P,'TP2'!$AI:$AI,$Y$2,'TP2'!$R:$R,$X$9,'TP2'!$U:$U,Ohjaus!$T61,'TP2'!$W:$W,Ohjaus!$X$8,'TP2'!$X:$X,$Y$1,'TP2'!$AD:$AD,$X$9,'TP2'!$AF:$AF,Ohjaus!$Y$6,'TP2'!$Q:$Q,Ohjaus!$Y$4,'TP2'!$AG:$AG,Ohjaus!$Y$5,'TP2'!$AL:$AL,$AF$4,'TP2'!$K:$K,$Z$6,'TP2'!AN:AN,"P")</f>
        <v>0</v>
      </c>
      <c r="M61" s="702">
        <f>SUMIFS('TP2'!$P:$P,'TP2'!$AI:$AI,$Y$2,'TP2'!$R:$R,$X$9,'TP2'!$U:$U,Ohjaus!$T61,'TP2'!$W:$W,Ohjaus!$X$8,'TP2'!$X:$X,$Y$1,'TP2'!$AD:$AD,$X$9,'TP2'!$AF:$AF,Ohjaus!$Y$6,'TP2'!$Q:$Q,Ohjaus!$Y$4,'TP2'!$AG:$AG,Ohjaus!$Y$5,'TP2'!$AL:$AL,$AF$4,'TP2'!$K:$K,$Z$7,'TP2'!AN:AN,"P")</f>
        <v>0</v>
      </c>
      <c r="N61" s="702">
        <f>SUMIFS('TP2'!$P:$P,'TP2'!$AI:$AI,$Y$2,'TP2'!$R:$R,$X$9,'TP2'!$U:$U,Ohjaus!$T61,'TP2'!$W:$W,Ohjaus!$X$8,'TP2'!$X:$X,$Y$1,'TP2'!$AD:$AD,$X$9,'TP2'!$AF:$AF,Ohjaus!$Y$6,'TP2'!$Q:$Q,Ohjaus!$Y$4,'TP2'!$AG:$AG,Ohjaus!$Y$5,'TP2'!$AL:$AL,$AF$4,'TP2'!$K:$K,$Z$8,'TP2'!AN:AN,"P")</f>
        <v>0</v>
      </c>
      <c r="O61" s="702">
        <f>SUMIFS('TP2'!$P:$P,'TP2'!$AI:$AI,$Y$2,'TP2'!$R:$R,$X$9,'TP2'!$U:$U,Ohjaus!$T61,'TP2'!$W:$W,Ohjaus!$X$8,'TP2'!$X:$X,$Y$1,'TP2'!$AD:$AD,$X$9,'TP2'!$AF:$AF,Ohjaus!$Y$6,'TP2'!$Q:$Q,Ohjaus!$Y$4,'TP2'!$AG:$AG,Ohjaus!$Y$5,'TP2'!$AL:$AL,$AF$4,'TP2'!$K:$K,$Z$5,'TP2'!AN:AN,"P")</f>
        <v>0</v>
      </c>
      <c r="T61" s="706" t="s">
        <v>1153</v>
      </c>
      <c r="U61" s="703" t="s">
        <v>1154</v>
      </c>
      <c r="V61" s="702">
        <f>SUMIFS('TP2'!$P:$P,'TP2'!$AI:$AI,$Y$2,'TP2'!$R:$R,$X$9,'TP2'!$U:$U,Ohjaus!$U61,'TP2'!$W:$W,Ohjaus!$X$8,'TP2'!$X:$X,$Y$1,'TP2'!$AD:$AD,$X$9,'TP2'!$AF:$AF,Ohjaus!$Y$6,'TP2'!$Q:$Q,Ohjaus!$Y$4,'TP2'!$AG:$AG,Ohjaus!$Y$5,'TP2'!AL:AL,$AF$4,'TP2'!AN:AN,"P")</f>
        <v>0</v>
      </c>
      <c r="W61" s="697">
        <f>SUMIFS('TP2'!$P:$P,'TP2'!$AI:$AI,$Y$2,'TP2'!$R:$R,$X$9,'TP2'!$U:$U,Ohjaus!$U61,'TP2'!$W:$W,Ohjaus!$X$8,'TP2'!$X:$X,$Y$1,'TP2'!$AD:$AD,$X$9,'TP2'!$AF:$AF,Ohjaus!$Y$6,'TP2'!$Q:$Q,Ohjaus!$Y$4,'TP2'!$AG:$AG,Ohjaus!$Y$5,'TP2'!$AL:$AL,$AF$4,'TP2'!$V:$V,Ohjaus!$X$7,'TP2'!AN:AN,"P")</f>
        <v>0</v>
      </c>
      <c r="X61" s="697">
        <f>SUMIFS('TP2'!$P:$P,'TP2'!$AI:$AI,$Y$2,'TP2'!$R:$R,$X$9,'TP2'!$U:$U,Ohjaus!$U61,'TP2'!$W:$W,Ohjaus!$X$8,'TP2'!$X:$X,$Y$1,'TP2'!$AD:$AD,$X$9,'TP2'!$AF:$AF,Ohjaus!$Y$6,'TP2'!$Q:$Q,Ohjaus!$Y$4,'TP2'!$AG:$AG,Ohjaus!$Y$5,'TP2'!$AL:$AL,$AF$4,'TP2'!$V:$V,Ohjaus!$Y$7,'TP2'!AN:AN,"P")</f>
        <v>0</v>
      </c>
      <c r="Y61" s="697">
        <f>SUMIFS('TP2'!$P:$P,'TP2'!$AI:$AI,$Y$2,'TP2'!$R:$R,$X$9,'TP2'!$U:$U,Ohjaus!$U61,'TP2'!$W:$W,"vanha",'TP2'!$X:$X,$Y$1,'TP2'!$AD:$AD,$X$9,'TP2'!$AF:$AF,Ohjaus!$Y$6,'TP2'!$Q:$Q,Ohjaus!$Y$4,'TP2'!$AG:$AG,Ohjaus!$Y$5,'TP2'!$AL:$AL,$AF$4,'TP2'!AN:AN,"P")</f>
        <v>0</v>
      </c>
      <c r="AG61" s="702">
        <f>SUMIFS('TP2'!$P:$P,'TP2'!$AI:$AI,$W$7,'TP2'!$R:$R,$X$9,'TP2'!$U:$U,Ohjaus!$AF61,'TP2'!$W:$W,Ohjaus!$X$8,'TP2'!$X:$X,Ohjaus!$X$6,'TP2'!$AD:$AD,$X$9,'TP2'!$AF:$AF,Ohjaus!$Y$6,'TP2'!$Q:$Q,Ohjaus!$Y$4,'TP2'!$AG:$AG,Ohjaus!$Y$5,'TP2'!AL:AL,$AF$4,'TP2'!AN:AN,"P")</f>
        <v>0</v>
      </c>
      <c r="AH61" s="697">
        <f>SUMIFS('TP2'!$P:$P,'TP2'!$AI:$AI,$Y$2,'TP2'!$R:$R,$X$9,'TP2'!$U:$U,Ohjaus!$AF61,'TP2'!$W:$W,Ohjaus!$X$8,'TP2'!$X:$X,$Y$1,'TP2'!$AD:$AD,$X$9,'TP2'!$AF:$AF,Ohjaus!$Y$6,'TP2'!$Q:$Q,Ohjaus!$Y$4,'TP2'!$AG:$AG,Ohjaus!$Y$5,'TP2'!$AL:$AL,$AF$4,'TP2'!$V:$V,Ohjaus!$X$7,'TP2'!AN:AN,"P")</f>
        <v>0</v>
      </c>
      <c r="AI61" s="697">
        <f>SUMIFS('TP2'!$P:$P,'TP2'!$AI:$AI,$Y$2,'TP2'!$R:$R,$X$9,'TP2'!$U:$U,Ohjaus!$AF61,'TP2'!$W:$W,Ohjaus!$X$8,'TP2'!$X:$X,$Y$1,'TP2'!$AD:$AD,$X$9,'TP2'!$AF:$AF,Ohjaus!$Y$6,'TP2'!$Q:$Q,Ohjaus!$Y$4,'TP2'!$AG:$AG,Ohjaus!$Y$5,'TP2'!$AL:$AL,$AF$4,'TP2'!$V:$V,Ohjaus!$Y$7,'TP2'!AN:AN,"P")</f>
        <v>0</v>
      </c>
      <c r="AJ61" s="697">
        <f>SUMIFS('TP2'!$P:$P,'TP2'!$AI:$AI,$Y$2,'TP2'!$R:$R,$X$9,'TP2'!$U:$U,Ohjaus!$AF61,'TP2'!$W:$W,"vanha",'TP2'!$X:$X,$Y$1,'TP2'!$AD:$AD,$X$9,'TP2'!$AF:$AF,Ohjaus!$Y$6,'TP2'!$Q:$Q,Ohjaus!$Y$4,'TP2'!$AG:$AG,Ohjaus!$Y$5,'TP2'!$AL:$AL,$AF$4,'TP2'!AN:AN,"P")</f>
        <v>0</v>
      </c>
      <c r="AO61" s="707"/>
      <c r="AP61" s="708" t="s">
        <v>1155</v>
      </c>
      <c r="AQ61" s="708" t="s">
        <v>1155</v>
      </c>
      <c r="AR61" t="s">
        <v>1153</v>
      </c>
    </row>
    <row r="62" spans="1:48" ht="15" customHeight="1" x14ac:dyDescent="0.25">
      <c r="A62" s="1078"/>
      <c r="B62" s="696" t="s">
        <v>1156</v>
      </c>
      <c r="C62" s="697">
        <f>SUMIFS('TP2'!$P:$P,'TP2'!$AI:$AI,$Y$2,'TP2'!$R:$R,$X$9,'TP2'!$U:$U,Ohjaus!$T62,'TP2'!$W:$W,Ohjaus!$X$8,'TP2'!$X:$X,$Y$1,'TP2'!$AD:$AD,$X$9,'TP2'!$AF:$AF,Ohjaus!$Y$6,'TP2'!$Q:$Q,Ohjaus!$Y$4,'TP2'!$AG:$AG,Ohjaus!$Y$5,'TP2'!AL:AL,$AF$4,'TP2'!AN:AN,"P")+V62+AG62</f>
        <v>0</v>
      </c>
      <c r="D62" s="698">
        <f t="shared" si="5"/>
        <v>0</v>
      </c>
      <c r="E62" s="697">
        <f>SUMIFS('TP2'!$P:$P,'TP2'!$AI:$AI,$Y$2,'TP2'!$R:$R,$X$9,'TP2'!$U:$U,Ohjaus!$T62,'TP2'!$W:$W,Ohjaus!$X$8,'TP2'!$X:$X,$Y$1,'TP2'!$AD:$AD,$X$9,'TP2'!$AF:$AF,Ohjaus!$Y$6,'TP2'!$Q:$Q,Ohjaus!$Y$4,'TP2'!$AG:$AG,Ohjaus!$Y$5,'TP2'!$AL:$AL,$AF$4,'TP2'!$V:$V,Ohjaus!$X$7,'TP2'!AN:AN,"P")+W62+AH62</f>
        <v>0</v>
      </c>
      <c r="F62" s="697">
        <f>SUMIFS('TP2'!$P:$P,'TP2'!$AI:$AI,$Y$2,'TP2'!$R:$R,$X$9,'TP2'!$U:$U,Ohjaus!$T62,'TP2'!$W:$W,Ohjaus!$X$8,'TP2'!$X:$X,$Y$1,'TP2'!$AD:$AD,$X$9,'TP2'!$AF:$AF,Ohjaus!$Y$6,'TP2'!$Q:$Q,Ohjaus!$Y$4,'TP2'!$AG:$AG,Ohjaus!$Y$5,'TP2'!$AL:$AL,$AF$4,'TP2'!$V:$V,Ohjaus!$Y$7,'TP2'!AN:AN,"P")+X62+AI62</f>
        <v>0</v>
      </c>
      <c r="G62" s="697">
        <f>SUMIFS('TP2'!$P:$P,'TP2'!$AI:$AI,$Y$2,'TP2'!$R:$R,$X$9,'TP2'!$U:$U,Ohjaus!$T62,'TP2'!$W:$W,"vanha",'TP2'!$X:$X,$Y$1,'TP2'!$AD:$AD,$X$9,'TP2'!$AF:$AF,Ohjaus!$Y$6,'TP2'!$Q:$Q,Ohjaus!$Y$4,'TP2'!$AG:$AG,Ohjaus!$Y$5,'TP2'!$AL:$AL,$AF$4,'TP2'!AN:AN,"P")+Z62+AK62</f>
        <v>0</v>
      </c>
      <c r="H62" s="699"/>
      <c r="I62" s="700"/>
      <c r="J62" s="701">
        <f>SUMIFS('TP2'!$P:$P,'TP2'!$AI:$AI,$Y$2,'TP2'!$R:$R,$X$9,'TP2'!$U:$U,Ohjaus!$T62,'TP2'!$W:$W,Ohjaus!$X$8,'TP2'!$X:$X,$Y$1,'TP2'!$AD:$AD,$X$9,'TP2'!$AF:$AF,Ohjaus!$Y$6,'TP2'!$Q:$Q,Ohjaus!$Y$4,'TP2'!$AG:$AG,Ohjaus!$Y$5,'TP2'!$AL:$AL,$AF$4,'TP2'!$Z:$Z,1,'TP2'!AN:AN,"P")</f>
        <v>0</v>
      </c>
      <c r="K62" s="702">
        <f>SUMIFS('TP2'!$P:$P,'TP2'!$AI:$AI,$Y$2,'TP2'!$R:$R,$X$9,'TP2'!$U:$U,Ohjaus!$T62,'TP2'!$W:$W,Ohjaus!$X$8,'TP2'!$X:$X,$Y$1,'TP2'!$AD:$AD,$X$9,'TP2'!$AF:$AF,Ohjaus!$Y$6,'TP2'!$Q:$Q,Ohjaus!$Y$4,'TP2'!$AG:$AG,Ohjaus!$Y$5,'TP2'!$AL:$AL,$AF$4,'TP2'!$O:$O,$Z$3,'TP2'!AN:AN,"P")</f>
        <v>0</v>
      </c>
      <c r="L62" s="702">
        <f>SUMIFS('TP2'!$P:$P,'TP2'!$AI:$AI,$Y$2,'TP2'!$R:$R,$X$9,'TP2'!$U:$U,Ohjaus!$T62,'TP2'!$W:$W,Ohjaus!$X$8,'TP2'!$X:$X,$Y$1,'TP2'!$AD:$AD,$X$9,'TP2'!$AF:$AF,Ohjaus!$Y$6,'TP2'!$Q:$Q,Ohjaus!$Y$4,'TP2'!$AG:$AG,Ohjaus!$Y$5,'TP2'!$AL:$AL,$AF$4,'TP2'!$K:$K,$Z$6,'TP2'!AN:AN,"P")</f>
        <v>0</v>
      </c>
      <c r="M62" s="702">
        <f>SUMIFS('TP2'!$P:$P,'TP2'!$AI:$AI,$Y$2,'TP2'!$R:$R,$X$9,'TP2'!$U:$U,Ohjaus!$T62,'TP2'!$W:$W,Ohjaus!$X$8,'TP2'!$X:$X,$Y$1,'TP2'!$AD:$AD,$X$9,'TP2'!$AF:$AF,Ohjaus!$Y$6,'TP2'!$Q:$Q,Ohjaus!$Y$4,'TP2'!$AG:$AG,Ohjaus!$Y$5,'TP2'!$AL:$AL,$AF$4,'TP2'!$K:$K,$Z$7,'TP2'!AN:AN,"P")</f>
        <v>0</v>
      </c>
      <c r="N62" s="702">
        <f>SUMIFS('TP2'!$P:$P,'TP2'!$AI:$AI,$Y$2,'TP2'!$R:$R,$X$9,'TP2'!$U:$U,Ohjaus!$T62,'TP2'!$W:$W,Ohjaus!$X$8,'TP2'!$X:$X,$Y$1,'TP2'!$AD:$AD,$X$9,'TP2'!$AF:$AF,Ohjaus!$Y$6,'TP2'!$Q:$Q,Ohjaus!$Y$4,'TP2'!$AG:$AG,Ohjaus!$Y$5,'TP2'!$AL:$AL,$AF$4,'TP2'!$K:$K,$Z$8,'TP2'!AN:AN,"P")</f>
        <v>0</v>
      </c>
      <c r="O62" s="702">
        <f>SUMIFS('TP2'!$P:$P,'TP2'!$AI:$AI,$Y$2,'TP2'!$R:$R,$X$9,'TP2'!$U:$U,Ohjaus!$T62,'TP2'!$W:$W,Ohjaus!$X$8,'TP2'!$X:$X,$Y$1,'TP2'!$AD:$AD,$X$9,'TP2'!$AF:$AF,Ohjaus!$Y$6,'TP2'!$Q:$Q,Ohjaus!$Y$4,'TP2'!$AG:$AG,Ohjaus!$Y$5,'TP2'!$AL:$AL,$AF$4,'TP2'!$K:$K,$Z$5,'TP2'!AN:AN,"P")</f>
        <v>0</v>
      </c>
      <c r="T62" s="706" t="s">
        <v>1157</v>
      </c>
      <c r="U62" s="703" t="s">
        <v>1158</v>
      </c>
      <c r="V62" s="702">
        <f>SUMIFS('TP2'!$P:$P,'TP2'!$AI:$AI,$Y$2,'TP2'!$R:$R,$X$9,'TP2'!$U:$U,Ohjaus!$U62,'TP2'!$W:$W,Ohjaus!$X$8,'TP2'!$X:$X,$Y$1,'TP2'!$AD:$AD,$X$9,'TP2'!$AF:$AF,Ohjaus!$Y$6,'TP2'!$Q:$Q,Ohjaus!$Y$4,'TP2'!$AG:$AG,Ohjaus!$Y$5,'TP2'!AL:AL,$AF$4,'TP2'!AN:AN,"P")</f>
        <v>0</v>
      </c>
      <c r="W62" s="697">
        <f>SUMIFS('TP2'!$P:$P,'TP2'!$AI:$AI,$Y$2,'TP2'!$R:$R,$X$9,'TP2'!$U:$U,Ohjaus!$U62,'TP2'!$W:$W,Ohjaus!$X$8,'TP2'!$X:$X,$Y$1,'TP2'!$AD:$AD,$X$9,'TP2'!$AF:$AF,Ohjaus!$Y$6,'TP2'!$Q:$Q,Ohjaus!$Y$4,'TP2'!$AG:$AG,Ohjaus!$Y$5,'TP2'!$AL:$AL,$AF$4,'TP2'!$V:$V,Ohjaus!$X$7,'TP2'!AN:AN,"P")</f>
        <v>0</v>
      </c>
      <c r="X62" s="697">
        <f>SUMIFS('TP2'!$P:$P,'TP2'!$AI:$AI,$Y$2,'TP2'!$R:$R,$X$9,'TP2'!$U:$U,Ohjaus!$U62,'TP2'!$W:$W,Ohjaus!$X$8,'TP2'!$X:$X,$Y$1,'TP2'!$AD:$AD,$X$9,'TP2'!$AF:$AF,Ohjaus!$Y$6,'TP2'!$Q:$Q,Ohjaus!$Y$4,'TP2'!$AG:$AG,Ohjaus!$Y$5,'TP2'!$AL:$AL,$AF$4,'TP2'!$V:$V,Ohjaus!$Y$7,'TP2'!AN:AN,"P")</f>
        <v>0</v>
      </c>
      <c r="Y62" s="697">
        <f>SUMIFS('TP2'!$P:$P,'TP2'!$AI:$AI,$Y$2,'TP2'!$R:$R,$X$9,'TP2'!$U:$U,Ohjaus!$U62,'TP2'!$W:$W,"vanha",'TP2'!$X:$X,$Y$1,'TP2'!$AD:$AD,$X$9,'TP2'!$AF:$AF,Ohjaus!$Y$6,'TP2'!$Q:$Q,Ohjaus!$Y$4,'TP2'!$AG:$AG,Ohjaus!$Y$5,'TP2'!$AL:$AL,$AF$4,'TP2'!AN:AN,"P")</f>
        <v>0</v>
      </c>
      <c r="AG62" s="702">
        <f>SUMIFS('TP2'!$P:$P,'TP2'!$AI:$AI,$W$7,'TP2'!$R:$R,$X$9,'TP2'!$U:$U,Ohjaus!$AF62,'TP2'!$W:$W,Ohjaus!$X$8,'TP2'!$X:$X,Ohjaus!$X$6,'TP2'!$AD:$AD,$X$9,'TP2'!$AF:$AF,Ohjaus!$Y$6,'TP2'!$Q:$Q,Ohjaus!$Y$4,'TP2'!$AG:$AG,Ohjaus!$Y$5,'TP2'!AL:AL,$AF$4,'TP2'!AN:AN,"P")</f>
        <v>0</v>
      </c>
      <c r="AH62" s="697">
        <f>SUMIFS('TP2'!$P:$P,'TP2'!$AI:$AI,$Y$2,'TP2'!$R:$R,$X$9,'TP2'!$U:$U,Ohjaus!$AF62,'TP2'!$W:$W,Ohjaus!$X$8,'TP2'!$X:$X,$Y$1,'TP2'!$AD:$AD,$X$9,'TP2'!$AF:$AF,Ohjaus!$Y$6,'TP2'!$Q:$Q,Ohjaus!$Y$4,'TP2'!$AG:$AG,Ohjaus!$Y$5,'TP2'!$AL:$AL,$AF$4,'TP2'!$V:$V,Ohjaus!$X$7,'TP2'!AN:AN,"P")</f>
        <v>0</v>
      </c>
      <c r="AI62" s="697">
        <f>SUMIFS('TP2'!$P:$P,'TP2'!$AI:$AI,$Y$2,'TP2'!$R:$R,$X$9,'TP2'!$U:$U,Ohjaus!$AF62,'TP2'!$W:$W,Ohjaus!$X$8,'TP2'!$X:$X,$Y$1,'TP2'!$AD:$AD,$X$9,'TP2'!$AF:$AF,Ohjaus!$Y$6,'TP2'!$Q:$Q,Ohjaus!$Y$4,'TP2'!$AG:$AG,Ohjaus!$Y$5,'TP2'!$AL:$AL,$AF$4,'TP2'!$V:$V,Ohjaus!$Y$7,'TP2'!AN:AN,"P")</f>
        <v>0</v>
      </c>
      <c r="AJ62" s="697">
        <f>SUMIFS('TP2'!$P:$P,'TP2'!$AI:$AI,$Y$2,'TP2'!$R:$R,$X$9,'TP2'!$U:$U,Ohjaus!$AF62,'TP2'!$W:$W,"vanha",'TP2'!$X:$X,$Y$1,'TP2'!$AD:$AD,$X$9,'TP2'!$AF:$AF,Ohjaus!$Y$6,'TP2'!$Q:$Q,Ohjaus!$Y$4,'TP2'!$AG:$AG,Ohjaus!$Y$5,'TP2'!$AL:$AL,$AF$4,'TP2'!AN:AN,"P")</f>
        <v>0</v>
      </c>
      <c r="AO62" s="707"/>
      <c r="AP62" s="708" t="s">
        <v>1159</v>
      </c>
      <c r="AQ62" s="708" t="s">
        <v>1159</v>
      </c>
      <c r="AR62" t="s">
        <v>1157</v>
      </c>
    </row>
    <row r="63" spans="1:48" x14ac:dyDescent="0.25">
      <c r="A63" s="1078"/>
      <c r="B63" s="696" t="s">
        <v>1160</v>
      </c>
      <c r="C63" s="697">
        <f>SUMIFS('TP2'!$P:$P,'TP2'!$AI:$AI,$Y$2,'TP2'!$R:$R,$X$9,'TP2'!$U:$U,Ohjaus!$T63,'TP2'!$W:$W,Ohjaus!$X$8,'TP2'!$X:$X,$Y$1,'TP2'!$AD:$AD,$X$9,'TP2'!$AF:$AF,Ohjaus!$Y$6,'TP2'!$Q:$Q,Ohjaus!$Y$4,'TP2'!$AG:$AG,Ohjaus!$Y$5,'TP2'!AL:AL,$AF$4,'TP2'!AN:AN,"P")+V63+AG63</f>
        <v>0</v>
      </c>
      <c r="D63" s="698">
        <f t="shared" si="5"/>
        <v>0</v>
      </c>
      <c r="E63" s="697">
        <f>SUMIFS('TP2'!$P:$P,'TP2'!$AI:$AI,$Y$2,'TP2'!$R:$R,$X$9,'TP2'!$U:$U,Ohjaus!$T63,'TP2'!$W:$W,Ohjaus!$X$8,'TP2'!$X:$X,$Y$1,'TP2'!$AD:$AD,$X$9,'TP2'!$AF:$AF,Ohjaus!$Y$6,'TP2'!$Q:$Q,Ohjaus!$Y$4,'TP2'!$AG:$AG,Ohjaus!$Y$5,'TP2'!$AL:$AL,$AF$4,'TP2'!$V:$V,Ohjaus!$X$7,'TP2'!AN:AN,"P")+W63+AH63</f>
        <v>0</v>
      </c>
      <c r="F63" s="697">
        <f>SUMIFS('TP2'!$P:$P,'TP2'!$AI:$AI,$Y$2,'TP2'!$R:$R,$X$9,'TP2'!$U:$U,Ohjaus!$T63,'TP2'!$W:$W,Ohjaus!$X$8,'TP2'!$X:$X,$Y$1,'TP2'!$AD:$AD,$X$9,'TP2'!$AF:$AF,Ohjaus!$Y$6,'TP2'!$Q:$Q,Ohjaus!$Y$4,'TP2'!$AG:$AG,Ohjaus!$Y$5,'TP2'!$AL:$AL,$AF$4,'TP2'!$V:$V,Ohjaus!$Y$7,'TP2'!AN:AN,"P")+X63+AI63</f>
        <v>0</v>
      </c>
      <c r="G63" s="697">
        <f>SUMIFS('TP2'!$P:$P,'TP2'!$AI:$AI,$Y$2,'TP2'!$R:$R,$X$9,'TP2'!$U:$U,Ohjaus!$T63,'TP2'!$W:$W,"vanha",'TP2'!$X:$X,$Y$1,'TP2'!$AD:$AD,$X$9,'TP2'!$AF:$AF,Ohjaus!$Y$6,'TP2'!$Q:$Q,Ohjaus!$Y$4,'TP2'!$AG:$AG,Ohjaus!$Y$5,'TP2'!$AL:$AL,$AF$4,'TP2'!AN:AN,"P")+Z63+AK63</f>
        <v>0</v>
      </c>
      <c r="H63" s="699"/>
      <c r="I63" s="700"/>
      <c r="J63" s="701">
        <f>SUMIFS('TP2'!$P:$P,'TP2'!$AI:$AI,$Y$2,'TP2'!$R:$R,$X$9,'TP2'!$U:$U,Ohjaus!$T63,'TP2'!$W:$W,Ohjaus!$X$8,'TP2'!$X:$X,$Y$1,'TP2'!$AD:$AD,$X$9,'TP2'!$AF:$AF,Ohjaus!$Y$6,'TP2'!$Q:$Q,Ohjaus!$Y$4,'TP2'!$AG:$AG,Ohjaus!$Y$5,'TP2'!$AL:$AL,$AF$4,'TP2'!$Z:$Z,1,'TP2'!AN:AN,"P")</f>
        <v>0</v>
      </c>
      <c r="K63" s="702">
        <f>SUMIFS('TP2'!$P:$P,'TP2'!$AI:$AI,$Y$2,'TP2'!$R:$R,$X$9,'TP2'!$U:$U,Ohjaus!$T63,'TP2'!$W:$W,Ohjaus!$X$8,'TP2'!$X:$X,$Y$1,'TP2'!$AD:$AD,$X$9,'TP2'!$AF:$AF,Ohjaus!$Y$6,'TP2'!$Q:$Q,Ohjaus!$Y$4,'TP2'!$AG:$AG,Ohjaus!$Y$5,'TP2'!$AL:$AL,$AF$4,'TP2'!$O:$O,$Z$3,'TP2'!AN:AN,"P")</f>
        <v>0</v>
      </c>
      <c r="L63" s="702">
        <f>SUMIFS('TP2'!$P:$P,'TP2'!$AI:$AI,$Y$2,'TP2'!$R:$R,$X$9,'TP2'!$U:$U,Ohjaus!$T63,'TP2'!$W:$W,Ohjaus!$X$8,'TP2'!$X:$X,$Y$1,'TP2'!$AD:$AD,$X$9,'TP2'!$AF:$AF,Ohjaus!$Y$6,'TP2'!$Q:$Q,Ohjaus!$Y$4,'TP2'!$AG:$AG,Ohjaus!$Y$5,'TP2'!$AL:$AL,$AF$4,'TP2'!$K:$K,$Z$6,'TP2'!AN:AN,"P")</f>
        <v>0</v>
      </c>
      <c r="M63" s="702">
        <f>SUMIFS('TP2'!$P:$P,'TP2'!$AI:$AI,$Y$2,'TP2'!$R:$R,$X$9,'TP2'!$U:$U,Ohjaus!$T63,'TP2'!$W:$W,Ohjaus!$X$8,'TP2'!$X:$X,$Y$1,'TP2'!$AD:$AD,$X$9,'TP2'!$AF:$AF,Ohjaus!$Y$6,'TP2'!$Q:$Q,Ohjaus!$Y$4,'TP2'!$AG:$AG,Ohjaus!$Y$5,'TP2'!$AL:$AL,$AF$4,'TP2'!$K:$K,$Z$7,'TP2'!AN:AN,"P")</f>
        <v>0</v>
      </c>
      <c r="N63" s="702">
        <f>SUMIFS('TP2'!$P:$P,'TP2'!$AI:$AI,$Y$2,'TP2'!$R:$R,$X$9,'TP2'!$U:$U,Ohjaus!$T63,'TP2'!$W:$W,Ohjaus!$X$8,'TP2'!$X:$X,$Y$1,'TP2'!$AD:$AD,$X$9,'TP2'!$AF:$AF,Ohjaus!$Y$6,'TP2'!$Q:$Q,Ohjaus!$Y$4,'TP2'!$AG:$AG,Ohjaus!$Y$5,'TP2'!$AL:$AL,$AF$4,'TP2'!$K:$K,$Z$8,'TP2'!AN:AN,"P")</f>
        <v>0</v>
      </c>
      <c r="O63" s="702">
        <f>SUMIFS('TP2'!$P:$P,'TP2'!$AI:$AI,$Y$2,'TP2'!$R:$R,$X$9,'TP2'!$U:$U,Ohjaus!$T63,'TP2'!$W:$W,Ohjaus!$X$8,'TP2'!$X:$X,$Y$1,'TP2'!$AD:$AD,$X$9,'TP2'!$AF:$AF,Ohjaus!$Y$6,'TP2'!$Q:$Q,Ohjaus!$Y$4,'TP2'!$AG:$AG,Ohjaus!$Y$5,'TP2'!$AL:$AL,$AF$4,'TP2'!$K:$K,$Z$5,'TP2'!AN:AN,"P")</f>
        <v>0</v>
      </c>
      <c r="T63" s="693" t="s">
        <v>1161</v>
      </c>
      <c r="U63"/>
      <c r="V63" s="702">
        <f>SUMIFS('TP2'!$P:$P,'TP2'!$AI:$AI,$Y$2,'TP2'!$R:$R,$X$9,'TP2'!$U:$U,Ohjaus!$U63,'TP2'!$W:$W,Ohjaus!$X$8,'TP2'!$X:$X,$Y$1,'TP2'!$AD:$AD,$X$9,'TP2'!$AF:$AF,Ohjaus!$Y$6,'TP2'!$Q:$Q,Ohjaus!$Y$4,'TP2'!$AG:$AG,Ohjaus!$Y$5,'TP2'!AL:AL,$AF$4,'TP2'!AN:AN,"P")</f>
        <v>0</v>
      </c>
      <c r="W63" s="697">
        <f>SUMIFS('TP2'!$P:$P,'TP2'!$AI:$AI,$Y$2,'TP2'!$R:$R,$X$9,'TP2'!$U:$U,Ohjaus!$U63,'TP2'!$W:$W,Ohjaus!$X$8,'TP2'!$X:$X,$Y$1,'TP2'!$AD:$AD,$X$9,'TP2'!$AF:$AF,Ohjaus!$Y$6,'TP2'!$Q:$Q,Ohjaus!$Y$4,'TP2'!$AG:$AG,Ohjaus!$Y$5,'TP2'!$AL:$AL,$AF$4,'TP2'!$V:$V,Ohjaus!$X$7,'TP2'!AN:AN,"P")</f>
        <v>0</v>
      </c>
      <c r="X63" s="697">
        <f>SUMIFS('TP2'!$P:$P,'TP2'!$AI:$AI,$Y$2,'TP2'!$R:$R,$X$9,'TP2'!$U:$U,Ohjaus!$U63,'TP2'!$W:$W,Ohjaus!$X$8,'TP2'!$X:$X,$Y$1,'TP2'!$AD:$AD,$X$9,'TP2'!$AF:$AF,Ohjaus!$Y$6,'TP2'!$Q:$Q,Ohjaus!$Y$4,'TP2'!$AG:$AG,Ohjaus!$Y$5,'TP2'!$AL:$AL,$AF$4,'TP2'!$V:$V,Ohjaus!$Y$7,'TP2'!AN:AN,"P")</f>
        <v>0</v>
      </c>
      <c r="Y63" s="697">
        <f>SUMIFS('TP2'!$P:$P,'TP2'!$AI:$AI,$Y$2,'TP2'!$R:$R,$X$9,'TP2'!$U:$U,Ohjaus!$U63,'TP2'!$W:$W,"vanha",'TP2'!$X:$X,$Y$1,'TP2'!$AD:$AD,$X$9,'TP2'!$AF:$AF,Ohjaus!$Y$6,'TP2'!$Q:$Q,Ohjaus!$Y$4,'TP2'!$AG:$AG,Ohjaus!$Y$5,'TP2'!$AL:$AL,$AF$4,'TP2'!AN:AN,"P")</f>
        <v>0</v>
      </c>
      <c r="AG63" s="702">
        <f>SUMIFS('TP2'!$P:$P,'TP2'!$AI:$AI,$W$7,'TP2'!$R:$R,$X$9,'TP2'!$U:$U,Ohjaus!$AF63,'TP2'!$W:$W,Ohjaus!$X$8,'TP2'!$X:$X,Ohjaus!$X$6,'TP2'!$AD:$AD,$X$9,'TP2'!$AF:$AF,Ohjaus!$Y$6,'TP2'!$Q:$Q,Ohjaus!$Y$4,'TP2'!$AG:$AG,Ohjaus!$Y$5,'TP2'!AL:AL,$AF$4,'TP2'!AN:AN,"P")</f>
        <v>0</v>
      </c>
      <c r="AH63" s="697">
        <f>SUMIFS('TP2'!$P:$P,'TP2'!$AI:$AI,$Y$2,'TP2'!$R:$R,$X$9,'TP2'!$U:$U,Ohjaus!$AF63,'TP2'!$W:$W,Ohjaus!$X$8,'TP2'!$X:$X,$Y$1,'TP2'!$AD:$AD,$X$9,'TP2'!$AF:$AF,Ohjaus!$Y$6,'TP2'!$Q:$Q,Ohjaus!$Y$4,'TP2'!$AG:$AG,Ohjaus!$Y$5,'TP2'!$AL:$AL,$AF$4,'TP2'!$V:$V,Ohjaus!$X$7,'TP2'!AN:AN,"P")</f>
        <v>0</v>
      </c>
      <c r="AI63" s="697">
        <f>SUMIFS('TP2'!$P:$P,'TP2'!$AI:$AI,$Y$2,'TP2'!$R:$R,$X$9,'TP2'!$U:$U,Ohjaus!$AF63,'TP2'!$W:$W,Ohjaus!$X$8,'TP2'!$X:$X,$Y$1,'TP2'!$AD:$AD,$X$9,'TP2'!$AF:$AF,Ohjaus!$Y$6,'TP2'!$Q:$Q,Ohjaus!$Y$4,'TP2'!$AG:$AG,Ohjaus!$Y$5,'TP2'!$AL:$AL,$AF$4,'TP2'!$V:$V,Ohjaus!$Y$7,'TP2'!AN:AN,"P")</f>
        <v>0</v>
      </c>
      <c r="AJ63" s="697">
        <f>SUMIFS('TP2'!$P:$P,'TP2'!$AI:$AI,$Y$2,'TP2'!$R:$R,$X$9,'TP2'!$U:$U,Ohjaus!$AF63,'TP2'!$W:$W,"vanha",'TP2'!$X:$X,$Y$1,'TP2'!$AD:$AD,$X$9,'TP2'!$AF:$AF,Ohjaus!$Y$6,'TP2'!$Q:$Q,Ohjaus!$Y$4,'TP2'!$AG:$AG,Ohjaus!$Y$5,'TP2'!$AL:$AL,$AF$4,'TP2'!AN:AN,"P")</f>
        <v>0</v>
      </c>
      <c r="AO63" s="707"/>
      <c r="AP63" s="708" t="s">
        <v>1162</v>
      </c>
      <c r="AQ63" s="708" t="s">
        <v>1162</v>
      </c>
      <c r="AR63" t="s">
        <v>1161</v>
      </c>
    </row>
    <row r="64" spans="1:48" x14ac:dyDescent="0.25">
      <c r="A64" s="1078"/>
      <c r="B64" s="696" t="s">
        <v>1163</v>
      </c>
      <c r="C64" s="697">
        <f>SUMIFS('TP2'!$P:$P,'TP2'!$AI:$AI,$Y$2,'TP2'!$R:$R,$X$9,'TP2'!$U:$U,Ohjaus!$T64,'TP2'!$W:$W,Ohjaus!$X$8,'TP2'!$X:$X,$Y$1,'TP2'!$AD:$AD,$X$9,'TP2'!$AF:$AF,Ohjaus!$Y$6,'TP2'!$Q:$Q,Ohjaus!$Y$4,'TP2'!$AG:$AG,Ohjaus!$Y$5,'TP2'!AL:AL,$AF$4,'TP2'!AN:AN,"P")+V64+AG64</f>
        <v>0</v>
      </c>
      <c r="D64" s="698">
        <f t="shared" si="5"/>
        <v>0</v>
      </c>
      <c r="E64" s="697">
        <f>SUMIFS('TP2'!$P:$P,'TP2'!$AI:$AI,$Y$2,'TP2'!$R:$R,$X$9,'TP2'!$U:$U,Ohjaus!$T64,'TP2'!$W:$W,Ohjaus!$X$8,'TP2'!$X:$X,$Y$1,'TP2'!$AD:$AD,$X$9,'TP2'!$AF:$AF,Ohjaus!$Y$6,'TP2'!$Q:$Q,Ohjaus!$Y$4,'TP2'!$AG:$AG,Ohjaus!$Y$5,'TP2'!$AL:$AL,$AF$4,'TP2'!$V:$V,Ohjaus!$X$7,'TP2'!AN:AN,"P")+W64+AH64</f>
        <v>0</v>
      </c>
      <c r="F64" s="697">
        <f>SUMIFS('TP2'!$P:$P,'TP2'!$AI:$AI,$Y$2,'TP2'!$R:$R,$X$9,'TP2'!$U:$U,Ohjaus!$T64,'TP2'!$W:$W,Ohjaus!$X$8,'TP2'!$X:$X,$Y$1,'TP2'!$AD:$AD,$X$9,'TP2'!$AF:$AF,Ohjaus!$Y$6,'TP2'!$Q:$Q,Ohjaus!$Y$4,'TP2'!$AG:$AG,Ohjaus!$Y$5,'TP2'!$AL:$AL,$AF$4,'TP2'!$V:$V,Ohjaus!$Y$7,'TP2'!AN:AN,"P")+X64+AI64</f>
        <v>0</v>
      </c>
      <c r="G64" s="697">
        <f>SUMIFS('TP2'!$P:$P,'TP2'!$AI:$AI,$Y$2,'TP2'!$R:$R,$X$9,'TP2'!$U:$U,Ohjaus!$T64,'TP2'!$W:$W,"vanha",'TP2'!$X:$X,$Y$1,'TP2'!$AD:$AD,$X$9,'TP2'!$AF:$AF,Ohjaus!$Y$6,'TP2'!$Q:$Q,Ohjaus!$Y$4,'TP2'!$AG:$AG,Ohjaus!$Y$5,'TP2'!$AL:$AL,$AF$4,'TP2'!AN:AN,"P")+Z64+AK64</f>
        <v>0</v>
      </c>
      <c r="H64" s="699"/>
      <c r="I64" s="700"/>
      <c r="J64" s="701">
        <f>SUMIFS('TP2'!$P:$P,'TP2'!$AI:$AI,$Y$2,'TP2'!$R:$R,$X$9,'TP2'!$U:$U,Ohjaus!$T64,'TP2'!$W:$W,Ohjaus!$X$8,'TP2'!$X:$X,$Y$1,'TP2'!$AD:$AD,$X$9,'TP2'!$AF:$AF,Ohjaus!$Y$6,'TP2'!$Q:$Q,Ohjaus!$Y$4,'TP2'!$AG:$AG,Ohjaus!$Y$5,'TP2'!$AL:$AL,$AF$4,'TP2'!$Z:$Z,1,'TP2'!AN:AN,"P")</f>
        <v>0</v>
      </c>
      <c r="K64" s="702">
        <f>SUMIFS('TP2'!$P:$P,'TP2'!$AI:$AI,$Y$2,'TP2'!$R:$R,$X$9,'TP2'!$U:$U,Ohjaus!$T64,'TP2'!$W:$W,Ohjaus!$X$8,'TP2'!$X:$X,$Y$1,'TP2'!$AD:$AD,$X$9,'TP2'!$AF:$AF,Ohjaus!$Y$6,'TP2'!$Q:$Q,Ohjaus!$Y$4,'TP2'!$AG:$AG,Ohjaus!$Y$5,'TP2'!$AL:$AL,$AF$4,'TP2'!$O:$O,$Z$3,'TP2'!AN:AN,"P")</f>
        <v>0</v>
      </c>
      <c r="L64" s="702">
        <f>SUMIFS('TP2'!$P:$P,'TP2'!$AI:$AI,$Y$2,'TP2'!$R:$R,$X$9,'TP2'!$U:$U,Ohjaus!$T64,'TP2'!$W:$W,Ohjaus!$X$8,'TP2'!$X:$X,$Y$1,'TP2'!$AD:$AD,$X$9,'TP2'!$AF:$AF,Ohjaus!$Y$6,'TP2'!$Q:$Q,Ohjaus!$Y$4,'TP2'!$AG:$AG,Ohjaus!$Y$5,'TP2'!$AL:$AL,$AF$4,'TP2'!$K:$K,$Z$6,'TP2'!AN:AN,"P")</f>
        <v>0</v>
      </c>
      <c r="M64" s="702">
        <f>SUMIFS('TP2'!$P:$P,'TP2'!$AI:$AI,$Y$2,'TP2'!$R:$R,$X$9,'TP2'!$U:$U,Ohjaus!$T64,'TP2'!$W:$W,Ohjaus!$X$8,'TP2'!$X:$X,$Y$1,'TP2'!$AD:$AD,$X$9,'TP2'!$AF:$AF,Ohjaus!$Y$6,'TP2'!$Q:$Q,Ohjaus!$Y$4,'TP2'!$AG:$AG,Ohjaus!$Y$5,'TP2'!$AL:$AL,$AF$4,'TP2'!$K:$K,$Z$7,'TP2'!AN:AN,"P")</f>
        <v>0</v>
      </c>
      <c r="N64" s="702">
        <f>SUMIFS('TP2'!$P:$P,'TP2'!$AI:$AI,$Y$2,'TP2'!$R:$R,$X$9,'TP2'!$U:$U,Ohjaus!$T64,'TP2'!$W:$W,Ohjaus!$X$8,'TP2'!$X:$X,$Y$1,'TP2'!$AD:$AD,$X$9,'TP2'!$AF:$AF,Ohjaus!$Y$6,'TP2'!$Q:$Q,Ohjaus!$Y$4,'TP2'!$AG:$AG,Ohjaus!$Y$5,'TP2'!$AL:$AL,$AF$4,'TP2'!$K:$K,$Z$8,'TP2'!AN:AN,"P")</f>
        <v>0</v>
      </c>
      <c r="O64" s="702">
        <f>SUMIFS('TP2'!$P:$P,'TP2'!$AI:$AI,$Y$2,'TP2'!$R:$R,$X$9,'TP2'!$U:$U,Ohjaus!$T64,'TP2'!$W:$W,Ohjaus!$X$8,'TP2'!$X:$X,$Y$1,'TP2'!$AD:$AD,$X$9,'TP2'!$AF:$AF,Ohjaus!$Y$6,'TP2'!$Q:$Q,Ohjaus!$Y$4,'TP2'!$AG:$AG,Ohjaus!$Y$5,'TP2'!$AL:$AL,$AF$4,'TP2'!$K:$K,$Z$5,'TP2'!AN:AN,"P")</f>
        <v>0</v>
      </c>
      <c r="T64" t="s">
        <v>1164</v>
      </c>
      <c r="U64" s="709" t="s">
        <v>1165</v>
      </c>
      <c r="V64" s="702">
        <f>SUMIFS('TP2'!$P:$P,'TP2'!$AI:$AI,$Y$2,'TP2'!$R:$R,$X$9,'TP2'!$U:$U,Ohjaus!$U64,'TP2'!$W:$W,Ohjaus!$X$8,'TP2'!$X:$X,$Y$1,'TP2'!$AD:$AD,$X$9,'TP2'!$AF:$AF,Ohjaus!$Y$6,'TP2'!$Q:$Q,Ohjaus!$Y$4,'TP2'!$AG:$AG,Ohjaus!$Y$5,'TP2'!AL:AL,$AF$4,'TP2'!AN:AN,"P")</f>
        <v>0</v>
      </c>
      <c r="W64" s="697">
        <f>SUMIFS('TP2'!$P:$P,'TP2'!$AI:$AI,$Y$2,'TP2'!$R:$R,$X$9,'TP2'!$U:$U,Ohjaus!$U64,'TP2'!$W:$W,Ohjaus!$X$8,'TP2'!$X:$X,$Y$1,'TP2'!$AD:$AD,$X$9,'TP2'!$AF:$AF,Ohjaus!$Y$6,'TP2'!$Q:$Q,Ohjaus!$Y$4,'TP2'!$AG:$AG,Ohjaus!$Y$5,'TP2'!$AL:$AL,$AF$4,'TP2'!$V:$V,Ohjaus!$X$7,'TP2'!AN:AN,"P")</f>
        <v>0</v>
      </c>
      <c r="X64" s="697">
        <f>SUMIFS('TP2'!$P:$P,'TP2'!$AI:$AI,$Y$2,'TP2'!$R:$R,$X$9,'TP2'!$U:$U,Ohjaus!$U64,'TP2'!$W:$W,Ohjaus!$X$8,'TP2'!$X:$X,$Y$1,'TP2'!$AD:$AD,$X$9,'TP2'!$AF:$AF,Ohjaus!$Y$6,'TP2'!$Q:$Q,Ohjaus!$Y$4,'TP2'!$AG:$AG,Ohjaus!$Y$5,'TP2'!$AL:$AL,$AF$4,'TP2'!$V:$V,Ohjaus!$Y$7,'TP2'!AN:AN,"P")</f>
        <v>0</v>
      </c>
      <c r="Y64" s="697">
        <f>SUMIFS('TP2'!$P:$P,'TP2'!$AI:$AI,$Y$2,'TP2'!$R:$R,$X$9,'TP2'!$U:$U,Ohjaus!$U64,'TP2'!$W:$W,"vanha",'TP2'!$X:$X,$Y$1,'TP2'!$AD:$AD,$X$9,'TP2'!$AF:$AF,Ohjaus!$Y$6,'TP2'!$Q:$Q,Ohjaus!$Y$4,'TP2'!$AG:$AG,Ohjaus!$Y$5,'TP2'!$AL:$AL,$AF$4,'TP2'!AN:AN,"P")</f>
        <v>0</v>
      </c>
      <c r="AG64" s="702">
        <f>SUMIFS('TP2'!$P:$P,'TP2'!$AI:$AI,$W$7,'TP2'!$R:$R,$X$9,'TP2'!$U:$U,Ohjaus!$AF64,'TP2'!$W:$W,Ohjaus!$X$8,'TP2'!$X:$X,Ohjaus!$X$6,'TP2'!$AD:$AD,$X$9,'TP2'!$AF:$AF,Ohjaus!$Y$6,'TP2'!$Q:$Q,Ohjaus!$Y$4,'TP2'!$AG:$AG,Ohjaus!$Y$5,'TP2'!AL:AL,$AF$4,'TP2'!AN:AN,"P")</f>
        <v>0</v>
      </c>
      <c r="AH64" s="697">
        <f>SUMIFS('TP2'!$P:$P,'TP2'!$AI:$AI,$Y$2,'TP2'!$R:$R,$X$9,'TP2'!$U:$U,Ohjaus!$AF64,'TP2'!$W:$W,Ohjaus!$X$8,'TP2'!$X:$X,$Y$1,'TP2'!$AD:$AD,$X$9,'TP2'!$AF:$AF,Ohjaus!$Y$6,'TP2'!$Q:$Q,Ohjaus!$Y$4,'TP2'!$AG:$AG,Ohjaus!$Y$5,'TP2'!$AL:$AL,$AF$4,'TP2'!$V:$V,Ohjaus!$X$7,'TP2'!AN:AN,"P")</f>
        <v>0</v>
      </c>
      <c r="AI64" s="697">
        <f>SUMIFS('TP2'!$P:$P,'TP2'!$AI:$AI,$Y$2,'TP2'!$R:$R,$X$9,'TP2'!$U:$U,Ohjaus!$AF64,'TP2'!$W:$W,Ohjaus!$X$8,'TP2'!$X:$X,$Y$1,'TP2'!$AD:$AD,$X$9,'TP2'!$AF:$AF,Ohjaus!$Y$6,'TP2'!$Q:$Q,Ohjaus!$Y$4,'TP2'!$AG:$AG,Ohjaus!$Y$5,'TP2'!$AL:$AL,$AF$4,'TP2'!$V:$V,Ohjaus!$Y$7,'TP2'!AN:AN,"P")</f>
        <v>0</v>
      </c>
      <c r="AJ64" s="697">
        <f>SUMIFS('TP2'!$P:$P,'TP2'!$AI:$AI,$Y$2,'TP2'!$R:$R,$X$9,'TP2'!$U:$U,Ohjaus!$AF64,'TP2'!$W:$W,"vanha",'TP2'!$X:$X,$Y$1,'TP2'!$AD:$AD,$X$9,'TP2'!$AF:$AF,Ohjaus!$Y$6,'TP2'!$Q:$Q,Ohjaus!$Y$4,'TP2'!$AG:$AG,Ohjaus!$Y$5,'TP2'!$AL:$AL,$AF$4,'TP2'!AN:AN,"P")</f>
        <v>0</v>
      </c>
      <c r="AO64" s="704" t="s">
        <v>986</v>
      </c>
      <c r="AP64" s="705" t="s">
        <v>1166</v>
      </c>
      <c r="AQ64" s="705" t="s">
        <v>1167</v>
      </c>
      <c r="AR64" t="s">
        <v>1164</v>
      </c>
    </row>
    <row r="65" spans="1:44" x14ac:dyDescent="0.25">
      <c r="A65" s="1078"/>
      <c r="B65" s="696" t="s">
        <v>1168</v>
      </c>
      <c r="C65" s="697">
        <f>SUMIFS('TP2'!$P:$P,'TP2'!$AI:$AI,$Y$2,'TP2'!$R:$R,$X$9,'TP2'!$U:$U,Ohjaus!$T65,'TP2'!$W:$W,Ohjaus!$X$8,'TP2'!$X:$X,$Y$1,'TP2'!$AD:$AD,$X$9,'TP2'!$AF:$AF,Ohjaus!$Y$6,'TP2'!$Q:$Q,Ohjaus!$Y$4,'TP2'!$AG:$AG,Ohjaus!$Y$5,'TP2'!AL:AL,$AF$4,'TP2'!AN:AN,"P")+V65+AG65</f>
        <v>0</v>
      </c>
      <c r="D65" s="698">
        <f t="shared" si="5"/>
        <v>0</v>
      </c>
      <c r="E65" s="697">
        <f>SUMIFS('TP2'!$P:$P,'TP2'!$AI:$AI,$Y$2,'TP2'!$R:$R,$X$9,'TP2'!$U:$U,Ohjaus!$T65,'TP2'!$W:$W,Ohjaus!$X$8,'TP2'!$X:$X,$Y$1,'TP2'!$AD:$AD,$X$9,'TP2'!$AF:$AF,Ohjaus!$Y$6,'TP2'!$Q:$Q,Ohjaus!$Y$4,'TP2'!$AG:$AG,Ohjaus!$Y$5,'TP2'!$AL:$AL,$AF$4,'TP2'!$V:$V,Ohjaus!$X$7,'TP2'!AN:AN,"P")+W65+AH65</f>
        <v>0</v>
      </c>
      <c r="F65" s="697">
        <f>SUMIFS('TP2'!$P:$P,'TP2'!$AI:$AI,$Y$2,'TP2'!$R:$R,$X$9,'TP2'!$U:$U,Ohjaus!$T65,'TP2'!$W:$W,Ohjaus!$X$8,'TP2'!$X:$X,$Y$1,'TP2'!$AD:$AD,$X$9,'TP2'!$AF:$AF,Ohjaus!$Y$6,'TP2'!$Q:$Q,Ohjaus!$Y$4,'TP2'!$AG:$AG,Ohjaus!$Y$5,'TP2'!$AL:$AL,$AF$4,'TP2'!$V:$V,Ohjaus!$Y$7,'TP2'!AN:AN,"P")+X65+AI65</f>
        <v>0</v>
      </c>
      <c r="G65" s="697">
        <f>SUMIFS('TP2'!$P:$P,'TP2'!$AI:$AI,$Y$2,'TP2'!$R:$R,$X$9,'TP2'!$U:$U,Ohjaus!$T65,'TP2'!$W:$W,"vanha",'TP2'!$X:$X,$Y$1,'TP2'!$AD:$AD,$X$9,'TP2'!$AF:$AF,Ohjaus!$Y$6,'TP2'!$Q:$Q,Ohjaus!$Y$4,'TP2'!$AG:$AG,Ohjaus!$Y$5,'TP2'!$AL:$AL,$AF$4,'TP2'!AN:AN,"P")+Z65+AK65</f>
        <v>0</v>
      </c>
      <c r="H65" s="699"/>
      <c r="I65" s="700"/>
      <c r="J65" s="701">
        <f>SUMIFS('TP2'!$P:$P,'TP2'!$AI:$AI,$Y$2,'TP2'!$R:$R,$X$9,'TP2'!$U:$U,Ohjaus!$T65,'TP2'!$W:$W,Ohjaus!$X$8,'TP2'!$X:$X,$Y$1,'TP2'!$AD:$AD,$X$9,'TP2'!$AF:$AF,Ohjaus!$Y$6,'TP2'!$Q:$Q,Ohjaus!$Y$4,'TP2'!$AG:$AG,Ohjaus!$Y$5,'TP2'!$AL:$AL,$AF$4,'TP2'!$Z:$Z,1,'TP2'!AN:AN,"P")</f>
        <v>0</v>
      </c>
      <c r="K65" s="702">
        <f>SUMIFS('TP2'!$P:$P,'TP2'!$AI:$AI,$Y$2,'TP2'!$R:$R,$X$9,'TP2'!$U:$U,Ohjaus!$T65,'TP2'!$W:$W,Ohjaus!$X$8,'TP2'!$X:$X,$Y$1,'TP2'!$AD:$AD,$X$9,'TP2'!$AF:$AF,Ohjaus!$Y$6,'TP2'!$Q:$Q,Ohjaus!$Y$4,'TP2'!$AG:$AG,Ohjaus!$Y$5,'TP2'!$AL:$AL,$AF$4,'TP2'!$O:$O,$Z$3,'TP2'!AN:AN,"P")</f>
        <v>0</v>
      </c>
      <c r="L65" s="702">
        <f>SUMIFS('TP2'!$P:$P,'TP2'!$AI:$AI,$Y$2,'TP2'!$R:$R,$X$9,'TP2'!$U:$U,Ohjaus!$T65,'TP2'!$W:$W,Ohjaus!$X$8,'TP2'!$X:$X,$Y$1,'TP2'!$AD:$AD,$X$9,'TP2'!$AF:$AF,Ohjaus!$Y$6,'TP2'!$Q:$Q,Ohjaus!$Y$4,'TP2'!$AG:$AG,Ohjaus!$Y$5,'TP2'!$AL:$AL,$AF$4,'TP2'!$K:$K,$Z$6,'TP2'!AN:AN,"P")</f>
        <v>0</v>
      </c>
      <c r="M65" s="702">
        <f>SUMIFS('TP2'!$P:$P,'TP2'!$AI:$AI,$Y$2,'TP2'!$R:$R,$X$9,'TP2'!$U:$U,Ohjaus!$T65,'TP2'!$W:$W,Ohjaus!$X$8,'TP2'!$X:$X,$Y$1,'TP2'!$AD:$AD,$X$9,'TP2'!$AF:$AF,Ohjaus!$Y$6,'TP2'!$Q:$Q,Ohjaus!$Y$4,'TP2'!$AG:$AG,Ohjaus!$Y$5,'TP2'!$AL:$AL,$AF$4,'TP2'!$K:$K,$Z$7,'TP2'!AN:AN,"P")</f>
        <v>0</v>
      </c>
      <c r="N65" s="702">
        <f>SUMIFS('TP2'!$P:$P,'TP2'!$AI:$AI,$Y$2,'TP2'!$R:$R,$X$9,'TP2'!$U:$U,Ohjaus!$T65,'TP2'!$W:$W,Ohjaus!$X$8,'TP2'!$X:$X,$Y$1,'TP2'!$AD:$AD,$X$9,'TP2'!$AF:$AF,Ohjaus!$Y$6,'TP2'!$Q:$Q,Ohjaus!$Y$4,'TP2'!$AG:$AG,Ohjaus!$Y$5,'TP2'!$AL:$AL,$AF$4,'TP2'!$K:$K,$Z$8,'TP2'!AN:AN,"P")</f>
        <v>0</v>
      </c>
      <c r="O65" s="702">
        <f>SUMIFS('TP2'!$P:$P,'TP2'!$AI:$AI,$Y$2,'TP2'!$R:$R,$X$9,'TP2'!$U:$U,Ohjaus!$T65,'TP2'!$W:$W,Ohjaus!$X$8,'TP2'!$X:$X,$Y$1,'TP2'!$AD:$AD,$X$9,'TP2'!$AF:$AF,Ohjaus!$Y$6,'TP2'!$Q:$Q,Ohjaus!$Y$4,'TP2'!$AG:$AG,Ohjaus!$Y$5,'TP2'!$AL:$AL,$AF$4,'TP2'!$K:$K,$Z$5,'TP2'!AN:AN,"P")</f>
        <v>0</v>
      </c>
      <c r="T65" t="s">
        <v>1169</v>
      </c>
      <c r="U65" s="703" t="s">
        <v>1170</v>
      </c>
      <c r="V65" s="702">
        <f>SUMIFS('TP2'!$P:$P,'TP2'!$AI:$AI,$Y$2,'TP2'!$R:$R,$X$9,'TP2'!$U:$U,Ohjaus!$U65,'TP2'!$W:$W,Ohjaus!$X$8,'TP2'!$X:$X,$Y$1,'TP2'!$AD:$AD,$X$9,'TP2'!$AF:$AF,Ohjaus!$Y$6,'TP2'!$Q:$Q,Ohjaus!$Y$4,'TP2'!$AG:$AG,Ohjaus!$Y$5,'TP2'!AL:AL,$AF$4,'TP2'!AN:AN,"P")</f>
        <v>0</v>
      </c>
      <c r="W65" s="697">
        <f>SUMIFS('TP2'!$P:$P,'TP2'!$AI:$AI,$Y$2,'TP2'!$R:$R,$X$9,'TP2'!$U:$U,Ohjaus!$U65,'TP2'!$W:$W,Ohjaus!$X$8,'TP2'!$X:$X,$Y$1,'TP2'!$AD:$AD,$X$9,'TP2'!$AF:$AF,Ohjaus!$Y$6,'TP2'!$Q:$Q,Ohjaus!$Y$4,'TP2'!$AG:$AG,Ohjaus!$Y$5,'TP2'!$AL:$AL,$AF$4,'TP2'!$V:$V,Ohjaus!$X$7,'TP2'!AN:AN,"P")</f>
        <v>0</v>
      </c>
      <c r="X65" s="697">
        <f>SUMIFS('TP2'!$P:$P,'TP2'!$AI:$AI,$Y$2,'TP2'!$R:$R,$X$9,'TP2'!$U:$U,Ohjaus!$U65,'TP2'!$W:$W,Ohjaus!$X$8,'TP2'!$X:$X,$Y$1,'TP2'!$AD:$AD,$X$9,'TP2'!$AF:$AF,Ohjaus!$Y$6,'TP2'!$Q:$Q,Ohjaus!$Y$4,'TP2'!$AG:$AG,Ohjaus!$Y$5,'TP2'!$AL:$AL,$AF$4,'TP2'!$V:$V,Ohjaus!$Y$7,'TP2'!AN:AN,"P")</f>
        <v>0</v>
      </c>
      <c r="Y65" s="697">
        <f>SUMIFS('TP2'!$P:$P,'TP2'!$AI:$AI,$Y$2,'TP2'!$R:$R,$X$9,'TP2'!$U:$U,Ohjaus!$U65,'TP2'!$W:$W,"vanha",'TP2'!$X:$X,$Y$1,'TP2'!$AD:$AD,$X$9,'TP2'!$AF:$AF,Ohjaus!$Y$6,'TP2'!$Q:$Q,Ohjaus!$Y$4,'TP2'!$AG:$AG,Ohjaus!$Y$5,'TP2'!$AL:$AL,$AF$4,'TP2'!AN:AN,"P")</f>
        <v>0</v>
      </c>
      <c r="AF65" s="703" t="s">
        <v>1171</v>
      </c>
      <c r="AG65" s="702">
        <f>SUMIFS('TP2'!$P:$P,'TP2'!$AI:$AI,$W$7,'TP2'!$R:$R,$X$9,'TP2'!$U:$U,Ohjaus!$AF65,'TP2'!$W:$W,Ohjaus!$X$8,'TP2'!$X:$X,Ohjaus!$X$6,'TP2'!$AD:$AD,$X$9,'TP2'!$AF:$AF,Ohjaus!$Y$6,'TP2'!$Q:$Q,Ohjaus!$Y$4,'TP2'!$AG:$AG,Ohjaus!$Y$5,'TP2'!AL:AL,$AF$4,'TP2'!AN:AN,"P")</f>
        <v>0</v>
      </c>
      <c r="AH65" s="697">
        <f>SUMIFS('TP2'!$P:$P,'TP2'!$AI:$AI,$Y$2,'TP2'!$R:$R,$X$9,'TP2'!$U:$U,Ohjaus!$AF65,'TP2'!$W:$W,Ohjaus!$X$8,'TP2'!$X:$X,$Y$1,'TP2'!$AD:$AD,$X$9,'TP2'!$AF:$AF,Ohjaus!$Y$6,'TP2'!$Q:$Q,Ohjaus!$Y$4,'TP2'!$AG:$AG,Ohjaus!$Y$5,'TP2'!$AL:$AL,$AF$4,'TP2'!$V:$V,Ohjaus!$X$7,'TP2'!AN:AN,"P")</f>
        <v>0</v>
      </c>
      <c r="AI65" s="697">
        <f>SUMIFS('TP2'!$P:$P,'TP2'!$AI:$AI,$Y$2,'TP2'!$R:$R,$X$9,'TP2'!$U:$U,Ohjaus!$AF65,'TP2'!$W:$W,Ohjaus!$X$8,'TP2'!$X:$X,$Y$1,'TP2'!$AD:$AD,$X$9,'TP2'!$AF:$AF,Ohjaus!$Y$6,'TP2'!$Q:$Q,Ohjaus!$Y$4,'TP2'!$AG:$AG,Ohjaus!$Y$5,'TP2'!$AL:$AL,$AF$4,'TP2'!$V:$V,Ohjaus!$Y$7,'TP2'!AN:AN,"P")</f>
        <v>0</v>
      </c>
      <c r="AJ65" s="697">
        <f>SUMIFS('TP2'!$P:$P,'TP2'!$AI:$AI,$Y$2,'TP2'!$R:$R,$X$9,'TP2'!$U:$U,Ohjaus!$AF65,'TP2'!$W:$W,"vanha",'TP2'!$X:$X,$Y$1,'TP2'!$AD:$AD,$X$9,'TP2'!$AF:$AF,Ohjaus!$Y$6,'TP2'!$Q:$Q,Ohjaus!$Y$4,'TP2'!$AG:$AG,Ohjaus!$Y$5,'TP2'!$AL:$AL,$AF$4,'TP2'!AN:AN,"P")</f>
        <v>0</v>
      </c>
      <c r="AO65" s="704" t="s">
        <v>986</v>
      </c>
      <c r="AP65" s="705" t="s">
        <v>1168</v>
      </c>
      <c r="AQ65" s="705" t="s">
        <v>1172</v>
      </c>
      <c r="AR65" t="s">
        <v>1169</v>
      </c>
    </row>
    <row r="66" spans="1:44" x14ac:dyDescent="0.25">
      <c r="A66" s="1078"/>
      <c r="B66" s="696" t="s">
        <v>1173</v>
      </c>
      <c r="C66" s="697">
        <f>SUMIFS('TP2'!$P:$P,'TP2'!$AI:$AI,$Y$2,'TP2'!$R:$R,$X$9,'TP2'!$U:$U,Ohjaus!$T66,'TP2'!$W:$W,Ohjaus!$X$8,'TP2'!$X:$X,$Y$1,'TP2'!$AD:$AD,$X$9,'TP2'!$AF:$AF,Ohjaus!$Y$6,'TP2'!$Q:$Q,Ohjaus!$Y$4,'TP2'!$AG:$AG,Ohjaus!$Y$5,'TP2'!AL:AL,$AF$4,'TP2'!AN:AN,"P")+V66+AG66</f>
        <v>0</v>
      </c>
      <c r="D66" s="698">
        <f t="shared" si="5"/>
        <v>0</v>
      </c>
      <c r="E66" s="697">
        <f>SUMIFS('TP2'!$P:$P,'TP2'!$AI:$AI,$Y$2,'TP2'!$R:$R,$X$9,'TP2'!$U:$U,Ohjaus!$T66,'TP2'!$W:$W,Ohjaus!$X$8,'TP2'!$X:$X,$Y$1,'TP2'!$AD:$AD,$X$9,'TP2'!$AF:$AF,Ohjaus!$Y$6,'TP2'!$Q:$Q,Ohjaus!$Y$4,'TP2'!$AG:$AG,Ohjaus!$Y$5,'TP2'!$AL:$AL,$AF$4,'TP2'!$V:$V,Ohjaus!$X$7,'TP2'!AN:AN,"P")+W66+AH66</f>
        <v>0</v>
      </c>
      <c r="F66" s="697">
        <f>SUMIFS('TP2'!$P:$P,'TP2'!$AI:$AI,$Y$2,'TP2'!$R:$R,$X$9,'TP2'!$U:$U,Ohjaus!$T66,'TP2'!$W:$W,Ohjaus!$X$8,'TP2'!$X:$X,$Y$1,'TP2'!$AD:$AD,$X$9,'TP2'!$AF:$AF,Ohjaus!$Y$6,'TP2'!$Q:$Q,Ohjaus!$Y$4,'TP2'!$AG:$AG,Ohjaus!$Y$5,'TP2'!$AL:$AL,$AF$4,'TP2'!$V:$V,Ohjaus!$Y$7,'TP2'!AN:AN,"P")+X66+AI66</f>
        <v>0</v>
      </c>
      <c r="G66" s="697">
        <f>SUMIFS('TP2'!$P:$P,'TP2'!$AI:$AI,$Y$2,'TP2'!$R:$R,$X$9,'TP2'!$U:$U,Ohjaus!$T66,'TP2'!$W:$W,"vanha",'TP2'!$X:$X,$Y$1,'TP2'!$AD:$AD,$X$9,'TP2'!$AF:$AF,Ohjaus!$Y$6,'TP2'!$Q:$Q,Ohjaus!$Y$4,'TP2'!$AG:$AG,Ohjaus!$Y$5,'TP2'!$AL:$AL,$AF$4,'TP2'!AN:AN,"P")+Z66+AK66</f>
        <v>0</v>
      </c>
      <c r="H66" s="699"/>
      <c r="I66" s="700"/>
      <c r="J66" s="701">
        <f>SUMIFS('TP2'!$P:$P,'TP2'!$AI:$AI,$Y$2,'TP2'!$R:$R,$X$9,'TP2'!$U:$U,Ohjaus!$T66,'TP2'!$W:$W,Ohjaus!$X$8,'TP2'!$X:$X,$Y$1,'TP2'!$AD:$AD,$X$9,'TP2'!$AF:$AF,Ohjaus!$Y$6,'TP2'!$Q:$Q,Ohjaus!$Y$4,'TP2'!$AG:$AG,Ohjaus!$Y$5,'TP2'!$AL:$AL,$AF$4,'TP2'!$Z:$Z,1,'TP2'!AN:AN,"P")</f>
        <v>0</v>
      </c>
      <c r="K66" s="702">
        <f>SUMIFS('TP2'!$P:$P,'TP2'!$AI:$AI,$Y$2,'TP2'!$R:$R,$X$9,'TP2'!$U:$U,Ohjaus!$T66,'TP2'!$W:$W,Ohjaus!$X$8,'TP2'!$X:$X,$Y$1,'TP2'!$AD:$AD,$X$9,'TP2'!$AF:$AF,Ohjaus!$Y$6,'TP2'!$Q:$Q,Ohjaus!$Y$4,'TP2'!$AG:$AG,Ohjaus!$Y$5,'TP2'!$AL:$AL,$AF$4,'TP2'!$O:$O,$Z$3,'TP2'!AN:AN,"P")</f>
        <v>0</v>
      </c>
      <c r="L66" s="702">
        <f>SUMIFS('TP2'!$P:$P,'TP2'!$AI:$AI,$Y$2,'TP2'!$R:$R,$X$9,'TP2'!$U:$U,Ohjaus!$T66,'TP2'!$W:$W,Ohjaus!$X$8,'TP2'!$X:$X,$Y$1,'TP2'!$AD:$AD,$X$9,'TP2'!$AF:$AF,Ohjaus!$Y$6,'TP2'!$Q:$Q,Ohjaus!$Y$4,'TP2'!$AG:$AG,Ohjaus!$Y$5,'TP2'!$AL:$AL,$AF$4,'TP2'!$K:$K,$Z$6,'TP2'!AN:AN,"P")</f>
        <v>0</v>
      </c>
      <c r="M66" s="702">
        <f>SUMIFS('TP2'!$P:$P,'TP2'!$AI:$AI,$Y$2,'TP2'!$R:$R,$X$9,'TP2'!$U:$U,Ohjaus!$T66,'TP2'!$W:$W,Ohjaus!$X$8,'TP2'!$X:$X,$Y$1,'TP2'!$AD:$AD,$X$9,'TP2'!$AF:$AF,Ohjaus!$Y$6,'TP2'!$Q:$Q,Ohjaus!$Y$4,'TP2'!$AG:$AG,Ohjaus!$Y$5,'TP2'!$AL:$AL,$AF$4,'TP2'!$K:$K,$Z$7,'TP2'!AN:AN,"P")</f>
        <v>0</v>
      </c>
      <c r="N66" s="702">
        <f>SUMIFS('TP2'!$P:$P,'TP2'!$AI:$AI,$Y$2,'TP2'!$R:$R,$X$9,'TP2'!$U:$U,Ohjaus!$T66,'TP2'!$W:$W,Ohjaus!$X$8,'TP2'!$X:$X,$Y$1,'TP2'!$AD:$AD,$X$9,'TP2'!$AF:$AF,Ohjaus!$Y$6,'TP2'!$Q:$Q,Ohjaus!$Y$4,'TP2'!$AG:$AG,Ohjaus!$Y$5,'TP2'!$AL:$AL,$AF$4,'TP2'!$K:$K,$Z$8,'TP2'!AN:AN,"P")</f>
        <v>0</v>
      </c>
      <c r="O66" s="702">
        <f>SUMIFS('TP2'!$P:$P,'TP2'!$AI:$AI,$Y$2,'TP2'!$R:$R,$X$9,'TP2'!$U:$U,Ohjaus!$T66,'TP2'!$W:$W,Ohjaus!$X$8,'TP2'!$X:$X,$Y$1,'TP2'!$AD:$AD,$X$9,'TP2'!$AF:$AF,Ohjaus!$Y$6,'TP2'!$Q:$Q,Ohjaus!$Y$4,'TP2'!$AG:$AG,Ohjaus!$Y$5,'TP2'!$AL:$AL,$AF$4,'TP2'!$K:$K,$Z$5,'TP2'!AN:AN,"P")</f>
        <v>0</v>
      </c>
      <c r="T66" s="706" t="s">
        <v>1174</v>
      </c>
      <c r="U66"/>
      <c r="V66" s="702">
        <f>SUMIFS('TP2'!$P:$P,'TP2'!$AI:$AI,$Y$2,'TP2'!$R:$R,$X$9,'TP2'!$U:$U,Ohjaus!$U66,'TP2'!$W:$W,Ohjaus!$X$8,'TP2'!$X:$X,$Y$1,'TP2'!$AD:$AD,$X$9,'TP2'!$AF:$AF,Ohjaus!$Y$6,'TP2'!$Q:$Q,Ohjaus!$Y$4,'TP2'!$AG:$AG,Ohjaus!$Y$5,'TP2'!AL:AL,$AF$4,'TP2'!AN:AN,"P")</f>
        <v>0</v>
      </c>
      <c r="W66" s="697">
        <f>SUMIFS('TP2'!$P:$P,'TP2'!$AI:$AI,$Y$2,'TP2'!$R:$R,$X$9,'TP2'!$U:$U,Ohjaus!$U66,'TP2'!$W:$W,Ohjaus!$X$8,'TP2'!$X:$X,$Y$1,'TP2'!$AD:$AD,$X$9,'TP2'!$AF:$AF,Ohjaus!$Y$6,'TP2'!$Q:$Q,Ohjaus!$Y$4,'TP2'!$AG:$AG,Ohjaus!$Y$5,'TP2'!$AL:$AL,$AF$4,'TP2'!$V:$V,Ohjaus!$X$7,'TP2'!AN:AN,"P")</f>
        <v>0</v>
      </c>
      <c r="X66" s="697">
        <f>SUMIFS('TP2'!$P:$P,'TP2'!$AI:$AI,$Y$2,'TP2'!$R:$R,$X$9,'TP2'!$U:$U,Ohjaus!$U66,'TP2'!$W:$W,Ohjaus!$X$8,'TP2'!$X:$X,$Y$1,'TP2'!$AD:$AD,$X$9,'TP2'!$AF:$AF,Ohjaus!$Y$6,'TP2'!$Q:$Q,Ohjaus!$Y$4,'TP2'!$AG:$AG,Ohjaus!$Y$5,'TP2'!$AL:$AL,$AF$4,'TP2'!$V:$V,Ohjaus!$Y$7,'TP2'!AN:AN,"P")</f>
        <v>0</v>
      </c>
      <c r="Y66" s="697">
        <f>SUMIFS('TP2'!$P:$P,'TP2'!$AI:$AI,$Y$2,'TP2'!$R:$R,$X$9,'TP2'!$U:$U,Ohjaus!$U66,'TP2'!$W:$W,"vanha",'TP2'!$X:$X,$Y$1,'TP2'!$AD:$AD,$X$9,'TP2'!$AF:$AF,Ohjaus!$Y$6,'TP2'!$Q:$Q,Ohjaus!$Y$4,'TP2'!$AG:$AG,Ohjaus!$Y$5,'TP2'!$AL:$AL,$AF$4,'TP2'!AN:AN,"P")</f>
        <v>0</v>
      </c>
      <c r="AG66" s="702">
        <f>SUMIFS('TP2'!$P:$P,'TP2'!$AI:$AI,$W$7,'TP2'!$R:$R,$X$9,'TP2'!$U:$U,Ohjaus!$AF66,'TP2'!$W:$W,Ohjaus!$X$8,'TP2'!$X:$X,Ohjaus!$X$6,'TP2'!$AD:$AD,$X$9,'TP2'!$AF:$AF,Ohjaus!$Y$6,'TP2'!$Q:$Q,Ohjaus!$Y$4,'TP2'!$AG:$AG,Ohjaus!$Y$5,'TP2'!AL:AL,$AF$4,'TP2'!AN:AN,"P")</f>
        <v>0</v>
      </c>
      <c r="AH66" s="697">
        <f>SUMIFS('TP2'!$P:$P,'TP2'!$AI:$AI,$Y$2,'TP2'!$R:$R,$X$9,'TP2'!$U:$U,Ohjaus!$AF66,'TP2'!$W:$W,Ohjaus!$X$8,'TP2'!$X:$X,$Y$1,'TP2'!$AD:$AD,$X$9,'TP2'!$AF:$AF,Ohjaus!$Y$6,'TP2'!$Q:$Q,Ohjaus!$Y$4,'TP2'!$AG:$AG,Ohjaus!$Y$5,'TP2'!$AL:$AL,$AF$4,'TP2'!$V:$V,Ohjaus!$X$7,'TP2'!AN:AN,"P")</f>
        <v>0</v>
      </c>
      <c r="AI66" s="697">
        <f>SUMIFS('TP2'!$P:$P,'TP2'!$AI:$AI,$Y$2,'TP2'!$R:$R,$X$9,'TP2'!$U:$U,Ohjaus!$AF66,'TP2'!$W:$W,Ohjaus!$X$8,'TP2'!$X:$X,$Y$1,'TP2'!$AD:$AD,$X$9,'TP2'!$AF:$AF,Ohjaus!$Y$6,'TP2'!$Q:$Q,Ohjaus!$Y$4,'TP2'!$AG:$AG,Ohjaus!$Y$5,'TP2'!$AL:$AL,$AF$4,'TP2'!$V:$V,Ohjaus!$Y$7,'TP2'!AN:AN,"P")</f>
        <v>0</v>
      </c>
      <c r="AJ66" s="697">
        <f>SUMIFS('TP2'!$P:$P,'TP2'!$AI:$AI,$Y$2,'TP2'!$R:$R,$X$9,'TP2'!$U:$U,Ohjaus!$AF66,'TP2'!$W:$W,"vanha",'TP2'!$X:$X,$Y$1,'TP2'!$AD:$AD,$X$9,'TP2'!$AF:$AF,Ohjaus!$Y$6,'TP2'!$Q:$Q,Ohjaus!$Y$4,'TP2'!$AG:$AG,Ohjaus!$Y$5,'TP2'!$AL:$AL,$AF$4,'TP2'!AN:AN,"P")</f>
        <v>0</v>
      </c>
      <c r="AO66" s="707"/>
      <c r="AP66" s="708" t="s">
        <v>1175</v>
      </c>
      <c r="AQ66" s="708" t="s">
        <v>1175</v>
      </c>
      <c r="AR66" t="s">
        <v>1174</v>
      </c>
    </row>
    <row r="67" spans="1:44" x14ac:dyDescent="0.25">
      <c r="A67" s="1078"/>
      <c r="B67" s="696" t="s">
        <v>1176</v>
      </c>
      <c r="C67" s="697">
        <f>SUMIFS('TP2'!$P:$P,'TP2'!$AI:$AI,$Y$2,'TP2'!$R:$R,$X$9,'TP2'!$U:$U,Ohjaus!$T67,'TP2'!$W:$W,Ohjaus!$X$8,'TP2'!$X:$X,$Y$1,'TP2'!$AD:$AD,$X$9,'TP2'!$AF:$AF,Ohjaus!$Y$6,'TP2'!$Q:$Q,Ohjaus!$Y$4,'TP2'!$AG:$AG,Ohjaus!$Y$5,'TP2'!AL:AL,$AF$4,'TP2'!AN:AN,"P")+V67+AG67</f>
        <v>0</v>
      </c>
      <c r="D67" s="698">
        <f t="shared" si="5"/>
        <v>0</v>
      </c>
      <c r="E67" s="697">
        <f>SUMIFS('TP2'!$P:$P,'TP2'!$AI:$AI,$Y$2,'TP2'!$R:$R,$X$9,'TP2'!$U:$U,Ohjaus!$T67,'TP2'!$W:$W,Ohjaus!$X$8,'TP2'!$X:$X,$Y$1,'TP2'!$AD:$AD,$X$9,'TP2'!$AF:$AF,Ohjaus!$Y$6,'TP2'!$Q:$Q,Ohjaus!$Y$4,'TP2'!$AG:$AG,Ohjaus!$Y$5,'TP2'!$AL:$AL,$AF$4,'TP2'!$V:$V,Ohjaus!$X$7,'TP2'!AN:AN,"P")+W67+AH67</f>
        <v>0</v>
      </c>
      <c r="F67" s="697">
        <f>SUMIFS('TP2'!$P:$P,'TP2'!$AI:$AI,$Y$2,'TP2'!$R:$R,$X$9,'TP2'!$U:$U,Ohjaus!$T67,'TP2'!$W:$W,Ohjaus!$X$8,'TP2'!$X:$X,$Y$1,'TP2'!$AD:$AD,$X$9,'TP2'!$AF:$AF,Ohjaus!$Y$6,'TP2'!$Q:$Q,Ohjaus!$Y$4,'TP2'!$AG:$AG,Ohjaus!$Y$5,'TP2'!$AL:$AL,$AF$4,'TP2'!$V:$V,Ohjaus!$Y$7,'TP2'!AN:AN,"P")+X67+AI67</f>
        <v>0</v>
      </c>
      <c r="G67" s="697">
        <f>SUMIFS('TP2'!$P:$P,'TP2'!$AI:$AI,$Y$2,'TP2'!$R:$R,$X$9,'TP2'!$U:$U,Ohjaus!$T67,'TP2'!$W:$W,"vanha",'TP2'!$X:$X,$Y$1,'TP2'!$AD:$AD,$X$9,'TP2'!$AF:$AF,Ohjaus!$Y$6,'TP2'!$Q:$Q,Ohjaus!$Y$4,'TP2'!$AG:$AG,Ohjaus!$Y$5,'TP2'!$AL:$AL,$AF$4,'TP2'!AN:AN,"P")+Z67+AK67</f>
        <v>0</v>
      </c>
      <c r="H67" s="699"/>
      <c r="I67" s="700"/>
      <c r="J67" s="701">
        <f>SUMIFS('TP2'!$P:$P,'TP2'!$AI:$AI,$Y$2,'TP2'!$R:$R,$X$9,'TP2'!$U:$U,Ohjaus!$T67,'TP2'!$W:$W,Ohjaus!$X$8,'TP2'!$X:$X,$Y$1,'TP2'!$AD:$AD,$X$9,'TP2'!$AF:$AF,Ohjaus!$Y$6,'TP2'!$Q:$Q,Ohjaus!$Y$4,'TP2'!$AG:$AG,Ohjaus!$Y$5,'TP2'!$AL:$AL,$AF$4,'TP2'!$Z:$Z,1,'TP2'!AN:AN,"P")</f>
        <v>0</v>
      </c>
      <c r="K67" s="702">
        <f>SUMIFS('TP2'!$P:$P,'TP2'!$AI:$AI,$Y$2,'TP2'!$R:$R,$X$9,'TP2'!$U:$U,Ohjaus!$T67,'TP2'!$W:$W,Ohjaus!$X$8,'TP2'!$X:$X,$Y$1,'TP2'!$AD:$AD,$X$9,'TP2'!$AF:$AF,Ohjaus!$Y$6,'TP2'!$Q:$Q,Ohjaus!$Y$4,'TP2'!$AG:$AG,Ohjaus!$Y$5,'TP2'!$AL:$AL,$AF$4,'TP2'!$O:$O,$Z$3,'TP2'!AN:AN,"P")</f>
        <v>0</v>
      </c>
      <c r="L67" s="702">
        <f>SUMIFS('TP2'!$P:$P,'TP2'!$AI:$AI,$Y$2,'TP2'!$R:$R,$X$9,'TP2'!$U:$U,Ohjaus!$T67,'TP2'!$W:$W,Ohjaus!$X$8,'TP2'!$X:$X,$Y$1,'TP2'!$AD:$AD,$X$9,'TP2'!$AF:$AF,Ohjaus!$Y$6,'TP2'!$Q:$Q,Ohjaus!$Y$4,'TP2'!$AG:$AG,Ohjaus!$Y$5,'TP2'!$AL:$AL,$AF$4,'TP2'!$K:$K,$Z$6,'TP2'!AN:AN,"P")</f>
        <v>0</v>
      </c>
      <c r="M67" s="702">
        <f>SUMIFS('TP2'!$P:$P,'TP2'!$AI:$AI,$Y$2,'TP2'!$R:$R,$X$9,'TP2'!$U:$U,Ohjaus!$T67,'TP2'!$W:$W,Ohjaus!$X$8,'TP2'!$X:$X,$Y$1,'TP2'!$AD:$AD,$X$9,'TP2'!$AF:$AF,Ohjaus!$Y$6,'TP2'!$Q:$Q,Ohjaus!$Y$4,'TP2'!$AG:$AG,Ohjaus!$Y$5,'TP2'!$AL:$AL,$AF$4,'TP2'!$K:$K,$Z$7,'TP2'!AN:AN,"P")</f>
        <v>0</v>
      </c>
      <c r="N67" s="702">
        <f>SUMIFS('TP2'!$P:$P,'TP2'!$AI:$AI,$Y$2,'TP2'!$R:$R,$X$9,'TP2'!$U:$U,Ohjaus!$T67,'TP2'!$W:$W,Ohjaus!$X$8,'TP2'!$X:$X,$Y$1,'TP2'!$AD:$AD,$X$9,'TP2'!$AF:$AF,Ohjaus!$Y$6,'TP2'!$Q:$Q,Ohjaus!$Y$4,'TP2'!$AG:$AG,Ohjaus!$Y$5,'TP2'!$AL:$AL,$AF$4,'TP2'!$K:$K,$Z$8,'TP2'!AN:AN,"P")</f>
        <v>0</v>
      </c>
      <c r="O67" s="702">
        <f>SUMIFS('TP2'!$P:$P,'TP2'!$AI:$AI,$Y$2,'TP2'!$R:$R,$X$9,'TP2'!$U:$U,Ohjaus!$T67,'TP2'!$W:$W,Ohjaus!$X$8,'TP2'!$X:$X,$Y$1,'TP2'!$AD:$AD,$X$9,'TP2'!$AF:$AF,Ohjaus!$Y$6,'TP2'!$Q:$Q,Ohjaus!$Y$4,'TP2'!$AG:$AG,Ohjaus!$Y$5,'TP2'!$AL:$AL,$AF$4,'TP2'!$K:$K,$Z$5,'TP2'!AN:AN,"P")</f>
        <v>0</v>
      </c>
      <c r="T67" t="s">
        <v>1177</v>
      </c>
      <c r="U67" s="703" t="s">
        <v>1178</v>
      </c>
      <c r="V67" s="702">
        <f>SUMIFS('TP2'!$P:$P,'TP2'!$AI:$AI,$Y$2,'TP2'!$R:$R,$X$9,'TP2'!$U:$U,Ohjaus!$U67,'TP2'!$W:$W,Ohjaus!$X$8,'TP2'!$X:$X,$Y$1,'TP2'!$AD:$AD,$X$9,'TP2'!$AF:$AF,Ohjaus!$Y$6,'TP2'!$Q:$Q,Ohjaus!$Y$4,'TP2'!$AG:$AG,Ohjaus!$Y$5,'TP2'!AL:AL,$AF$4,'TP2'!AN:AN,"P")</f>
        <v>0</v>
      </c>
      <c r="W67" s="697">
        <f>SUMIFS('TP2'!$P:$P,'TP2'!$AI:$AI,$Y$2,'TP2'!$R:$R,$X$9,'TP2'!$U:$U,Ohjaus!$U67,'TP2'!$W:$W,Ohjaus!$X$8,'TP2'!$X:$X,$Y$1,'TP2'!$AD:$AD,$X$9,'TP2'!$AF:$AF,Ohjaus!$Y$6,'TP2'!$Q:$Q,Ohjaus!$Y$4,'TP2'!$AG:$AG,Ohjaus!$Y$5,'TP2'!$AL:$AL,$AF$4,'TP2'!$V:$V,Ohjaus!$X$7,'TP2'!AN:AN,"P")</f>
        <v>0</v>
      </c>
      <c r="X67" s="697">
        <f>SUMIFS('TP2'!$P:$P,'TP2'!$AI:$AI,$Y$2,'TP2'!$R:$R,$X$9,'TP2'!$U:$U,Ohjaus!$U67,'TP2'!$W:$W,Ohjaus!$X$8,'TP2'!$X:$X,$Y$1,'TP2'!$AD:$AD,$X$9,'TP2'!$AF:$AF,Ohjaus!$Y$6,'TP2'!$Q:$Q,Ohjaus!$Y$4,'TP2'!$AG:$AG,Ohjaus!$Y$5,'TP2'!$AL:$AL,$AF$4,'TP2'!$V:$V,Ohjaus!$Y$7,'TP2'!AN:AN,"P")</f>
        <v>0</v>
      </c>
      <c r="Y67" s="697">
        <f>SUMIFS('TP2'!$P:$P,'TP2'!$AI:$AI,$Y$2,'TP2'!$R:$R,$X$9,'TP2'!$U:$U,Ohjaus!$U67,'TP2'!$W:$W,"vanha",'TP2'!$X:$X,$Y$1,'TP2'!$AD:$AD,$X$9,'TP2'!$AF:$AF,Ohjaus!$Y$6,'TP2'!$Q:$Q,Ohjaus!$Y$4,'TP2'!$AG:$AG,Ohjaus!$Y$5,'TP2'!$AL:$AL,$AF$4,'TP2'!AN:AN,"P")</f>
        <v>0</v>
      </c>
      <c r="AF67" s="703" t="s">
        <v>1179</v>
      </c>
      <c r="AG67" s="702">
        <f>SUMIFS('TP2'!$P:$P,'TP2'!$AI:$AI,$W$7,'TP2'!$R:$R,$X$9,'TP2'!$U:$U,Ohjaus!$AF67,'TP2'!$W:$W,Ohjaus!$X$8,'TP2'!$X:$X,Ohjaus!$X$6,'TP2'!$AD:$AD,$X$9,'TP2'!$AF:$AF,Ohjaus!$Y$6,'TP2'!$Q:$Q,Ohjaus!$Y$4,'TP2'!$AG:$AG,Ohjaus!$Y$5,'TP2'!AL:AL,$AF$4,'TP2'!AN:AN,"P")</f>
        <v>0</v>
      </c>
      <c r="AH67" s="697">
        <f>SUMIFS('TP2'!$P:$P,'TP2'!$AI:$AI,$Y$2,'TP2'!$R:$R,$X$9,'TP2'!$U:$U,Ohjaus!$AF67,'TP2'!$W:$W,Ohjaus!$X$8,'TP2'!$X:$X,$Y$1,'TP2'!$AD:$AD,$X$9,'TP2'!$AF:$AF,Ohjaus!$Y$6,'TP2'!$Q:$Q,Ohjaus!$Y$4,'TP2'!$AG:$AG,Ohjaus!$Y$5,'TP2'!$AL:$AL,$AF$4,'TP2'!$V:$V,Ohjaus!$X$7,'TP2'!AN:AN,"P")</f>
        <v>0</v>
      </c>
      <c r="AI67" s="697">
        <f>SUMIFS('TP2'!$P:$P,'TP2'!$AI:$AI,$Y$2,'TP2'!$R:$R,$X$9,'TP2'!$U:$U,Ohjaus!$AF67,'TP2'!$W:$W,Ohjaus!$X$8,'TP2'!$X:$X,$Y$1,'TP2'!$AD:$AD,$X$9,'TP2'!$AF:$AF,Ohjaus!$Y$6,'TP2'!$Q:$Q,Ohjaus!$Y$4,'TP2'!$AG:$AG,Ohjaus!$Y$5,'TP2'!$AL:$AL,$AF$4,'TP2'!$V:$V,Ohjaus!$Y$7,'TP2'!AN:AN,"P")</f>
        <v>0</v>
      </c>
      <c r="AJ67" s="697">
        <f>SUMIFS('TP2'!$P:$P,'TP2'!$AI:$AI,$Y$2,'TP2'!$R:$R,$X$9,'TP2'!$U:$U,Ohjaus!$AF67,'TP2'!$W:$W,"vanha",'TP2'!$X:$X,$Y$1,'TP2'!$AD:$AD,$X$9,'TP2'!$AF:$AF,Ohjaus!$Y$6,'TP2'!$Q:$Q,Ohjaus!$Y$4,'TP2'!$AG:$AG,Ohjaus!$Y$5,'TP2'!$AL:$AL,$AF$4,'TP2'!AN:AN,"P")</f>
        <v>0</v>
      </c>
      <c r="AO67" s="704" t="s">
        <v>986</v>
      </c>
      <c r="AP67" s="705" t="s">
        <v>1180</v>
      </c>
      <c r="AQ67" s="705" t="s">
        <v>1181</v>
      </c>
      <c r="AR67" t="s">
        <v>1177</v>
      </c>
    </row>
    <row r="68" spans="1:44" x14ac:dyDescent="0.25">
      <c r="A68" s="1100"/>
      <c r="B68" s="696" t="s">
        <v>1182</v>
      </c>
      <c r="C68" s="697">
        <f>SUMIFS('TP2'!$P:$P,'TP2'!$AI:$AI,$Y$2,'TP2'!$R:$R,$X$9,'TP2'!$U:$U,Ohjaus!$T68,'TP2'!$W:$W,Ohjaus!$X$8,'TP2'!$X:$X,$Y$1,'TP2'!$AD:$AD,$X$9,'TP2'!$AF:$AF,Ohjaus!$Y$6,'TP2'!$Q:$Q,Ohjaus!$Y$4,'TP2'!$AG:$AG,Ohjaus!$Y$5,'TP2'!AL:AL,$AF$4,'TP2'!AN:AN,"P")+V68+AG68</f>
        <v>0</v>
      </c>
      <c r="D68" s="698">
        <f t="shared" si="5"/>
        <v>0</v>
      </c>
      <c r="E68" s="697">
        <f>SUMIFS('TP2'!$P:$P,'TP2'!$AI:$AI,$Y$2,'TP2'!$R:$R,$X$9,'TP2'!$U:$U,Ohjaus!$T68,'TP2'!$W:$W,Ohjaus!$X$8,'TP2'!$X:$X,$Y$1,'TP2'!$AD:$AD,$X$9,'TP2'!$AF:$AF,Ohjaus!$Y$6,'TP2'!$Q:$Q,Ohjaus!$Y$4,'TP2'!$AG:$AG,Ohjaus!$Y$5,'TP2'!$AL:$AL,$AF$4,'TP2'!$V:$V,Ohjaus!$X$7,'TP2'!AN:AN,"P")+W68+AH68</f>
        <v>0</v>
      </c>
      <c r="F68" s="697">
        <f>SUMIFS('TP2'!$P:$P,'TP2'!$AI:$AI,$Y$2,'TP2'!$R:$R,$X$9,'TP2'!$U:$U,Ohjaus!$T68,'TP2'!$W:$W,Ohjaus!$X$8,'TP2'!$X:$X,$Y$1,'TP2'!$AD:$AD,$X$9,'TP2'!$AF:$AF,Ohjaus!$Y$6,'TP2'!$Q:$Q,Ohjaus!$Y$4,'TP2'!$AG:$AG,Ohjaus!$Y$5,'TP2'!$AL:$AL,$AF$4,'TP2'!$V:$V,Ohjaus!$Y$7,'TP2'!AN:AN,"P")+X68+AI68</f>
        <v>0</v>
      </c>
      <c r="G68" s="697">
        <f>SUMIFS('TP2'!$P:$P,'TP2'!$AI:$AI,$Y$2,'TP2'!$R:$R,$X$9,'TP2'!$U:$U,Ohjaus!$T68,'TP2'!$W:$W,"vanha",'TP2'!$X:$X,$Y$1,'TP2'!$AD:$AD,$X$9,'TP2'!$AF:$AF,Ohjaus!$Y$6,'TP2'!$Q:$Q,Ohjaus!$Y$4,'TP2'!$AG:$AG,Ohjaus!$Y$5,'TP2'!$AL:$AL,$AF$4,'TP2'!AN:AN,"P")+Z68+AK68</f>
        <v>0</v>
      </c>
      <c r="H68" s="699"/>
      <c r="I68" s="700"/>
      <c r="J68" s="701">
        <f>SUMIFS('TP2'!$P:$P,'TP2'!$AI:$AI,$Y$2,'TP2'!$R:$R,$X$9,'TP2'!$U:$U,Ohjaus!$T68,'TP2'!$W:$W,Ohjaus!$X$8,'TP2'!$X:$X,$Y$1,'TP2'!$AD:$AD,$X$9,'TP2'!$AF:$AF,Ohjaus!$Y$6,'TP2'!$Q:$Q,Ohjaus!$Y$4,'TP2'!$AG:$AG,Ohjaus!$Y$5,'TP2'!$AL:$AL,$AF$4,'TP2'!$Z:$Z,1,'TP2'!AN:AN,"P")</f>
        <v>0</v>
      </c>
      <c r="K68" s="702">
        <f>SUMIFS('TP2'!$P:$P,'TP2'!$AI:$AI,$Y$2,'TP2'!$R:$R,$X$9,'TP2'!$U:$U,Ohjaus!$T68,'TP2'!$W:$W,Ohjaus!$X$8,'TP2'!$X:$X,$Y$1,'TP2'!$AD:$AD,$X$9,'TP2'!$AF:$AF,Ohjaus!$Y$6,'TP2'!$Q:$Q,Ohjaus!$Y$4,'TP2'!$AG:$AG,Ohjaus!$Y$5,'TP2'!$AL:$AL,$AF$4,'TP2'!$O:$O,$Z$3,'TP2'!AN:AN,"P")</f>
        <v>0</v>
      </c>
      <c r="L68" s="702">
        <f>SUMIFS('TP2'!$P:$P,'TP2'!$AI:$AI,$Y$2,'TP2'!$R:$R,$X$9,'TP2'!$U:$U,Ohjaus!$T68,'TP2'!$W:$W,Ohjaus!$X$8,'TP2'!$X:$X,$Y$1,'TP2'!$AD:$AD,$X$9,'TP2'!$AF:$AF,Ohjaus!$Y$6,'TP2'!$Q:$Q,Ohjaus!$Y$4,'TP2'!$AG:$AG,Ohjaus!$Y$5,'TP2'!$AL:$AL,$AF$4,'TP2'!$K:$K,$Z$6,'TP2'!AN:AN,"P")</f>
        <v>0</v>
      </c>
      <c r="M68" s="702">
        <f>SUMIFS('TP2'!$P:$P,'TP2'!$AI:$AI,$Y$2,'TP2'!$R:$R,$X$9,'TP2'!$U:$U,Ohjaus!$T68,'TP2'!$W:$W,Ohjaus!$X$8,'TP2'!$X:$X,$Y$1,'TP2'!$AD:$AD,$X$9,'TP2'!$AF:$AF,Ohjaus!$Y$6,'TP2'!$Q:$Q,Ohjaus!$Y$4,'TP2'!$AG:$AG,Ohjaus!$Y$5,'TP2'!$AL:$AL,$AF$4,'TP2'!$K:$K,$Z$7,'TP2'!AN:AN,"P")</f>
        <v>0</v>
      </c>
      <c r="N68" s="702">
        <f>SUMIFS('TP2'!$P:$P,'TP2'!$AI:$AI,$Y$2,'TP2'!$R:$R,$X$9,'TP2'!$U:$U,Ohjaus!$T68,'TP2'!$W:$W,Ohjaus!$X$8,'TP2'!$X:$X,$Y$1,'TP2'!$AD:$AD,$X$9,'TP2'!$AF:$AF,Ohjaus!$Y$6,'TP2'!$Q:$Q,Ohjaus!$Y$4,'TP2'!$AG:$AG,Ohjaus!$Y$5,'TP2'!$AL:$AL,$AF$4,'TP2'!$K:$K,$Z$8,'TP2'!AN:AN,"P")</f>
        <v>0</v>
      </c>
      <c r="O68" s="702">
        <f>SUMIFS('TP2'!$P:$P,'TP2'!$AI:$AI,$Y$2,'TP2'!$R:$R,$X$9,'TP2'!$U:$U,Ohjaus!$T68,'TP2'!$W:$W,Ohjaus!$X$8,'TP2'!$X:$X,$Y$1,'TP2'!$AD:$AD,$X$9,'TP2'!$AF:$AF,Ohjaus!$Y$6,'TP2'!$Q:$Q,Ohjaus!$Y$4,'TP2'!$AG:$AG,Ohjaus!$Y$5,'TP2'!$AL:$AL,$AF$4,'TP2'!$K:$K,$Z$5,'TP2'!AN:AN,"P")</f>
        <v>0</v>
      </c>
      <c r="T68" s="706" t="s">
        <v>1183</v>
      </c>
      <c r="U68" s="703" t="s">
        <v>1184</v>
      </c>
      <c r="V68" s="702">
        <f>SUMIFS('TP2'!$P:$P,'TP2'!$AI:$AI,$Y$2,'TP2'!$R:$R,$X$9,'TP2'!$U:$U,Ohjaus!$U68,'TP2'!$W:$W,Ohjaus!$X$8,'TP2'!$X:$X,$Y$1,'TP2'!$AD:$AD,$X$9,'TP2'!$AF:$AF,Ohjaus!$Y$6,'TP2'!$Q:$Q,Ohjaus!$Y$4,'TP2'!$AG:$AG,Ohjaus!$Y$5,'TP2'!AL:AL,$AF$4,'TP2'!AN:AN,"P")</f>
        <v>0</v>
      </c>
      <c r="W68" s="697">
        <f>SUMIFS('TP2'!$P:$P,'TP2'!$AI:$AI,$Y$2,'TP2'!$R:$R,$X$9,'TP2'!$U:$U,Ohjaus!$U68,'TP2'!$W:$W,Ohjaus!$X$8,'TP2'!$X:$X,$Y$1,'TP2'!$AD:$AD,$X$9,'TP2'!$AF:$AF,Ohjaus!$Y$6,'TP2'!$Q:$Q,Ohjaus!$Y$4,'TP2'!$AG:$AG,Ohjaus!$Y$5,'TP2'!$AL:$AL,$AF$4,'TP2'!$V:$V,Ohjaus!$X$7,'TP2'!AN:AN,"P")</f>
        <v>0</v>
      </c>
      <c r="X68" s="697">
        <f>SUMIFS('TP2'!$P:$P,'TP2'!$AI:$AI,$Y$2,'TP2'!$R:$R,$X$9,'TP2'!$U:$U,Ohjaus!$U68,'TP2'!$W:$W,Ohjaus!$X$8,'TP2'!$X:$X,$Y$1,'TP2'!$AD:$AD,$X$9,'TP2'!$AF:$AF,Ohjaus!$Y$6,'TP2'!$Q:$Q,Ohjaus!$Y$4,'TP2'!$AG:$AG,Ohjaus!$Y$5,'TP2'!$AL:$AL,$AF$4,'TP2'!$V:$V,Ohjaus!$Y$7,'TP2'!AN:AN,"P")</f>
        <v>0</v>
      </c>
      <c r="Y68" s="697">
        <f>SUMIFS('TP2'!$P:$P,'TP2'!$AI:$AI,$Y$2,'TP2'!$R:$R,$X$9,'TP2'!$U:$U,Ohjaus!$U68,'TP2'!$W:$W,"vanha",'TP2'!$X:$X,$Y$1,'TP2'!$AD:$AD,$X$9,'TP2'!$AF:$AF,Ohjaus!$Y$6,'TP2'!$Q:$Q,Ohjaus!$Y$4,'TP2'!$AG:$AG,Ohjaus!$Y$5,'TP2'!$AL:$AL,$AF$4,'TP2'!AN:AN,"P")</f>
        <v>0</v>
      </c>
      <c r="AG68" s="702">
        <f>SUMIFS('TP2'!$P:$P,'TP2'!$AI:$AI,$W$7,'TP2'!$R:$R,$X$9,'TP2'!$U:$U,Ohjaus!$AF68,'TP2'!$W:$W,Ohjaus!$X$8,'TP2'!$X:$X,Ohjaus!$X$6,'TP2'!$AD:$AD,$X$9,'TP2'!$AF:$AF,Ohjaus!$Y$6,'TP2'!$Q:$Q,Ohjaus!$Y$4,'TP2'!$AG:$AG,Ohjaus!$Y$5,'TP2'!AL:AL,$AF$4,'TP2'!AN:AN,"P")</f>
        <v>0</v>
      </c>
      <c r="AH68" s="697">
        <f>SUMIFS('TP2'!$P:$P,'TP2'!$AI:$AI,$Y$2,'TP2'!$R:$R,$X$9,'TP2'!$U:$U,Ohjaus!$AF68,'TP2'!$W:$W,Ohjaus!$X$8,'TP2'!$X:$X,$Y$1,'TP2'!$AD:$AD,$X$9,'TP2'!$AF:$AF,Ohjaus!$Y$6,'TP2'!$Q:$Q,Ohjaus!$Y$4,'TP2'!$AG:$AG,Ohjaus!$Y$5,'TP2'!$AL:$AL,$AF$4,'TP2'!$V:$V,Ohjaus!$X$7,'TP2'!AN:AN,"P")</f>
        <v>0</v>
      </c>
      <c r="AI68" s="697">
        <f>SUMIFS('TP2'!$P:$P,'TP2'!$AI:$AI,$Y$2,'TP2'!$R:$R,$X$9,'TP2'!$U:$U,Ohjaus!$AF68,'TP2'!$W:$W,Ohjaus!$X$8,'TP2'!$X:$X,$Y$1,'TP2'!$AD:$AD,$X$9,'TP2'!$AF:$AF,Ohjaus!$Y$6,'TP2'!$Q:$Q,Ohjaus!$Y$4,'TP2'!$AG:$AG,Ohjaus!$Y$5,'TP2'!$AL:$AL,$AF$4,'TP2'!$V:$V,Ohjaus!$Y$7,'TP2'!AN:AN,"P")</f>
        <v>0</v>
      </c>
      <c r="AJ68" s="697">
        <f>SUMIFS('TP2'!$P:$P,'TP2'!$AI:$AI,$Y$2,'TP2'!$R:$R,$X$9,'TP2'!$U:$U,Ohjaus!$AF68,'TP2'!$W:$W,"vanha",'TP2'!$X:$X,$Y$1,'TP2'!$AD:$AD,$X$9,'TP2'!$AF:$AF,Ohjaus!$Y$6,'TP2'!$Q:$Q,Ohjaus!$Y$4,'TP2'!$AG:$AG,Ohjaus!$Y$5,'TP2'!$AL:$AL,$AF$4,'TP2'!AN:AN,"P")</f>
        <v>0</v>
      </c>
      <c r="AO68" s="707"/>
      <c r="AP68" s="708" t="s">
        <v>1185</v>
      </c>
      <c r="AQ68" s="708" t="s">
        <v>1185</v>
      </c>
      <c r="AR68" t="s">
        <v>1183</v>
      </c>
    </row>
    <row r="69" spans="1:44" x14ac:dyDescent="0.25">
      <c r="A69" s="727"/>
      <c r="B69" s="728" t="str">
        <f>A70</f>
        <v>Muut toimenpiteet</v>
      </c>
      <c r="C69" s="692">
        <f>SUM(C70:C75)</f>
        <v>0</v>
      </c>
      <c r="D69" s="692"/>
      <c r="E69" s="692"/>
      <c r="F69" s="692"/>
      <c r="G69" s="692"/>
      <c r="H69" s="690"/>
      <c r="I69" s="691"/>
      <c r="J69" s="690">
        <f t="shared" ref="J69:O69" si="9">SUM(J70:J75)</f>
        <v>0</v>
      </c>
      <c r="K69" s="692">
        <f t="shared" si="9"/>
        <v>0</v>
      </c>
      <c r="L69" s="692">
        <f t="shared" si="9"/>
        <v>0</v>
      </c>
      <c r="M69" s="692">
        <f t="shared" si="9"/>
        <v>0</v>
      </c>
      <c r="N69" s="692">
        <f t="shared" si="9"/>
        <v>0</v>
      </c>
      <c r="O69" s="691">
        <f t="shared" si="9"/>
        <v>0</v>
      </c>
      <c r="T69"/>
      <c r="V69" s="702">
        <f>SUMIFS('TP2'!$P:$P,'TP2'!$AI:$AI,$Y$2,'TP2'!$R:$R,$X$9,'TP2'!$U:$U,Ohjaus!$U69,'TP2'!$W:$W,Ohjaus!$X$8,'TP2'!$X:$X,$Y$1,'TP2'!$AD:$AD,$X$9,'TP2'!$AF:$AF,Ohjaus!$Y$6,'TP2'!$Q:$Q,Ohjaus!$Y$4,'TP2'!$AG:$AG,Ohjaus!$Y$5,'TP2'!AL:AL,$AF$4,'TP2'!AN:AN,"P")</f>
        <v>0</v>
      </c>
      <c r="W69" s="697">
        <f>SUMIFS('TP2'!$P:$P,'TP2'!$AI:$AI,$Y$2,'TP2'!$R:$R,$X$9,'TP2'!$U:$U,Ohjaus!$U69,'TP2'!$W:$W,Ohjaus!$X$8,'TP2'!$X:$X,$Y$1,'TP2'!$AD:$AD,$X$9,'TP2'!$AF:$AF,Ohjaus!$Y$6,'TP2'!$Q:$Q,Ohjaus!$Y$4,'TP2'!$AG:$AG,Ohjaus!$Y$5,'TP2'!$AL:$AL,$AF$4,'TP2'!$V:$V,Ohjaus!$X$7,'TP2'!AN:AN,"P")</f>
        <v>0</v>
      </c>
      <c r="X69" s="697">
        <f>SUMIFS('TP2'!$P:$P,'TP2'!$AI:$AI,$Y$2,'TP2'!$R:$R,$X$9,'TP2'!$U:$U,Ohjaus!$U69,'TP2'!$W:$W,Ohjaus!$X$8,'TP2'!$X:$X,$Y$1,'TP2'!$AD:$AD,$X$9,'TP2'!$AF:$AF,Ohjaus!$Y$6,'TP2'!$Q:$Q,Ohjaus!$Y$4,'TP2'!$AG:$AG,Ohjaus!$Y$5,'TP2'!$AL:$AL,$AF$4,'TP2'!$V:$V,Ohjaus!$Y$7,'TP2'!AN:AN,"P")</f>
        <v>0</v>
      </c>
      <c r="Y69" s="697">
        <f>SUMIFS('TP2'!$P:$P,'TP2'!$AI:$AI,$Y$2,'TP2'!$R:$R,$X$9,'TP2'!$U:$U,Ohjaus!$U69,'TP2'!$W:$W,"vanha",'TP2'!$X:$X,$Y$1,'TP2'!$AD:$AD,$X$9,'TP2'!$AF:$AF,Ohjaus!$Y$6,'TP2'!$Q:$Q,Ohjaus!$Y$4,'TP2'!$AG:$AG,Ohjaus!$Y$5,'TP2'!$AL:$AL,$AF$4,'TP2'!AN:AN,"P")</f>
        <v>0</v>
      </c>
      <c r="AG69" s="702">
        <f>SUMIFS('TP2'!$P:$P,'TP2'!$AI:$AI,$W$7,'TP2'!$R:$R,$X$9,'TP2'!$U:$U,Ohjaus!$AF69,'TP2'!$W:$W,Ohjaus!$X$8,'TP2'!$X:$X,Ohjaus!$X$6,'TP2'!$AD:$AD,$X$9,'TP2'!$AF:$AF,Ohjaus!$Y$6,'TP2'!$Q:$Q,Ohjaus!$Y$4,'TP2'!$AG:$AG,Ohjaus!$Y$5,'TP2'!AL:AL,$AF$4,'TP2'!AN:AN,"P")</f>
        <v>0</v>
      </c>
      <c r="AH69" s="697">
        <f>SUMIFS('TP2'!$P:$P,'TP2'!$AI:$AI,$Y$2,'TP2'!$R:$R,$X$9,'TP2'!$U:$U,Ohjaus!$AF69,'TP2'!$W:$W,Ohjaus!$X$8,'TP2'!$X:$X,$Y$1,'TP2'!$AD:$AD,$X$9,'TP2'!$AF:$AF,Ohjaus!$Y$6,'TP2'!$Q:$Q,Ohjaus!$Y$4,'TP2'!$AG:$AG,Ohjaus!$Y$5,'TP2'!$AL:$AL,$AF$4,'TP2'!$V:$V,Ohjaus!$X$7,'TP2'!AN:AN,"P")</f>
        <v>0</v>
      </c>
      <c r="AI69" s="697">
        <f>SUMIFS('TP2'!$P:$P,'TP2'!$AI:$AI,$Y$2,'TP2'!$R:$R,$X$9,'TP2'!$U:$U,Ohjaus!$AF69,'TP2'!$W:$W,Ohjaus!$X$8,'TP2'!$X:$X,$Y$1,'TP2'!$AD:$AD,$X$9,'TP2'!$AF:$AF,Ohjaus!$Y$6,'TP2'!$Q:$Q,Ohjaus!$Y$4,'TP2'!$AG:$AG,Ohjaus!$Y$5,'TP2'!$AL:$AL,$AF$4,'TP2'!$V:$V,Ohjaus!$Y$7,'TP2'!AN:AN,"P")</f>
        <v>0</v>
      </c>
      <c r="AJ69" s="697">
        <f>SUMIFS('TP2'!$P:$P,'TP2'!$AI:$AI,$Y$2,'TP2'!$R:$R,$X$9,'TP2'!$U:$U,Ohjaus!$AF69,'TP2'!$W:$W,"vanha",'TP2'!$X:$X,$Y$1,'TP2'!$AD:$AD,$X$9,'TP2'!$AF:$AF,Ohjaus!$Y$6,'TP2'!$Q:$Q,Ohjaus!$Y$4,'TP2'!$AG:$AG,Ohjaus!$Y$5,'TP2'!$AL:$AL,$AF$4,'TP2'!AN:AN,"P")</f>
        <v>0</v>
      </c>
      <c r="AO69" s="694"/>
      <c r="AP69" s="695" t="s">
        <v>1186</v>
      </c>
      <c r="AQ69" s="695" t="s">
        <v>1186</v>
      </c>
      <c r="AR69" t="s">
        <v>1187</v>
      </c>
    </row>
    <row r="70" spans="1:44" x14ac:dyDescent="0.25">
      <c r="A70" s="1088" t="s">
        <v>1186</v>
      </c>
      <c r="B70" s="696" t="s">
        <v>263</v>
      </c>
      <c r="C70" s="697">
        <f>SUMIFS('TP2'!$P:$P,'TP2'!$AI:$AI,$Y$2,'TP2'!$R:$R,$X$9,'TP2'!$U:$U,Ohjaus!$T70,'TP2'!$W:$W,Ohjaus!$X$8,'TP2'!$X:$X,$Y$1,'TP2'!$AD:$AD,$X$9,'TP2'!$AF:$AF,Ohjaus!$Y$6,'TP2'!$Q:$Q,Ohjaus!$Y$4,'TP2'!$AG:$AG,Ohjaus!$Y$5,'TP2'!AL:AL,$AF$4,'TP2'!AN:AN,"P")+V70+AG70</f>
        <v>0</v>
      </c>
      <c r="D70" s="698">
        <f t="shared" si="5"/>
        <v>0</v>
      </c>
      <c r="E70" s="697">
        <f>SUMIFS('TP2'!$P:$P,'TP2'!$AI:$AI,$Y$2,'TP2'!$R:$R,$X$9,'TP2'!$U:$U,Ohjaus!$T70,'TP2'!$W:$W,Ohjaus!$X$8,'TP2'!$X:$X,$Y$1,'TP2'!$AD:$AD,$X$9,'TP2'!$AF:$AF,Ohjaus!$Y$6,'TP2'!$Q:$Q,Ohjaus!$Y$4,'TP2'!$AG:$AG,Ohjaus!$Y$5,'TP2'!$AL:$AL,$AF$4,'TP2'!$V:$V,Ohjaus!$X$7,'TP2'!AN:AN,"P")+W70+AH70</f>
        <v>0</v>
      </c>
      <c r="F70" s="697">
        <f>SUMIFS('TP2'!$P:$P,'TP2'!$AI:$AI,$Y$2,'TP2'!$R:$R,$X$9,'TP2'!$U:$U,Ohjaus!$T70,'TP2'!$W:$W,Ohjaus!$X$8,'TP2'!$X:$X,$Y$1,'TP2'!$AD:$AD,$X$9,'TP2'!$AF:$AF,Ohjaus!$Y$6,'TP2'!$Q:$Q,Ohjaus!$Y$4,'TP2'!$AG:$AG,Ohjaus!$Y$5,'TP2'!$AL:$AL,$AF$4,'TP2'!$V:$V,Ohjaus!$Y$7,'TP2'!AN:AN,"P")+X70+AI70</f>
        <v>0</v>
      </c>
      <c r="G70" s="697">
        <f>SUMIFS('TP2'!$P:$P,'TP2'!$AI:$AI,$Y$2,'TP2'!$R:$R,$X$9,'TP2'!$U:$U,Ohjaus!$T70,'TP2'!$W:$W,"vanha",'TP2'!$X:$X,$Y$1,'TP2'!$AD:$AD,$X$9,'TP2'!$AF:$AF,Ohjaus!$Y$6,'TP2'!$Q:$Q,Ohjaus!$Y$4,'TP2'!$AG:$AG,Ohjaus!$Y$5,'TP2'!$AL:$AL,$AF$4,'TP2'!AN:AN,"P")+Z70+AK70</f>
        <v>0</v>
      </c>
      <c r="H70" s="699"/>
      <c r="I70" s="700"/>
      <c r="J70" s="701">
        <f>SUMIFS('TP2'!$P:$P,'TP2'!$AI:$AI,$Y$2,'TP2'!$R:$R,$X$9,'TP2'!$U:$U,Ohjaus!$T70,'TP2'!$W:$W,Ohjaus!$X$8,'TP2'!$X:$X,$Y$1,'TP2'!$AD:$AD,$X$9,'TP2'!$AF:$AF,Ohjaus!$Y$6,'TP2'!$Q:$Q,Ohjaus!$Y$4,'TP2'!$AG:$AG,Ohjaus!$Y$5,'TP2'!$AL:$AL,$AF$4,'TP2'!$Z:$Z,1,'TP2'!AN:AN,"P")</f>
        <v>0</v>
      </c>
      <c r="K70" s="702">
        <f>SUMIFS('TP2'!$P:$P,'TP2'!$AI:$AI,$Y$2,'TP2'!$R:$R,$X$9,'TP2'!$U:$U,Ohjaus!$T70,'TP2'!$W:$W,Ohjaus!$X$8,'TP2'!$X:$X,$Y$1,'TP2'!$AD:$AD,$X$9,'TP2'!$AF:$AF,Ohjaus!$Y$6,'TP2'!$Q:$Q,Ohjaus!$Y$4,'TP2'!$AG:$AG,Ohjaus!$Y$5,'TP2'!$AL:$AL,$AF$4,'TP2'!$O:$O,$Z$3,'TP2'!AN:AN,"P")</f>
        <v>0</v>
      </c>
      <c r="L70" s="702">
        <f>SUMIFS('TP2'!$P:$P,'TP2'!$AI:$AI,$Y$2,'TP2'!$R:$R,$X$9,'TP2'!$U:$U,Ohjaus!$T70,'TP2'!$W:$W,Ohjaus!$X$8,'TP2'!$X:$X,$Y$1,'TP2'!$AD:$AD,$X$9,'TP2'!$AF:$AF,Ohjaus!$Y$6,'TP2'!$Q:$Q,Ohjaus!$Y$4,'TP2'!$AG:$AG,Ohjaus!$Y$5,'TP2'!$AL:$AL,$AF$4,'TP2'!$K:$K,$Z$6,'TP2'!AN:AN,"P")</f>
        <v>0</v>
      </c>
      <c r="M70" s="702">
        <f>SUMIFS('TP2'!$P:$P,'TP2'!$AI:$AI,$Y$2,'TP2'!$R:$R,$X$9,'TP2'!$U:$U,Ohjaus!$T70,'TP2'!$W:$W,Ohjaus!$X$8,'TP2'!$X:$X,$Y$1,'TP2'!$AD:$AD,$X$9,'TP2'!$AF:$AF,Ohjaus!$Y$6,'TP2'!$Q:$Q,Ohjaus!$Y$4,'TP2'!$AG:$AG,Ohjaus!$Y$5,'TP2'!$AL:$AL,$AF$4,'TP2'!$K:$K,$Z$7,'TP2'!AN:AN,"P")</f>
        <v>0</v>
      </c>
      <c r="N70" s="702">
        <f>SUMIFS('TP2'!$P:$P,'TP2'!$AI:$AI,$Y$2,'TP2'!$R:$R,$X$9,'TP2'!$U:$U,Ohjaus!$T70,'TP2'!$W:$W,Ohjaus!$X$8,'TP2'!$X:$X,$Y$1,'TP2'!$AD:$AD,$X$9,'TP2'!$AF:$AF,Ohjaus!$Y$6,'TP2'!$Q:$Q,Ohjaus!$Y$4,'TP2'!$AG:$AG,Ohjaus!$Y$5,'TP2'!$AL:$AL,$AF$4,'TP2'!$K:$K,$Z$8,'TP2'!AN:AN,"P")</f>
        <v>0</v>
      </c>
      <c r="O70" s="702">
        <f>SUMIFS('TP2'!$P:$P,'TP2'!$AI:$AI,$Y$2,'TP2'!$R:$R,$X$9,'TP2'!$U:$U,Ohjaus!$T70,'TP2'!$W:$W,Ohjaus!$X$8,'TP2'!$X:$X,$Y$1,'TP2'!$AD:$AD,$X$9,'TP2'!$AF:$AF,Ohjaus!$Y$6,'TP2'!$Q:$Q,Ohjaus!$Y$4,'TP2'!$AG:$AG,Ohjaus!$Y$5,'TP2'!$AL:$AL,$AF$4,'TP2'!$K:$K,$Z$5,'TP2'!AN:AN,"P")</f>
        <v>0</v>
      </c>
      <c r="T70" s="693" t="s">
        <v>1188</v>
      </c>
      <c r="V70" s="702">
        <f>SUMIFS('TP2'!$P:$P,'TP2'!$AI:$AI,$Y$2,'TP2'!$R:$R,$X$9,'TP2'!$U:$U,Ohjaus!$U70,'TP2'!$W:$W,Ohjaus!$X$8,'TP2'!$X:$X,$Y$1,'TP2'!$AD:$AD,$X$9,'TP2'!$AF:$AF,Ohjaus!$Y$6,'TP2'!$Q:$Q,Ohjaus!$Y$4,'TP2'!$AG:$AG,Ohjaus!$Y$5,'TP2'!AL:AL,$AF$4,'TP2'!AN:AN,"P")</f>
        <v>0</v>
      </c>
      <c r="W70" s="697">
        <f>SUMIFS('TP2'!$P:$P,'TP2'!$AI:$AI,$Y$2,'TP2'!$R:$R,$X$9,'TP2'!$U:$U,Ohjaus!$U70,'TP2'!$W:$W,Ohjaus!$X$8,'TP2'!$X:$X,$Y$1,'TP2'!$AD:$AD,$X$9,'TP2'!$AF:$AF,Ohjaus!$Y$6,'TP2'!$Q:$Q,Ohjaus!$Y$4,'TP2'!$AG:$AG,Ohjaus!$Y$5,'TP2'!$AL:$AL,$AF$4,'TP2'!$V:$V,Ohjaus!$X$7,'TP2'!AN:AN,"P")</f>
        <v>0</v>
      </c>
      <c r="X70" s="697">
        <f>SUMIFS('TP2'!$P:$P,'TP2'!$AI:$AI,$Y$2,'TP2'!$R:$R,$X$9,'TP2'!$U:$U,Ohjaus!$U70,'TP2'!$W:$W,Ohjaus!$X$8,'TP2'!$X:$X,$Y$1,'TP2'!$AD:$AD,$X$9,'TP2'!$AF:$AF,Ohjaus!$Y$6,'TP2'!$Q:$Q,Ohjaus!$Y$4,'TP2'!$AG:$AG,Ohjaus!$Y$5,'TP2'!$AL:$AL,$AF$4,'TP2'!$V:$V,Ohjaus!$Y$7,'TP2'!AN:AN,"P")</f>
        <v>0</v>
      </c>
      <c r="Y70" s="697">
        <f>SUMIFS('TP2'!$P:$P,'TP2'!$AI:$AI,$Y$2,'TP2'!$R:$R,$X$9,'TP2'!$U:$U,Ohjaus!$U70,'TP2'!$W:$W,"vanha",'TP2'!$X:$X,$Y$1,'TP2'!$AD:$AD,$X$9,'TP2'!$AF:$AF,Ohjaus!$Y$6,'TP2'!$Q:$Q,Ohjaus!$Y$4,'TP2'!$AG:$AG,Ohjaus!$Y$5,'TP2'!$AL:$AL,$AF$4,'TP2'!AN:AN,"P")</f>
        <v>0</v>
      </c>
      <c r="AG70" s="702">
        <f>SUMIFS('TP2'!$P:$P,'TP2'!$AI:$AI,$W$7,'TP2'!$R:$R,$X$9,'TP2'!$U:$U,Ohjaus!$AF70,'TP2'!$W:$W,Ohjaus!$X$8,'TP2'!$X:$X,Ohjaus!$X$6,'TP2'!$AD:$AD,$X$9,'TP2'!$AF:$AF,Ohjaus!$Y$6,'TP2'!$Q:$Q,Ohjaus!$Y$4,'TP2'!$AG:$AG,Ohjaus!$Y$5,'TP2'!AL:AL,$AF$4,'TP2'!AN:AN,"P")</f>
        <v>0</v>
      </c>
      <c r="AH70" s="697">
        <f>SUMIFS('TP2'!$P:$P,'TP2'!$AI:$AI,$Y$2,'TP2'!$R:$R,$X$9,'TP2'!$U:$U,Ohjaus!$AF70,'TP2'!$W:$W,Ohjaus!$X$8,'TP2'!$X:$X,$Y$1,'TP2'!$AD:$AD,$X$9,'TP2'!$AF:$AF,Ohjaus!$Y$6,'TP2'!$Q:$Q,Ohjaus!$Y$4,'TP2'!$AG:$AG,Ohjaus!$Y$5,'TP2'!$AL:$AL,$AF$4,'TP2'!$V:$V,Ohjaus!$X$7,'TP2'!AN:AN,"P")</f>
        <v>0</v>
      </c>
      <c r="AI70" s="697">
        <f>SUMIFS('TP2'!$P:$P,'TP2'!$AI:$AI,$Y$2,'TP2'!$R:$R,$X$9,'TP2'!$U:$U,Ohjaus!$AF70,'TP2'!$W:$W,Ohjaus!$X$8,'TP2'!$X:$X,$Y$1,'TP2'!$AD:$AD,$X$9,'TP2'!$AF:$AF,Ohjaus!$Y$6,'TP2'!$Q:$Q,Ohjaus!$Y$4,'TP2'!$AG:$AG,Ohjaus!$Y$5,'TP2'!$AL:$AL,$AF$4,'TP2'!$V:$V,Ohjaus!$Y$7,'TP2'!AN:AN,"P")</f>
        <v>0</v>
      </c>
      <c r="AJ70" s="697">
        <f>SUMIFS('TP2'!$P:$P,'TP2'!$AI:$AI,$Y$2,'TP2'!$R:$R,$X$9,'TP2'!$U:$U,Ohjaus!$AF70,'TP2'!$W:$W,"vanha",'TP2'!$X:$X,$Y$1,'TP2'!$AD:$AD,$X$9,'TP2'!$AF:$AF,Ohjaus!$Y$6,'TP2'!$Q:$Q,Ohjaus!$Y$4,'TP2'!$AG:$AG,Ohjaus!$Y$5,'TP2'!$AL:$AL,$AF$4,'TP2'!AN:AN,"P")</f>
        <v>0</v>
      </c>
      <c r="AO70" s="707"/>
      <c r="AP70" s="708" t="s">
        <v>1189</v>
      </c>
      <c r="AQ70" s="708" t="s">
        <v>1189</v>
      </c>
      <c r="AR70" t="s">
        <v>1188</v>
      </c>
    </row>
    <row r="71" spans="1:44" ht="15" customHeight="1" x14ac:dyDescent="0.25">
      <c r="A71" s="1089"/>
      <c r="B71" s="696" t="s">
        <v>1190</v>
      </c>
      <c r="C71" s="697">
        <f>SUMIFS('TP2'!$P:$P,'TP2'!$AI:$AI,$Y$2,'TP2'!$R:$R,$X$9,'TP2'!$U:$U,Ohjaus!$T71,'TP2'!$W:$W,Ohjaus!$X$8,'TP2'!$X:$X,$Y$1,'TP2'!$AD:$AD,$X$9,'TP2'!$AF:$AF,Ohjaus!$Y$6,'TP2'!$Q:$Q,Ohjaus!$Y$4,'TP2'!$AG:$AG,Ohjaus!$Y$5,'TP2'!AL:AL,$AF$4,'TP2'!AN:AN,"P")+V71+AG71</f>
        <v>0</v>
      </c>
      <c r="D71" s="698">
        <f t="shared" si="5"/>
        <v>0</v>
      </c>
      <c r="E71" s="697">
        <f>SUMIFS('TP2'!$P:$P,'TP2'!$AI:$AI,$Y$2,'TP2'!$R:$R,$X$9,'TP2'!$U:$U,Ohjaus!$T71,'TP2'!$W:$W,Ohjaus!$X$8,'TP2'!$X:$X,$Y$1,'TP2'!$AD:$AD,$X$9,'TP2'!$AF:$AF,Ohjaus!$Y$6,'TP2'!$Q:$Q,Ohjaus!$Y$4,'TP2'!$AG:$AG,Ohjaus!$Y$5,'TP2'!$AL:$AL,$AF$4,'TP2'!$V:$V,Ohjaus!$X$7,'TP2'!AN:AN,"P")+W71+AH71</f>
        <v>0</v>
      </c>
      <c r="F71" s="697">
        <f>SUMIFS('TP2'!$P:$P,'TP2'!$AI:$AI,$Y$2,'TP2'!$R:$R,$X$9,'TP2'!$U:$U,Ohjaus!$T71,'TP2'!$W:$W,Ohjaus!$X$8,'TP2'!$X:$X,$Y$1,'TP2'!$AD:$AD,$X$9,'TP2'!$AF:$AF,Ohjaus!$Y$6,'TP2'!$Q:$Q,Ohjaus!$Y$4,'TP2'!$AG:$AG,Ohjaus!$Y$5,'TP2'!$AL:$AL,$AF$4,'TP2'!$V:$V,Ohjaus!$Y$7,'TP2'!AN:AN,"P")+X71+AI71</f>
        <v>0</v>
      </c>
      <c r="G71" s="697">
        <f>SUMIFS('TP2'!$P:$P,'TP2'!$AI:$AI,$Y$2,'TP2'!$R:$R,$X$9,'TP2'!$U:$U,Ohjaus!$T71,'TP2'!$W:$W,"vanha",'TP2'!$X:$X,$Y$1,'TP2'!$AD:$AD,$X$9,'TP2'!$AF:$AF,Ohjaus!$Y$6,'TP2'!$Q:$Q,Ohjaus!$Y$4,'TP2'!$AG:$AG,Ohjaus!$Y$5,'TP2'!$AL:$AL,$AF$4,'TP2'!AN:AN,"P")+Z71+AK71</f>
        <v>0</v>
      </c>
      <c r="H71" s="699"/>
      <c r="I71" s="700"/>
      <c r="J71" s="701">
        <f>SUMIFS('TP2'!$P:$P,'TP2'!$AI:$AI,$Y$2,'TP2'!$R:$R,$X$9,'TP2'!$U:$U,Ohjaus!$T71,'TP2'!$W:$W,Ohjaus!$X$8,'TP2'!$X:$X,$Y$1,'TP2'!$AD:$AD,$X$9,'TP2'!$AF:$AF,Ohjaus!$Y$6,'TP2'!$Q:$Q,Ohjaus!$Y$4,'TP2'!$AG:$AG,Ohjaus!$Y$5,'TP2'!$AL:$AL,$AF$4,'TP2'!$Z:$Z,1,'TP2'!AN:AN,"P")</f>
        <v>0</v>
      </c>
      <c r="K71" s="702">
        <f>SUMIFS('TP2'!$P:$P,'TP2'!$AI:$AI,$Y$2,'TP2'!$R:$R,$X$9,'TP2'!$U:$U,Ohjaus!$T71,'TP2'!$W:$W,Ohjaus!$X$8,'TP2'!$X:$X,$Y$1,'TP2'!$AD:$AD,$X$9,'TP2'!$AF:$AF,Ohjaus!$Y$6,'TP2'!$Q:$Q,Ohjaus!$Y$4,'TP2'!$AG:$AG,Ohjaus!$Y$5,'TP2'!$AL:$AL,$AF$4,'TP2'!$O:$O,$Z$3,'TP2'!AN:AN,"P")</f>
        <v>0</v>
      </c>
      <c r="L71" s="702">
        <f>SUMIFS('TP2'!$P:$P,'TP2'!$AI:$AI,$Y$2,'TP2'!$R:$R,$X$9,'TP2'!$U:$U,Ohjaus!$T71,'TP2'!$W:$W,Ohjaus!$X$8,'TP2'!$X:$X,$Y$1,'TP2'!$AD:$AD,$X$9,'TP2'!$AF:$AF,Ohjaus!$Y$6,'TP2'!$Q:$Q,Ohjaus!$Y$4,'TP2'!$AG:$AG,Ohjaus!$Y$5,'TP2'!$AL:$AL,$AF$4,'TP2'!$K:$K,$Z$6,'TP2'!AN:AN,"P")</f>
        <v>0</v>
      </c>
      <c r="M71" s="702">
        <f>SUMIFS('TP2'!$P:$P,'TP2'!$AI:$AI,$Y$2,'TP2'!$R:$R,$X$9,'TP2'!$U:$U,Ohjaus!$T71,'TP2'!$W:$W,Ohjaus!$X$8,'TP2'!$X:$X,$Y$1,'TP2'!$AD:$AD,$X$9,'TP2'!$AF:$AF,Ohjaus!$Y$6,'TP2'!$Q:$Q,Ohjaus!$Y$4,'TP2'!$AG:$AG,Ohjaus!$Y$5,'TP2'!$AL:$AL,$AF$4,'TP2'!$K:$K,$Z$7,'TP2'!AN:AN,"P")</f>
        <v>0</v>
      </c>
      <c r="N71" s="702">
        <f>SUMIFS('TP2'!$P:$P,'TP2'!$AI:$AI,$Y$2,'TP2'!$R:$R,$X$9,'TP2'!$U:$U,Ohjaus!$T71,'TP2'!$W:$W,Ohjaus!$X$8,'TP2'!$X:$X,$Y$1,'TP2'!$AD:$AD,$X$9,'TP2'!$AF:$AF,Ohjaus!$Y$6,'TP2'!$Q:$Q,Ohjaus!$Y$4,'TP2'!$AG:$AG,Ohjaus!$Y$5,'TP2'!$AL:$AL,$AF$4,'TP2'!$K:$K,$Z$8,'TP2'!AN:AN,"P")</f>
        <v>0</v>
      </c>
      <c r="O71" s="702">
        <f>SUMIFS('TP2'!$P:$P,'TP2'!$AI:$AI,$Y$2,'TP2'!$R:$R,$X$9,'TP2'!$U:$U,Ohjaus!$T71,'TP2'!$W:$W,Ohjaus!$X$8,'TP2'!$X:$X,$Y$1,'TP2'!$AD:$AD,$X$9,'TP2'!$AF:$AF,Ohjaus!$Y$6,'TP2'!$Q:$Q,Ohjaus!$Y$4,'TP2'!$AG:$AG,Ohjaus!$Y$5,'TP2'!$AL:$AL,$AF$4,'TP2'!$K:$K,$Z$5,'TP2'!AN:AN,"P")</f>
        <v>0</v>
      </c>
      <c r="T71" s="693" t="s">
        <v>1191</v>
      </c>
      <c r="V71" s="702">
        <f>SUMIFS('TP2'!$P:$P,'TP2'!$AI:$AI,$Y$2,'TP2'!$R:$R,$X$9,'TP2'!$U:$U,Ohjaus!$U71,'TP2'!$W:$W,Ohjaus!$X$8,'TP2'!$X:$X,$Y$1,'TP2'!$AD:$AD,$X$9,'TP2'!$AF:$AF,Ohjaus!$Y$6,'TP2'!$Q:$Q,Ohjaus!$Y$4,'TP2'!$AG:$AG,Ohjaus!$Y$5,'TP2'!AL:AL,$AF$4,'TP2'!AN:AN,"P")</f>
        <v>0</v>
      </c>
      <c r="W71" s="697">
        <f>SUMIFS('TP2'!$P:$P,'TP2'!$AI:$AI,$Y$2,'TP2'!$R:$R,$X$9,'TP2'!$U:$U,Ohjaus!$U71,'TP2'!$W:$W,Ohjaus!$X$8,'TP2'!$X:$X,$Y$1,'TP2'!$AD:$AD,$X$9,'TP2'!$AF:$AF,Ohjaus!$Y$6,'TP2'!$Q:$Q,Ohjaus!$Y$4,'TP2'!$AG:$AG,Ohjaus!$Y$5,'TP2'!$AL:$AL,$AF$4,'TP2'!$V:$V,Ohjaus!$X$7,'TP2'!AN:AN,"P")</f>
        <v>0</v>
      </c>
      <c r="X71" s="697">
        <f>SUMIFS('TP2'!$P:$P,'TP2'!$AI:$AI,$Y$2,'TP2'!$R:$R,$X$9,'TP2'!$U:$U,Ohjaus!$U71,'TP2'!$W:$W,Ohjaus!$X$8,'TP2'!$X:$X,$Y$1,'TP2'!$AD:$AD,$X$9,'TP2'!$AF:$AF,Ohjaus!$Y$6,'TP2'!$Q:$Q,Ohjaus!$Y$4,'TP2'!$AG:$AG,Ohjaus!$Y$5,'TP2'!$AL:$AL,$AF$4,'TP2'!$V:$V,Ohjaus!$Y$7,'TP2'!AN:AN,"P")</f>
        <v>0</v>
      </c>
      <c r="Y71" s="697">
        <f>SUMIFS('TP2'!$P:$P,'TP2'!$AI:$AI,$Y$2,'TP2'!$R:$R,$X$9,'TP2'!$U:$U,Ohjaus!$U71,'TP2'!$W:$W,"vanha",'TP2'!$X:$X,$Y$1,'TP2'!$AD:$AD,$X$9,'TP2'!$AF:$AF,Ohjaus!$Y$6,'TP2'!$Q:$Q,Ohjaus!$Y$4,'TP2'!$AG:$AG,Ohjaus!$Y$5,'TP2'!$AL:$AL,$AF$4,'TP2'!AN:AN,"P")</f>
        <v>0</v>
      </c>
      <c r="AG71" s="702">
        <f>SUMIFS('TP2'!$P:$P,'TP2'!$AI:$AI,$W$7,'TP2'!$R:$R,$X$9,'TP2'!$U:$U,Ohjaus!$AF71,'TP2'!$W:$W,Ohjaus!$X$8,'TP2'!$X:$X,Ohjaus!$X$6,'TP2'!$AD:$AD,$X$9,'TP2'!$AF:$AF,Ohjaus!$Y$6,'TP2'!$Q:$Q,Ohjaus!$Y$4,'TP2'!$AG:$AG,Ohjaus!$Y$5,'TP2'!AL:AL,$AF$4,'TP2'!AN:AN,"P")</f>
        <v>0</v>
      </c>
      <c r="AH71" s="697">
        <f>SUMIFS('TP2'!$P:$P,'TP2'!$AI:$AI,$Y$2,'TP2'!$R:$R,$X$9,'TP2'!$U:$U,Ohjaus!$AF71,'TP2'!$W:$W,Ohjaus!$X$8,'TP2'!$X:$X,$Y$1,'TP2'!$AD:$AD,$X$9,'TP2'!$AF:$AF,Ohjaus!$Y$6,'TP2'!$Q:$Q,Ohjaus!$Y$4,'TP2'!$AG:$AG,Ohjaus!$Y$5,'TP2'!$AL:$AL,$AF$4,'TP2'!$V:$V,Ohjaus!$X$7,'TP2'!AN:AN,"P")</f>
        <v>0</v>
      </c>
      <c r="AI71" s="697">
        <f>SUMIFS('TP2'!$P:$P,'TP2'!$AI:$AI,$Y$2,'TP2'!$R:$R,$X$9,'TP2'!$U:$U,Ohjaus!$AF71,'TP2'!$W:$W,Ohjaus!$X$8,'TP2'!$X:$X,$Y$1,'TP2'!$AD:$AD,$X$9,'TP2'!$AF:$AF,Ohjaus!$Y$6,'TP2'!$Q:$Q,Ohjaus!$Y$4,'TP2'!$AG:$AG,Ohjaus!$Y$5,'TP2'!$AL:$AL,$AF$4,'TP2'!$V:$V,Ohjaus!$Y$7,'TP2'!AN:AN,"P")</f>
        <v>0</v>
      </c>
      <c r="AJ71" s="697">
        <f>SUMIFS('TP2'!$P:$P,'TP2'!$AI:$AI,$Y$2,'TP2'!$R:$R,$X$9,'TP2'!$U:$U,Ohjaus!$AF71,'TP2'!$W:$W,"vanha",'TP2'!$X:$X,$Y$1,'TP2'!$AD:$AD,$X$9,'TP2'!$AF:$AF,Ohjaus!$Y$6,'TP2'!$Q:$Q,Ohjaus!$Y$4,'TP2'!$AG:$AG,Ohjaus!$Y$5,'TP2'!$AL:$AL,$AF$4,'TP2'!AN:AN,"P")</f>
        <v>0</v>
      </c>
      <c r="AP71" s="708" t="s">
        <v>1192</v>
      </c>
      <c r="AQ71" s="708" t="s">
        <v>1192</v>
      </c>
      <c r="AR71" t="s">
        <v>1191</v>
      </c>
    </row>
    <row r="72" spans="1:44" x14ac:dyDescent="0.25">
      <c r="A72" s="1089"/>
      <c r="B72" s="696" t="s">
        <v>1193</v>
      </c>
      <c r="C72" s="697">
        <f>SUMIFS('TP2'!$P:$P,'TP2'!$AI:$AI,$Y$2,'TP2'!$R:$R,$X$9,'TP2'!$U:$U,Ohjaus!$T72,'TP2'!$W:$W,Ohjaus!$X$8,'TP2'!$X:$X,$Y$1,'TP2'!$AD:$AD,$X$9,'TP2'!$AF:$AF,Ohjaus!$Y$6,'TP2'!$Q:$Q,Ohjaus!$Y$4,'TP2'!$AG:$AG,Ohjaus!$Y$5,'TP2'!AL:AL,$AF$4,'TP2'!AN:AN,"P")+V72+AG72</f>
        <v>0</v>
      </c>
      <c r="D72" s="698">
        <f t="shared" si="5"/>
        <v>0</v>
      </c>
      <c r="E72" s="697">
        <f>SUMIFS('TP2'!$P:$P,'TP2'!$AI:$AI,$Y$2,'TP2'!$R:$R,$X$9,'TP2'!$U:$U,Ohjaus!$T72,'TP2'!$W:$W,Ohjaus!$X$8,'TP2'!$X:$X,$Y$1,'TP2'!$AD:$AD,$X$9,'TP2'!$AF:$AF,Ohjaus!$Y$6,'TP2'!$Q:$Q,Ohjaus!$Y$4,'TP2'!$AG:$AG,Ohjaus!$Y$5,'TP2'!$AL:$AL,$AF$4,'TP2'!$V:$V,Ohjaus!$X$7,'TP2'!AN:AN,"P")+W72+AH72</f>
        <v>0</v>
      </c>
      <c r="F72" s="697">
        <f>SUMIFS('TP2'!$P:$P,'TP2'!$AI:$AI,$Y$2,'TP2'!$R:$R,$X$9,'TP2'!$U:$U,Ohjaus!$T72,'TP2'!$W:$W,Ohjaus!$X$8,'TP2'!$X:$X,$Y$1,'TP2'!$AD:$AD,$X$9,'TP2'!$AF:$AF,Ohjaus!$Y$6,'TP2'!$Q:$Q,Ohjaus!$Y$4,'TP2'!$AG:$AG,Ohjaus!$Y$5,'TP2'!$AL:$AL,$AF$4,'TP2'!$V:$V,Ohjaus!$Y$7,'TP2'!AN:AN,"P")+X72+AI72</f>
        <v>0</v>
      </c>
      <c r="G72" s="697">
        <f>SUMIFS('TP2'!$P:$P,'TP2'!$AI:$AI,$Y$2,'TP2'!$R:$R,$X$9,'TP2'!$U:$U,Ohjaus!$T72,'TP2'!$W:$W,"vanha",'TP2'!$X:$X,$Y$1,'TP2'!$AD:$AD,$X$9,'TP2'!$AF:$AF,Ohjaus!$Y$6,'TP2'!$Q:$Q,Ohjaus!$Y$4,'TP2'!$AG:$AG,Ohjaus!$Y$5,'TP2'!$AL:$AL,$AF$4,'TP2'!AN:AN,"P")+Z72+AK72</f>
        <v>0</v>
      </c>
      <c r="H72" s="699"/>
      <c r="I72" s="700"/>
      <c r="J72" s="701">
        <f>SUMIFS('TP2'!$P:$P,'TP2'!$AI:$AI,$Y$2,'TP2'!$R:$R,$X$9,'TP2'!$U:$U,Ohjaus!$T72,'TP2'!$W:$W,Ohjaus!$X$8,'TP2'!$X:$X,$Y$1,'TP2'!$AD:$AD,$X$9,'TP2'!$AF:$AF,Ohjaus!$Y$6,'TP2'!$Q:$Q,Ohjaus!$Y$4,'TP2'!$AG:$AG,Ohjaus!$Y$5,'TP2'!$AL:$AL,$AF$4,'TP2'!$Z:$Z,1,'TP2'!AN:AN,"P")</f>
        <v>0</v>
      </c>
      <c r="K72" s="702">
        <f>SUMIFS('TP2'!$P:$P,'TP2'!$AI:$AI,$Y$2,'TP2'!$R:$R,$X$9,'TP2'!$U:$U,Ohjaus!$T72,'TP2'!$W:$W,Ohjaus!$X$8,'TP2'!$X:$X,$Y$1,'TP2'!$AD:$AD,$X$9,'TP2'!$AF:$AF,Ohjaus!$Y$6,'TP2'!$Q:$Q,Ohjaus!$Y$4,'TP2'!$AG:$AG,Ohjaus!$Y$5,'TP2'!$AL:$AL,$AF$4,'TP2'!$O:$O,$Z$3,'TP2'!AN:AN,"P")</f>
        <v>0</v>
      </c>
      <c r="L72" s="702">
        <f>SUMIFS('TP2'!$P:$P,'TP2'!$AI:$AI,$Y$2,'TP2'!$R:$R,$X$9,'TP2'!$U:$U,Ohjaus!$T72,'TP2'!$W:$W,Ohjaus!$X$8,'TP2'!$X:$X,$Y$1,'TP2'!$AD:$AD,$X$9,'TP2'!$AF:$AF,Ohjaus!$Y$6,'TP2'!$Q:$Q,Ohjaus!$Y$4,'TP2'!$AG:$AG,Ohjaus!$Y$5,'TP2'!$AL:$AL,$AF$4,'TP2'!$K:$K,$Z$6,'TP2'!AN:AN,"P")</f>
        <v>0</v>
      </c>
      <c r="M72" s="702">
        <f>SUMIFS('TP2'!$P:$P,'TP2'!$AI:$AI,$Y$2,'TP2'!$R:$R,$X$9,'TP2'!$U:$U,Ohjaus!$T72,'TP2'!$W:$W,Ohjaus!$X$8,'TP2'!$X:$X,$Y$1,'TP2'!$AD:$AD,$X$9,'TP2'!$AF:$AF,Ohjaus!$Y$6,'TP2'!$Q:$Q,Ohjaus!$Y$4,'TP2'!$AG:$AG,Ohjaus!$Y$5,'TP2'!$AL:$AL,$AF$4,'TP2'!$K:$K,$Z$7,'TP2'!AN:AN,"P")</f>
        <v>0</v>
      </c>
      <c r="N72" s="702">
        <f>SUMIFS('TP2'!$P:$P,'TP2'!$AI:$AI,$Y$2,'TP2'!$R:$R,$X$9,'TP2'!$U:$U,Ohjaus!$T72,'TP2'!$W:$W,Ohjaus!$X$8,'TP2'!$X:$X,$Y$1,'TP2'!$AD:$AD,$X$9,'TP2'!$AF:$AF,Ohjaus!$Y$6,'TP2'!$Q:$Q,Ohjaus!$Y$4,'TP2'!$AG:$AG,Ohjaus!$Y$5,'TP2'!$AL:$AL,$AF$4,'TP2'!$K:$K,$Z$8,'TP2'!AN:AN,"P")</f>
        <v>0</v>
      </c>
      <c r="O72" s="702">
        <f>SUMIFS('TP2'!$P:$P,'TP2'!$AI:$AI,$Y$2,'TP2'!$R:$R,$X$9,'TP2'!$U:$U,Ohjaus!$T72,'TP2'!$W:$W,Ohjaus!$X$8,'TP2'!$X:$X,$Y$1,'TP2'!$AD:$AD,$X$9,'TP2'!$AF:$AF,Ohjaus!$Y$6,'TP2'!$Q:$Q,Ohjaus!$Y$4,'TP2'!$AG:$AG,Ohjaus!$Y$5,'TP2'!$AL:$AL,$AF$4,'TP2'!$K:$K,$Z$5,'TP2'!AN:AN,"P")</f>
        <v>0</v>
      </c>
      <c r="T72" s="693" t="s">
        <v>1194</v>
      </c>
      <c r="V72" s="702">
        <f>SUMIFS('TP2'!$P:$P,'TP2'!$AI:$AI,$Y$2,'TP2'!$R:$R,$X$9,'TP2'!$U:$U,Ohjaus!$U72,'TP2'!$W:$W,Ohjaus!$X$8,'TP2'!$X:$X,$Y$1,'TP2'!$AD:$AD,$X$9,'TP2'!$AF:$AF,Ohjaus!$Y$6,'TP2'!$Q:$Q,Ohjaus!$Y$4,'TP2'!$AG:$AG,Ohjaus!$Y$5,'TP2'!AL:AL,$AF$4,'TP2'!AN:AN,"P")</f>
        <v>0</v>
      </c>
      <c r="W72" s="697">
        <f>SUMIFS('TP2'!$P:$P,'TP2'!$AI:$AI,$Y$2,'TP2'!$R:$R,$X$9,'TP2'!$U:$U,Ohjaus!$U72,'TP2'!$W:$W,Ohjaus!$X$8,'TP2'!$X:$X,$Y$1,'TP2'!$AD:$AD,$X$9,'TP2'!$AF:$AF,Ohjaus!$Y$6,'TP2'!$Q:$Q,Ohjaus!$Y$4,'TP2'!$AG:$AG,Ohjaus!$Y$5,'TP2'!$AL:$AL,$AF$4,'TP2'!$V:$V,Ohjaus!$X$7,'TP2'!AN:AN,"P")</f>
        <v>0</v>
      </c>
      <c r="X72" s="697">
        <f>SUMIFS('TP2'!$P:$P,'TP2'!$AI:$AI,$Y$2,'TP2'!$R:$R,$X$9,'TP2'!$U:$U,Ohjaus!$U72,'TP2'!$W:$W,Ohjaus!$X$8,'TP2'!$X:$X,$Y$1,'TP2'!$AD:$AD,$X$9,'TP2'!$AF:$AF,Ohjaus!$Y$6,'TP2'!$Q:$Q,Ohjaus!$Y$4,'TP2'!$AG:$AG,Ohjaus!$Y$5,'TP2'!$AL:$AL,$AF$4,'TP2'!$V:$V,Ohjaus!$Y$7,'TP2'!AN:AN,"P")</f>
        <v>0</v>
      </c>
      <c r="Y72" s="697">
        <f>SUMIFS('TP2'!$P:$P,'TP2'!$AI:$AI,$Y$2,'TP2'!$R:$R,$X$9,'TP2'!$U:$U,Ohjaus!$U72,'TP2'!$W:$W,"vanha",'TP2'!$X:$X,$Y$1,'TP2'!$AD:$AD,$X$9,'TP2'!$AF:$AF,Ohjaus!$Y$6,'TP2'!$Q:$Q,Ohjaus!$Y$4,'TP2'!$AG:$AG,Ohjaus!$Y$5,'TP2'!$AL:$AL,$AF$4,'TP2'!AN:AN,"P")</f>
        <v>0</v>
      </c>
      <c r="AG72" s="702">
        <f>SUMIFS('TP2'!$P:$P,'TP2'!$AI:$AI,$W$7,'TP2'!$R:$R,$X$9,'TP2'!$U:$U,Ohjaus!$AF72,'TP2'!$W:$W,Ohjaus!$X$8,'TP2'!$X:$X,Ohjaus!$X$6,'TP2'!$AD:$AD,$X$9,'TP2'!$AF:$AF,Ohjaus!$Y$6,'TP2'!$Q:$Q,Ohjaus!$Y$4,'TP2'!$AG:$AG,Ohjaus!$Y$5,'TP2'!AL:AL,$AF$4,'TP2'!AN:AN,"P")</f>
        <v>0</v>
      </c>
      <c r="AH72" s="697">
        <f>SUMIFS('TP2'!$P:$P,'TP2'!$AI:$AI,$Y$2,'TP2'!$R:$R,$X$9,'TP2'!$U:$U,Ohjaus!$AF72,'TP2'!$W:$W,Ohjaus!$X$8,'TP2'!$X:$X,$Y$1,'TP2'!$AD:$AD,$X$9,'TP2'!$AF:$AF,Ohjaus!$Y$6,'TP2'!$Q:$Q,Ohjaus!$Y$4,'TP2'!$AG:$AG,Ohjaus!$Y$5,'TP2'!$AL:$AL,$AF$4,'TP2'!$V:$V,Ohjaus!$X$7,'TP2'!AN:AN,"P")</f>
        <v>0</v>
      </c>
      <c r="AI72" s="697">
        <f>SUMIFS('TP2'!$P:$P,'TP2'!$AI:$AI,$Y$2,'TP2'!$R:$R,$X$9,'TP2'!$U:$U,Ohjaus!$AF72,'TP2'!$W:$W,Ohjaus!$X$8,'TP2'!$X:$X,$Y$1,'TP2'!$AD:$AD,$X$9,'TP2'!$AF:$AF,Ohjaus!$Y$6,'TP2'!$Q:$Q,Ohjaus!$Y$4,'TP2'!$AG:$AG,Ohjaus!$Y$5,'TP2'!$AL:$AL,$AF$4,'TP2'!$V:$V,Ohjaus!$Y$7,'TP2'!AN:AN,"P")</f>
        <v>0</v>
      </c>
      <c r="AJ72" s="697">
        <f>SUMIFS('TP2'!$P:$P,'TP2'!$AI:$AI,$Y$2,'TP2'!$R:$R,$X$9,'TP2'!$U:$U,Ohjaus!$AF72,'TP2'!$W:$W,"vanha",'TP2'!$X:$X,$Y$1,'TP2'!$AD:$AD,$X$9,'TP2'!$AF:$AF,Ohjaus!$Y$6,'TP2'!$Q:$Q,Ohjaus!$Y$4,'TP2'!$AG:$AG,Ohjaus!$Y$5,'TP2'!$AL:$AL,$AF$4,'TP2'!AN:AN,"P")</f>
        <v>0</v>
      </c>
      <c r="AO72" s="707"/>
      <c r="AP72" s="708" t="s">
        <v>1195</v>
      </c>
      <c r="AQ72" s="708" t="s">
        <v>1195</v>
      </c>
      <c r="AR72" t="s">
        <v>1194</v>
      </c>
    </row>
    <row r="73" spans="1:44" x14ac:dyDescent="0.25">
      <c r="A73" s="1089"/>
      <c r="B73" s="696" t="s">
        <v>296</v>
      </c>
      <c r="C73" s="697">
        <f>SUMIFS('TP2'!$P:$P,'TP2'!$AI:$AI,$Y$2,'TP2'!$R:$R,$X$9,'TP2'!$U:$U,Ohjaus!$T73,'TP2'!$W:$W,Ohjaus!$X$8,'TP2'!$X:$X,$Y$1,'TP2'!$AD:$AD,$X$9,'TP2'!$AF:$AF,Ohjaus!$Y$6,'TP2'!$Q:$Q,Ohjaus!$Y$4,'TP2'!$AG:$AG,Ohjaus!$Y$5,'TP2'!AL:AL,$AF$4,'TP2'!AN:AN,"P")+V73+AG73</f>
        <v>0</v>
      </c>
      <c r="D73" s="698">
        <f t="shared" si="5"/>
        <v>0</v>
      </c>
      <c r="E73" s="697">
        <f>SUMIFS('TP2'!$P:$P,'TP2'!$AI:$AI,$Y$2,'TP2'!$R:$R,$X$9,'TP2'!$U:$U,Ohjaus!$T73,'TP2'!$W:$W,Ohjaus!$X$8,'TP2'!$X:$X,$Y$1,'TP2'!$AD:$AD,$X$9,'TP2'!$AF:$AF,Ohjaus!$Y$6,'TP2'!$Q:$Q,Ohjaus!$Y$4,'TP2'!$AG:$AG,Ohjaus!$Y$5,'TP2'!$AL:$AL,$AF$4,'TP2'!$V:$V,Ohjaus!$X$7,'TP2'!AN:AN,"P")+W73+AH73</f>
        <v>0</v>
      </c>
      <c r="F73" s="697">
        <f>SUMIFS('TP2'!$P:$P,'TP2'!$AI:$AI,$Y$2,'TP2'!$R:$R,$X$9,'TP2'!$U:$U,Ohjaus!$T73,'TP2'!$W:$W,Ohjaus!$X$8,'TP2'!$X:$X,$Y$1,'TP2'!$AD:$AD,$X$9,'TP2'!$AF:$AF,Ohjaus!$Y$6,'TP2'!$Q:$Q,Ohjaus!$Y$4,'TP2'!$AG:$AG,Ohjaus!$Y$5,'TP2'!$AL:$AL,$AF$4,'TP2'!$V:$V,Ohjaus!$Y$7,'TP2'!AN:AN,"P")+X73+AI73</f>
        <v>0</v>
      </c>
      <c r="G73" s="697">
        <f>SUMIFS('TP2'!$P:$P,'TP2'!$AI:$AI,$Y$2,'TP2'!$R:$R,$X$9,'TP2'!$U:$U,Ohjaus!$T73,'TP2'!$W:$W,"vanha",'TP2'!$X:$X,$Y$1,'TP2'!$AD:$AD,$X$9,'TP2'!$AF:$AF,Ohjaus!$Y$6,'TP2'!$Q:$Q,Ohjaus!$Y$4,'TP2'!$AG:$AG,Ohjaus!$Y$5,'TP2'!$AL:$AL,$AF$4,'TP2'!AN:AN,"P")+Z73+AK73</f>
        <v>0</v>
      </c>
      <c r="H73" s="699"/>
      <c r="I73" s="700"/>
      <c r="J73" s="701">
        <f>SUMIFS('TP2'!$P:$P,'TP2'!$AI:$AI,$Y$2,'TP2'!$R:$R,$X$9,'TP2'!$U:$U,Ohjaus!$T73,'TP2'!$W:$W,Ohjaus!$X$8,'TP2'!$X:$X,$Y$1,'TP2'!$AD:$AD,$X$9,'TP2'!$AF:$AF,Ohjaus!$Y$6,'TP2'!$Q:$Q,Ohjaus!$Y$4,'TP2'!$AG:$AG,Ohjaus!$Y$5,'TP2'!$AL:$AL,$AF$4,'TP2'!$Z:$Z,1,'TP2'!AN:AN,"P")</f>
        <v>0</v>
      </c>
      <c r="K73" s="702">
        <f>SUMIFS('TP2'!$P:$P,'TP2'!$AI:$AI,$Y$2,'TP2'!$R:$R,$X$9,'TP2'!$U:$U,Ohjaus!$T73,'TP2'!$W:$W,Ohjaus!$X$8,'TP2'!$X:$X,$Y$1,'TP2'!$AD:$AD,$X$9,'TP2'!$AF:$AF,Ohjaus!$Y$6,'TP2'!$Q:$Q,Ohjaus!$Y$4,'TP2'!$AG:$AG,Ohjaus!$Y$5,'TP2'!$AL:$AL,$AF$4,'TP2'!$O:$O,$Z$3,'TP2'!AN:AN,"P")</f>
        <v>0</v>
      </c>
      <c r="L73" s="702">
        <f>SUMIFS('TP2'!$P:$P,'TP2'!$AI:$AI,$Y$2,'TP2'!$R:$R,$X$9,'TP2'!$U:$U,Ohjaus!$T73,'TP2'!$W:$W,Ohjaus!$X$8,'TP2'!$X:$X,$Y$1,'TP2'!$AD:$AD,$X$9,'TP2'!$AF:$AF,Ohjaus!$Y$6,'TP2'!$Q:$Q,Ohjaus!$Y$4,'TP2'!$AG:$AG,Ohjaus!$Y$5,'TP2'!$AL:$AL,$AF$4,'TP2'!$K:$K,$Z$6,'TP2'!AN:AN,"P")</f>
        <v>0</v>
      </c>
      <c r="M73" s="702">
        <f>SUMIFS('TP2'!$P:$P,'TP2'!$AI:$AI,$Y$2,'TP2'!$R:$R,$X$9,'TP2'!$U:$U,Ohjaus!$T73,'TP2'!$W:$W,Ohjaus!$X$8,'TP2'!$X:$X,$Y$1,'TP2'!$AD:$AD,$X$9,'TP2'!$AF:$AF,Ohjaus!$Y$6,'TP2'!$Q:$Q,Ohjaus!$Y$4,'TP2'!$AG:$AG,Ohjaus!$Y$5,'TP2'!$AL:$AL,$AF$4,'TP2'!$K:$K,$Z$7,'TP2'!AN:AN,"P")</f>
        <v>0</v>
      </c>
      <c r="N73" s="702">
        <f>SUMIFS('TP2'!$P:$P,'TP2'!$AI:$AI,$Y$2,'TP2'!$R:$R,$X$9,'TP2'!$U:$U,Ohjaus!$T73,'TP2'!$W:$W,Ohjaus!$X$8,'TP2'!$X:$X,$Y$1,'TP2'!$AD:$AD,$X$9,'TP2'!$AF:$AF,Ohjaus!$Y$6,'TP2'!$Q:$Q,Ohjaus!$Y$4,'TP2'!$AG:$AG,Ohjaus!$Y$5,'TP2'!$AL:$AL,$AF$4,'TP2'!$K:$K,$Z$8,'TP2'!AN:AN,"P")</f>
        <v>0</v>
      </c>
      <c r="O73" s="702">
        <f>SUMIFS('TP2'!$P:$P,'TP2'!$AI:$AI,$Y$2,'TP2'!$R:$R,$X$9,'TP2'!$U:$U,Ohjaus!$T73,'TP2'!$W:$W,Ohjaus!$X$8,'TP2'!$X:$X,$Y$1,'TP2'!$AD:$AD,$X$9,'TP2'!$AF:$AF,Ohjaus!$Y$6,'TP2'!$Q:$Q,Ohjaus!$Y$4,'TP2'!$AG:$AG,Ohjaus!$Y$5,'TP2'!$AL:$AL,$AF$4,'TP2'!$K:$K,$Z$5,'TP2'!AN:AN,"P")</f>
        <v>0</v>
      </c>
      <c r="T73" s="693" t="s">
        <v>1196</v>
      </c>
      <c r="V73" s="702">
        <f>SUMIFS('TP2'!$P:$P,'TP2'!$AI:$AI,$Y$2,'TP2'!$R:$R,$X$9,'TP2'!$U:$U,Ohjaus!$U73,'TP2'!$W:$W,Ohjaus!$X$8,'TP2'!$X:$X,$Y$1,'TP2'!$AD:$AD,$X$9,'TP2'!$AF:$AF,Ohjaus!$Y$6,'TP2'!$Q:$Q,Ohjaus!$Y$4,'TP2'!$AG:$AG,Ohjaus!$Y$5,'TP2'!AL:AL,$AF$4,'TP2'!AN:AN,"P")</f>
        <v>0</v>
      </c>
      <c r="W73" s="697">
        <f>SUMIFS('TP2'!$P:$P,'TP2'!$AI:$AI,$Y$2,'TP2'!$R:$R,$X$9,'TP2'!$U:$U,Ohjaus!$U73,'TP2'!$W:$W,Ohjaus!$X$8,'TP2'!$X:$X,$Y$1,'TP2'!$AD:$AD,$X$9,'TP2'!$AF:$AF,Ohjaus!$Y$6,'TP2'!$Q:$Q,Ohjaus!$Y$4,'TP2'!$AG:$AG,Ohjaus!$Y$5,'TP2'!$AL:$AL,$AF$4,'TP2'!$V:$V,Ohjaus!$X$7,'TP2'!AN:AN,"P")</f>
        <v>0</v>
      </c>
      <c r="X73" s="697">
        <f>SUMIFS('TP2'!$P:$P,'TP2'!$AI:$AI,$Y$2,'TP2'!$R:$R,$X$9,'TP2'!$U:$U,Ohjaus!$U73,'TP2'!$W:$W,Ohjaus!$X$8,'TP2'!$X:$X,$Y$1,'TP2'!$AD:$AD,$X$9,'TP2'!$AF:$AF,Ohjaus!$Y$6,'TP2'!$Q:$Q,Ohjaus!$Y$4,'TP2'!$AG:$AG,Ohjaus!$Y$5,'TP2'!$AL:$AL,$AF$4,'TP2'!$V:$V,Ohjaus!$Y$7,'TP2'!AN:AN,"P")</f>
        <v>0</v>
      </c>
      <c r="Y73" s="697">
        <f>SUMIFS('TP2'!$P:$P,'TP2'!$AI:$AI,$Y$2,'TP2'!$R:$R,$X$9,'TP2'!$U:$U,Ohjaus!$U73,'TP2'!$W:$W,"vanha",'TP2'!$X:$X,$Y$1,'TP2'!$AD:$AD,$X$9,'TP2'!$AF:$AF,Ohjaus!$Y$6,'TP2'!$Q:$Q,Ohjaus!$Y$4,'TP2'!$AG:$AG,Ohjaus!$Y$5,'TP2'!$AL:$AL,$AF$4,'TP2'!AN:AN,"P")</f>
        <v>0</v>
      </c>
      <c r="AG73" s="702">
        <f>SUMIFS('TP2'!$P:$P,'TP2'!$AI:$AI,$W$7,'TP2'!$R:$R,$X$9,'TP2'!$U:$U,Ohjaus!$AF73,'TP2'!$W:$W,Ohjaus!$X$8,'TP2'!$X:$X,Ohjaus!$X$6,'TP2'!$AD:$AD,$X$9,'TP2'!$AF:$AF,Ohjaus!$Y$6,'TP2'!$Q:$Q,Ohjaus!$Y$4,'TP2'!$AG:$AG,Ohjaus!$Y$5,'TP2'!AL:AL,$AF$4,'TP2'!AN:AN,"P")</f>
        <v>0</v>
      </c>
      <c r="AH73" s="697">
        <f>SUMIFS('TP2'!$P:$P,'TP2'!$AI:$AI,$Y$2,'TP2'!$R:$R,$X$9,'TP2'!$U:$U,Ohjaus!$AF73,'TP2'!$W:$W,Ohjaus!$X$8,'TP2'!$X:$X,$Y$1,'TP2'!$AD:$AD,$X$9,'TP2'!$AF:$AF,Ohjaus!$Y$6,'TP2'!$Q:$Q,Ohjaus!$Y$4,'TP2'!$AG:$AG,Ohjaus!$Y$5,'TP2'!$AL:$AL,$AF$4,'TP2'!$V:$V,Ohjaus!$X$7,'TP2'!AN:AN,"P")</f>
        <v>0</v>
      </c>
      <c r="AI73" s="697">
        <f>SUMIFS('TP2'!$P:$P,'TP2'!$AI:$AI,$Y$2,'TP2'!$R:$R,$X$9,'TP2'!$U:$U,Ohjaus!$AF73,'TP2'!$W:$W,Ohjaus!$X$8,'TP2'!$X:$X,$Y$1,'TP2'!$AD:$AD,$X$9,'TP2'!$AF:$AF,Ohjaus!$Y$6,'TP2'!$Q:$Q,Ohjaus!$Y$4,'TP2'!$AG:$AG,Ohjaus!$Y$5,'TP2'!$AL:$AL,$AF$4,'TP2'!$V:$V,Ohjaus!$Y$7,'TP2'!AN:AN,"P")</f>
        <v>0</v>
      </c>
      <c r="AJ73" s="697">
        <f>SUMIFS('TP2'!$P:$P,'TP2'!$AI:$AI,$Y$2,'TP2'!$R:$R,$X$9,'TP2'!$U:$U,Ohjaus!$AF73,'TP2'!$W:$W,"vanha",'TP2'!$X:$X,$Y$1,'TP2'!$AD:$AD,$X$9,'TP2'!$AF:$AF,Ohjaus!$Y$6,'TP2'!$Q:$Q,Ohjaus!$Y$4,'TP2'!$AG:$AG,Ohjaus!$Y$5,'TP2'!$AL:$AL,$AF$4,'TP2'!AN:AN,"P")</f>
        <v>0</v>
      </c>
      <c r="AO73" s="707"/>
      <c r="AP73" s="708" t="s">
        <v>1197</v>
      </c>
      <c r="AQ73" s="708" t="s">
        <v>1197</v>
      </c>
      <c r="AR73" t="s">
        <v>1196</v>
      </c>
    </row>
    <row r="74" spans="1:44" x14ac:dyDescent="0.25">
      <c r="A74" s="1089"/>
      <c r="B74" s="696" t="s">
        <v>1198</v>
      </c>
      <c r="C74" s="697">
        <f>SUMIFS('TP2'!$P:$P,'TP2'!$AI:$AI,$Y$2,'TP2'!$R:$R,$X$9,'TP2'!$U:$U,Ohjaus!$T74,'TP2'!$W:$W,Ohjaus!$X$8,'TP2'!$X:$X,$Y$1,'TP2'!$AD:$AD,$X$9,'TP2'!$AF:$AF,Ohjaus!$Y$6,'TP2'!$Q:$Q,Ohjaus!$Y$4,'TP2'!$AG:$AG,Ohjaus!$Y$5,'TP2'!AL:AL,$AF$4,'TP2'!AN:AN,"P")+V74+AG74</f>
        <v>0</v>
      </c>
      <c r="D74" s="698">
        <f t="shared" si="5"/>
        <v>0</v>
      </c>
      <c r="E74" s="697">
        <f>SUMIFS('TP2'!$P:$P,'TP2'!$AI:$AI,$Y$2,'TP2'!$R:$R,$X$9,'TP2'!$U:$U,Ohjaus!$T74,'TP2'!$W:$W,Ohjaus!$X$8,'TP2'!$X:$X,$Y$1,'TP2'!$AD:$AD,$X$9,'TP2'!$AF:$AF,Ohjaus!$Y$6,'TP2'!$Q:$Q,Ohjaus!$Y$4,'TP2'!$AG:$AG,Ohjaus!$Y$5,'TP2'!$AL:$AL,$AF$4,'TP2'!$V:$V,Ohjaus!$X$7,'TP2'!AN:AN,"P")+W74+AH74</f>
        <v>0</v>
      </c>
      <c r="F74" s="697">
        <f>SUMIFS('TP2'!$P:$P,'TP2'!$AI:$AI,$Y$2,'TP2'!$R:$R,$X$9,'TP2'!$U:$U,Ohjaus!$T74,'TP2'!$W:$W,Ohjaus!$X$8,'TP2'!$X:$X,$Y$1,'TP2'!$AD:$AD,$X$9,'TP2'!$AF:$AF,Ohjaus!$Y$6,'TP2'!$Q:$Q,Ohjaus!$Y$4,'TP2'!$AG:$AG,Ohjaus!$Y$5,'TP2'!$AL:$AL,$AF$4,'TP2'!$V:$V,Ohjaus!$Y$7,'TP2'!AN:AN,"P")+X74+AI74</f>
        <v>0</v>
      </c>
      <c r="G74" s="697">
        <f>SUMIFS('TP2'!$P:$P,'TP2'!$AI:$AI,$Y$2,'TP2'!$R:$R,$X$9,'TP2'!$U:$U,Ohjaus!$T74,'TP2'!$W:$W,"vanha",'TP2'!$X:$X,$Y$1,'TP2'!$AD:$AD,$X$9,'TP2'!$AF:$AF,Ohjaus!$Y$6,'TP2'!$Q:$Q,Ohjaus!$Y$4,'TP2'!$AG:$AG,Ohjaus!$Y$5,'TP2'!$AL:$AL,$AF$4,'TP2'!AN:AN,"P")+Z74+AK74</f>
        <v>0</v>
      </c>
      <c r="H74" s="699"/>
      <c r="I74" s="700"/>
      <c r="J74" s="701">
        <f>SUMIFS('TP2'!$P:$P,'TP2'!$AI:$AI,$Y$2,'TP2'!$R:$R,$X$9,'TP2'!$U:$U,Ohjaus!$T74,'TP2'!$W:$W,Ohjaus!$X$8,'TP2'!$X:$X,$Y$1,'TP2'!$AD:$AD,$X$9,'TP2'!$AF:$AF,Ohjaus!$Y$6,'TP2'!$Q:$Q,Ohjaus!$Y$4,'TP2'!$AG:$AG,Ohjaus!$Y$5,'TP2'!$AL:$AL,$AF$4,'TP2'!$Z:$Z,1,'TP2'!AN:AN,"P")</f>
        <v>0</v>
      </c>
      <c r="K74" s="702">
        <f>SUMIFS('TP2'!$P:$P,'TP2'!$AI:$AI,$Y$2,'TP2'!$R:$R,$X$9,'TP2'!$U:$U,Ohjaus!$T74,'TP2'!$W:$W,Ohjaus!$X$8,'TP2'!$X:$X,$Y$1,'TP2'!$AD:$AD,$X$9,'TP2'!$AF:$AF,Ohjaus!$Y$6,'TP2'!$Q:$Q,Ohjaus!$Y$4,'TP2'!$AG:$AG,Ohjaus!$Y$5,'TP2'!$AL:$AL,$AF$4,'TP2'!$O:$O,$Z$3,'TP2'!AN:AN,"P")</f>
        <v>0</v>
      </c>
      <c r="L74" s="702">
        <f>SUMIFS('TP2'!$P:$P,'TP2'!$AI:$AI,$Y$2,'TP2'!$R:$R,$X$9,'TP2'!$U:$U,Ohjaus!$T74,'TP2'!$W:$W,Ohjaus!$X$8,'TP2'!$X:$X,$Y$1,'TP2'!$AD:$AD,$X$9,'TP2'!$AF:$AF,Ohjaus!$Y$6,'TP2'!$Q:$Q,Ohjaus!$Y$4,'TP2'!$AG:$AG,Ohjaus!$Y$5,'TP2'!$AL:$AL,$AF$4,'TP2'!$K:$K,$Z$6,'TP2'!AN:AN,"P")</f>
        <v>0</v>
      </c>
      <c r="M74" s="702">
        <f>SUMIFS('TP2'!$P:$P,'TP2'!$AI:$AI,$Y$2,'TP2'!$R:$R,$X$9,'TP2'!$U:$U,Ohjaus!$T74,'TP2'!$W:$W,Ohjaus!$X$8,'TP2'!$X:$X,$Y$1,'TP2'!$AD:$AD,$X$9,'TP2'!$AF:$AF,Ohjaus!$Y$6,'TP2'!$Q:$Q,Ohjaus!$Y$4,'TP2'!$AG:$AG,Ohjaus!$Y$5,'TP2'!$AL:$AL,$AF$4,'TP2'!$K:$K,$Z$7,'TP2'!AN:AN,"P")</f>
        <v>0</v>
      </c>
      <c r="N74" s="702">
        <f>SUMIFS('TP2'!$P:$P,'TP2'!$AI:$AI,$Y$2,'TP2'!$R:$R,$X$9,'TP2'!$U:$U,Ohjaus!$T74,'TP2'!$W:$W,Ohjaus!$X$8,'TP2'!$X:$X,$Y$1,'TP2'!$AD:$AD,$X$9,'TP2'!$AF:$AF,Ohjaus!$Y$6,'TP2'!$Q:$Q,Ohjaus!$Y$4,'TP2'!$AG:$AG,Ohjaus!$Y$5,'TP2'!$AL:$AL,$AF$4,'TP2'!$K:$K,$Z$8,'TP2'!AN:AN,"P")</f>
        <v>0</v>
      </c>
      <c r="O74" s="702">
        <f>SUMIFS('TP2'!$P:$P,'TP2'!$AI:$AI,$Y$2,'TP2'!$R:$R,$X$9,'TP2'!$U:$U,Ohjaus!$T74,'TP2'!$W:$W,Ohjaus!$X$8,'TP2'!$X:$X,$Y$1,'TP2'!$AD:$AD,$X$9,'TP2'!$AF:$AF,Ohjaus!$Y$6,'TP2'!$Q:$Q,Ohjaus!$Y$4,'TP2'!$AG:$AG,Ohjaus!$Y$5,'TP2'!$AL:$AL,$AF$4,'TP2'!$K:$K,$Z$5,'TP2'!AN:AN,"P")</f>
        <v>0</v>
      </c>
      <c r="T74" s="693" t="s">
        <v>1199</v>
      </c>
      <c r="V74" s="702">
        <f>SUMIFS('TP2'!$P:$P,'TP2'!$AI:$AI,$Y$2,'TP2'!$R:$R,$X$9,'TP2'!$U:$U,Ohjaus!$U74,'TP2'!$W:$W,Ohjaus!$X$8,'TP2'!$X:$X,$Y$1,'TP2'!$AD:$AD,$X$9,'TP2'!$AF:$AF,Ohjaus!$Y$6,'TP2'!$Q:$Q,Ohjaus!$Y$4,'TP2'!$AG:$AG,Ohjaus!$Y$5,'TP2'!AL:AL,$AF$4,'TP2'!AN:AN,"P")</f>
        <v>0</v>
      </c>
      <c r="W74" s="697">
        <f>SUMIFS('TP2'!$P:$P,'TP2'!$AI:$AI,$Y$2,'TP2'!$R:$R,$X$9,'TP2'!$U:$U,Ohjaus!$U74,'TP2'!$W:$W,Ohjaus!$X$8,'TP2'!$X:$X,$Y$1,'TP2'!$AD:$AD,$X$9,'TP2'!$AF:$AF,Ohjaus!$Y$6,'TP2'!$Q:$Q,Ohjaus!$Y$4,'TP2'!$AG:$AG,Ohjaus!$Y$5,'TP2'!$AL:$AL,$AF$4,'TP2'!$V:$V,Ohjaus!$X$7,'TP2'!AN:AN,"P")</f>
        <v>0</v>
      </c>
      <c r="X74" s="697">
        <f>SUMIFS('TP2'!$P:$P,'TP2'!$AI:$AI,$Y$2,'TP2'!$R:$R,$X$9,'TP2'!$U:$U,Ohjaus!$U74,'TP2'!$W:$W,Ohjaus!$X$8,'TP2'!$X:$X,$Y$1,'TP2'!$AD:$AD,$X$9,'TP2'!$AF:$AF,Ohjaus!$Y$6,'TP2'!$Q:$Q,Ohjaus!$Y$4,'TP2'!$AG:$AG,Ohjaus!$Y$5,'TP2'!$AL:$AL,$AF$4,'TP2'!$V:$V,Ohjaus!$Y$7,'TP2'!AN:AN,"P")</f>
        <v>0</v>
      </c>
      <c r="Y74" s="697">
        <f>SUMIFS('TP2'!$P:$P,'TP2'!$AI:$AI,$Y$2,'TP2'!$R:$R,$X$9,'TP2'!$U:$U,Ohjaus!$U74,'TP2'!$W:$W,"vanha",'TP2'!$X:$X,$Y$1,'TP2'!$AD:$AD,$X$9,'TP2'!$AF:$AF,Ohjaus!$Y$6,'TP2'!$Q:$Q,Ohjaus!$Y$4,'TP2'!$AG:$AG,Ohjaus!$Y$5,'TP2'!$AL:$AL,$AF$4,'TP2'!AN:AN,"P")</f>
        <v>0</v>
      </c>
      <c r="AG74" s="702">
        <f>SUMIFS('TP2'!$P:$P,'TP2'!$AI:$AI,$W$7,'TP2'!$R:$R,$X$9,'TP2'!$U:$U,Ohjaus!$AF74,'TP2'!$W:$W,Ohjaus!$X$8,'TP2'!$X:$X,Ohjaus!$X$6,'TP2'!$AD:$AD,$X$9,'TP2'!$AF:$AF,Ohjaus!$Y$6,'TP2'!$Q:$Q,Ohjaus!$Y$4,'TP2'!$AG:$AG,Ohjaus!$Y$5,'TP2'!AL:AL,$AF$4,'TP2'!AN:AN,"P")</f>
        <v>0</v>
      </c>
      <c r="AH74" s="697">
        <f>SUMIFS('TP2'!$P:$P,'TP2'!$AI:$AI,$Y$2,'TP2'!$R:$R,$X$9,'TP2'!$U:$U,Ohjaus!$AF74,'TP2'!$W:$W,Ohjaus!$X$8,'TP2'!$X:$X,$Y$1,'TP2'!$AD:$AD,$X$9,'TP2'!$AF:$AF,Ohjaus!$Y$6,'TP2'!$Q:$Q,Ohjaus!$Y$4,'TP2'!$AG:$AG,Ohjaus!$Y$5,'TP2'!$AL:$AL,$AF$4,'TP2'!$V:$V,Ohjaus!$X$7,'TP2'!AN:AN,"P")</f>
        <v>0</v>
      </c>
      <c r="AI74" s="697">
        <f>SUMIFS('TP2'!$P:$P,'TP2'!$AI:$AI,$Y$2,'TP2'!$R:$R,$X$9,'TP2'!$U:$U,Ohjaus!$AF74,'TP2'!$W:$W,Ohjaus!$X$8,'TP2'!$X:$X,$Y$1,'TP2'!$AD:$AD,$X$9,'TP2'!$AF:$AF,Ohjaus!$Y$6,'TP2'!$Q:$Q,Ohjaus!$Y$4,'TP2'!$AG:$AG,Ohjaus!$Y$5,'TP2'!$AL:$AL,$AF$4,'TP2'!$V:$V,Ohjaus!$Y$7,'TP2'!AN:AN,"P")</f>
        <v>0</v>
      </c>
      <c r="AJ74" s="697">
        <f>SUMIFS('TP2'!$P:$P,'TP2'!$AI:$AI,$Y$2,'TP2'!$R:$R,$X$9,'TP2'!$U:$U,Ohjaus!$AF74,'TP2'!$W:$W,"vanha",'TP2'!$X:$X,$Y$1,'TP2'!$AD:$AD,$X$9,'TP2'!$AF:$AF,Ohjaus!$Y$6,'TP2'!$Q:$Q,Ohjaus!$Y$4,'TP2'!$AG:$AG,Ohjaus!$Y$5,'TP2'!$AL:$AL,$AF$4,'TP2'!AN:AN,"P")</f>
        <v>0</v>
      </c>
      <c r="AO74" s="707"/>
      <c r="AP74" s="708" t="s">
        <v>1200</v>
      </c>
      <c r="AQ74" s="708" t="s">
        <v>1200</v>
      </c>
      <c r="AR74" t="s">
        <v>1199</v>
      </c>
    </row>
    <row r="75" spans="1:44" x14ac:dyDescent="0.25">
      <c r="A75" s="1089"/>
      <c r="B75" s="696" t="s">
        <v>1186</v>
      </c>
      <c r="C75" s="697">
        <f>SUMIFS('TP2'!$P:$P,'TP2'!$AI:$AI,$Y$2,'TP2'!$R:$R,$X$9,'TP2'!$U:$U,Ohjaus!$T75,'TP2'!$W:$W,Ohjaus!$X$8,'TP2'!$X:$X,$Y$1,'TP2'!$AD:$AD,$X$9,'TP2'!$AF:$AF,Ohjaus!$Y$6,'TP2'!$Q:$Q,Ohjaus!$Y$4,'TP2'!$AG:$AG,Ohjaus!$Y$5,'TP2'!AL:AL,$AF$4,'TP2'!AN:AN,"P")+V75+AG75</f>
        <v>0</v>
      </c>
      <c r="D75" s="698">
        <f t="shared" si="5"/>
        <v>0</v>
      </c>
      <c r="E75" s="697">
        <f>SUMIFS('TP2'!$P:$P,'TP2'!$AI:$AI,$Y$2,'TP2'!$R:$R,$X$9,'TP2'!$U:$U,Ohjaus!$T75,'TP2'!$W:$W,Ohjaus!$X$8,'TP2'!$X:$X,$Y$1,'TP2'!$AD:$AD,$X$9,'TP2'!$AF:$AF,Ohjaus!$Y$6,'TP2'!$Q:$Q,Ohjaus!$Y$4,'TP2'!$AG:$AG,Ohjaus!$Y$5,'TP2'!$AL:$AL,$AF$4,'TP2'!$V:$V,Ohjaus!$X$7,'TP2'!AN:AN,"P")+W75+AH75</f>
        <v>0</v>
      </c>
      <c r="F75" s="697">
        <f>SUMIFS('TP2'!$P:$P,'TP2'!$AI:$AI,$Y$2,'TP2'!$R:$R,$X$9,'TP2'!$U:$U,Ohjaus!$T75,'TP2'!$W:$W,Ohjaus!$X$8,'TP2'!$X:$X,$Y$1,'TP2'!$AD:$AD,$X$9,'TP2'!$AF:$AF,Ohjaus!$Y$6,'TP2'!$Q:$Q,Ohjaus!$Y$4,'TP2'!$AG:$AG,Ohjaus!$Y$5,'TP2'!$AL:$AL,$AF$4,'TP2'!$V:$V,Ohjaus!$Y$7,'TP2'!AN:AN,"P")+X75+AI75</f>
        <v>0</v>
      </c>
      <c r="G75" s="697">
        <f>SUMIFS('TP2'!$P:$P,'TP2'!$AI:$AI,$Y$2,'TP2'!$R:$R,$X$9,'TP2'!$U:$U,Ohjaus!$T75,'TP2'!$W:$W,"vanha",'TP2'!$X:$X,$Y$1,'TP2'!$AD:$AD,$X$9,'TP2'!$AF:$AF,Ohjaus!$Y$6,'TP2'!$Q:$Q,Ohjaus!$Y$4,'TP2'!$AG:$AG,Ohjaus!$Y$5,'TP2'!$AL:$AL,$AF$4,'TP2'!AN:AN,"P")+Z75+AK75</f>
        <v>0</v>
      </c>
      <c r="H75" s="699"/>
      <c r="I75" s="700"/>
      <c r="J75" s="701">
        <f>SUMIFS('TP2'!$P:$P,'TP2'!$AI:$AI,$Y$2,'TP2'!$R:$R,$X$9,'TP2'!$U:$U,Ohjaus!$T75,'TP2'!$W:$W,Ohjaus!$X$8,'TP2'!$X:$X,$Y$1,'TP2'!$AD:$AD,$X$9,'TP2'!$AF:$AF,Ohjaus!$Y$6,'TP2'!$Q:$Q,Ohjaus!$Y$4,'TP2'!$AG:$AG,Ohjaus!$Y$5,'TP2'!$AL:$AL,$AF$4,'TP2'!$Z:$Z,1,'TP2'!AN:AN,"P")</f>
        <v>0</v>
      </c>
      <c r="K75" s="702">
        <f>SUMIFS('TP2'!$P:$P,'TP2'!$AI:$AI,$Y$2,'TP2'!$R:$R,$X$9,'TP2'!$U:$U,Ohjaus!$T75,'TP2'!$W:$W,Ohjaus!$X$8,'TP2'!$X:$X,$Y$1,'TP2'!$AD:$AD,$X$9,'TP2'!$AF:$AF,Ohjaus!$Y$6,'TP2'!$Q:$Q,Ohjaus!$Y$4,'TP2'!$AG:$AG,Ohjaus!$Y$5,'TP2'!$AL:$AL,$AF$4,'TP2'!$O:$O,$Z$3,'TP2'!AN:AN,"P")</f>
        <v>0</v>
      </c>
      <c r="L75" s="702">
        <f>SUMIFS('TP2'!$P:$P,'TP2'!$AI:$AI,$Y$2,'TP2'!$R:$R,$X$9,'TP2'!$U:$U,Ohjaus!$T75,'TP2'!$W:$W,Ohjaus!$X$8,'TP2'!$X:$X,$Y$1,'TP2'!$AD:$AD,$X$9,'TP2'!$AF:$AF,Ohjaus!$Y$6,'TP2'!$Q:$Q,Ohjaus!$Y$4,'TP2'!$AG:$AG,Ohjaus!$Y$5,'TP2'!$AL:$AL,$AF$4,'TP2'!$K:$K,$Z$6,'TP2'!AN:AN,"P")</f>
        <v>0</v>
      </c>
      <c r="M75" s="702">
        <f>SUMIFS('TP2'!$P:$P,'TP2'!$AI:$AI,$Y$2,'TP2'!$R:$R,$X$9,'TP2'!$U:$U,Ohjaus!$T75,'TP2'!$W:$W,Ohjaus!$X$8,'TP2'!$X:$X,$Y$1,'TP2'!$AD:$AD,$X$9,'TP2'!$AF:$AF,Ohjaus!$Y$6,'TP2'!$Q:$Q,Ohjaus!$Y$4,'TP2'!$AG:$AG,Ohjaus!$Y$5,'TP2'!$AL:$AL,$AF$4,'TP2'!$K:$K,$Z$7,'TP2'!AN:AN,"P")</f>
        <v>0</v>
      </c>
      <c r="N75" s="702">
        <f>SUMIFS('TP2'!$P:$P,'TP2'!$AI:$AI,$Y$2,'TP2'!$R:$R,$X$9,'TP2'!$U:$U,Ohjaus!$T75,'TP2'!$W:$W,Ohjaus!$X$8,'TP2'!$X:$X,$Y$1,'TP2'!$AD:$AD,$X$9,'TP2'!$AF:$AF,Ohjaus!$Y$6,'TP2'!$Q:$Q,Ohjaus!$Y$4,'TP2'!$AG:$AG,Ohjaus!$Y$5,'TP2'!$AL:$AL,$AF$4,'TP2'!$K:$K,$Z$8,'TP2'!AN:AN,"P")</f>
        <v>0</v>
      </c>
      <c r="O75" s="702">
        <f>SUMIFS('TP2'!$P:$P,'TP2'!$AI:$AI,$Y$2,'TP2'!$R:$R,$X$9,'TP2'!$U:$U,Ohjaus!$T75,'TP2'!$W:$W,Ohjaus!$X$8,'TP2'!$X:$X,$Y$1,'TP2'!$AD:$AD,$X$9,'TP2'!$AF:$AF,Ohjaus!$Y$6,'TP2'!$Q:$Q,Ohjaus!$Y$4,'TP2'!$AG:$AG,Ohjaus!$Y$5,'TP2'!$AL:$AL,$AF$4,'TP2'!$K:$K,$Z$5,'TP2'!AN:AN,"P")</f>
        <v>0</v>
      </c>
      <c r="T75" s="693" t="s">
        <v>1201</v>
      </c>
      <c r="V75" s="702">
        <f>SUMIFS('TP2'!$P:$P,'TP2'!$AI:$AI,$Y$2,'TP2'!$R:$R,$X$9,'TP2'!$U:$U,Ohjaus!$U75,'TP2'!$W:$W,Ohjaus!$X$8,'TP2'!$X:$X,$Y$1,'TP2'!$AD:$AD,$X$9,'TP2'!$AF:$AF,Ohjaus!$Y$6,'TP2'!$Q:$Q,Ohjaus!$Y$4,'TP2'!$AG:$AG,Ohjaus!$Y$5,'TP2'!AL:AL,$AF$4,'TP2'!AN:AN,"P")</f>
        <v>0</v>
      </c>
      <c r="W75" s="697">
        <f>SUMIFS('TP2'!$P:$P,'TP2'!$AI:$AI,$Y$2,'TP2'!$R:$R,$X$9,'TP2'!$U:$U,Ohjaus!$U75,'TP2'!$W:$W,Ohjaus!$X$8,'TP2'!$X:$X,$Y$1,'TP2'!$AD:$AD,$X$9,'TP2'!$AF:$AF,Ohjaus!$Y$6,'TP2'!$Q:$Q,Ohjaus!$Y$4,'TP2'!$AG:$AG,Ohjaus!$Y$5,'TP2'!$AL:$AL,$AF$4,'TP2'!$V:$V,Ohjaus!$X$7,'TP2'!AN:AN,"P")</f>
        <v>0</v>
      </c>
      <c r="X75" s="697">
        <f>SUMIFS('TP2'!$P:$P,'TP2'!$AI:$AI,$Y$2,'TP2'!$R:$R,$X$9,'TP2'!$U:$U,Ohjaus!$U75,'TP2'!$W:$W,Ohjaus!$X$8,'TP2'!$X:$X,$Y$1,'TP2'!$AD:$AD,$X$9,'TP2'!$AF:$AF,Ohjaus!$Y$6,'TP2'!$Q:$Q,Ohjaus!$Y$4,'TP2'!$AG:$AG,Ohjaus!$Y$5,'TP2'!$AL:$AL,$AF$4,'TP2'!$V:$V,Ohjaus!$Y$7,'TP2'!AN:AN,"P")</f>
        <v>0</v>
      </c>
      <c r="Y75" s="697">
        <f>SUMIFS('TP2'!$P:$P,'TP2'!$AI:$AI,$Y$2,'TP2'!$R:$R,$X$9,'TP2'!$U:$U,Ohjaus!$U75,'TP2'!$W:$W,"vanha",'TP2'!$X:$X,$Y$1,'TP2'!$AD:$AD,$X$9,'TP2'!$AF:$AF,Ohjaus!$Y$6,'TP2'!$Q:$Q,Ohjaus!$Y$4,'TP2'!$AG:$AG,Ohjaus!$Y$5,'TP2'!$AL:$AL,$AF$4,'TP2'!AN:AN,"P")</f>
        <v>0</v>
      </c>
      <c r="AG75" s="702">
        <f>SUMIFS('TP2'!$P:$P,'TP2'!$AI:$AI,$W$7,'TP2'!$R:$R,$X$9,'TP2'!$U:$U,Ohjaus!$AF75,'TP2'!$W:$W,Ohjaus!$X$8,'TP2'!$X:$X,Ohjaus!$X$6,'TP2'!$AD:$AD,$X$9,'TP2'!$AF:$AF,Ohjaus!$Y$6,'TP2'!$Q:$Q,Ohjaus!$Y$4,'TP2'!$AG:$AG,Ohjaus!$Y$5,'TP2'!AL:AL,$AF$4,'TP2'!AN:AN,"P")</f>
        <v>0</v>
      </c>
      <c r="AH75" s="697">
        <f>SUMIFS('TP2'!$P:$P,'TP2'!$AI:$AI,$Y$2,'TP2'!$R:$R,$X$9,'TP2'!$U:$U,Ohjaus!$AF75,'TP2'!$W:$W,Ohjaus!$X$8,'TP2'!$X:$X,$Y$1,'TP2'!$AD:$AD,$X$9,'TP2'!$AF:$AF,Ohjaus!$Y$6,'TP2'!$Q:$Q,Ohjaus!$Y$4,'TP2'!$AG:$AG,Ohjaus!$Y$5,'TP2'!$AL:$AL,$AF$4,'TP2'!$V:$V,Ohjaus!$X$7,'TP2'!AN:AN,"P")</f>
        <v>0</v>
      </c>
      <c r="AI75" s="697">
        <f>SUMIFS('TP2'!$P:$P,'TP2'!$AI:$AI,$Y$2,'TP2'!$R:$R,$X$9,'TP2'!$U:$U,Ohjaus!$AF75,'TP2'!$W:$W,Ohjaus!$X$8,'TP2'!$X:$X,$Y$1,'TP2'!$AD:$AD,$X$9,'TP2'!$AF:$AF,Ohjaus!$Y$6,'TP2'!$Q:$Q,Ohjaus!$Y$4,'TP2'!$AG:$AG,Ohjaus!$Y$5,'TP2'!$AL:$AL,$AF$4,'TP2'!$V:$V,Ohjaus!$Y$7,'TP2'!AN:AN,"P")</f>
        <v>0</v>
      </c>
      <c r="AJ75" s="697">
        <f>SUMIFS('TP2'!$P:$P,'TP2'!$AI:$AI,$Y$2,'TP2'!$R:$R,$X$9,'TP2'!$U:$U,Ohjaus!$AF75,'TP2'!$W:$W,"vanha",'TP2'!$X:$X,$Y$1,'TP2'!$AD:$AD,$X$9,'TP2'!$AF:$AF,Ohjaus!$Y$6,'TP2'!$Q:$Q,Ohjaus!$Y$4,'TP2'!$AG:$AG,Ohjaus!$Y$5,'TP2'!$AL:$AL,$AF$4,'TP2'!AN:AN,"P")</f>
        <v>0</v>
      </c>
      <c r="AO75" s="707"/>
      <c r="AP75" s="708" t="s">
        <v>1202</v>
      </c>
      <c r="AQ75" s="708" t="s">
        <v>1202</v>
      </c>
      <c r="AR75" t="s">
        <v>1201</v>
      </c>
    </row>
    <row r="76" spans="1:44" x14ac:dyDescent="0.25">
      <c r="A76" s="729"/>
      <c r="B76" s="6"/>
      <c r="C76" s="730">
        <f>C69+C59+C49+C43+C32+C16</f>
        <v>0</v>
      </c>
      <c r="D76" s="731"/>
      <c r="E76" s="6"/>
      <c r="F76" s="6"/>
      <c r="G76" s="6"/>
      <c r="H76" s="14"/>
      <c r="I76" s="24"/>
      <c r="J76" s="14"/>
      <c r="K76" s="6"/>
      <c r="L76" s="6"/>
      <c r="M76" s="6"/>
      <c r="N76" s="6"/>
      <c r="O76" s="24"/>
      <c r="T76"/>
      <c r="AO76" s="707"/>
    </row>
    <row r="77" spans="1:44" x14ac:dyDescent="0.25">
      <c r="A77" s="15"/>
      <c r="B77" s="18"/>
      <c r="C77" s="18"/>
      <c r="D77" s="732"/>
      <c r="E77" s="18"/>
      <c r="F77" s="18"/>
      <c r="G77" s="45"/>
      <c r="H77" s="15"/>
      <c r="I77" s="23"/>
      <c r="J77" s="15"/>
      <c r="K77" s="20"/>
      <c r="L77" s="20"/>
      <c r="M77" s="20"/>
      <c r="N77" s="20"/>
      <c r="O77" s="23"/>
      <c r="T77"/>
    </row>
    <row r="78" spans="1:44" ht="16.149999999999999" customHeight="1" x14ac:dyDescent="0.25"/>
    <row r="79" spans="1:44" ht="16.149999999999999" customHeight="1" x14ac:dyDescent="0.25"/>
    <row r="80" spans="1:44" ht="14.25" customHeight="1" x14ac:dyDescent="0.25"/>
    <row r="81" spans="1:15" ht="18" customHeight="1" x14ac:dyDescent="0.25"/>
    <row r="82" spans="1:15" ht="222" customHeight="1" x14ac:dyDescent="0.25"/>
    <row r="83" spans="1:15" ht="24" customHeight="1" x14ac:dyDescent="0.25"/>
    <row r="86" spans="1:15" ht="18.600000000000001" customHeight="1" x14ac:dyDescent="0.25">
      <c r="A86" s="1101" t="str">
        <f>Y12&amp;A17&amp;X10&amp;X12</f>
        <v>Asiakkuuteen liittyvät toimenpiteet ja ohjaukset - 01.01.2026-31.12.2026 (Kaikki kunnat, Kaikki yksiköt)</v>
      </c>
      <c r="B86" s="1102"/>
      <c r="C86" s="1102"/>
      <c r="D86" s="1102"/>
      <c r="E86" s="1102"/>
      <c r="F86" s="1102"/>
      <c r="G86" s="1103"/>
      <c r="H86" s="1101" t="str">
        <f>Y12&amp;A33&amp;X10&amp;X12</f>
        <v>Sosiaalityö ja terveydenhuolto - 01.01.2026-31.12.2026 (Kaikki kunnat, Kaikki yksiköt)</v>
      </c>
      <c r="I86" s="1102"/>
      <c r="J86" s="1102"/>
      <c r="K86" s="1102"/>
      <c r="L86" s="1102"/>
      <c r="M86" s="1103"/>
    </row>
    <row r="87" spans="1:15" x14ac:dyDescent="0.25">
      <c r="A87" s="1104"/>
      <c r="B87" s="1105"/>
      <c r="C87" s="1105"/>
      <c r="D87" s="1105"/>
      <c r="E87" s="1105"/>
      <c r="F87" s="1105"/>
      <c r="G87" s="1106"/>
      <c r="H87" s="1104"/>
      <c r="I87" s="1105"/>
      <c r="J87" s="1105"/>
      <c r="K87" s="1105"/>
      <c r="L87" s="1105"/>
      <c r="M87" s="1106"/>
    </row>
    <row r="88" spans="1:15" x14ac:dyDescent="0.25">
      <c r="A88" s="733"/>
      <c r="G88" s="734"/>
      <c r="H88" s="733"/>
      <c r="M88" s="734"/>
    </row>
    <row r="89" spans="1:15" x14ac:dyDescent="0.25">
      <c r="A89" s="733"/>
      <c r="G89" s="734"/>
      <c r="H89" s="733"/>
      <c r="M89" s="734"/>
    </row>
    <row r="90" spans="1:15" x14ac:dyDescent="0.25">
      <c r="A90" s="733"/>
      <c r="G90" s="734"/>
      <c r="H90" s="733"/>
      <c r="M90" s="734"/>
    </row>
    <row r="91" spans="1:15" x14ac:dyDescent="0.25">
      <c r="A91" s="733"/>
      <c r="G91" s="734"/>
      <c r="H91" s="733"/>
      <c r="M91" s="734"/>
    </row>
    <row r="92" spans="1:15" x14ac:dyDescent="0.25">
      <c r="A92" s="733"/>
      <c r="G92" s="734"/>
      <c r="H92" s="733"/>
      <c r="M92" s="734"/>
    </row>
    <row r="93" spans="1:15" x14ac:dyDescent="0.25">
      <c r="A93" s="733"/>
      <c r="G93" s="734"/>
      <c r="H93" s="733"/>
      <c r="M93" s="734"/>
    </row>
    <row r="94" spans="1:15" x14ac:dyDescent="0.25">
      <c r="A94" s="733"/>
      <c r="G94" s="734"/>
      <c r="H94" s="733"/>
      <c r="M94" s="734"/>
    </row>
    <row r="95" spans="1:15" x14ac:dyDescent="0.25">
      <c r="A95" s="733"/>
      <c r="G95" s="734"/>
      <c r="H95" s="733"/>
      <c r="M95" s="734"/>
      <c r="O95" s="380" t="s">
        <v>1203</v>
      </c>
    </row>
    <row r="96" spans="1:15" x14ac:dyDescent="0.25">
      <c r="A96" s="733"/>
      <c r="G96" s="734"/>
      <c r="H96" s="733"/>
      <c r="M96" s="734"/>
      <c r="O96" s="380" t="s">
        <v>1204</v>
      </c>
    </row>
    <row r="97" spans="1:13" x14ac:dyDescent="0.25">
      <c r="A97" s="733"/>
      <c r="G97" s="734"/>
      <c r="H97" s="733"/>
      <c r="M97" s="734"/>
    </row>
    <row r="98" spans="1:13" x14ac:dyDescent="0.25">
      <c r="A98" s="733"/>
      <c r="G98" s="734"/>
      <c r="H98" s="733"/>
      <c r="M98" s="734"/>
    </row>
    <row r="99" spans="1:13" x14ac:dyDescent="0.25">
      <c r="A99" s="733"/>
      <c r="G99" s="734"/>
      <c r="H99" s="733"/>
      <c r="M99" s="734"/>
    </row>
    <row r="100" spans="1:13" x14ac:dyDescent="0.25">
      <c r="A100" s="733"/>
      <c r="G100" s="734"/>
      <c r="H100" s="733"/>
      <c r="M100" s="734"/>
    </row>
    <row r="101" spans="1:13" x14ac:dyDescent="0.25">
      <c r="A101" s="733"/>
      <c r="G101" s="734"/>
      <c r="H101" s="733"/>
      <c r="M101" s="734"/>
    </row>
    <row r="102" spans="1:13" x14ac:dyDescent="0.25">
      <c r="A102" s="733"/>
      <c r="G102" s="734"/>
      <c r="H102" s="733"/>
      <c r="M102" s="734"/>
    </row>
    <row r="103" spans="1:13" x14ac:dyDescent="0.25">
      <c r="A103" s="733"/>
      <c r="G103" s="734"/>
      <c r="H103" s="733"/>
      <c r="M103" s="734"/>
    </row>
    <row r="104" spans="1:13" x14ac:dyDescent="0.25">
      <c r="A104" s="637"/>
      <c r="B104" s="638"/>
      <c r="C104" s="638"/>
      <c r="D104" s="735"/>
      <c r="E104" s="638"/>
      <c r="F104" s="638"/>
      <c r="G104" s="639"/>
      <c r="H104" s="637"/>
      <c r="I104" s="638"/>
      <c r="J104" s="638"/>
      <c r="K104" s="638"/>
      <c r="L104" s="638"/>
      <c r="M104" s="639"/>
    </row>
    <row r="105" spans="1:13" x14ac:dyDescent="0.25">
      <c r="A105" s="733"/>
      <c r="G105" s="734"/>
      <c r="H105" s="733"/>
      <c r="M105" s="734"/>
    </row>
    <row r="106" spans="1:13" x14ac:dyDescent="0.25">
      <c r="A106" s="1101" t="str">
        <f>Y12&amp;A50&amp;X10&amp;X12</f>
        <v>Opinnot - 01.01.2026-31.12.2026 (Kaikki kunnat, Kaikki yksiköt)</v>
      </c>
      <c r="B106" s="1102"/>
      <c r="C106" s="1102"/>
      <c r="D106" s="1102"/>
      <c r="E106" s="1102"/>
      <c r="F106" s="1102"/>
      <c r="G106" s="1103"/>
      <c r="H106" s="1101" t="str">
        <f>Y12&amp;A44&amp;X10&amp;X12</f>
        <v>Nuoriso- ja vapaa-ajantoiminta ja 3.sektori - 01.01.2026-31.12.2026 (Kaikki kunnat, Kaikki yksiköt)</v>
      </c>
      <c r="I106" s="1102"/>
      <c r="J106" s="1102"/>
      <c r="K106" s="1102"/>
      <c r="L106" s="1102"/>
      <c r="M106" s="1103"/>
    </row>
    <row r="107" spans="1:13" x14ac:dyDescent="0.25">
      <c r="A107" s="1104"/>
      <c r="B107" s="1105"/>
      <c r="C107" s="1105"/>
      <c r="D107" s="1105"/>
      <c r="E107" s="1105"/>
      <c r="F107" s="1105"/>
      <c r="G107" s="1106"/>
      <c r="H107" s="1104"/>
      <c r="I107" s="1105"/>
      <c r="J107" s="1105"/>
      <c r="K107" s="1105"/>
      <c r="L107" s="1105"/>
      <c r="M107" s="1106"/>
    </row>
    <row r="108" spans="1:13" x14ac:dyDescent="0.25">
      <c r="A108" s="650"/>
      <c r="B108" s="642"/>
      <c r="C108" s="642"/>
      <c r="D108" s="736"/>
      <c r="E108" s="642"/>
      <c r="F108" s="642"/>
      <c r="G108" s="643"/>
      <c r="H108" s="650"/>
      <c r="I108" s="642"/>
      <c r="J108" s="642"/>
      <c r="K108" s="642"/>
      <c r="L108" s="642"/>
      <c r="M108" s="643"/>
    </row>
    <row r="109" spans="1:13" x14ac:dyDescent="0.25">
      <c r="A109" s="733"/>
      <c r="G109" s="734"/>
      <c r="H109" s="733"/>
      <c r="M109" s="734"/>
    </row>
    <row r="110" spans="1:13" x14ac:dyDescent="0.25">
      <c r="A110" s="733"/>
      <c r="G110" s="734"/>
      <c r="H110" s="733"/>
      <c r="M110" s="734"/>
    </row>
    <row r="111" spans="1:13" x14ac:dyDescent="0.25">
      <c r="A111" s="733"/>
      <c r="G111" s="734"/>
      <c r="H111" s="733"/>
      <c r="M111" s="734"/>
    </row>
    <row r="112" spans="1:13" x14ac:dyDescent="0.25">
      <c r="A112" s="733"/>
      <c r="G112" s="734"/>
      <c r="H112" s="733"/>
      <c r="M112" s="734"/>
    </row>
    <row r="113" spans="1:13" x14ac:dyDescent="0.25">
      <c r="A113" s="733"/>
      <c r="G113" s="734"/>
      <c r="H113" s="733"/>
      <c r="M113" s="734"/>
    </row>
    <row r="114" spans="1:13" x14ac:dyDescent="0.25">
      <c r="A114" s="733"/>
      <c r="G114" s="734"/>
      <c r="H114" s="733"/>
      <c r="M114" s="734"/>
    </row>
    <row r="115" spans="1:13" x14ac:dyDescent="0.25">
      <c r="A115" s="733"/>
      <c r="G115" s="734"/>
      <c r="H115" s="733"/>
      <c r="M115" s="734"/>
    </row>
    <row r="116" spans="1:13" x14ac:dyDescent="0.25">
      <c r="A116" s="733"/>
      <c r="G116" s="734"/>
      <c r="H116" s="733"/>
      <c r="M116" s="734"/>
    </row>
    <row r="117" spans="1:13" x14ac:dyDescent="0.25">
      <c r="A117" s="733"/>
      <c r="G117" s="734"/>
      <c r="H117" s="733"/>
      <c r="M117" s="734"/>
    </row>
    <row r="118" spans="1:13" x14ac:dyDescent="0.25">
      <c r="A118" s="733"/>
      <c r="G118" s="734"/>
      <c r="H118" s="733"/>
      <c r="M118" s="734"/>
    </row>
    <row r="119" spans="1:13" x14ac:dyDescent="0.25">
      <c r="A119" s="733"/>
      <c r="G119" s="734"/>
      <c r="H119" s="733"/>
      <c r="M119" s="734"/>
    </row>
    <row r="120" spans="1:13" x14ac:dyDescent="0.25">
      <c r="A120" s="733"/>
      <c r="G120" s="734"/>
      <c r="H120" s="733"/>
      <c r="M120" s="734"/>
    </row>
    <row r="121" spans="1:13" x14ac:dyDescent="0.25">
      <c r="A121" s="733"/>
      <c r="G121" s="734"/>
      <c r="H121" s="733"/>
      <c r="M121" s="734"/>
    </row>
    <row r="122" spans="1:13" x14ac:dyDescent="0.25">
      <c r="A122" s="733"/>
      <c r="G122" s="734"/>
      <c r="H122" s="733"/>
      <c r="M122" s="734"/>
    </row>
    <row r="123" spans="1:13" x14ac:dyDescent="0.25">
      <c r="A123" s="733"/>
      <c r="G123" s="734"/>
      <c r="H123" s="733"/>
      <c r="M123" s="734"/>
    </row>
    <row r="124" spans="1:13" x14ac:dyDescent="0.25">
      <c r="A124" s="637"/>
      <c r="B124" s="638"/>
      <c r="C124" s="638"/>
      <c r="D124" s="735"/>
      <c r="E124" s="638"/>
      <c r="F124" s="638"/>
      <c r="G124" s="639"/>
      <c r="H124" s="637"/>
      <c r="I124" s="638"/>
      <c r="J124" s="638"/>
      <c r="K124" s="638"/>
      <c r="L124" s="638"/>
      <c r="M124" s="639"/>
    </row>
    <row r="125" spans="1:13" x14ac:dyDescent="0.25">
      <c r="A125" s="733"/>
      <c r="G125" s="734"/>
      <c r="H125" s="733"/>
      <c r="M125" s="734"/>
    </row>
    <row r="126" spans="1:13" x14ac:dyDescent="0.25">
      <c r="A126" s="1101" t="str">
        <f>Y12&amp;A60&amp;X10&amp;X12</f>
        <v>Työllistymistä tukeva toiminta - 01.01.2026-31.12.2026 (Kaikki kunnat, Kaikki yksiköt)</v>
      </c>
      <c r="B126" s="1102"/>
      <c r="C126" s="1102"/>
      <c r="D126" s="1102"/>
      <c r="E126" s="1102"/>
      <c r="F126" s="1102"/>
      <c r="G126" s="1103"/>
      <c r="H126" s="1101" t="str">
        <f>Y12&amp;A70&amp;X10&amp;X12</f>
        <v>Muut toimenpiteet - 01.01.2026-31.12.2026 (Kaikki kunnat, Kaikki yksiköt)</v>
      </c>
      <c r="I126" s="1102"/>
      <c r="J126" s="1102"/>
      <c r="K126" s="1102"/>
      <c r="L126" s="1102"/>
      <c r="M126" s="1103"/>
    </row>
    <row r="127" spans="1:13" x14ac:dyDescent="0.25">
      <c r="A127" s="1104"/>
      <c r="B127" s="1105"/>
      <c r="C127" s="1105"/>
      <c r="D127" s="1105"/>
      <c r="E127" s="1105"/>
      <c r="F127" s="1105"/>
      <c r="G127" s="1106"/>
      <c r="H127" s="1104"/>
      <c r="I127" s="1105"/>
      <c r="J127" s="1105"/>
      <c r="K127" s="1105"/>
      <c r="L127" s="1105"/>
      <c r="M127" s="1106"/>
    </row>
    <row r="128" spans="1:13" x14ac:dyDescent="0.25">
      <c r="A128" s="650"/>
      <c r="B128" s="642"/>
      <c r="C128" s="642"/>
      <c r="D128" s="736"/>
      <c r="E128" s="642"/>
      <c r="F128" s="642"/>
      <c r="G128" s="643"/>
      <c r="H128" s="650"/>
      <c r="I128" s="642"/>
      <c r="J128" s="642"/>
      <c r="K128" s="642"/>
      <c r="L128" s="642"/>
      <c r="M128" s="643"/>
    </row>
    <row r="129" spans="1:13" x14ac:dyDescent="0.25">
      <c r="A129" s="733"/>
      <c r="G129" s="734"/>
      <c r="H129" s="733"/>
      <c r="M129" s="734"/>
    </row>
    <row r="130" spans="1:13" x14ac:dyDescent="0.25">
      <c r="A130" s="733"/>
      <c r="G130" s="734"/>
      <c r="H130" s="733"/>
      <c r="M130" s="734"/>
    </row>
    <row r="131" spans="1:13" x14ac:dyDescent="0.25">
      <c r="A131" s="733"/>
      <c r="G131" s="734"/>
      <c r="H131" s="733"/>
      <c r="M131" s="734"/>
    </row>
    <row r="132" spans="1:13" x14ac:dyDescent="0.25">
      <c r="A132" s="733"/>
      <c r="G132" s="734"/>
      <c r="H132" s="733"/>
      <c r="M132" s="734"/>
    </row>
    <row r="133" spans="1:13" x14ac:dyDescent="0.25">
      <c r="A133" s="733"/>
      <c r="G133" s="734"/>
      <c r="H133" s="733"/>
      <c r="M133" s="734"/>
    </row>
    <row r="134" spans="1:13" x14ac:dyDescent="0.25">
      <c r="A134" s="733"/>
      <c r="G134" s="734"/>
      <c r="H134" s="733"/>
      <c r="M134" s="734"/>
    </row>
    <row r="135" spans="1:13" x14ac:dyDescent="0.25">
      <c r="A135" s="733"/>
      <c r="G135" s="734"/>
      <c r="H135" s="733"/>
      <c r="M135" s="734"/>
    </row>
    <row r="136" spans="1:13" x14ac:dyDescent="0.25">
      <c r="A136" s="733"/>
      <c r="G136" s="734"/>
      <c r="H136" s="733"/>
      <c r="M136" s="734"/>
    </row>
    <row r="137" spans="1:13" x14ac:dyDescent="0.25">
      <c r="A137" s="733"/>
      <c r="G137" s="734"/>
      <c r="H137" s="733"/>
      <c r="M137" s="734"/>
    </row>
    <row r="138" spans="1:13" x14ac:dyDescent="0.25">
      <c r="A138" s="733"/>
      <c r="G138" s="734"/>
      <c r="H138" s="733"/>
      <c r="M138" s="734"/>
    </row>
    <row r="139" spans="1:13" x14ac:dyDescent="0.25">
      <c r="A139" s="733"/>
      <c r="G139" s="734"/>
      <c r="H139" s="733"/>
      <c r="M139" s="734"/>
    </row>
    <row r="140" spans="1:13" x14ac:dyDescent="0.25">
      <c r="A140" s="733"/>
      <c r="G140" s="734"/>
      <c r="H140" s="733"/>
      <c r="M140" s="734"/>
    </row>
    <row r="141" spans="1:13" x14ac:dyDescent="0.25">
      <c r="A141" s="733"/>
      <c r="G141" s="734"/>
      <c r="H141" s="733"/>
      <c r="M141" s="734"/>
    </row>
    <row r="142" spans="1:13" x14ac:dyDescent="0.25">
      <c r="A142" s="733"/>
      <c r="G142" s="734"/>
      <c r="H142" s="733"/>
      <c r="M142" s="734"/>
    </row>
    <row r="143" spans="1:13" x14ac:dyDescent="0.25">
      <c r="A143" s="733"/>
      <c r="G143" s="734"/>
      <c r="H143" s="733"/>
      <c r="M143" s="734"/>
    </row>
    <row r="144" spans="1:13" x14ac:dyDescent="0.25">
      <c r="A144" s="637"/>
      <c r="B144" s="638"/>
      <c r="C144" s="638"/>
      <c r="D144" s="735"/>
      <c r="E144" s="638"/>
      <c r="F144" s="638"/>
      <c r="G144" s="639"/>
      <c r="H144" s="637"/>
      <c r="I144" s="638"/>
      <c r="J144" s="638"/>
      <c r="K144" s="638"/>
      <c r="L144" s="638"/>
      <c r="M144" s="639"/>
    </row>
    <row r="147" spans="1:1" x14ac:dyDescent="0.25">
      <c r="A147" s="388" t="s">
        <v>568</v>
      </c>
    </row>
  </sheetData>
  <sheetProtection sheet="1" objects="1" scenarios="1"/>
  <mergeCells count="27">
    <mergeCell ref="A86:G87"/>
    <mergeCell ref="H86:M87"/>
    <mergeCell ref="A106:G107"/>
    <mergeCell ref="H106:M107"/>
    <mergeCell ref="A126:G127"/>
    <mergeCell ref="H126:M127"/>
    <mergeCell ref="A70:A75"/>
    <mergeCell ref="L11:L15"/>
    <mergeCell ref="M11:M15"/>
    <mergeCell ref="N11:N15"/>
    <mergeCell ref="O11:O15"/>
    <mergeCell ref="C12:D12"/>
    <mergeCell ref="C13:D13"/>
    <mergeCell ref="C14:D14"/>
    <mergeCell ref="C15:G15"/>
    <mergeCell ref="K11:K15"/>
    <mergeCell ref="A17:A29"/>
    <mergeCell ref="A33:A42"/>
    <mergeCell ref="A44:A48"/>
    <mergeCell ref="A50:A58"/>
    <mergeCell ref="A60:A68"/>
    <mergeCell ref="H2:I7"/>
    <mergeCell ref="A11:A14"/>
    <mergeCell ref="C11:D11"/>
    <mergeCell ref="H11:I11"/>
    <mergeCell ref="J11:J15"/>
    <mergeCell ref="A15:B15"/>
  </mergeCells>
  <dataValidations count="6">
    <dataValidation type="list" allowBlank="1" showInputMessage="1" showErrorMessage="1" sqref="A7" xr:uid="{DF4C862B-01D1-4B14-82A7-FB68985CB5F3}">
      <formula1>$X$2:$X$3</formula1>
    </dataValidation>
    <dataValidation type="list" allowBlank="1" showInputMessage="1" showErrorMessage="1" sqref="A6" xr:uid="{77BCDBC3-5C21-4F10-B44B-139DD2737596}">
      <formula1>$X$2:$X$4</formula1>
    </dataValidation>
    <dataValidation type="list" allowBlank="1" showInputMessage="1" showErrorMessage="1" sqref="A5" xr:uid="{9CE84FFE-90AD-418D-A9BF-F6056D383DA1}">
      <formula1>$AD$5:$AD$59</formula1>
    </dataValidation>
    <dataValidation type="list" showInputMessage="1" showErrorMessage="1" sqref="A4" xr:uid="{DB592890-9567-4A84-89ED-A7650CEBE1E7}">
      <formula1>$AB$5:$AB$60</formula1>
    </dataValidation>
    <dataValidation type="list" allowBlank="1" showInputMessage="1" showErrorMessage="1" sqref="A8" xr:uid="{15A05C9E-363B-4124-A3AA-7726ED18B473}">
      <formula1>$AF$2:$AF$3</formula1>
    </dataValidation>
    <dataValidation type="date" allowBlank="1" showInputMessage="1" showErrorMessage="1" error="Kirjoita päivämäärä muodossa _x000a_pp.kk.vvvv_x000a__x000a_Päivämäärän on oltava _x000a_suurempi kuin 01.01.2008 ja _x000a_pienempi kuin 31.12.2020" sqref="A1:A3" xr:uid="{B046B2AB-5267-4515-BB2F-E7E7C4632547}">
      <formula1>36526</formula1>
      <formula2>55153</formula2>
    </dataValidation>
  </dataValidations>
  <hyperlinks>
    <hyperlink ref="A147" location="Ohjaus!A1" display="Sivun alkuun" xr:uid="{E99D321A-2607-49FD-B2E9-1E061827EA95}"/>
    <hyperlink ref="A2" location="Asiakastilastot!A2" display="Asiakastilastot!A2" xr:uid="{A465A831-1473-445D-854C-0C836C6B0382}"/>
  </hyperlinks>
  <pageMargins left="0.70866141732283472" right="0.70866141732283472" top="0.74803149606299213" bottom="0.83333333333333337" header="0" footer="0"/>
  <pageSetup paperSize="9" scale="75" orientation="portrait" r:id="rId1"/>
  <headerFooter>
    <oddFooter>&amp;L 
PAR työpaja
osoitettie
0100, paikka&amp;C&amp;G&amp;R&amp;P/&amp;N</oddFooter>
  </headerFooter>
  <rowBreaks count="1" manualBreakCount="1">
    <brk id="76" max="16383" man="1"/>
  </rowBreaks>
  <colBreaks count="1" manualBreakCount="1">
    <brk id="7"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ul6"/>
  <dimension ref="A1:AY123"/>
  <sheetViews>
    <sheetView showGridLines="0" zoomScaleNormal="100" workbookViewId="0">
      <selection activeCell="X1" sqref="X1:AI1048576"/>
    </sheetView>
  </sheetViews>
  <sheetFormatPr defaultColWidth="9.140625" defaultRowHeight="15" x14ac:dyDescent="0.25"/>
  <cols>
    <col min="1" max="1" width="43.28515625" customWidth="1"/>
    <col min="3" max="3" width="10" customWidth="1"/>
    <col min="6" max="6" width="13.7109375" customWidth="1"/>
    <col min="7" max="7" width="70.5703125" customWidth="1"/>
    <col min="8" max="8" width="5.140625" customWidth="1"/>
    <col min="9" max="9" width="22.85546875" customWidth="1"/>
    <col min="10" max="10" width="9.140625" customWidth="1"/>
    <col min="11" max="11" width="10" customWidth="1"/>
    <col min="12" max="13" width="9.140625" customWidth="1"/>
    <col min="14" max="14" width="12.5703125" customWidth="1"/>
    <col min="15" max="15" width="70.5703125" customWidth="1"/>
    <col min="16" max="16" width="3.28515625" customWidth="1"/>
    <col min="17" max="17" width="43.28515625" customWidth="1"/>
    <col min="18" max="18" width="9.140625" style="173"/>
    <col min="19" max="19" width="10" style="174" customWidth="1"/>
    <col min="20" max="21" width="9.140625" style="173"/>
    <col min="22" max="22" width="13.7109375" style="173" customWidth="1"/>
    <col min="23" max="23" width="9.140625" style="177"/>
    <col min="24" max="24" width="9.140625" style="177" hidden="1" customWidth="1"/>
    <col min="25" max="25" width="26.7109375" style="177" hidden="1" customWidth="1"/>
    <col min="26" max="27" width="9.140625" style="177" hidden="1" customWidth="1"/>
    <col min="28" max="28" width="11.140625" style="177" hidden="1" customWidth="1"/>
    <col min="29" max="35" width="9.140625" style="177" hidden="1" customWidth="1"/>
    <col min="36" max="51" width="9.140625" style="177"/>
  </cols>
  <sheetData>
    <row r="1" spans="1:51" x14ac:dyDescent="0.25">
      <c r="A1" s="358" t="s">
        <v>0</v>
      </c>
      <c r="R1" s="101"/>
      <c r="S1" s="101"/>
      <c r="T1" s="101"/>
      <c r="U1" s="101"/>
      <c r="V1" s="101"/>
      <c r="W1"/>
      <c r="X1" s="92" t="s">
        <v>1</v>
      </c>
      <c r="Y1" s="92" t="s">
        <v>1</v>
      </c>
      <c r="Z1" s="100" t="str">
        <f>IF(A5="","*",INDEX(AF5:AF58,MATCH(A5,AE5:AE58,0)))</f>
        <v>*</v>
      </c>
      <c r="AA1" s="92" t="s">
        <v>1</v>
      </c>
      <c r="AB1" s="92" t="s">
        <v>1</v>
      </c>
      <c r="AC1" s="92" t="s">
        <v>1</v>
      </c>
      <c r="AD1" s="92" t="s">
        <v>1</v>
      </c>
      <c r="AE1" s="92" t="s">
        <v>1</v>
      </c>
      <c r="AF1" s="92" t="s">
        <v>1</v>
      </c>
      <c r="AG1"/>
      <c r="AH1"/>
      <c r="AI1"/>
      <c r="AJ1"/>
      <c r="AK1"/>
      <c r="AL1"/>
      <c r="AM1"/>
      <c r="AN1"/>
      <c r="AO1"/>
      <c r="AP1"/>
      <c r="AQ1"/>
      <c r="AR1"/>
      <c r="AS1"/>
      <c r="AT1"/>
      <c r="AU1"/>
      <c r="AV1"/>
      <c r="AW1"/>
      <c r="AX1"/>
      <c r="AY1"/>
    </row>
    <row r="2" spans="1:51" x14ac:dyDescent="0.25">
      <c r="A2" s="791">
        <f>Asiakastilastot!$A$2</f>
        <v>46023</v>
      </c>
      <c r="B2" t="s">
        <v>1205</v>
      </c>
      <c r="R2" s="101"/>
      <c r="S2" s="101"/>
      <c r="T2" s="101"/>
      <c r="U2" s="101"/>
      <c r="V2" s="101"/>
      <c r="W2"/>
      <c r="X2"/>
      <c r="Y2" s="95" t="s">
        <v>4</v>
      </c>
      <c r="Z2" s="100" t="str">
        <f>IF(A6=Y3,"OK","*")</f>
        <v>*</v>
      </c>
      <c r="AA2"/>
      <c r="AB2" s="168" t="s">
        <v>6</v>
      </c>
      <c r="AC2" s="169" t="s">
        <v>7</v>
      </c>
      <c r="AD2" s="168" t="s">
        <v>6</v>
      </c>
      <c r="AE2" s="169" t="s">
        <v>8</v>
      </c>
      <c r="AF2"/>
      <c r="AG2"/>
      <c r="AH2"/>
      <c r="AI2"/>
      <c r="AJ2"/>
      <c r="AK2"/>
      <c r="AL2"/>
      <c r="AM2"/>
      <c r="AN2"/>
      <c r="AO2"/>
      <c r="AP2"/>
      <c r="AQ2"/>
      <c r="AR2"/>
      <c r="AS2"/>
      <c r="AT2"/>
      <c r="AU2"/>
      <c r="AV2"/>
      <c r="AW2"/>
      <c r="AX2"/>
      <c r="AY2"/>
    </row>
    <row r="3" spans="1:51" x14ac:dyDescent="0.25">
      <c r="A3" s="791">
        <f>Asiakastilastot!$A$3</f>
        <v>46387</v>
      </c>
      <c r="B3" t="s">
        <v>1206</v>
      </c>
      <c r="R3" s="101"/>
      <c r="S3" s="101"/>
      <c r="T3" s="101"/>
      <c r="U3" s="101"/>
      <c r="V3" s="101"/>
      <c r="W3"/>
      <c r="X3"/>
      <c r="Y3" s="95" t="s">
        <v>11</v>
      </c>
      <c r="Z3"/>
      <c r="AA3"/>
      <c r="AB3" s="168" t="s">
        <v>13</v>
      </c>
      <c r="AC3" s="169" t="e">
        <f>INDEX(Data_Omakoodi!K:K,MATCH($AC$2,Data_Omakoodi!$I:$I,0))</f>
        <v>#N/A</v>
      </c>
      <c r="AD3" s="168" t="s">
        <v>13</v>
      </c>
      <c r="AE3" s="169" t="e">
        <f>INDEX(Data_Omakoodi!K:K,MATCH($AE$2,Data_Omakoodi!$I:$I,0))</f>
        <v>#N/A</v>
      </c>
      <c r="AF3"/>
      <c r="AG3"/>
      <c r="AH3"/>
      <c r="AI3"/>
      <c r="AJ3"/>
      <c r="AK3"/>
      <c r="AL3"/>
      <c r="AM3"/>
      <c r="AN3"/>
      <c r="AO3"/>
      <c r="AP3"/>
      <c r="AQ3"/>
      <c r="AR3"/>
      <c r="AS3"/>
      <c r="AT3"/>
      <c r="AU3"/>
      <c r="AV3"/>
      <c r="AW3"/>
      <c r="AX3"/>
      <c r="AY3"/>
    </row>
    <row r="4" spans="1:51" x14ac:dyDescent="0.25">
      <c r="A4" s="378" t="s">
        <v>16</v>
      </c>
      <c r="B4" t="s">
        <v>17</v>
      </c>
      <c r="R4" s="101"/>
      <c r="S4" s="101"/>
      <c r="T4" s="101"/>
      <c r="U4" s="101"/>
      <c r="V4" s="101"/>
      <c r="W4"/>
      <c r="X4"/>
      <c r="Y4" s="95" t="s">
        <v>19</v>
      </c>
      <c r="Z4"/>
      <c r="AA4"/>
      <c r="AB4" s="168" t="s">
        <v>20</v>
      </c>
      <c r="AC4" s="169" t="str">
        <f>IFERROR(MATCH($AC$2,Data_Omakoodi!$I:$I,0),"")</f>
        <v/>
      </c>
      <c r="AD4" s="168" t="s">
        <v>20</v>
      </c>
      <c r="AE4" s="169" t="str">
        <f>IFERROR(MATCH($AC$2,Data_Omakoodi!$I:$I,0),"")</f>
        <v/>
      </c>
      <c r="AF4"/>
      <c r="AG4"/>
      <c r="AH4"/>
      <c r="AI4"/>
      <c r="AJ4"/>
      <c r="AK4"/>
      <c r="AL4"/>
      <c r="AM4"/>
      <c r="AN4"/>
      <c r="AO4"/>
      <c r="AP4"/>
      <c r="AQ4"/>
      <c r="AR4"/>
      <c r="AS4"/>
      <c r="AT4"/>
      <c r="AU4"/>
      <c r="AV4"/>
      <c r="AW4"/>
      <c r="AX4"/>
      <c r="AY4"/>
    </row>
    <row r="5" spans="1:51" x14ac:dyDescent="0.25">
      <c r="A5" s="378" t="s">
        <v>22</v>
      </c>
      <c r="B5" t="s">
        <v>23</v>
      </c>
      <c r="R5" s="101"/>
      <c r="S5" s="101"/>
      <c r="T5" s="101"/>
      <c r="U5" s="101"/>
      <c r="V5" s="101"/>
      <c r="W5"/>
      <c r="X5"/>
      <c r="Y5"/>
      <c r="Z5" s="100" t="str">
        <f>IF(A6="","*",IF(A6=Y2,"*",IF(A6=Y4,Y9,"*")))</f>
        <v>*</v>
      </c>
      <c r="AA5"/>
      <c r="AB5" s="168" t="s">
        <v>26</v>
      </c>
      <c r="AC5" s="169" t="s">
        <v>16</v>
      </c>
      <c r="AD5" s="168" t="s">
        <v>26</v>
      </c>
      <c r="AE5" s="169" t="s">
        <v>22</v>
      </c>
      <c r="AF5" s="168" t="s">
        <v>26</v>
      </c>
      <c r="AG5"/>
      <c r="AH5"/>
      <c r="AI5"/>
      <c r="AJ5"/>
      <c r="AK5"/>
      <c r="AL5"/>
      <c r="AM5"/>
      <c r="AN5"/>
      <c r="AO5"/>
      <c r="AP5"/>
      <c r="AQ5"/>
      <c r="AR5"/>
      <c r="AS5"/>
      <c r="AT5"/>
      <c r="AU5"/>
      <c r="AV5"/>
      <c r="AW5"/>
      <c r="AX5"/>
      <c r="AY5"/>
    </row>
    <row r="6" spans="1:51" ht="16.5" customHeight="1" x14ac:dyDescent="0.25">
      <c r="A6" s="378" t="s">
        <v>4</v>
      </c>
      <c r="B6" s="546" t="s">
        <v>739</v>
      </c>
      <c r="R6" s="101"/>
      <c r="S6" s="101"/>
      <c r="T6" s="101"/>
      <c r="U6" s="101"/>
      <c r="V6" s="101"/>
      <c r="W6"/>
      <c r="X6"/>
      <c r="Y6"/>
      <c r="Z6" s="100" t="str">
        <f>IF(A4="","*",INDEX(AB5:AB38,MATCH(A4,AC5:AC38,0)))</f>
        <v>*</v>
      </c>
      <c r="AA6"/>
      <c r="AB6" s="168" t="s">
        <v>29</v>
      </c>
      <c r="AC6" s="170" t="s">
        <v>30</v>
      </c>
      <c r="AD6" s="168" t="s">
        <v>29</v>
      </c>
      <c r="AE6" s="170" t="s">
        <v>31</v>
      </c>
      <c r="AF6" s="168" t="s">
        <v>29</v>
      </c>
      <c r="AG6"/>
      <c r="AH6"/>
      <c r="AI6"/>
      <c r="AJ6"/>
      <c r="AK6"/>
      <c r="AL6"/>
      <c r="AM6"/>
      <c r="AN6"/>
      <c r="AO6"/>
      <c r="AP6"/>
      <c r="AQ6"/>
      <c r="AR6"/>
      <c r="AS6"/>
      <c r="AT6"/>
      <c r="AU6"/>
      <c r="AV6"/>
      <c r="AW6"/>
      <c r="AX6"/>
      <c r="AY6"/>
    </row>
    <row r="7" spans="1:51" x14ac:dyDescent="0.25">
      <c r="R7" s="101"/>
      <c r="S7" s="101"/>
      <c r="T7" s="101"/>
      <c r="U7" s="101"/>
      <c r="V7" s="101"/>
      <c r="W7"/>
      <c r="X7" s="101"/>
      <c r="Y7" s="171" t="s">
        <v>34</v>
      </c>
      <c r="Z7" s="171" t="s">
        <v>35</v>
      </c>
      <c r="AA7"/>
      <c r="AB7" s="168" t="s">
        <v>36</v>
      </c>
      <c r="AC7" s="170" t="s">
        <v>37</v>
      </c>
      <c r="AD7" s="168" t="s">
        <v>36</v>
      </c>
      <c r="AE7" s="170" t="s">
        <v>38</v>
      </c>
      <c r="AF7" s="168" t="s">
        <v>36</v>
      </c>
      <c r="AG7" s="101"/>
      <c r="AH7" s="101"/>
      <c r="AI7"/>
      <c r="AJ7"/>
      <c r="AK7"/>
      <c r="AL7"/>
      <c r="AM7"/>
      <c r="AN7"/>
      <c r="AO7"/>
      <c r="AP7"/>
      <c r="AQ7"/>
      <c r="AR7"/>
      <c r="AS7"/>
      <c r="AT7"/>
      <c r="AU7"/>
      <c r="AV7"/>
      <c r="AW7"/>
      <c r="AX7"/>
      <c r="AY7"/>
    </row>
    <row r="8" spans="1:51" s="172" customFormat="1" ht="23.25" x14ac:dyDescent="0.35">
      <c r="A8" s="172" t="s">
        <v>1207</v>
      </c>
      <c r="G8"/>
      <c r="H8"/>
      <c r="I8" s="172" t="s">
        <v>1208</v>
      </c>
      <c r="O8"/>
      <c r="P8"/>
      <c r="Q8" s="172" t="s">
        <v>1209</v>
      </c>
      <c r="R8" s="173"/>
      <c r="S8" s="174"/>
      <c r="T8" s="173"/>
      <c r="U8" s="173"/>
      <c r="V8" s="173"/>
      <c r="W8" s="175"/>
      <c r="X8" s="101"/>
      <c r="Y8" s="104" t="s">
        <v>40</v>
      </c>
      <c r="Z8" s="104" t="s">
        <v>581</v>
      </c>
      <c r="AA8" s="175"/>
      <c r="AB8" s="176" t="s">
        <v>41</v>
      </c>
      <c r="AC8" s="169" t="str">
        <f>IFERROR(INDEX(Data_Omakoodi!E:E,MATCH(AB8,Data_Omakoodi!A:A,0)),"")</f>
        <v/>
      </c>
      <c r="AD8" t="s">
        <v>42</v>
      </c>
      <c r="AE8" s="169" t="str">
        <f>IFERROR(INDEX(Data_Omakoodi!E:E,MATCH(AD8,Data_Omakoodi!A:A,0)),"")</f>
        <v/>
      </c>
      <c r="AF8" t="s">
        <v>42</v>
      </c>
      <c r="AG8" t="s">
        <v>43</v>
      </c>
      <c r="AH8"/>
      <c r="AI8" s="175"/>
      <c r="AJ8" s="175"/>
      <c r="AK8" s="175"/>
      <c r="AL8" s="175"/>
      <c r="AM8" s="175"/>
      <c r="AN8" s="175"/>
      <c r="AO8" s="175"/>
      <c r="AP8" s="175"/>
      <c r="AQ8" s="175"/>
      <c r="AR8" s="175"/>
      <c r="AS8" s="175"/>
      <c r="AT8" s="175"/>
      <c r="AU8" s="175"/>
      <c r="AV8" s="175"/>
      <c r="AW8" s="175"/>
      <c r="AX8" s="175"/>
      <c r="AY8" s="175"/>
    </row>
    <row r="9" spans="1:51" x14ac:dyDescent="0.25">
      <c r="X9" s="101"/>
      <c r="Y9" s="105" t="s">
        <v>44</v>
      </c>
      <c r="Z9" s="101"/>
      <c r="AB9" s="176" t="s">
        <v>45</v>
      </c>
      <c r="AC9" s="169" t="str">
        <f>IFERROR(INDEX(Data_Omakoodi!E:E,MATCH(AB9,Data_Omakoodi!A:A,0)),"")</f>
        <v/>
      </c>
      <c r="AD9" t="s">
        <v>46</v>
      </c>
      <c r="AE9" s="169" t="str">
        <f>IFERROR(INDEX(Data_Omakoodi!E:E,MATCH(AD9,Data_Omakoodi!A:A,0)),"")</f>
        <v/>
      </c>
      <c r="AF9" t="s">
        <v>46</v>
      </c>
      <c r="AG9" t="s">
        <v>47</v>
      </c>
      <c r="AH9"/>
    </row>
    <row r="10" spans="1:51" x14ac:dyDescent="0.25">
      <c r="A10" s="67" t="str">
        <f>Y13&amp;Y10&amp;Y12</f>
        <v>Nuoren pääasiallinen toiminta hakuajan alussa (lähin arvo) - 01.01.2026-31.12.2026 (Kaikki kunnat, Kaikki yksiköt)</v>
      </c>
      <c r="B10" s="178"/>
      <c r="C10" s="178"/>
      <c r="D10" s="178"/>
      <c r="E10" s="177"/>
      <c r="F10" s="177"/>
      <c r="G10" s="66"/>
      <c r="H10" s="66"/>
      <c r="I10" s="179" t="str">
        <f>"Viimeisin nuoren pääasiallinen toiminta"&amp;Y10&amp;Y12</f>
        <v>Viimeisin nuoren pääasiallinen toiminta - 01.01.2026-31.12.2026 (Kaikki kunnat, Kaikki yksiköt)</v>
      </c>
      <c r="J10" s="178"/>
      <c r="K10" s="178"/>
      <c r="L10" s="178"/>
      <c r="M10" s="177"/>
      <c r="N10" s="177"/>
      <c r="O10" s="66"/>
      <c r="Q10" s="179" t="str">
        <f>Z13&amp;Y10&amp;Y12</f>
        <v>Nuoren pääasiallinen toiminta - muutos - 01.01.2026-31.12.2026 (Kaikki kunnat, Kaikki yksiköt)</v>
      </c>
      <c r="S10" s="180"/>
      <c r="Y10" s="181" t="str">
        <f>" - "&amp;TEXT($A$2,$Y$11)&amp;"-"&amp;TEXT($A$3,$Y$11)&amp;" "</f>
        <v xml:space="preserve"> - 01.01.2026-31.12.2026 </v>
      </c>
      <c r="AB10" s="176" t="s">
        <v>52</v>
      </c>
      <c r="AC10" s="169" t="str">
        <f>IFERROR(INDEX(Data_Omakoodi!E:E,MATCH(AB10,Data_Omakoodi!A:A,0)),"")</f>
        <v/>
      </c>
      <c r="AD10" t="s">
        <v>53</v>
      </c>
      <c r="AE10" s="169" t="str">
        <f>IFERROR(INDEX(Data_Omakoodi!E:E,MATCH(AD10,Data_Omakoodi!A:A,0)),"")</f>
        <v/>
      </c>
      <c r="AF10" t="s">
        <v>53</v>
      </c>
      <c r="AG10" t="s">
        <v>54</v>
      </c>
      <c r="AH10"/>
    </row>
    <row r="11" spans="1:51" ht="25.5" x14ac:dyDescent="0.25">
      <c r="A11" s="1114" t="s">
        <v>1210</v>
      </c>
      <c r="B11" s="1107" t="s">
        <v>716</v>
      </c>
      <c r="C11" s="1107"/>
      <c r="D11" s="114" t="s">
        <v>961</v>
      </c>
      <c r="E11" s="254" t="s">
        <v>962</v>
      </c>
      <c r="F11" s="182" t="s">
        <v>980</v>
      </c>
      <c r="G11" s="1109" t="str">
        <f>A10&amp;" (N="&amp;B29&amp;")"</f>
        <v>Nuoren pääasiallinen toiminta hakuajan alussa (lähin arvo) - 01.01.2026-31.12.2026 (Kaikki kunnat, Kaikki yksiköt) (N=0)</v>
      </c>
      <c r="H11" s="183"/>
      <c r="I11" s="1114" t="s">
        <v>1210</v>
      </c>
      <c r="J11" s="1113" t="s">
        <v>716</v>
      </c>
      <c r="K11" s="1107"/>
      <c r="L11" s="114" t="s">
        <v>961</v>
      </c>
      <c r="M11" s="254" t="s">
        <v>962</v>
      </c>
      <c r="N11" s="114" t="s">
        <v>980</v>
      </c>
      <c r="O11" s="1109" t="str">
        <f>I10&amp;" (N="&amp;J29&amp;")"</f>
        <v>Viimeisin nuoren pääasiallinen toiminta - 01.01.2026-31.12.2026 (Kaikki kunnat, Kaikki yksiköt) (N=0)</v>
      </c>
      <c r="Q11" s="1114" t="s">
        <v>1210</v>
      </c>
      <c r="R11" s="1107" t="s">
        <v>716</v>
      </c>
      <c r="S11" s="1107"/>
      <c r="T11" s="114" t="s">
        <v>961</v>
      </c>
      <c r="U11" s="254" t="s">
        <v>962</v>
      </c>
      <c r="V11" s="114" t="s">
        <v>980</v>
      </c>
      <c r="Y11" s="184" t="s">
        <v>55</v>
      </c>
      <c r="AB11" s="176" t="s">
        <v>57</v>
      </c>
      <c r="AC11" s="169" t="str">
        <f>IFERROR(INDEX(Data_Omakoodi!E:E,MATCH(AB11,Data_Omakoodi!A:A,0)),"")</f>
        <v/>
      </c>
      <c r="AD11" t="s">
        <v>58</v>
      </c>
      <c r="AE11" s="169" t="str">
        <f>IFERROR(INDEX(Data_Omakoodi!E:E,MATCH(AD11,Data_Omakoodi!A:A,0)),"")</f>
        <v/>
      </c>
      <c r="AF11" t="s">
        <v>58</v>
      </c>
      <c r="AG11" t="s">
        <v>59</v>
      </c>
      <c r="AH11"/>
    </row>
    <row r="12" spans="1:51" x14ac:dyDescent="0.25">
      <c r="A12" s="1114"/>
      <c r="B12" s="114" t="s">
        <v>742</v>
      </c>
      <c r="C12" s="114" t="s">
        <v>1211</v>
      </c>
      <c r="D12" s="114" t="s">
        <v>742</v>
      </c>
      <c r="E12" s="114" t="s">
        <v>742</v>
      </c>
      <c r="F12" s="182" t="s">
        <v>742</v>
      </c>
      <c r="G12" s="1110"/>
      <c r="H12" s="183"/>
      <c r="I12" s="1114"/>
      <c r="J12" s="253" t="s">
        <v>742</v>
      </c>
      <c r="K12" s="114" t="s">
        <v>1211</v>
      </c>
      <c r="L12" s="114" t="s">
        <v>742</v>
      </c>
      <c r="M12" s="114" t="s">
        <v>742</v>
      </c>
      <c r="N12" s="114" t="s">
        <v>742</v>
      </c>
      <c r="O12" s="1110"/>
      <c r="Q12" s="1114"/>
      <c r="R12" s="114" t="s">
        <v>742</v>
      </c>
      <c r="S12" s="185" t="s">
        <v>1211</v>
      </c>
      <c r="T12" s="114" t="s">
        <v>742</v>
      </c>
      <c r="U12" s="114" t="s">
        <v>742</v>
      </c>
      <c r="V12" s="114" t="s">
        <v>742</v>
      </c>
      <c r="Y12" s="184" t="str">
        <f>"("&amp;A4&amp;", "&amp;A5&amp;")"</f>
        <v>(Kaikki kunnat, Kaikki yksiköt)</v>
      </c>
      <c r="AB12" s="176" t="s">
        <v>60</v>
      </c>
      <c r="AC12" s="169" t="str">
        <f>IFERROR(INDEX(Data_Omakoodi!E:E,MATCH(AB12,Data_Omakoodi!A:A,0)),"")</f>
        <v/>
      </c>
      <c r="AD12" t="s">
        <v>61</v>
      </c>
      <c r="AE12" s="169" t="str">
        <f>IFERROR(INDEX(Data_Omakoodi!E:E,MATCH(AD12,Data_Omakoodi!A:A,0)),"")</f>
        <v/>
      </c>
      <c r="AF12" t="s">
        <v>61</v>
      </c>
      <c r="AG12" t="s">
        <v>62</v>
      </c>
      <c r="AH12"/>
    </row>
    <row r="13" spans="1:51" x14ac:dyDescent="0.25">
      <c r="A13" s="255" t="s">
        <v>1210</v>
      </c>
      <c r="B13" s="256">
        <f>SUM(B14:B25)</f>
        <v>0</v>
      </c>
      <c r="C13" s="257">
        <f>IFERROR(B13/B$29,0)</f>
        <v>0</v>
      </c>
      <c r="D13" s="256">
        <f>SUM(D14:D25)</f>
        <v>0</v>
      </c>
      <c r="E13" s="256">
        <f>SUM(E14:E25)</f>
        <v>0</v>
      </c>
      <c r="F13" s="258">
        <f>SUM(F14:F25)</f>
        <v>0</v>
      </c>
      <c r="G13" s="186"/>
      <c r="I13" s="255" t="s">
        <v>1210</v>
      </c>
      <c r="J13" s="256">
        <f>SUM(J14:J25)</f>
        <v>0</v>
      </c>
      <c r="K13" s="257">
        <f>IFERROR(J13/J$29,0)</f>
        <v>0</v>
      </c>
      <c r="L13" s="256">
        <f>SUM(L14:L25)</f>
        <v>0</v>
      </c>
      <c r="M13" s="256">
        <f>SUM(M14:M25)</f>
        <v>0</v>
      </c>
      <c r="N13" s="256">
        <f>SUM(N14:N25)</f>
        <v>0</v>
      </c>
      <c r="O13" s="186"/>
      <c r="Q13" s="255" t="s">
        <v>1210</v>
      </c>
      <c r="R13" s="266">
        <f t="shared" ref="R13:R29" si="0">J13-B13</f>
        <v>0</v>
      </c>
      <c r="S13" s="267">
        <f t="shared" ref="S13:S29" si="1">K13-C13</f>
        <v>0</v>
      </c>
      <c r="T13" s="266">
        <f t="shared" ref="T13:T29" si="2">L13-D13</f>
        <v>0</v>
      </c>
      <c r="U13" s="266">
        <f t="shared" ref="U13:U29" si="3">M13-E13</f>
        <v>0</v>
      </c>
      <c r="V13" s="266">
        <f t="shared" ref="V13:V29" si="4">N13-F13</f>
        <v>0</v>
      </c>
      <c r="Y13" s="874" t="s">
        <v>1212</v>
      </c>
      <c r="Z13" s="188" t="s">
        <v>1213</v>
      </c>
      <c r="AB13" s="176" t="s">
        <v>63</v>
      </c>
      <c r="AC13" s="169" t="str">
        <f>IFERROR(INDEX(Data_Omakoodi!E:E,MATCH(AB13,Data_Omakoodi!A:A,0)),"")</f>
        <v/>
      </c>
      <c r="AD13" t="s">
        <v>64</v>
      </c>
      <c r="AE13" s="169" t="str">
        <f>IFERROR(INDEX(Data_Omakoodi!E:E,MATCH(AD13,Data_Omakoodi!A:A,0)),"")</f>
        <v/>
      </c>
      <c r="AF13" t="s">
        <v>64</v>
      </c>
      <c r="AG13" t="s">
        <v>65</v>
      </c>
      <c r="AH13"/>
    </row>
    <row r="14" spans="1:51" x14ac:dyDescent="0.25">
      <c r="A14" s="189" t="s">
        <v>1214</v>
      </c>
      <c r="B14" s="110">
        <f>SUMIFS(AS!$W:$W,AS!$AB:$AB,AS!$AA$1,AS!$AH:$AH,$Y$8,AS!$AL:$AL,Tilanne!$Y14,AS!$AW:$AW,Tilanne!$Z$6,AS!$K:$K,Tilanne!$Z$1,AS!$X:$X,Tilanne!$Z$5,AS!$AV:$AV,Tilanne!$Z$2)</f>
        <v>0</v>
      </c>
      <c r="C14" s="207">
        <f>IFERROR(B14/B$29,0)</f>
        <v>0</v>
      </c>
      <c r="D14" s="110">
        <f>SUMIFS(AS!$W:$W,AS!$AB:$AB,AS!$AA$1,AS!$AH:$AH,$Y$8,AS!$AL:$AL,Tilanne!$Y14,AS!$F:$F,$Y$7,AS!$AW:$AW,Tilanne!$Z$6,AS!$K:$K,Tilanne!$Z$1,AS!$X:$X,Tilanne!$Z$5,AS!$AV:$AV,Tilanne!$Z$2)</f>
        <v>0</v>
      </c>
      <c r="E14" s="110">
        <f>SUMIFS(AS!$W:$W,AS!$AB:$AB,AS!$AA$1,AS!$AH:$AH,$Y$8,AS!$AL:$AL,Tilanne!$Y14,AS!$F:$F,$Z$7,AS!$AW:$AW,Tilanne!$Z$6,AS!$K:$K,Tilanne!$Z$1,AS!$X:$X,Tilanne!$Z$5,AS!$AV:$AV,Tilanne!$Z$2)</f>
        <v>0</v>
      </c>
      <c r="F14" s="190">
        <f>SUMIFS(AS!$W:$W,AS!$AB:$AB,AS!$AA$1,AS!$AH:$AH,$Z$8,AS!$AL:$AL,Tilanne!$Y14,AS!$AW:$AW,Tilanne!$Z$6,AS!$K:$K,Tilanne!$Z$1,AS!$X:$X,Tilanne!$Z$5,AS!$AV:$AV,Tilanne!$Z$2)</f>
        <v>0</v>
      </c>
      <c r="G14" s="186"/>
      <c r="I14" s="191" t="s">
        <v>1214</v>
      </c>
      <c r="J14" s="192">
        <f>SUMIFS(AS!$W:$W,AS!$AB:$AB,AS!$AA$1,AS!$AH:$AH,$Y$8,AS!$AQ:$AQ,Tilanne!$Y14,AS!$AW:$AW,Tilanne!$Z$6,AS!$K:$K,Tilanne!$Z$1,AS!$X:$X,Tilanne!$Z$5,AS!$AV:$AV,Tilanne!$Z$2)</f>
        <v>0</v>
      </c>
      <c r="K14" s="207">
        <f>IFERROR(J14/J$29,0)</f>
        <v>0</v>
      </c>
      <c r="L14" s="110">
        <f>SUMIFS(AS!$W:$W,AS!$AB:$AB,AS!$AA$1,AS!$AH:$AH,$Y$8,AS!$AQ:$AQ,Tilanne!$Y14,AS!$F:$F,$Y$7,AS!$AW:$AW,Tilanne!$Z$6,AS!$K:$K,Tilanne!$Z$1,AS!$X:$X,Tilanne!$Z$5,AS!$AV:$AV,Tilanne!$Z$2)</f>
        <v>0</v>
      </c>
      <c r="M14" s="110">
        <f>SUMIFS(AS!$W:$W,AS!$AB:$AB,AS!$AA$1,AS!$AH:$AH,$Y$8,AS!$AQ:$AQ,Tilanne!$Y14,AS!$F:$F,$Z$7,AS!$AW:$AW,Tilanne!$Z$6,AS!$K:$K,Tilanne!$Z$1,AS!$X:$X,Tilanne!$Z$5,AS!$AV:$AV,Tilanne!$Z$2)</f>
        <v>0</v>
      </c>
      <c r="N14" s="110">
        <f>SUMIFS(AS!$W:$W,AS!$AB:$AB,AS!$AA$1,AS!$AH:$AH,"vanha",AS!$AQ:$AQ,Tilanne!$Y14,AS!$AW:$AW,Tilanne!$Z$6,AS!$K:$K,Tilanne!$Z$1,AS!$X:$X,Tilanne!$Z$5,AS!$AV:$AV,Tilanne!$Z$2)</f>
        <v>0</v>
      </c>
      <c r="O14" s="186"/>
      <c r="Q14" s="189" t="s">
        <v>1214</v>
      </c>
      <c r="R14" s="193">
        <f t="shared" si="0"/>
        <v>0</v>
      </c>
      <c r="S14" s="194">
        <f t="shared" si="1"/>
        <v>0</v>
      </c>
      <c r="T14" s="193">
        <f t="shared" si="2"/>
        <v>0</v>
      </c>
      <c r="U14" s="193">
        <f t="shared" si="3"/>
        <v>0</v>
      </c>
      <c r="V14" s="193">
        <f t="shared" si="4"/>
        <v>0</v>
      </c>
      <c r="Y14" s="195" t="s">
        <v>1215</v>
      </c>
      <c r="AB14" s="176" t="s">
        <v>66</v>
      </c>
      <c r="AC14" s="169" t="str">
        <f>IFERROR(INDEX(Data_Omakoodi!E:E,MATCH(AB14,Data_Omakoodi!A:A,0)),"")</f>
        <v/>
      </c>
      <c r="AD14" t="s">
        <v>67</v>
      </c>
      <c r="AE14" s="169" t="str">
        <f>IFERROR(INDEX(Data_Omakoodi!E:E,MATCH(AD14,Data_Omakoodi!A:A,0)),"")</f>
        <v/>
      </c>
      <c r="AF14" t="s">
        <v>67</v>
      </c>
      <c r="AG14" t="s">
        <v>68</v>
      </c>
      <c r="AH14"/>
    </row>
    <row r="15" spans="1:51" x14ac:dyDescent="0.25">
      <c r="A15" s="189" t="s">
        <v>1216</v>
      </c>
      <c r="B15" s="110">
        <f>SUMIFS(AS!$W:$W,AS!$AB:$AB,AS!$AA$1,AS!$AH:$AH,$Y$8,AS!$AL:$AL,Tilanne!$Y15,AS!$AW:$AW,Tilanne!$Z$6,AS!$K:$K,Tilanne!$Z$1,AS!$X:$X,Tilanne!$Z$5,AS!$AV:$AV,Tilanne!$Z$2)</f>
        <v>0</v>
      </c>
      <c r="C15" s="207">
        <f t="shared" ref="C15:C24" si="5">IFERROR(B15/B$29,0)</f>
        <v>0</v>
      </c>
      <c r="D15" s="110">
        <f>SUMIFS(AS!$W:$W,AS!$AB:$AB,AS!$AA$1,AS!$AH:$AH,$Y$8,AS!$AL:$AL,Tilanne!$Y15,AS!$F:$F,$Y$7,AS!$AW:$AW,Tilanne!$Z$6,AS!$K:$K,Tilanne!$Z$1,AS!$X:$X,Tilanne!$Z$5,AS!$AV:$AV,Tilanne!$Z$2)</f>
        <v>0</v>
      </c>
      <c r="E15" s="110">
        <f>SUMIFS(AS!$W:$W,AS!$AB:$AB,AS!$AA$1,AS!$AH:$AH,$Y$8,AS!$AL:$AL,Tilanne!$Y15,AS!$F:$F,$Z$7,AS!$AW:$AW,Tilanne!$Z$6,AS!$K:$K,Tilanne!$Z$1,AS!$X:$X,Tilanne!$Z$5,AS!$AV:$AV,Tilanne!$Z$2)</f>
        <v>0</v>
      </c>
      <c r="F15" s="190">
        <f>SUMIFS(AS!$W:$W,AS!$AB:$AB,AS!$AA$1,AS!$AH:$AH,$Z$8,AS!$AL:$AL,Tilanne!$Y15,AS!$AW:$AW,Tilanne!$Z$6,AS!$K:$K,Tilanne!$Z$1,AS!$X:$X,Tilanne!$Z$5,AS!$AV:$AV,Tilanne!$Z$2)</f>
        <v>0</v>
      </c>
      <c r="G15" s="186"/>
      <c r="I15" s="191" t="s">
        <v>1216</v>
      </c>
      <c r="J15" s="192">
        <f>SUMIFS(AS!$W:$W,AS!$AB:$AB,AS!$AA$1,AS!$AH:$AH,$Y$8,AS!$AQ:$AQ,Tilanne!$Y15,AS!$AW:$AW,Tilanne!$Z$6,AS!$K:$K,Tilanne!$Z$1,AS!$X:$X,Tilanne!$Z$5,AS!$AV:$AV,Tilanne!$Z$2)</f>
        <v>0</v>
      </c>
      <c r="K15" s="207">
        <f t="shared" ref="K15:K24" si="6">IFERROR(J15/J$29,0)</f>
        <v>0</v>
      </c>
      <c r="L15" s="110">
        <f>SUMIFS(AS!$W:$W,AS!$AB:$AB,AS!$AA$1,AS!$AH:$AH,$Y$8,AS!$AQ:$AQ,Tilanne!$Y15,AS!$F:$F,$Y$7,AS!$AW:$AW,Tilanne!$Z$6,AS!$K:$K,Tilanne!$Z$1,AS!$X:$X,Tilanne!$Z$5,AS!$AV:$AV,Tilanne!$Z$2)</f>
        <v>0</v>
      </c>
      <c r="M15" s="110">
        <f>SUMIFS(AS!$W:$W,AS!$AB:$AB,AS!$AA$1,AS!$AH:$AH,$Y$8,AS!$AQ:$AQ,Tilanne!$Y15,AS!$F:$F,$Z$7,AS!$AW:$AW,Tilanne!$Z$6,AS!$K:$K,Tilanne!$Z$1,AS!$X:$X,Tilanne!$Z$5,AS!$AV:$AV,Tilanne!$Z$2)</f>
        <v>0</v>
      </c>
      <c r="N15" s="110">
        <f>SUMIFS(AS!$W:$W,AS!$AB:$AB,AS!$AA$1,AS!$AH:$AH,"vanha",AS!$AQ:$AQ,Tilanne!$Y15,AS!$AW:$AW,Tilanne!$Z$6,AS!$K:$K,Tilanne!$Z$1,AS!$X:$X,Tilanne!$Z$5,AS!$AV:$AV,Tilanne!$Z$2)</f>
        <v>0</v>
      </c>
      <c r="O15" s="186"/>
      <c r="Q15" s="189" t="s">
        <v>1216</v>
      </c>
      <c r="R15" s="193">
        <f t="shared" si="0"/>
        <v>0</v>
      </c>
      <c r="S15" s="194">
        <f t="shared" si="1"/>
        <v>0</v>
      </c>
      <c r="T15" s="193">
        <f t="shared" si="2"/>
        <v>0</v>
      </c>
      <c r="U15" s="193">
        <f t="shared" si="3"/>
        <v>0</v>
      </c>
      <c r="V15" s="193">
        <f t="shared" si="4"/>
        <v>0</v>
      </c>
      <c r="Y15" s="195" t="s">
        <v>1217</v>
      </c>
      <c r="AB15" s="176" t="s">
        <v>73</v>
      </c>
      <c r="AC15" s="169" t="str">
        <f>IFERROR(INDEX(Data_Omakoodi!E:E,MATCH(AB15,Data_Omakoodi!A:A,0)),"")</f>
        <v/>
      </c>
      <c r="AD15" t="s">
        <v>74</v>
      </c>
      <c r="AE15" s="169" t="str">
        <f>IFERROR(INDEX(Data_Omakoodi!E:E,MATCH(AD15,Data_Omakoodi!A:A,0)),"")</f>
        <v/>
      </c>
      <c r="AF15" t="s">
        <v>74</v>
      </c>
      <c r="AG15" t="s">
        <v>75</v>
      </c>
      <c r="AH15"/>
    </row>
    <row r="16" spans="1:51" x14ac:dyDescent="0.25">
      <c r="A16" s="189" t="s">
        <v>1218</v>
      </c>
      <c r="B16" s="110">
        <f>SUMIFS(AS!$W:$W,AS!$AB:$AB,AS!$AA$1,AS!$AH:$AH,$Y$8,AS!$AL:$AL,Tilanne!$Y16,AS!$AW:$AW,Tilanne!$Z$6,AS!$K:$K,Tilanne!$Z$1,AS!$X:$X,Tilanne!$Z$5,AS!$AV:$AV,Tilanne!$Z$2)</f>
        <v>0</v>
      </c>
      <c r="C16" s="207">
        <f t="shared" si="5"/>
        <v>0</v>
      </c>
      <c r="D16" s="110">
        <f>SUMIFS(AS!$W:$W,AS!$AB:$AB,AS!$AA$1,AS!$AH:$AH,$Y$8,AS!$AL:$AL,Tilanne!$Y16,AS!$F:$F,$Y$7,AS!$AW:$AW,Tilanne!$Z$6,AS!$K:$K,Tilanne!$Z$1,AS!$X:$X,Tilanne!$Z$5,AS!$AV:$AV,Tilanne!$Z$2)</f>
        <v>0</v>
      </c>
      <c r="E16" s="110">
        <f>SUMIFS(AS!$W:$W,AS!$AB:$AB,AS!$AA$1,AS!$AH:$AH,$Y$8,AS!$AL:$AL,Tilanne!$Y16,AS!$F:$F,$Z$7,AS!$AW:$AW,Tilanne!$Z$6,AS!$K:$K,Tilanne!$Z$1,AS!$X:$X,Tilanne!$Z$5,AS!$AV:$AV,Tilanne!$Z$2)</f>
        <v>0</v>
      </c>
      <c r="F16" s="190">
        <f>SUMIFS(AS!$W:$W,AS!$AB:$AB,AS!$AA$1,AS!$AH:$AH,$Z$8,AS!$AL:$AL,Tilanne!$Y16,AS!$AW:$AW,Tilanne!$Z$6,AS!$K:$K,Tilanne!$Z$1,AS!$X:$X,Tilanne!$Z$5,AS!$AV:$AV,Tilanne!$Z$2)</f>
        <v>0</v>
      </c>
      <c r="G16" s="186"/>
      <c r="I16" s="191" t="s">
        <v>1218</v>
      </c>
      <c r="J16" s="192">
        <f>SUMIFS(AS!$W:$W,AS!$AB:$AB,AS!$AA$1,AS!$AH:$AH,$Y$8,AS!$AQ:$AQ,Tilanne!$Y16,AS!$AW:$AW,Tilanne!$Z$6,AS!$K:$K,Tilanne!$Z$1,AS!$X:$X,Tilanne!$Z$5,AS!$AV:$AV,Tilanne!$Z$2)</f>
        <v>0</v>
      </c>
      <c r="K16" s="207">
        <f t="shared" si="6"/>
        <v>0</v>
      </c>
      <c r="L16" s="110">
        <f>SUMIFS(AS!$W:$W,AS!$AB:$AB,AS!$AA$1,AS!$AH:$AH,$Y$8,AS!$AQ:$AQ,Tilanne!$Y16,AS!$F:$F,$Y$7,AS!$AW:$AW,Tilanne!$Z$6,AS!$K:$K,Tilanne!$Z$1,AS!$X:$X,Tilanne!$Z$5,AS!$AV:$AV,Tilanne!$Z$2)</f>
        <v>0</v>
      </c>
      <c r="M16" s="110">
        <f>SUMIFS(AS!$W:$W,AS!$AB:$AB,AS!$AA$1,AS!$AH:$AH,$Y$8,AS!$AQ:$AQ,Tilanne!$Y16,AS!$F:$F,$Z$7,AS!$AW:$AW,Tilanne!$Z$6,AS!$K:$K,Tilanne!$Z$1,AS!$X:$X,Tilanne!$Z$5,AS!$AV:$AV,Tilanne!$Z$2)</f>
        <v>0</v>
      </c>
      <c r="N16" s="110">
        <f>SUMIFS(AS!$W:$W,AS!$AB:$AB,AS!$AA$1,AS!$AH:$AH,"vanha",AS!$AQ:$AQ,Tilanne!$Y16,AS!$AW:$AW,Tilanne!$Z$6,AS!$K:$K,Tilanne!$Z$1,AS!$X:$X,Tilanne!$Z$5,AS!$AV:$AV,Tilanne!$Z$2)</f>
        <v>0</v>
      </c>
      <c r="O16" s="186"/>
      <c r="Q16" s="189" t="s">
        <v>1218</v>
      </c>
      <c r="R16" s="193">
        <f t="shared" si="0"/>
        <v>0</v>
      </c>
      <c r="S16" s="194">
        <f t="shared" si="1"/>
        <v>0</v>
      </c>
      <c r="T16" s="193">
        <f t="shared" si="2"/>
        <v>0</v>
      </c>
      <c r="U16" s="193">
        <f t="shared" si="3"/>
        <v>0</v>
      </c>
      <c r="V16" s="193">
        <f t="shared" si="4"/>
        <v>0</v>
      </c>
      <c r="Y16" s="195" t="s">
        <v>1219</v>
      </c>
      <c r="AB16" s="176" t="s">
        <v>80</v>
      </c>
      <c r="AC16" s="169" t="str">
        <f>IFERROR(INDEX(Data_Omakoodi!E:E,MATCH(AB16,Data_Omakoodi!A:A,0)),"")</f>
        <v/>
      </c>
      <c r="AD16" t="s">
        <v>81</v>
      </c>
      <c r="AE16" s="169" t="str">
        <f>IFERROR(INDEX(Data_Omakoodi!E:E,MATCH(AD16,Data_Omakoodi!A:A,0)),"")</f>
        <v/>
      </c>
      <c r="AF16" t="s">
        <v>81</v>
      </c>
      <c r="AG16" t="s">
        <v>82</v>
      </c>
      <c r="AH16"/>
    </row>
    <row r="17" spans="1:34" x14ac:dyDescent="0.25">
      <c r="A17" s="189" t="s">
        <v>1220</v>
      </c>
      <c r="B17" s="110">
        <f>SUMIFS(AS!$W:$W,AS!$AB:$AB,AS!$AA$1,AS!$AH:$AH,$Y$8,AS!$AL:$AL,Tilanne!$Y17,AS!$AW:$AW,Tilanne!$Z$6,AS!$K:$K,Tilanne!$Z$1,AS!$X:$X,Tilanne!$Z$5,AS!$AV:$AV,Tilanne!$Z$2)</f>
        <v>0</v>
      </c>
      <c r="C17" s="207">
        <f t="shared" si="5"/>
        <v>0</v>
      </c>
      <c r="D17" s="110">
        <f>SUMIFS(AS!$W:$W,AS!$AB:$AB,AS!$AA$1,AS!$AH:$AH,$Y$8,AS!$AL:$AL,Tilanne!$Y17,AS!$F:$F,$Y$7,AS!$AW:$AW,Tilanne!$Z$6,AS!$K:$K,Tilanne!$Z$1,AS!$X:$X,Tilanne!$Z$5,AS!$AV:$AV,Tilanne!$Z$2)</f>
        <v>0</v>
      </c>
      <c r="E17" s="110">
        <f>SUMIFS(AS!$W:$W,AS!$AB:$AB,AS!$AA$1,AS!$AH:$AH,$Y$8,AS!$AL:$AL,Tilanne!$Y17,AS!$F:$F,$Z$7,AS!$AW:$AW,Tilanne!$Z$6,AS!$K:$K,Tilanne!$Z$1,AS!$X:$X,Tilanne!$Z$5,AS!$AV:$AV,Tilanne!$Z$2)</f>
        <v>0</v>
      </c>
      <c r="F17" s="190">
        <f>SUMIFS(AS!$W:$W,AS!$AB:$AB,AS!$AA$1,AS!$AH:$AH,$Z$8,AS!$AL:$AL,Tilanne!$Y17,AS!$AW:$AW,Tilanne!$Z$6,AS!$K:$K,Tilanne!$Z$1,AS!$X:$X,Tilanne!$Z$5,AS!$AV:$AV,Tilanne!$Z$2)</f>
        <v>0</v>
      </c>
      <c r="G17" s="186"/>
      <c r="I17" s="191" t="s">
        <v>1220</v>
      </c>
      <c r="J17" s="192">
        <f>SUMIFS(AS!$W:$W,AS!$AB:$AB,AS!$AA$1,AS!$AH:$AH,$Y$8,AS!$AQ:$AQ,Tilanne!$Y17,AS!$AW:$AW,Tilanne!$Z$6,AS!$K:$K,Tilanne!$Z$1,AS!$X:$X,Tilanne!$Z$5,AS!$AV:$AV,Tilanne!$Z$2)</f>
        <v>0</v>
      </c>
      <c r="K17" s="207">
        <f t="shared" si="6"/>
        <v>0</v>
      </c>
      <c r="L17" s="110">
        <f>SUMIFS(AS!$W:$W,AS!$AB:$AB,AS!$AA$1,AS!$AH:$AH,$Y$8,AS!$AQ:$AQ,Tilanne!$Y17,AS!$F:$F,$Y$7,AS!$AW:$AW,Tilanne!$Z$6,AS!$K:$K,Tilanne!$Z$1,AS!$X:$X,Tilanne!$Z$5,AS!$AV:$AV,Tilanne!$Z$2)</f>
        <v>0</v>
      </c>
      <c r="M17" s="110">
        <f>SUMIFS(AS!$W:$W,AS!$AB:$AB,AS!$AA$1,AS!$AH:$AH,$Y$8,AS!$AQ:$AQ,Tilanne!$Y17,AS!$F:$F,$Z$7,AS!$AW:$AW,Tilanne!$Z$6,AS!$K:$K,Tilanne!$Z$1,AS!$X:$X,Tilanne!$Z$5,AS!$AV:$AV,Tilanne!$Z$2)</f>
        <v>0</v>
      </c>
      <c r="N17" s="110">
        <f>SUMIFS(AS!$W:$W,AS!$AB:$AB,AS!$AA$1,AS!$AH:$AH,"vanha",AS!$AQ:$AQ,Tilanne!$Y17,AS!$AW:$AW,Tilanne!$Z$6,AS!$K:$K,Tilanne!$Z$1,AS!$X:$X,Tilanne!$Z$5,AS!$AV:$AV,Tilanne!$Z$2)</f>
        <v>0</v>
      </c>
      <c r="O17" s="186"/>
      <c r="Q17" s="189" t="s">
        <v>1220</v>
      </c>
      <c r="R17" s="193">
        <f t="shared" si="0"/>
        <v>0</v>
      </c>
      <c r="S17" s="194">
        <f t="shared" si="1"/>
        <v>0</v>
      </c>
      <c r="T17" s="193">
        <f t="shared" si="2"/>
        <v>0</v>
      </c>
      <c r="U17" s="193">
        <f t="shared" si="3"/>
        <v>0</v>
      </c>
      <c r="V17" s="193">
        <f t="shared" si="4"/>
        <v>0</v>
      </c>
      <c r="Y17" s="195" t="s">
        <v>1221</v>
      </c>
      <c r="AB17" s="176" t="s">
        <v>87</v>
      </c>
      <c r="AC17" s="169" t="str">
        <f>IFERROR(INDEX(Data_Omakoodi!E:E,MATCH(AB17,Data_Omakoodi!A:A,0)),"")</f>
        <v/>
      </c>
      <c r="AD17" t="s">
        <v>88</v>
      </c>
      <c r="AE17" s="169" t="str">
        <f>IFERROR(INDEX(Data_Omakoodi!E:E,MATCH(AD17,Data_Omakoodi!A:A,0)),"")</f>
        <v/>
      </c>
      <c r="AF17" t="s">
        <v>88</v>
      </c>
      <c r="AG17" t="s">
        <v>89</v>
      </c>
      <c r="AH17"/>
    </row>
    <row r="18" spans="1:34" x14ac:dyDescent="0.25">
      <c r="A18" s="189" t="s">
        <v>1222</v>
      </c>
      <c r="B18" s="110">
        <f>SUMIFS(AS!$W:$W,AS!$AB:$AB,AS!$AA$1,AS!$AH:$AH,$Y$8,AS!$AL:$AL,Tilanne!$Y18,AS!$AW:$AW,Tilanne!$Z$6,AS!$K:$K,Tilanne!$Z$1,AS!$X:$X,Tilanne!$Z$5,AS!$AV:$AV,Tilanne!$Z$2)</f>
        <v>0</v>
      </c>
      <c r="C18" s="207">
        <f t="shared" si="5"/>
        <v>0</v>
      </c>
      <c r="D18" s="110">
        <f>SUMIFS(AS!$W:$W,AS!$AB:$AB,AS!$AA$1,AS!$AH:$AH,$Y$8,AS!$AL:$AL,Tilanne!$Y18,AS!$F:$F,$Y$7,AS!$AW:$AW,Tilanne!$Z$6,AS!$K:$K,Tilanne!$Z$1,AS!$X:$X,Tilanne!$Z$5,AS!$AV:$AV,Tilanne!$Z$2)</f>
        <v>0</v>
      </c>
      <c r="E18" s="110">
        <f>SUMIFS(AS!$W:$W,AS!$AB:$AB,AS!$AA$1,AS!$AH:$AH,$Y$8,AS!$AL:$AL,Tilanne!$Y18,AS!$F:$F,$Z$7,AS!$AW:$AW,Tilanne!$Z$6,AS!$K:$K,Tilanne!$Z$1,AS!$X:$X,Tilanne!$Z$5,AS!$AV:$AV,Tilanne!$Z$2)</f>
        <v>0</v>
      </c>
      <c r="F18" s="190">
        <f>SUMIFS(AS!$W:$W,AS!$AB:$AB,AS!$AA$1,AS!$AH:$AH,$Z$8,AS!$AL:$AL,Tilanne!$Y18,AS!$AW:$AW,Tilanne!$Z$6,AS!$K:$K,Tilanne!$Z$1,AS!$X:$X,Tilanne!$Z$5,AS!$AV:$AV,Tilanne!$Z$2)</f>
        <v>0</v>
      </c>
      <c r="G18" s="186"/>
      <c r="I18" s="191" t="s">
        <v>1222</v>
      </c>
      <c r="J18" s="192">
        <f>SUMIFS(AS!$W:$W,AS!$AB:$AB,AS!$AA$1,AS!$AH:$AH,$Y$8,AS!$AQ:$AQ,Tilanne!$Y18,AS!$AW:$AW,Tilanne!$Z$6,AS!$K:$K,Tilanne!$Z$1,AS!$X:$X,Tilanne!$Z$5,AS!$AV:$AV,Tilanne!$Z$2)</f>
        <v>0</v>
      </c>
      <c r="K18" s="207">
        <f t="shared" si="6"/>
        <v>0</v>
      </c>
      <c r="L18" s="110">
        <f>SUMIFS(AS!$W:$W,AS!$AB:$AB,AS!$AA$1,AS!$AH:$AH,$Y$8,AS!$AQ:$AQ,Tilanne!$Y18,AS!$F:$F,$Y$7,AS!$AW:$AW,Tilanne!$Z$6,AS!$K:$K,Tilanne!$Z$1,AS!$X:$X,Tilanne!$Z$5,AS!$AV:$AV,Tilanne!$Z$2)</f>
        <v>0</v>
      </c>
      <c r="M18" s="110">
        <f>SUMIFS(AS!$W:$W,AS!$AB:$AB,AS!$AA$1,AS!$AH:$AH,$Y$8,AS!$AQ:$AQ,Tilanne!$Y18,AS!$F:$F,$Z$7,AS!$AW:$AW,Tilanne!$Z$6,AS!$K:$K,Tilanne!$Z$1,AS!$X:$X,Tilanne!$Z$5,AS!$AV:$AV,Tilanne!$Z$2)</f>
        <v>0</v>
      </c>
      <c r="N18" s="110">
        <f>SUMIFS(AS!$W:$W,AS!$AB:$AB,AS!$AA$1,AS!$AH:$AH,"vanha",AS!$AQ:$AQ,Tilanne!$Y18,AS!$AW:$AW,Tilanne!$Z$6,AS!$K:$K,Tilanne!$Z$1,AS!$X:$X,Tilanne!$Z$5,AS!$AV:$AV,Tilanne!$Z$2)</f>
        <v>0</v>
      </c>
      <c r="O18" s="186"/>
      <c r="Q18" s="189" t="s">
        <v>1222</v>
      </c>
      <c r="R18" s="193">
        <f t="shared" si="0"/>
        <v>0</v>
      </c>
      <c r="S18" s="194">
        <f t="shared" si="1"/>
        <v>0</v>
      </c>
      <c r="T18" s="193">
        <f t="shared" si="2"/>
        <v>0</v>
      </c>
      <c r="U18" s="193">
        <f t="shared" si="3"/>
        <v>0</v>
      </c>
      <c r="V18" s="193">
        <f t="shared" si="4"/>
        <v>0</v>
      </c>
      <c r="Y18" s="195" t="s">
        <v>1223</v>
      </c>
      <c r="AB18" s="176" t="s">
        <v>94</v>
      </c>
      <c r="AC18" s="169" t="str">
        <f>IFERROR(INDEX(Data_Omakoodi!E:E,MATCH(AB18,Data_Omakoodi!A:A,0)),"")</f>
        <v/>
      </c>
      <c r="AD18" t="s">
        <v>95</v>
      </c>
      <c r="AE18" s="169" t="str">
        <f>IFERROR(INDEX(Data_Omakoodi!E:E,MATCH(AD18,Data_Omakoodi!A:A,0)),"")</f>
        <v/>
      </c>
      <c r="AF18" t="s">
        <v>95</v>
      </c>
      <c r="AG18" t="s">
        <v>96</v>
      </c>
      <c r="AH18"/>
    </row>
    <row r="19" spans="1:34" x14ac:dyDescent="0.25">
      <c r="A19" s="189" t="s">
        <v>1224</v>
      </c>
      <c r="B19" s="110">
        <f>SUMIFS(AS!$W:$W,AS!$AB:$AB,AS!$AA$1,AS!$AH:$AH,$Y$8,AS!$AL:$AL,Tilanne!$Y19,AS!$AW:$AW,Tilanne!$Z$6,AS!$K:$K,Tilanne!$Z$1,AS!$X:$X,Tilanne!$Z$5,AS!$AV:$AV,Tilanne!$Z$2)</f>
        <v>0</v>
      </c>
      <c r="C19" s="207">
        <f t="shared" ref="C19" si="7">IFERROR(B19/B$29,0)</f>
        <v>0</v>
      </c>
      <c r="D19" s="110">
        <f>SUMIFS(AS!$W:$W,AS!$AB:$AB,AS!$AA$1,AS!$AH:$AH,$Y$8,AS!$AL:$AL,Tilanne!$Y19,AS!$F:$F,$Y$7,AS!$AW:$AW,Tilanne!$Z$6,AS!$K:$K,Tilanne!$Z$1,AS!$X:$X,Tilanne!$Z$5,AS!$AV:$AV,Tilanne!$Z$2)</f>
        <v>0</v>
      </c>
      <c r="E19" s="110">
        <f>SUMIFS(AS!$W:$W,AS!$AB:$AB,AS!$AA$1,AS!$AH:$AH,$Y$8,AS!$AL:$AL,Tilanne!$Y19,AS!$F:$F,$Z$7,AS!$AW:$AW,Tilanne!$Z$6,AS!$K:$K,Tilanne!$Z$1,AS!$X:$X,Tilanne!$Z$5,AS!$AV:$AV,Tilanne!$Z$2)</f>
        <v>0</v>
      </c>
      <c r="F19" s="190">
        <f>SUMIFS(AS!$W:$W,AS!$AB:$AB,AS!$AA$1,AS!$AH:$AH,$Z$8,AS!$AL:$AL,Tilanne!$Y19,AS!$AW:$AW,Tilanne!$Z$6,AS!$K:$K,Tilanne!$Z$1,AS!$X:$X,Tilanne!$Z$5,AS!$AV:$AV,Tilanne!$Z$2)</f>
        <v>0</v>
      </c>
      <c r="G19" s="186"/>
      <c r="I19" s="189" t="s">
        <v>1224</v>
      </c>
      <c r="J19" s="192">
        <f>SUMIFS(AS!$W:$W,AS!$AB:$AB,AS!$AA$1,AS!$AH:$AH,$Y$8,AS!$AQ:$AQ,Tilanne!$Y19,AS!$AW:$AW,Tilanne!$Z$6,AS!$K:$K,Tilanne!$Z$1,AS!$X:$X,Tilanne!$Z$5,AS!$AV:$AV,Tilanne!$Z$2)</f>
        <v>0</v>
      </c>
      <c r="K19" s="207">
        <f t="shared" ref="K19" si="8">IFERROR(J19/J$29,0)</f>
        <v>0</v>
      </c>
      <c r="L19" s="110">
        <f>SUMIFS(AS!$W:$W,AS!$AB:$AB,AS!$AA$1,AS!$AH:$AH,$Y$8,AS!$AQ:$AQ,Tilanne!$Y19,AS!$F:$F,$Y$7,AS!$AW:$AW,Tilanne!$Z$6,AS!$K:$K,Tilanne!$Z$1,AS!$X:$X,Tilanne!$Z$5,AS!$AV:$AV,Tilanne!$Z$2)</f>
        <v>0</v>
      </c>
      <c r="M19" s="110">
        <f>SUMIFS(AS!$W:$W,AS!$AB:$AB,AS!$AA$1,AS!$AH:$AH,$Y$8,AS!$AQ:$AQ,Tilanne!$Y19,AS!$F:$F,$Z$7,AS!$AW:$AW,Tilanne!$Z$6,AS!$K:$K,Tilanne!$Z$1,AS!$X:$X,Tilanne!$Z$5,AS!$AV:$AV,Tilanne!$Z$2)</f>
        <v>0</v>
      </c>
      <c r="N19" s="110">
        <f>SUMIFS(AS!$W:$W,AS!$AB:$AB,AS!$AA$1,AS!$AH:$AH,"vanha",AS!$AQ:$AQ,Tilanne!$Y19,AS!$AW:$AW,Tilanne!$Z$6,AS!$K:$K,Tilanne!$Z$1,AS!$X:$X,Tilanne!$Z$5,AS!$AV:$AV,Tilanne!$Z$2)</f>
        <v>0</v>
      </c>
      <c r="O19" s="186"/>
      <c r="Q19" s="189" t="s">
        <v>1224</v>
      </c>
      <c r="R19" s="193">
        <f t="shared" ref="R19" si="9">J19-B19</f>
        <v>0</v>
      </c>
      <c r="S19" s="194">
        <f t="shared" ref="S19" si="10">K19-C19</f>
        <v>0</v>
      </c>
      <c r="T19" s="193">
        <f t="shared" ref="T19" si="11">L19-D19</f>
        <v>0</v>
      </c>
      <c r="U19" s="193">
        <f t="shared" ref="U19" si="12">M19-E19</f>
        <v>0</v>
      </c>
      <c r="V19" s="193">
        <f t="shared" ref="V19" si="13">N19-F19</f>
        <v>0</v>
      </c>
      <c r="Y19" s="195" t="s">
        <v>1225</v>
      </c>
      <c r="AB19" s="176"/>
      <c r="AC19" s="169"/>
      <c r="AD19"/>
      <c r="AE19" s="169"/>
      <c r="AF19"/>
      <c r="AG19"/>
      <c r="AH19"/>
    </row>
    <row r="20" spans="1:34" x14ac:dyDescent="0.25">
      <c r="A20" s="189" t="s">
        <v>1226</v>
      </c>
      <c r="B20" s="110">
        <f>SUMIFS(AS!$W:$W,AS!$AB:$AB,AS!$AA$1,AS!$AH:$AH,$Y$8,AS!$AL:$AL,Tilanne!$Y20,AS!$AW:$AW,Tilanne!$Z$6,AS!$K:$K,Tilanne!$Z$1,AS!$X:$X,Tilanne!$Z$5,AS!$AV:$AV,Tilanne!$Z$2)</f>
        <v>0</v>
      </c>
      <c r="C20" s="207">
        <f t="shared" si="5"/>
        <v>0</v>
      </c>
      <c r="D20" s="110">
        <f>SUMIFS(AS!$W:$W,AS!$AB:$AB,AS!$AA$1,AS!$AH:$AH,$Y$8,AS!$AL:$AL,Tilanne!$Y20,AS!$F:$F,$Y$7,AS!$AW:$AW,Tilanne!$Z$6,AS!$K:$K,Tilanne!$Z$1,AS!$X:$X,Tilanne!$Z$5,AS!$AV:$AV,Tilanne!$Z$2)</f>
        <v>0</v>
      </c>
      <c r="E20" s="110">
        <f>SUMIFS(AS!$W:$W,AS!$AB:$AB,AS!$AA$1,AS!$AH:$AH,$Y$8,AS!$AL:$AL,Tilanne!$Y20,AS!$F:$F,$Z$7,AS!$AW:$AW,Tilanne!$Z$6,AS!$K:$K,Tilanne!$Z$1,AS!$X:$X,Tilanne!$Z$5,AS!$AV:$AV,Tilanne!$Z$2)</f>
        <v>0</v>
      </c>
      <c r="F20" s="190">
        <f>SUMIFS(AS!$W:$W,AS!$AB:$AB,AS!$AA$1,AS!$AH:$AH,$Z$8,AS!$AL:$AL,Tilanne!$Y20,AS!$AW:$AW,Tilanne!$Z$6,AS!$K:$K,Tilanne!$Z$1,AS!$X:$X,Tilanne!$Z$5,AS!$AV:$AV,Tilanne!$Z$2)</f>
        <v>0</v>
      </c>
      <c r="G20" s="186"/>
      <c r="I20" s="191" t="s">
        <v>1226</v>
      </c>
      <c r="J20" s="192">
        <f>SUMIFS(AS!$W:$W,AS!$AB:$AB,AS!$AA$1,AS!$AH:$AH,$Y$8,AS!$AQ:$AQ,Tilanne!$Y20,AS!$AW:$AW,Tilanne!$Z$6,AS!$K:$K,Tilanne!$Z$1,AS!$X:$X,Tilanne!$Z$5,AS!$AV:$AV,Tilanne!$Z$2)</f>
        <v>0</v>
      </c>
      <c r="K20" s="207">
        <f t="shared" si="6"/>
        <v>0</v>
      </c>
      <c r="L20" s="110">
        <f>SUMIFS(AS!$W:$W,AS!$AB:$AB,AS!$AA$1,AS!$AH:$AH,$Y$8,AS!$AQ:$AQ,Tilanne!$Y20,AS!$F:$F,$Y$7,AS!$AW:$AW,Tilanne!$Z$6,AS!$K:$K,Tilanne!$Z$1,AS!$X:$X,Tilanne!$Z$5,AS!$AV:$AV,Tilanne!$Z$2)</f>
        <v>0</v>
      </c>
      <c r="M20" s="110">
        <f>SUMIFS(AS!$W:$W,AS!$AB:$AB,AS!$AA$1,AS!$AH:$AH,$Y$8,AS!$AQ:$AQ,Tilanne!$Y20,AS!$F:$F,$Z$7,AS!$AW:$AW,Tilanne!$Z$6,AS!$K:$K,Tilanne!$Z$1,AS!$X:$X,Tilanne!$Z$5,AS!$AV:$AV,Tilanne!$Z$2)</f>
        <v>0</v>
      </c>
      <c r="N20" s="110">
        <f>SUMIFS(AS!$W:$W,AS!$AB:$AB,AS!$AA$1,AS!$AH:$AH,"vanha",AS!$AQ:$AQ,Tilanne!$Y20,AS!$AW:$AW,Tilanne!$Z$6,AS!$K:$K,Tilanne!$Z$1,AS!$X:$X,Tilanne!$Z$5,AS!$AV:$AV,Tilanne!$Z$2)</f>
        <v>0</v>
      </c>
      <c r="O20" s="186"/>
      <c r="Q20" s="189" t="s">
        <v>1226</v>
      </c>
      <c r="R20" s="193">
        <f t="shared" si="0"/>
        <v>0</v>
      </c>
      <c r="S20" s="194">
        <f t="shared" si="1"/>
        <v>0</v>
      </c>
      <c r="T20" s="193">
        <f t="shared" si="2"/>
        <v>0</v>
      </c>
      <c r="U20" s="193">
        <f t="shared" si="3"/>
        <v>0</v>
      </c>
      <c r="V20" s="193">
        <f t="shared" si="4"/>
        <v>0</v>
      </c>
      <c r="Y20" s="195" t="s">
        <v>1227</v>
      </c>
      <c r="AB20" s="176" t="s">
        <v>101</v>
      </c>
      <c r="AC20" s="169" t="str">
        <f>IFERROR(INDEX(Data_Omakoodi!E:E,MATCH(AB20,Data_Omakoodi!A:A,0)),"")</f>
        <v/>
      </c>
      <c r="AD20" t="s">
        <v>102</v>
      </c>
      <c r="AE20" s="169" t="str">
        <f>IFERROR(INDEX(Data_Omakoodi!E:E,MATCH(AD20,Data_Omakoodi!A:A,0)),"")</f>
        <v/>
      </c>
      <c r="AF20" t="s">
        <v>102</v>
      </c>
      <c r="AG20" t="s">
        <v>103</v>
      </c>
      <c r="AH20"/>
    </row>
    <row r="21" spans="1:34" x14ac:dyDescent="0.25">
      <c r="A21" s="189" t="s">
        <v>1228</v>
      </c>
      <c r="B21" s="110">
        <f>SUMIFS(AS!$W:$W,AS!$AB:$AB,AS!$AA$1,AS!$AH:$AH,$Y$8,AS!$AL:$AL,Tilanne!$Y21,AS!$AW:$AW,Tilanne!$Z$6,AS!$K:$K,Tilanne!$Z$1,AS!$X:$X,Tilanne!$Z$5,AS!$AV:$AV,Tilanne!$Z$2)</f>
        <v>0</v>
      </c>
      <c r="C21" s="207">
        <f t="shared" si="5"/>
        <v>0</v>
      </c>
      <c r="D21" s="110">
        <f>SUMIFS(AS!$W:$W,AS!$AB:$AB,AS!$AA$1,AS!$AH:$AH,$Y$8,AS!$AL:$AL,Tilanne!$Y21,AS!$F:$F,$Y$7,AS!$AW:$AW,Tilanne!$Z$6,AS!$K:$K,Tilanne!$Z$1,AS!$X:$X,Tilanne!$Z$5,AS!$AV:$AV,Tilanne!$Z$2)</f>
        <v>0</v>
      </c>
      <c r="E21" s="110">
        <f>SUMIFS(AS!$W:$W,AS!$AB:$AB,AS!$AA$1,AS!$AH:$AH,$Y$8,AS!$AL:$AL,Tilanne!$Y21,AS!$F:$F,$Z$7,AS!$AW:$AW,Tilanne!$Z$6,AS!$K:$K,Tilanne!$Z$1,AS!$X:$X,Tilanne!$Z$5,AS!$AV:$AV,Tilanne!$Z$2)</f>
        <v>0</v>
      </c>
      <c r="F21" s="190">
        <f>SUMIFS(AS!$W:$W,AS!$AB:$AB,AS!$AA$1,AS!$AH:$AH,$Z$8,AS!$AL:$AL,Tilanne!$Y21,AS!$AW:$AW,Tilanne!$Z$6,AS!$K:$K,Tilanne!$Z$1,AS!$X:$X,Tilanne!$Z$5,AS!$AV:$AV,Tilanne!$Z$2)</f>
        <v>0</v>
      </c>
      <c r="G21" s="186"/>
      <c r="I21" s="191" t="s">
        <v>1228</v>
      </c>
      <c r="J21" s="192">
        <f>SUMIFS(AS!$W:$W,AS!$AB:$AB,AS!$AA$1,AS!$AH:$AH,$Y$8,AS!$AQ:$AQ,Tilanne!$Y21,AS!$AW:$AW,Tilanne!$Z$6,AS!$K:$K,Tilanne!$Z$1,AS!$X:$X,Tilanne!$Z$5,AS!$AV:$AV,Tilanne!$Z$2)</f>
        <v>0</v>
      </c>
      <c r="K21" s="207">
        <f t="shared" si="6"/>
        <v>0</v>
      </c>
      <c r="L21" s="110">
        <f>SUMIFS(AS!$W:$W,AS!$AB:$AB,AS!$AA$1,AS!$AH:$AH,$Y$8,AS!$AQ:$AQ,Tilanne!$Y21,AS!$F:$F,$Y$7,AS!$AW:$AW,Tilanne!$Z$6,AS!$K:$K,Tilanne!$Z$1,AS!$X:$X,Tilanne!$Z$5,AS!$AV:$AV,Tilanne!$Z$2)</f>
        <v>0</v>
      </c>
      <c r="M21" s="110">
        <f>SUMIFS(AS!$W:$W,AS!$AB:$AB,AS!$AA$1,AS!$AH:$AH,$Y$8,AS!$AQ:$AQ,Tilanne!$Y21,AS!$F:$F,$Z$7,AS!$AW:$AW,Tilanne!$Z$6,AS!$K:$K,Tilanne!$Z$1,AS!$X:$X,Tilanne!$Z$5,AS!$AV:$AV,Tilanne!$Z$2)</f>
        <v>0</v>
      </c>
      <c r="N21" s="110">
        <f>SUMIFS(AS!$W:$W,AS!$AB:$AB,AS!$AA$1,AS!$AH:$AH,"vanha",AS!$AQ:$AQ,Tilanne!$Y21,AS!$AW:$AW,Tilanne!$Z$6,AS!$K:$K,Tilanne!$Z$1,AS!$X:$X,Tilanne!$Z$5,AS!$AV:$AV,Tilanne!$Z$2)</f>
        <v>0</v>
      </c>
      <c r="O21" s="186"/>
      <c r="Q21" s="189" t="s">
        <v>1228</v>
      </c>
      <c r="R21" s="193">
        <f t="shared" si="0"/>
        <v>0</v>
      </c>
      <c r="S21" s="194">
        <f t="shared" si="1"/>
        <v>0</v>
      </c>
      <c r="T21" s="193">
        <f t="shared" si="2"/>
        <v>0</v>
      </c>
      <c r="U21" s="193">
        <f t="shared" si="3"/>
        <v>0</v>
      </c>
      <c r="V21" s="193">
        <f t="shared" si="4"/>
        <v>0</v>
      </c>
      <c r="Y21" s="195" t="s">
        <v>1229</v>
      </c>
      <c r="AB21" s="176" t="s">
        <v>107</v>
      </c>
      <c r="AC21" s="169" t="str">
        <f>IFERROR(INDEX(Data_Omakoodi!E:E,MATCH(AB21,Data_Omakoodi!A:A,0)),"")</f>
        <v/>
      </c>
      <c r="AD21" t="s">
        <v>108</v>
      </c>
      <c r="AE21" s="169" t="str">
        <f>IFERROR(INDEX(Data_Omakoodi!E:E,MATCH(AD21,Data_Omakoodi!A:A,0)),"")</f>
        <v/>
      </c>
      <c r="AF21" t="s">
        <v>108</v>
      </c>
      <c r="AG21" t="s">
        <v>109</v>
      </c>
      <c r="AH21"/>
    </row>
    <row r="22" spans="1:34" x14ac:dyDescent="0.25">
      <c r="A22" s="189" t="s">
        <v>1230</v>
      </c>
      <c r="B22" s="110">
        <f>SUMIFS(AS!$W:$W,AS!$AB:$AB,AS!$AA$1,AS!$AH:$AH,$Y$8,AS!$AL:$AL,Tilanne!$Y22,AS!$AW:$AW,Tilanne!$Z$6,AS!$K:$K,Tilanne!$Z$1,AS!$X:$X,Tilanne!$Z$5,AS!$AV:$AV,Tilanne!$Z$2)</f>
        <v>0</v>
      </c>
      <c r="C22" s="207">
        <f t="shared" si="5"/>
        <v>0</v>
      </c>
      <c r="D22" s="110">
        <f>SUMIFS(AS!$W:$W,AS!$AB:$AB,AS!$AA$1,AS!$AH:$AH,$Y$8,AS!$AL:$AL,Tilanne!$Y22,AS!$F:$F,$Y$7,AS!$AW:$AW,Tilanne!$Z$6,AS!$K:$K,Tilanne!$Z$1,AS!$X:$X,Tilanne!$Z$5,AS!$AV:$AV,Tilanne!$Z$2)</f>
        <v>0</v>
      </c>
      <c r="E22" s="110">
        <f>SUMIFS(AS!$W:$W,AS!$AB:$AB,AS!$AA$1,AS!$AH:$AH,$Y$8,AS!$AL:$AL,Tilanne!$Y22,AS!$F:$F,$Z$7,AS!$AW:$AW,Tilanne!$Z$6,AS!$K:$K,Tilanne!$Z$1,AS!$X:$X,Tilanne!$Z$5,AS!$AV:$AV,Tilanne!$Z$2)</f>
        <v>0</v>
      </c>
      <c r="F22" s="190">
        <f>SUMIFS(AS!$W:$W,AS!$AB:$AB,AS!$AA$1,AS!$AH:$AH,$Z$8,AS!$AL:$AL,Tilanne!$Y22,AS!$AW:$AW,Tilanne!$Z$6,AS!$K:$K,Tilanne!$Z$1,AS!$X:$X,Tilanne!$Z$5,AS!$AV:$AV,Tilanne!$Z$2)</f>
        <v>0</v>
      </c>
      <c r="G22" s="186"/>
      <c r="I22" s="191" t="s">
        <v>1230</v>
      </c>
      <c r="J22" s="192">
        <f>SUMIFS(AS!$W:$W,AS!$AB:$AB,AS!$AA$1,AS!$AH:$AH,$Y$8,AS!$AQ:$AQ,Tilanne!$Y22,AS!$AW:$AW,Tilanne!$Z$6,AS!$K:$K,Tilanne!$Z$1,AS!$X:$X,Tilanne!$Z$5,AS!$AV:$AV,Tilanne!$Z$2)</f>
        <v>0</v>
      </c>
      <c r="K22" s="207">
        <f t="shared" si="6"/>
        <v>0</v>
      </c>
      <c r="L22" s="110">
        <f>SUMIFS(AS!$W:$W,AS!$AB:$AB,AS!$AA$1,AS!$AH:$AH,$Y$8,AS!$AQ:$AQ,Tilanne!$Y22,AS!$F:$F,$Y$7,AS!$AW:$AW,Tilanne!$Z$6,AS!$K:$K,Tilanne!$Z$1,AS!$X:$X,Tilanne!$Z$5,AS!$AV:$AV,Tilanne!$Z$2)</f>
        <v>0</v>
      </c>
      <c r="M22" s="110">
        <f>SUMIFS(AS!$W:$W,AS!$AB:$AB,AS!$AA$1,AS!$AH:$AH,$Y$8,AS!$AQ:$AQ,Tilanne!$Y22,AS!$F:$F,$Z$7,AS!$AW:$AW,Tilanne!$Z$6,AS!$K:$K,Tilanne!$Z$1,AS!$X:$X,Tilanne!$Z$5,AS!$AV:$AV,Tilanne!$Z$2)</f>
        <v>0</v>
      </c>
      <c r="N22" s="110">
        <f>SUMIFS(AS!$W:$W,AS!$AB:$AB,AS!$AA$1,AS!$AH:$AH,"vanha",AS!$AQ:$AQ,Tilanne!$Y22,AS!$AW:$AW,Tilanne!$Z$6,AS!$K:$K,Tilanne!$Z$1,AS!$X:$X,Tilanne!$Z$5,AS!$AV:$AV,Tilanne!$Z$2)</f>
        <v>0</v>
      </c>
      <c r="O22" s="186"/>
      <c r="Q22" s="189" t="s">
        <v>1230</v>
      </c>
      <c r="R22" s="193">
        <f t="shared" si="0"/>
        <v>0</v>
      </c>
      <c r="S22" s="194">
        <f t="shared" si="1"/>
        <v>0</v>
      </c>
      <c r="T22" s="193">
        <f t="shared" si="2"/>
        <v>0</v>
      </c>
      <c r="U22" s="193">
        <f t="shared" si="3"/>
        <v>0</v>
      </c>
      <c r="V22" s="193">
        <f t="shared" si="4"/>
        <v>0</v>
      </c>
      <c r="Y22" s="195" t="s">
        <v>1231</v>
      </c>
      <c r="AB22" s="176" t="s">
        <v>112</v>
      </c>
      <c r="AC22" s="169" t="str">
        <f>IFERROR(INDEX(Data_Omakoodi!E:E,MATCH(AB22,Data_Omakoodi!A:A,0)),"")</f>
        <v/>
      </c>
      <c r="AD22" t="s">
        <v>113</v>
      </c>
      <c r="AE22" s="169" t="str">
        <f>IFERROR(INDEX(Data_Omakoodi!E:E,MATCH(AD22,Data_Omakoodi!A:A,0)),"")</f>
        <v/>
      </c>
      <c r="AF22" t="s">
        <v>113</v>
      </c>
      <c r="AG22" t="s">
        <v>114</v>
      </c>
      <c r="AH22"/>
    </row>
    <row r="23" spans="1:34" x14ac:dyDescent="0.25">
      <c r="A23" s="189" t="s">
        <v>1232</v>
      </c>
      <c r="B23" s="110">
        <f>SUMIFS(AS!$W:$W,AS!$AB:$AB,AS!$AA$1,AS!$AH:$AH,$Y$8,AS!$AL:$AL,Tilanne!$Y23,AS!$AW:$AW,Tilanne!$Z$6,AS!$K:$K,Tilanne!$Z$1,AS!$X:$X,Tilanne!$Z$5,AS!$AV:$AV,Tilanne!$Z$2)</f>
        <v>0</v>
      </c>
      <c r="C23" s="207">
        <f t="shared" si="5"/>
        <v>0</v>
      </c>
      <c r="D23" s="110">
        <f>SUMIFS(AS!$W:$W,AS!$AB:$AB,AS!$AA$1,AS!$AH:$AH,$Y$8,AS!$AL:$AL,Tilanne!$Y23,AS!$F:$F,$Y$7,AS!$AW:$AW,Tilanne!$Z$6,AS!$K:$K,Tilanne!$Z$1,AS!$X:$X,Tilanne!$Z$5,AS!$AV:$AV,Tilanne!$Z$2)</f>
        <v>0</v>
      </c>
      <c r="E23" s="110">
        <f>SUMIFS(AS!$W:$W,AS!$AB:$AB,AS!$AA$1,AS!$AH:$AH,$Y$8,AS!$AL:$AL,Tilanne!$Y23,AS!$F:$F,$Z$7,AS!$AW:$AW,Tilanne!$Z$6,AS!$K:$K,Tilanne!$Z$1,AS!$X:$X,Tilanne!$Z$5,AS!$AV:$AV,Tilanne!$Z$2)</f>
        <v>0</v>
      </c>
      <c r="F23" s="190">
        <f>SUMIFS(AS!$W:$W,AS!$AB:$AB,AS!$AA$1,AS!$AH:$AH,$Z$8,AS!$AL:$AL,Tilanne!$Y23,AS!$AW:$AW,Tilanne!$Z$6,AS!$K:$K,Tilanne!$Z$1,AS!$X:$X,Tilanne!$Z$5,AS!$AV:$AV,Tilanne!$Z$2)</f>
        <v>0</v>
      </c>
      <c r="G23" s="186"/>
      <c r="I23" s="191" t="s">
        <v>1232</v>
      </c>
      <c r="J23" s="192">
        <f>SUMIFS(AS!$W:$W,AS!$AB:$AB,AS!$AA$1,AS!$AH:$AH,$Y$8,AS!$AQ:$AQ,Tilanne!$Y23,AS!$AW:$AW,Tilanne!$Z$6,AS!$K:$K,Tilanne!$Z$1,AS!$X:$X,Tilanne!$Z$5,AS!$AV:$AV,Tilanne!$Z$2)</f>
        <v>0</v>
      </c>
      <c r="K23" s="207">
        <f t="shared" si="6"/>
        <v>0</v>
      </c>
      <c r="L23" s="110">
        <f>SUMIFS(AS!$W:$W,AS!$AB:$AB,AS!$AA$1,AS!$AH:$AH,$Y$8,AS!$AQ:$AQ,Tilanne!$Y23,AS!$F:$F,$Y$7,AS!$AW:$AW,Tilanne!$Z$6,AS!$K:$K,Tilanne!$Z$1,AS!$X:$X,Tilanne!$Z$5,AS!$AV:$AV,Tilanne!$Z$2)</f>
        <v>0</v>
      </c>
      <c r="M23" s="110">
        <f>SUMIFS(AS!$W:$W,AS!$AB:$AB,AS!$AA$1,AS!$AH:$AH,$Y$8,AS!$AQ:$AQ,Tilanne!$Y23,AS!$F:$F,$Z$7,AS!$AW:$AW,Tilanne!$Z$6,AS!$K:$K,Tilanne!$Z$1,AS!$X:$X,Tilanne!$Z$5,AS!$AV:$AV,Tilanne!$Z$2)</f>
        <v>0</v>
      </c>
      <c r="N23" s="110">
        <f>SUMIFS(AS!$W:$W,AS!$AB:$AB,AS!$AA$1,AS!$AH:$AH,"vanha",AS!$AQ:$AQ,Tilanne!$Y23,AS!$AW:$AW,Tilanne!$Z$6,AS!$K:$K,Tilanne!$Z$1,AS!$X:$X,Tilanne!$Z$5,AS!$AV:$AV,Tilanne!$Z$2)</f>
        <v>0</v>
      </c>
      <c r="O23" s="186"/>
      <c r="Q23" s="189" t="s">
        <v>1232</v>
      </c>
      <c r="R23" s="193">
        <f t="shared" si="0"/>
        <v>0</v>
      </c>
      <c r="S23" s="194">
        <f t="shared" si="1"/>
        <v>0</v>
      </c>
      <c r="T23" s="193">
        <f t="shared" si="2"/>
        <v>0</v>
      </c>
      <c r="U23" s="193">
        <f t="shared" si="3"/>
        <v>0</v>
      </c>
      <c r="V23" s="193">
        <f t="shared" si="4"/>
        <v>0</v>
      </c>
      <c r="Y23" s="195" t="s">
        <v>1233</v>
      </c>
      <c r="AB23" s="176" t="s">
        <v>117</v>
      </c>
      <c r="AC23" s="169" t="str">
        <f>IFERROR(INDEX(Data_Omakoodi!E:E,MATCH(AB23,Data_Omakoodi!A:A,0)),"")</f>
        <v/>
      </c>
      <c r="AD23" t="s">
        <v>118</v>
      </c>
      <c r="AE23" s="169" t="str">
        <f>IFERROR(INDEX(Data_Omakoodi!E:E,MATCH(AD23,Data_Omakoodi!A:A,0)),"")</f>
        <v/>
      </c>
      <c r="AF23" t="s">
        <v>118</v>
      </c>
      <c r="AG23" t="s">
        <v>119</v>
      </c>
      <c r="AH23"/>
    </row>
    <row r="24" spans="1:34" x14ac:dyDescent="0.25">
      <c r="A24" s="189" t="s">
        <v>1234</v>
      </c>
      <c r="B24" s="110">
        <f>SUMIFS(AS!$W:$W,AS!$AB:$AB,AS!$AA$1,AS!$AH:$AH,$Y$8,AS!$AL:$AL,Tilanne!$Y24,AS!$AW:$AW,Tilanne!$Z$6,AS!$K:$K,Tilanne!$Z$1,AS!$X:$X,Tilanne!$Z$5,AS!$AV:$AV,Tilanne!$Z$2)</f>
        <v>0</v>
      </c>
      <c r="C24" s="207">
        <f t="shared" si="5"/>
        <v>0</v>
      </c>
      <c r="D24" s="110">
        <f>SUMIFS(AS!$W:$W,AS!$AB:$AB,AS!$AA$1,AS!$AH:$AH,$Y$8,AS!$AL:$AL,Tilanne!$Y24,AS!$F:$F,$Y$7,AS!$AW:$AW,Tilanne!$Z$6,AS!$K:$K,Tilanne!$Z$1,AS!$X:$X,Tilanne!$Z$5,AS!$AV:$AV,Tilanne!$Z$2)</f>
        <v>0</v>
      </c>
      <c r="E24" s="110">
        <f>SUMIFS(AS!$W:$W,AS!$AB:$AB,AS!$AA$1,AS!$AH:$AH,$Y$8,AS!$AL:$AL,Tilanne!$Y24,AS!$F:$F,$Z$7,AS!$AW:$AW,Tilanne!$Z$6,AS!$K:$K,Tilanne!$Z$1,AS!$X:$X,Tilanne!$Z$5,AS!$AV:$AV,Tilanne!$Z$2)</f>
        <v>0</v>
      </c>
      <c r="F24" s="190">
        <f>SUMIFS(AS!$W:$W,AS!$AB:$AB,AS!$AA$1,AS!$AH:$AH,$Z$8,AS!$AL:$AL,Tilanne!$Y24,AS!$AW:$AW,Tilanne!$Z$6,AS!$K:$K,Tilanne!$Z$1,AS!$X:$X,Tilanne!$Z$5,AS!$AV:$AV,Tilanne!$Z$2)</f>
        <v>0</v>
      </c>
      <c r="G24" s="186"/>
      <c r="I24" s="191" t="s">
        <v>1234</v>
      </c>
      <c r="J24" s="192">
        <f>SUMIFS(AS!$W:$W,AS!$AB:$AB,AS!$AA$1,AS!$AH:$AH,$Y$8,AS!$AQ:$AQ,Tilanne!$Y24,AS!$AW:$AW,Tilanne!$Z$6,AS!$K:$K,Tilanne!$Z$1,AS!$X:$X,Tilanne!$Z$5,AS!$AV:$AV,Tilanne!$Z$2)</f>
        <v>0</v>
      </c>
      <c r="K24" s="207">
        <f t="shared" si="6"/>
        <v>0</v>
      </c>
      <c r="L24" s="110">
        <f>SUMIFS(AS!$W:$W,AS!$AB:$AB,AS!$AA$1,AS!$AH:$AH,$Y$8,AS!$AQ:$AQ,Tilanne!$Y24,AS!$F:$F,$Y$7,AS!$AW:$AW,Tilanne!$Z$6,AS!$K:$K,Tilanne!$Z$1,AS!$X:$X,Tilanne!$Z$5,AS!$AV:$AV,Tilanne!$Z$2)</f>
        <v>0</v>
      </c>
      <c r="M24" s="110">
        <f>SUMIFS(AS!$W:$W,AS!$AB:$AB,AS!$AA$1,AS!$AH:$AH,$Y$8,AS!$AQ:$AQ,Tilanne!$Y24,AS!$F:$F,$Z$7,AS!$AW:$AW,Tilanne!$Z$6,AS!$K:$K,Tilanne!$Z$1,AS!$X:$X,Tilanne!$Z$5,AS!$AV:$AV,Tilanne!$Z$2)</f>
        <v>0</v>
      </c>
      <c r="N24" s="110">
        <f>SUMIFS(AS!$W:$W,AS!$AB:$AB,AS!$AA$1,AS!$AH:$AH,"vanha",AS!$AQ:$AQ,Tilanne!$Y24,AS!$AW:$AW,Tilanne!$Z$6,AS!$K:$K,Tilanne!$Z$1,AS!$X:$X,Tilanne!$Z$5,AS!$AV:$AV,Tilanne!$Z$2)</f>
        <v>0</v>
      </c>
      <c r="O24" s="186"/>
      <c r="Q24" s="189" t="s">
        <v>1234</v>
      </c>
      <c r="R24" s="193">
        <f t="shared" si="0"/>
        <v>0</v>
      </c>
      <c r="S24" s="194">
        <f t="shared" si="1"/>
        <v>0</v>
      </c>
      <c r="T24" s="193">
        <f t="shared" si="2"/>
        <v>0</v>
      </c>
      <c r="U24" s="193">
        <f t="shared" si="3"/>
        <v>0</v>
      </c>
      <c r="V24" s="193">
        <f t="shared" si="4"/>
        <v>0</v>
      </c>
      <c r="Y24" s="195" t="s">
        <v>1235</v>
      </c>
      <c r="AB24" s="176" t="s">
        <v>124</v>
      </c>
      <c r="AC24" s="169" t="str">
        <f>IFERROR(INDEX(Data_Omakoodi!E:E,MATCH(AB24,Data_Omakoodi!A:A,0)),"")</f>
        <v/>
      </c>
      <c r="AD24" t="s">
        <v>125</v>
      </c>
      <c r="AE24" s="169" t="str">
        <f>IFERROR(INDEX(Data_Omakoodi!E:E,MATCH(AD24,Data_Omakoodi!A:A,0)),"")</f>
        <v/>
      </c>
      <c r="AF24" t="s">
        <v>125</v>
      </c>
      <c r="AG24" t="s">
        <v>126</v>
      </c>
      <c r="AH24"/>
    </row>
    <row r="25" spans="1:34" x14ac:dyDescent="0.25">
      <c r="A25" s="189" t="s">
        <v>347</v>
      </c>
      <c r="B25" s="110">
        <f>SUMIFS(AS!$W:$W,AS!$AB:$AB,AS!$AA$1,AS!$AH:$AH,$Y$8,AS!$AL:$AL,Tilanne!$Y25,AS!$AW:$AW,Tilanne!$Z$6,AS!$K:$K,Tilanne!$Z$1,AS!$X:$X,Tilanne!$Z$5,AS!$AV:$AV,Tilanne!$Z$2)</f>
        <v>0</v>
      </c>
      <c r="C25" s="207">
        <f>IFERROR(B25/B$29,0)</f>
        <v>0</v>
      </c>
      <c r="D25" s="110">
        <f>SUMIFS(AS!$W:$W,AS!$AB:$AB,AS!$AA$1,AS!$AH:$AH,$Y$8,AS!$AL:$AL,Tilanne!$Y25,AS!$F:$F,$Y$7,AS!$AW:$AW,Tilanne!$Z$6,AS!$K:$K,Tilanne!$Z$1,AS!$X:$X,Tilanne!$Z$5,AS!$AV:$AV,Tilanne!$Z$2)</f>
        <v>0</v>
      </c>
      <c r="E25" s="110">
        <f>SUMIFS(AS!$W:$W,AS!$AB:$AB,AS!$AA$1,AS!$AH:$AH,$Y$8,AS!$AL:$AL,Tilanne!$Y25,AS!$F:$F,$Z$7,AS!$AW:$AW,Tilanne!$Z$6,AS!$K:$K,Tilanne!$Z$1,AS!$X:$X,Tilanne!$Z$5,AS!$AV:$AV,Tilanne!$Z$2)</f>
        <v>0</v>
      </c>
      <c r="F25" s="190">
        <f>SUMIFS(AS!$W:$W,AS!$AB:$AB,AS!$AA$1,AS!$AH:$AH,$Z$8,AS!$AL:$AL,Tilanne!$Y25,AS!$AW:$AW,Tilanne!$Z$6,AS!$K:$K,Tilanne!$Z$1,AS!$X:$X,Tilanne!$Z$5,AS!$AV:$AV,Tilanne!$Z$2)</f>
        <v>0</v>
      </c>
      <c r="G25" s="186"/>
      <c r="I25" s="191" t="s">
        <v>347</v>
      </c>
      <c r="J25" s="192">
        <f>SUMIFS(AS!$W:$W,AS!$AB:$AB,AS!$AA$1,AS!$AH:$AH,$Y$8,AS!$AQ:$AQ,Tilanne!$Y25,AS!$AW:$AW,Tilanne!$Z$6,AS!$K:$K,Tilanne!$Z$1,AS!$X:$X,Tilanne!$Z$5,AS!$AV:$AV,Tilanne!$Z$2)</f>
        <v>0</v>
      </c>
      <c r="K25" s="207">
        <f>IFERROR(J25/J$29,0)</f>
        <v>0</v>
      </c>
      <c r="L25" s="110">
        <f>SUMIFS(AS!$W:$W,AS!$AB:$AB,AS!$AA$1,AS!$AH:$AH,$Y$8,AS!$AQ:$AQ,Tilanne!$Y25,AS!$F:$F,$Y$7,AS!$AW:$AW,Tilanne!$Z$6,AS!$K:$K,Tilanne!$Z$1,AS!$X:$X,Tilanne!$Z$5,AS!$AV:$AV,Tilanne!$Z$2)</f>
        <v>0</v>
      </c>
      <c r="M25" s="110">
        <f>SUMIFS(AS!$W:$W,AS!$AB:$AB,AS!$AA$1,AS!$AH:$AH,$Y$8,AS!$AQ:$AQ,Tilanne!$Y25,AS!$F:$F,$Z$7,AS!$AW:$AW,Tilanne!$Z$6,AS!$K:$K,Tilanne!$Z$1,AS!$X:$X,Tilanne!$Z$5,AS!$AV:$AV,Tilanne!$Z$2)</f>
        <v>0</v>
      </c>
      <c r="N25" s="110">
        <f>SUMIFS(AS!$W:$W,AS!$AB:$AB,AS!$AA$1,AS!$AH:$AH,"vanha",AS!$AQ:$AQ,Tilanne!$Y25,AS!$AW:$AW,Tilanne!$Z$6,AS!$K:$K,Tilanne!$Z$1,AS!$X:$X,Tilanne!$Z$5,AS!$AV:$AV,Tilanne!$Z$2)</f>
        <v>0</v>
      </c>
      <c r="O25" s="186"/>
      <c r="Q25" s="189" t="s">
        <v>347</v>
      </c>
      <c r="R25" s="193">
        <f t="shared" si="0"/>
        <v>0</v>
      </c>
      <c r="S25" s="194">
        <f t="shared" si="1"/>
        <v>0</v>
      </c>
      <c r="T25" s="193">
        <f t="shared" si="2"/>
        <v>0</v>
      </c>
      <c r="U25" s="193">
        <f t="shared" si="3"/>
        <v>0</v>
      </c>
      <c r="V25" s="193">
        <f t="shared" si="4"/>
        <v>0</v>
      </c>
      <c r="Y25" s="195" t="s">
        <v>1236</v>
      </c>
      <c r="AB25" s="176" t="s">
        <v>131</v>
      </c>
      <c r="AC25" s="169" t="str">
        <f>IFERROR(INDEX(Data_Omakoodi!E:E,MATCH(AB25,Data_Omakoodi!A:A,0)),"")</f>
        <v/>
      </c>
      <c r="AD25" t="s">
        <v>132</v>
      </c>
      <c r="AE25" s="169" t="str">
        <f>IFERROR(INDEX(Data_Omakoodi!E:E,MATCH(AD25,Data_Omakoodi!A:A,0)),"")</f>
        <v/>
      </c>
      <c r="AF25" t="s">
        <v>132</v>
      </c>
      <c r="AG25" t="s">
        <v>133</v>
      </c>
      <c r="AH25"/>
    </row>
    <row r="26" spans="1:34" x14ac:dyDescent="0.25">
      <c r="A26" s="255" t="s">
        <v>239</v>
      </c>
      <c r="B26" s="256">
        <f>SUM(B27:B28)</f>
        <v>0</v>
      </c>
      <c r="C26" s="257">
        <f>IFERROR(B26/B$29,0)</f>
        <v>0</v>
      </c>
      <c r="D26" s="256">
        <f>SUM(D27:D28)</f>
        <v>0</v>
      </c>
      <c r="E26" s="256">
        <f>SUM(E27:E28)</f>
        <v>0</v>
      </c>
      <c r="F26" s="258">
        <f>SUM(F27:F28)</f>
        <v>0</v>
      </c>
      <c r="G26" s="186"/>
      <c r="I26" s="255" t="s">
        <v>239</v>
      </c>
      <c r="J26" s="256">
        <f>SUM(J27:J28)</f>
        <v>0</v>
      </c>
      <c r="K26" s="257">
        <f>IFERROR(J26/J$29,0)</f>
        <v>0</v>
      </c>
      <c r="L26" s="256">
        <f>SUM(L27:L28)</f>
        <v>0</v>
      </c>
      <c r="M26" s="256">
        <f>SUM(M27:M28)</f>
        <v>0</v>
      </c>
      <c r="N26" s="256">
        <f>SUM(N27:N28)</f>
        <v>0</v>
      </c>
      <c r="O26" s="186"/>
      <c r="Q26" s="255" t="s">
        <v>239</v>
      </c>
      <c r="R26" s="266">
        <f t="shared" si="0"/>
        <v>0</v>
      </c>
      <c r="S26" s="267">
        <f t="shared" si="1"/>
        <v>0</v>
      </c>
      <c r="T26" s="266">
        <f t="shared" si="2"/>
        <v>0</v>
      </c>
      <c r="U26" s="266">
        <f t="shared" si="3"/>
        <v>0</v>
      </c>
      <c r="V26" s="266">
        <f t="shared" si="4"/>
        <v>0</v>
      </c>
      <c r="Y26" s="187"/>
      <c r="Z26" s="188"/>
      <c r="AB26" s="176" t="s">
        <v>136</v>
      </c>
      <c r="AC26" s="169" t="str">
        <f>IFERROR(INDEX(Data_Omakoodi!E:E,MATCH(AB26,Data_Omakoodi!A:A,0)),"")</f>
        <v/>
      </c>
      <c r="AD26" t="s">
        <v>137</v>
      </c>
      <c r="AE26" s="169" t="str">
        <f>IFERROR(INDEX(Data_Omakoodi!E:E,MATCH(AD26,Data_Omakoodi!A:A,0)),"")</f>
        <v/>
      </c>
      <c r="AF26" t="s">
        <v>137</v>
      </c>
      <c r="AG26" t="s">
        <v>138</v>
      </c>
      <c r="AH26"/>
    </row>
    <row r="27" spans="1:34" x14ac:dyDescent="0.25">
      <c r="A27" s="189" t="s">
        <v>239</v>
      </c>
      <c r="B27" s="110">
        <f>SUMIFS(AS!$W:$W,AS!$AB:$AB,AS!$AA$1,AS!$AH:$AH,$Y$8,AS!$AL:$AL,Tilanne!$Y27,AS!$AW:$AW,Tilanne!$Z$6,AS!$K:$K,Tilanne!$Z$1,AS!$X:$X,Tilanne!$Z$5,AS!$AV:$AV,Tilanne!$Z$2)</f>
        <v>0</v>
      </c>
      <c r="C27" s="361">
        <f>IFERROR(B27/B$29,0)</f>
        <v>0</v>
      </c>
      <c r="D27" s="110">
        <f>SUMIFS(AS!$W:$W,AS!$AB:$AB,AS!$AA$1,AS!$AH:$AH,$Y$8,AS!$AL:$AL,Tilanne!$Y27,AS!$F:$F,$Y$7,AS!$AW:$AW,Tilanne!$Z$6,AS!$K:$K,Tilanne!$Z$1,AS!$X:$X,Tilanne!$Z$5,AS!$AV:$AV,Tilanne!$Z$2)</f>
        <v>0</v>
      </c>
      <c r="E27" s="110">
        <f>SUMIFS(AS!$W:$W,AS!$AB:$AB,AS!$AA$1,AS!$AH:$AH,$Y$8,AS!$AL:$AL,Tilanne!$Y27,AS!$F:$F,$Z$7,AS!$AW:$AW,Tilanne!$Z$6,AS!$K:$K,Tilanne!$Z$1,AS!$X:$X,Tilanne!$Z$5,AS!$AV:$AV,Tilanne!$Z$2)</f>
        <v>0</v>
      </c>
      <c r="F27" s="190">
        <f>SUMIFS(AS!$W:$W,AS!$AB:$AB,AS!$AA$1,AS!$AH:$AH,$Z$8,AS!$AL:$AL,Tilanne!$Y27,AS!$AW:$AW,Tilanne!$Z$6,AS!$K:$K,Tilanne!$Z$1,AS!$X:$X,Tilanne!$Z$5,AS!$AV:$AV,Tilanne!$Z$2)</f>
        <v>0</v>
      </c>
      <c r="G27" s="186"/>
      <c r="I27" s="191" t="s">
        <v>239</v>
      </c>
      <c r="J27" s="192">
        <f>SUMIFS(AS!$W:$W,AS!$AB:$AB,AS!$AA$1,AS!$AH:$AH,$Y$8,AS!$AQ:$AQ,Tilanne!$Y27,AS!$AW:$AW,Tilanne!$Z$6,AS!$K:$K,Tilanne!$Z$1,AS!$X:$X,Tilanne!$Z$5,AS!$AV:$AV,Tilanne!$Z$2)</f>
        <v>0</v>
      </c>
      <c r="K27" s="361">
        <f>IFERROR(J27/J$29,0)</f>
        <v>0</v>
      </c>
      <c r="L27" s="110">
        <f>SUMIFS(AS!$W:$W,AS!$AB:$AB,AS!$AA$1,AS!$AH:$AH,$Y$8,AS!$AQ:$AQ,Tilanne!$Y27,AS!$F:$F,$Y$7,AS!$AW:$AW,Tilanne!$Z$6,AS!$K:$K,Tilanne!$Z$1,AS!$X:$X,Tilanne!$Z$5,AS!$AV:$AV,Tilanne!$Z$2)</f>
        <v>0</v>
      </c>
      <c r="M27" s="110">
        <f>SUMIFS(AS!$W:$W,AS!$AB:$AB,AS!$AA$1,AS!$AH:$AH,$Y$8,AS!$AQ:$AQ,Tilanne!$Y27,AS!$F:$F,$Z$7,AS!$AW:$AW,Tilanne!$Z$6,AS!$K:$K,Tilanne!$Z$1,AS!$X:$X,Tilanne!$Z$5,AS!$AV:$AV,Tilanne!$Z$2)</f>
        <v>0</v>
      </c>
      <c r="N27" s="110">
        <f>SUMIFS(AS!$W:$W,AS!$AB:$AB,AS!$AA$1,AS!$AH:$AH,"vanha",AS!$AQ:$AQ,Tilanne!$Y27,AS!$AW:$AW,Tilanne!$Z$6,AS!$K:$K,Tilanne!$Z$1,AS!$X:$X,Tilanne!$Z$5,AS!$AV:$AV,Tilanne!$Z$2)</f>
        <v>0</v>
      </c>
      <c r="O27" s="186"/>
      <c r="Q27" s="189" t="s">
        <v>239</v>
      </c>
      <c r="R27" s="193">
        <f t="shared" si="0"/>
        <v>0</v>
      </c>
      <c r="S27" s="194">
        <f t="shared" si="1"/>
        <v>0</v>
      </c>
      <c r="T27" s="193">
        <f t="shared" si="2"/>
        <v>0</v>
      </c>
      <c r="U27" s="193">
        <f t="shared" si="3"/>
        <v>0</v>
      </c>
      <c r="V27" s="193">
        <f t="shared" si="4"/>
        <v>0</v>
      </c>
      <c r="Y27" s="195" t="s">
        <v>1237</v>
      </c>
      <c r="AB27" s="176" t="s">
        <v>140</v>
      </c>
      <c r="AC27" s="169" t="str">
        <f>IFERROR(INDEX(Data_Omakoodi!E:E,MATCH(AB27,Data_Omakoodi!A:A,0)),"")</f>
        <v/>
      </c>
      <c r="AD27" t="s">
        <v>141</v>
      </c>
      <c r="AE27" s="169" t="str">
        <f>IFERROR(INDEX(Data_Omakoodi!E:E,MATCH(AD27,Data_Omakoodi!A:A,0)),"")</f>
        <v/>
      </c>
      <c r="AF27" t="s">
        <v>141</v>
      </c>
      <c r="AG27" t="s">
        <v>142</v>
      </c>
      <c r="AH27"/>
    </row>
    <row r="28" spans="1:34" x14ac:dyDescent="0.25">
      <c r="A28" s="189" t="s">
        <v>241</v>
      </c>
      <c r="B28" s="110">
        <f>SUMIFS(AS!$W:$W,AS!$AB:$AB,AS!$AA$1,AS!$AH:$AH,$Y$8,AS!$AL:$AL,"",AS!$AW:$AW,Tilanne!$Z$6,AS!$K:$K,Tilanne!$Z$1,AS!$X:$X,Tilanne!$Z$5,AS!$AV:$AV,Tilanne!$Z$2)</f>
        <v>0</v>
      </c>
      <c r="C28" s="361">
        <f>IFERROR(B28/B$29,0)</f>
        <v>0</v>
      </c>
      <c r="D28" s="110">
        <f>SUMIFS(AS!$W:$W,AS!$AB:$AB,AS!$AA$1,AS!$AH:$AH,$Y$8,AS!$AL:$AL,"",AS!$F:$F,$Y$7,AS!$AW:$AW,Tilanne!$Z$6,AS!$K:$K,Tilanne!$Z$1,AS!$X:$X,Tilanne!$Z$5,AS!$AV:$AV,Tilanne!$Z$2)</f>
        <v>0</v>
      </c>
      <c r="E28" s="110">
        <f>SUMIFS(AS!$W:$W,AS!$AB:$AB,AS!$AA$1,AS!$AH:$AH,$Y$8,AS!$AL:$AL,"",AS!$F:$F,$Z$7,AS!$AW:$AW,Tilanne!$Z$6,AS!$K:$K,Tilanne!$Z$1,AS!$X:$X,Tilanne!$Z$5,AS!$AV:$AV,Tilanne!$Z$2)</f>
        <v>0</v>
      </c>
      <c r="F28" s="190">
        <f>SUMIFS(AS!$W:$W,AS!$AB:$AB,AS!$AA$1,AS!$AH:$AH,$Z$8,AS!$AL:$AL,"",AS!$AW:$AW,Tilanne!$Z$6,AS!$K:$K,Tilanne!$Z$1,AS!$X:$X,Tilanne!$Z$5,AS!$AV:$AV,Tilanne!$Z$2)</f>
        <v>0</v>
      </c>
      <c r="G28" s="186"/>
      <c r="I28" s="191" t="s">
        <v>241</v>
      </c>
      <c r="J28" s="192">
        <f>SUMIFS(AS!$W:$W,AS!$AB:$AB,AS!$AA$1,AS!$AH:$AH,$Y$8,AS!$AQ:$AQ,"",AS!$AW:$AW,Tilanne!$Z$6,AS!$K:$K,Tilanne!$Z$1,AS!$X:$X,Tilanne!$Z$5,AS!$AV:$AV,Tilanne!$Z$2)</f>
        <v>0</v>
      </c>
      <c r="K28" s="361">
        <f>IFERROR(J28/J$29,0)</f>
        <v>0</v>
      </c>
      <c r="L28" s="110">
        <f>SUMIFS(AS!$W:$W,AS!$AB:$AB,AS!$AA$1,AS!$AH:$AH,$Y$8,AS!$AQ:$AQ,"",AS!$F:$F,$Y$7,AS!$AW:$AW,Tilanne!$Z$6,AS!$K:$K,Tilanne!$Z$1,AS!$X:$X,Tilanne!$Z$5,AS!$AV:$AV,Tilanne!$Z$2)</f>
        <v>0</v>
      </c>
      <c r="M28" s="110">
        <f>SUMIFS(AS!$W:$W,AS!$AB:$AB,AS!$AA$1,AS!$AH:$AH,$Y$8,AS!$AQ:$AQ,"",AS!$F:$F,$Z$7,AS!$AW:$AW,Tilanne!$Z$6,AS!$K:$K,Tilanne!$Z$1,AS!$X:$X,Tilanne!$Z$5,AS!$AV:$AV,Tilanne!$Z$2)</f>
        <v>0</v>
      </c>
      <c r="N28" s="110">
        <f>SUMIFS(AS!$W:$W,AS!$AB:$AB,AS!$AA$1,AS!$AH:$AH,"vanha",AS!$AQ:$AQ,"",AS!$AW:$AW,Tilanne!$Z$6,AS!$K:$K,Tilanne!$Z$1,AS!$X:$X,Tilanne!$Z$5,AS!$AV:$AV,Tilanne!$Z$2)</f>
        <v>0</v>
      </c>
      <c r="O28" s="186"/>
      <c r="Q28" s="189" t="s">
        <v>241</v>
      </c>
      <c r="R28" s="193">
        <f t="shared" si="0"/>
        <v>0</v>
      </c>
      <c r="S28" s="194">
        <f t="shared" si="1"/>
        <v>0</v>
      </c>
      <c r="T28" s="193">
        <f t="shared" si="2"/>
        <v>0</v>
      </c>
      <c r="U28" s="193">
        <f t="shared" si="3"/>
        <v>0</v>
      </c>
      <c r="V28" s="193">
        <f t="shared" si="4"/>
        <v>0</v>
      </c>
      <c r="Y28" s="119"/>
      <c r="AB28" s="176" t="s">
        <v>145</v>
      </c>
      <c r="AC28" s="169" t="str">
        <f>IFERROR(INDEX(Data_Omakoodi!E:E,MATCH(AB28,Data_Omakoodi!A:A,0)),"")</f>
        <v/>
      </c>
      <c r="AD28" t="s">
        <v>146</v>
      </c>
      <c r="AE28" s="169" t="str">
        <f>IFERROR(INDEX(Data_Omakoodi!E:E,MATCH(AD28,Data_Omakoodi!A:A,0)),"")</f>
        <v/>
      </c>
      <c r="AF28" t="s">
        <v>146</v>
      </c>
      <c r="AG28" t="s">
        <v>147</v>
      </c>
      <c r="AH28"/>
    </row>
    <row r="29" spans="1:34" s="177" customFormat="1" x14ac:dyDescent="0.25">
      <c r="A29" s="259" t="s">
        <v>716</v>
      </c>
      <c r="B29" s="260">
        <f>SUM(B14:B26)</f>
        <v>0</v>
      </c>
      <c r="C29" s="261">
        <f>SUM(C14:C26)</f>
        <v>0</v>
      </c>
      <c r="D29" s="260">
        <f>SUM(D14:D26)</f>
        <v>0</v>
      </c>
      <c r="E29" s="260">
        <f>SUM(E14:E26)</f>
        <v>0</v>
      </c>
      <c r="F29" s="260">
        <f>SUM(F14:F26)</f>
        <v>0</v>
      </c>
      <c r="G29" s="196"/>
      <c r="H29"/>
      <c r="I29" s="262" t="s">
        <v>716</v>
      </c>
      <c r="J29" s="263">
        <f>SUM(J14:J26)</f>
        <v>0</v>
      </c>
      <c r="K29" s="261">
        <f>SUM(K14:K26)</f>
        <v>0</v>
      </c>
      <c r="L29" s="260">
        <f>SUM(L14:L26)</f>
        <v>0</v>
      </c>
      <c r="M29" s="260">
        <f>SUM(M14:M26)</f>
        <v>0</v>
      </c>
      <c r="N29" s="260">
        <f>SUM(N14:N26)</f>
        <v>0</v>
      </c>
      <c r="O29" s="196"/>
      <c r="P29"/>
      <c r="Q29" s="259" t="s">
        <v>716</v>
      </c>
      <c r="R29" s="264">
        <f t="shared" si="0"/>
        <v>0</v>
      </c>
      <c r="S29" s="265">
        <f t="shared" si="1"/>
        <v>0</v>
      </c>
      <c r="T29" s="264">
        <f t="shared" si="2"/>
        <v>0</v>
      </c>
      <c r="U29" s="264">
        <f t="shared" si="3"/>
        <v>0</v>
      </c>
      <c r="V29" s="264">
        <f t="shared" si="4"/>
        <v>0</v>
      </c>
      <c r="AB29" s="176" t="s">
        <v>150</v>
      </c>
      <c r="AC29" s="169" t="str">
        <f>IFERROR(INDEX(Data_Omakoodi!E:E,MATCH(AB29,Data_Omakoodi!A:A,0)),"")</f>
        <v/>
      </c>
      <c r="AD29" t="s">
        <v>151</v>
      </c>
      <c r="AE29" s="169" t="str">
        <f>IFERROR(INDEX(Data_Omakoodi!E:E,MATCH(AD29,Data_Omakoodi!A:A,0)),"")</f>
        <v/>
      </c>
      <c r="AF29" t="s">
        <v>151</v>
      </c>
      <c r="AG29" t="s">
        <v>152</v>
      </c>
      <c r="AH29"/>
    </row>
    <row r="30" spans="1:34" x14ac:dyDescent="0.25">
      <c r="A30" s="359" t="str">
        <f>$A$6&amp; "    *Uusi kysymys 2018"</f>
        <v>Kaikki    *Uusi kysymys 2018</v>
      </c>
      <c r="B30" s="71"/>
      <c r="C30" s="71"/>
      <c r="D30" s="71"/>
      <c r="J30" s="71"/>
      <c r="K30" s="71"/>
      <c r="L30" s="71"/>
      <c r="S30" s="197"/>
      <c r="AB30" s="176" t="s">
        <v>157</v>
      </c>
      <c r="AC30" s="169" t="str">
        <f>IFERROR(INDEX(Data_Omakoodi!E:E,MATCH(AB30,Data_Omakoodi!A:A,0)),"")</f>
        <v/>
      </c>
      <c r="AD30" t="s">
        <v>158</v>
      </c>
      <c r="AE30" s="169" t="str">
        <f>IFERROR(INDEX(Data_Omakoodi!E:E,MATCH(AD30,Data_Omakoodi!A:A,0)),"")</f>
        <v/>
      </c>
      <c r="AF30" t="s">
        <v>158</v>
      </c>
      <c r="AG30" t="s">
        <v>159</v>
      </c>
      <c r="AH30"/>
    </row>
    <row r="31" spans="1:34" x14ac:dyDescent="0.25">
      <c r="A31" s="179" t="str">
        <f>Y34&amp;Y10&amp;Y12</f>
        <v>Nuoren pääasiallinen toimeentulo hakuajan alussa (lähin arvo) - 01.01.2026-31.12.2026 (Kaikki kunnat, Kaikki yksiköt)</v>
      </c>
      <c r="B31" s="178"/>
      <c r="C31" s="178"/>
      <c r="D31" s="178"/>
      <c r="E31" s="177"/>
      <c r="F31" s="177"/>
      <c r="I31" s="179" t="str">
        <f>"Viimeisin nuoren pääasiallinen toimeentulo"&amp;Y10&amp;Y12</f>
        <v>Viimeisin nuoren pääasiallinen toimeentulo - 01.01.2026-31.12.2026 (Kaikki kunnat, Kaikki yksiköt)</v>
      </c>
      <c r="J31" s="178"/>
      <c r="K31" s="178"/>
      <c r="L31" s="178"/>
      <c r="M31" s="177"/>
      <c r="N31" s="177"/>
      <c r="Q31" s="179" t="str">
        <f>Z34&amp;Y10&amp;Y12</f>
        <v>Nuoren pääasiallinen toimeentulo - muutos - 01.01.2026-31.12.2026 (Kaikki kunnat, Kaikki yksiköt)</v>
      </c>
      <c r="S31" s="180"/>
      <c r="AB31" s="176" t="s">
        <v>164</v>
      </c>
      <c r="AC31" s="169" t="str">
        <f>IFERROR(INDEX(Data_Omakoodi!E:E,MATCH(AB31,Data_Omakoodi!A:A,0)),"")</f>
        <v/>
      </c>
      <c r="AD31" t="s">
        <v>165</v>
      </c>
      <c r="AE31" s="169" t="str">
        <f>IFERROR(INDEX(Data_Omakoodi!E:E,MATCH(AD31,Data_Omakoodi!A:A,0)),"")</f>
        <v/>
      </c>
      <c r="AF31" t="s">
        <v>165</v>
      </c>
      <c r="AG31" t="s">
        <v>166</v>
      </c>
      <c r="AH31"/>
    </row>
    <row r="32" spans="1:34" ht="25.5" x14ac:dyDescent="0.25">
      <c r="A32" s="1114" t="s">
        <v>1238</v>
      </c>
      <c r="B32" s="1107" t="s">
        <v>716</v>
      </c>
      <c r="C32" s="1107"/>
      <c r="D32" s="114" t="s">
        <v>961</v>
      </c>
      <c r="E32" s="254" t="s">
        <v>962</v>
      </c>
      <c r="F32" s="182" t="s">
        <v>980</v>
      </c>
      <c r="G32" s="1109" t="str">
        <f>A31&amp;" (N="&amp;B53&amp;")"</f>
        <v>Nuoren pääasiallinen toimeentulo hakuajan alussa (lähin arvo) - 01.01.2026-31.12.2026 (Kaikki kunnat, Kaikki yksiköt) (N=0)</v>
      </c>
      <c r="H32" s="183"/>
      <c r="I32" s="1115" t="s">
        <v>1238</v>
      </c>
      <c r="J32" s="1113" t="s">
        <v>716</v>
      </c>
      <c r="K32" s="1107"/>
      <c r="L32" s="114" t="s">
        <v>961</v>
      </c>
      <c r="M32" s="254" t="s">
        <v>962</v>
      </c>
      <c r="N32" s="114" t="s">
        <v>980</v>
      </c>
      <c r="O32" s="1109" t="str">
        <f>I31&amp;" (N="&amp;J53&amp;")"</f>
        <v>Viimeisin nuoren pääasiallinen toimeentulo - 01.01.2026-31.12.2026 (Kaikki kunnat, Kaikki yksiköt) (N=0)</v>
      </c>
      <c r="Q32" s="1114" t="s">
        <v>1238</v>
      </c>
      <c r="R32" s="1107" t="s">
        <v>716</v>
      </c>
      <c r="S32" s="1107"/>
      <c r="T32" s="114" t="s">
        <v>961</v>
      </c>
      <c r="U32" s="254" t="s">
        <v>962</v>
      </c>
      <c r="V32" s="114" t="s">
        <v>980</v>
      </c>
      <c r="AB32" s="176" t="s">
        <v>169</v>
      </c>
      <c r="AC32" s="169" t="str">
        <f>IFERROR(INDEX(Data_Omakoodi!E:E,MATCH(AB32,Data_Omakoodi!A:A,0)),"")</f>
        <v/>
      </c>
      <c r="AD32" t="s">
        <v>170</v>
      </c>
      <c r="AE32" s="169" t="str">
        <f>IFERROR(INDEX(Data_Omakoodi!E:E,MATCH(AD32,Data_Omakoodi!A:A,0)),"")</f>
        <v/>
      </c>
      <c r="AF32" t="s">
        <v>170</v>
      </c>
      <c r="AG32" t="s">
        <v>171</v>
      </c>
      <c r="AH32"/>
    </row>
    <row r="33" spans="1:34" x14ac:dyDescent="0.25">
      <c r="A33" s="1114"/>
      <c r="B33" s="114" t="s">
        <v>742</v>
      </c>
      <c r="C33" s="114" t="s">
        <v>1211</v>
      </c>
      <c r="D33" s="114" t="s">
        <v>742</v>
      </c>
      <c r="E33" s="114" t="s">
        <v>742</v>
      </c>
      <c r="F33" s="182" t="s">
        <v>742</v>
      </c>
      <c r="G33" s="1110"/>
      <c r="H33" s="183"/>
      <c r="I33" s="1116"/>
      <c r="J33" s="253" t="s">
        <v>742</v>
      </c>
      <c r="K33" s="114" t="s">
        <v>1211</v>
      </c>
      <c r="L33" s="114" t="s">
        <v>742</v>
      </c>
      <c r="M33" s="114" t="s">
        <v>742</v>
      </c>
      <c r="N33" s="114" t="s">
        <v>742</v>
      </c>
      <c r="O33" s="1110"/>
      <c r="Q33" s="1114"/>
      <c r="R33" s="114" t="s">
        <v>742</v>
      </c>
      <c r="S33" s="185" t="s">
        <v>1211</v>
      </c>
      <c r="T33" s="114" t="s">
        <v>742</v>
      </c>
      <c r="U33" s="114" t="s">
        <v>742</v>
      </c>
      <c r="V33" s="114" t="s">
        <v>742</v>
      </c>
      <c r="AB33" s="176" t="s">
        <v>174</v>
      </c>
      <c r="AC33" s="169" t="str">
        <f>IFERROR(INDEX(Data_Omakoodi!E:E,MATCH(AB33,Data_Omakoodi!A:A,0)),"")</f>
        <v/>
      </c>
      <c r="AD33" t="s">
        <v>175</v>
      </c>
      <c r="AE33" s="169" t="str">
        <f>IFERROR(INDEX(Data_Omakoodi!E:E,MATCH(AD33,Data_Omakoodi!A:A,0)),"")</f>
        <v/>
      </c>
      <c r="AF33" t="s">
        <v>175</v>
      </c>
      <c r="AG33" t="s">
        <v>176</v>
      </c>
      <c r="AH33"/>
    </row>
    <row r="34" spans="1:34" x14ac:dyDescent="0.25">
      <c r="A34" s="255" t="s">
        <v>1238</v>
      </c>
      <c r="B34" s="256">
        <f>SUM(B35:B49)</f>
        <v>0</v>
      </c>
      <c r="C34" s="257">
        <f>IFERROR(B34/B$53,0)</f>
        <v>0</v>
      </c>
      <c r="D34" s="256">
        <f>SUM(D35:D49)</f>
        <v>0</v>
      </c>
      <c r="E34" s="256">
        <f>SUM(E35:E49)</f>
        <v>0</v>
      </c>
      <c r="F34" s="258">
        <f>SUM(F35:F49)</f>
        <v>0</v>
      </c>
      <c r="G34" s="186"/>
      <c r="I34" s="255" t="s">
        <v>1238</v>
      </c>
      <c r="J34" s="256">
        <f>SUM(J35:J49)</f>
        <v>0</v>
      </c>
      <c r="K34" s="257">
        <f>IFERROR(J34/J$53,0)</f>
        <v>0</v>
      </c>
      <c r="L34" s="256">
        <f>SUM(L35:L49)</f>
        <v>0</v>
      </c>
      <c r="M34" s="256">
        <f>SUM(M35:M49)</f>
        <v>0</v>
      </c>
      <c r="N34" s="258">
        <f>SUM(N35:N49)</f>
        <v>0</v>
      </c>
      <c r="O34" s="186"/>
      <c r="Q34" s="255" t="s">
        <v>1238</v>
      </c>
      <c r="R34" s="266">
        <f t="shared" ref="R34:V35" si="14">J34-B34</f>
        <v>0</v>
      </c>
      <c r="S34" s="267">
        <f t="shared" si="14"/>
        <v>0</v>
      </c>
      <c r="T34" s="266">
        <f t="shared" si="14"/>
        <v>0</v>
      </c>
      <c r="U34" s="266">
        <f t="shared" si="14"/>
        <v>0</v>
      </c>
      <c r="V34" s="266">
        <f t="shared" si="14"/>
        <v>0</v>
      </c>
      <c r="Y34" s="875" t="s">
        <v>1239</v>
      </c>
      <c r="Z34" s="188" t="s">
        <v>1240</v>
      </c>
      <c r="AB34" s="176" t="s">
        <v>179</v>
      </c>
      <c r="AC34" s="169" t="str">
        <f>IFERROR(INDEX(Data_Omakoodi!E:E,MATCH(AB34,Data_Omakoodi!A:A,0)),"")</f>
        <v/>
      </c>
      <c r="AD34" t="s">
        <v>180</v>
      </c>
      <c r="AE34" s="169" t="str">
        <f>IFERROR(INDEX(Data_Omakoodi!E:E,MATCH(AD34,Data_Omakoodi!A:A,0)),"")</f>
        <v/>
      </c>
      <c r="AF34" t="s">
        <v>180</v>
      </c>
      <c r="AG34" t="s">
        <v>181</v>
      </c>
      <c r="AH34"/>
    </row>
    <row r="35" spans="1:34" x14ac:dyDescent="0.25">
      <c r="A35" s="189" t="s">
        <v>1241</v>
      </c>
      <c r="B35" s="110">
        <f>SUMIFS(AS!$W:$W,AS!$AB:$AB,AS!$AA$1,AS!$AH:$AH,$Y$8,AS!$AM:$AM,Tilanne!$Y35,AS!$AW:$AW,Tilanne!$Z$6,AS!$K:$K,Tilanne!$Z$1,AS!$X:$X,Tilanne!$Z$5,AS!$AV:$AV,Tilanne!$Z$2)</f>
        <v>0</v>
      </c>
      <c r="C35" s="207">
        <f>IFERROR(B35/B$53,0)</f>
        <v>0</v>
      </c>
      <c r="D35" s="110">
        <f>SUMIFS(AS!$W:$W,AS!$AB:$AB,AS!$AA$1,AS!$AH:$AH,$Y$8,AS!$AM:$AM,Tilanne!$Y35,AS!$F:$F,$Y$7,AS!$AW:$AW,Tilanne!$Z$6,AS!$K:$K,Tilanne!$Z$1,AS!$X:$X,Tilanne!$Z$5,AS!$AV:$AV,Tilanne!$Z$2)</f>
        <v>0</v>
      </c>
      <c r="E35" s="110">
        <f>SUMIFS(AS!$W:$W,AS!$AB:$AB,AS!$AA$1,AS!$AH:$AH,$Y$8,AS!$AM:$AM,Tilanne!$Y35,AS!$F:$F,$Z$7,AS!$AW:$AW,Tilanne!$Z$6,AS!$K:$K,Tilanne!$Z$1,AS!$X:$X,Tilanne!$Z$5,AS!$AV:$AV,Tilanne!$Z$2)</f>
        <v>0</v>
      </c>
      <c r="F35" s="190">
        <f>SUMIFS(AS!$W:$W,AS!$AB:$AB,AS!$AA$1,AS!$AH:$AH,$Z$8,AS!$AM:$AM,Tilanne!$Y35,AS!$AW:$AW,Tilanne!$Z$6,AS!$K:$K,Tilanne!$Z$1,AS!$X:$X,Tilanne!$Z$5,AS!$AV:$AV,Tilanne!$Z$2)</f>
        <v>0</v>
      </c>
      <c r="G35" s="186"/>
      <c r="I35" s="189" t="s">
        <v>1241</v>
      </c>
      <c r="J35" s="192">
        <f>SUMIFS(AS!$W:$W,AS!$AB:$AB,AS!$AA$1,AS!$AH:$AH,$Y$8,AS!$AR:$AR,Tilanne!$Y35,AS!$AW:$AW,Tilanne!$Z$6,AS!$K:$K,Tilanne!$Z$1,AS!$X:$X,Tilanne!$Z$5,AS!$AV:$AV,Tilanne!$Z$2)</f>
        <v>0</v>
      </c>
      <c r="K35" s="207">
        <f>IFERROR(J35/J$53,0)</f>
        <v>0</v>
      </c>
      <c r="L35" s="110">
        <f>SUMIFS(AS!$W:$W,AS!$AB:$AB,AS!$AA$1,AS!$AH:$AH,$Y$8,AS!$AR:$AR,Tilanne!$Y35,AS!$F:$F,$Y$7,AS!$AW:$AW,Tilanne!$Z$6,AS!$K:$K,Tilanne!$Z$1,AS!$X:$X,Tilanne!$Z$5,AS!$AV:$AV,Tilanne!$Z$2)</f>
        <v>0</v>
      </c>
      <c r="M35" s="110">
        <f>SUMIFS(AS!$W:$W,AS!$AB:$AB,AS!$AA$1,AS!$AH:$AH,$Y$8,AS!$AR:$AR,Tilanne!$Y35,AS!$F:$F,$Z$7,AS!$AW:$AW,Tilanne!$Z$6,AS!$K:$K,Tilanne!$Z$1,AS!$X:$X,Tilanne!$Z$5,AS!$AV:$AV,Tilanne!$Z$2)</f>
        <v>0</v>
      </c>
      <c r="N35" s="110">
        <f>SUMIFS(AS!$W:$W,AS!$AB:$AB,AS!$AA$1,AS!$AH:$AH,"vanha",AS!$AR:$AR,Tilanne!$Y35,AS!$AW:$AW,Tilanne!$Z$6,AS!$K:$K,Tilanne!$Z$1,AS!$X:$X,Tilanne!$Z$5,AS!$AV:$AV,Tilanne!$Z$2)</f>
        <v>0</v>
      </c>
      <c r="O35" s="186"/>
      <c r="Q35" s="189" t="s">
        <v>1241</v>
      </c>
      <c r="R35" s="193">
        <f t="shared" si="14"/>
        <v>0</v>
      </c>
      <c r="S35" s="194">
        <f t="shared" si="14"/>
        <v>0</v>
      </c>
      <c r="T35" s="193">
        <f t="shared" si="14"/>
        <v>0</v>
      </c>
      <c r="U35" s="193">
        <f t="shared" si="14"/>
        <v>0</v>
      </c>
      <c r="V35" s="193">
        <f t="shared" si="14"/>
        <v>0</v>
      </c>
      <c r="Y35" s="195" t="s">
        <v>1242</v>
      </c>
      <c r="Z35" s="177">
        <v>1</v>
      </c>
      <c r="AA35" s="198">
        <f>LARGE($C$35:$C$51,$Z35)</f>
        <v>0</v>
      </c>
      <c r="AB35" s="176" t="s">
        <v>183</v>
      </c>
      <c r="AC35" s="169" t="str">
        <f>IFERROR(INDEX(Data_Omakoodi!E:E,MATCH(AB35,Data_Omakoodi!A:A,0)),"")</f>
        <v/>
      </c>
      <c r="AD35" t="s">
        <v>184</v>
      </c>
      <c r="AE35" s="169" t="str">
        <f>IFERROR(INDEX(Data_Omakoodi!E:E,MATCH(AD35,Data_Omakoodi!A:A,0)),"")</f>
        <v/>
      </c>
      <c r="AF35" t="s">
        <v>184</v>
      </c>
      <c r="AG35" t="s">
        <v>185</v>
      </c>
      <c r="AH35"/>
    </row>
    <row r="36" spans="1:34" x14ac:dyDescent="0.25">
      <c r="A36" s="189" t="s">
        <v>1243</v>
      </c>
      <c r="B36" s="110">
        <f>SUMIFS(AS!$W:$W,AS!$AB:$AB,AS!$AA$1,AS!$AH:$AH,$Y$8,AS!$AM:$AM,Tilanne!$Y36,AS!$AW:$AW,Tilanne!$Z$6,AS!$K:$K,Tilanne!$Z$1,AS!$X:$X,Tilanne!$Z$5,AS!$AV:$AV,Tilanne!$Z$2)</f>
        <v>0</v>
      </c>
      <c r="C36" s="207">
        <f t="shared" ref="C36:C42" si="15">IFERROR(B36/B$53,0)</f>
        <v>0</v>
      </c>
      <c r="D36" s="110">
        <f>SUMIFS(AS!$W:$W,AS!$AB:$AB,AS!$AA$1,AS!$AH:$AH,$Y$8,AS!$AM:$AM,Tilanne!$Y36,AS!$F:$F,$Y$7,AS!$AW:$AW,Tilanne!$Z$6,AS!$K:$K,Tilanne!$Z$1,AS!$X:$X,Tilanne!$Z$5,AS!$AV:$AV,Tilanne!$Z$2)</f>
        <v>0</v>
      </c>
      <c r="E36" s="110">
        <f>SUMIFS(AS!$W:$W,AS!$AB:$AB,AS!$AA$1,AS!$AH:$AH,$Y$8,AS!$AM:$AM,Tilanne!$Y36,AS!$F:$F,$Z$7,AS!$AW:$AW,Tilanne!$Z$6,AS!$K:$K,Tilanne!$Z$1,AS!$X:$X,Tilanne!$Z$5,AS!$AV:$AV,Tilanne!$Z$2)</f>
        <v>0</v>
      </c>
      <c r="F36" s="190">
        <f>SUMIFS(AS!$W:$W,AS!$AB:$AB,AS!$AA$1,AS!$AH:$AH,$Z$8,AS!$AM:$AM,Tilanne!$Y36,AS!$AW:$AW,Tilanne!$Z$6,AS!$K:$K,Tilanne!$Z$1,AS!$X:$X,Tilanne!$Z$5,AS!$AV:$AV,Tilanne!$Z$2)</f>
        <v>0</v>
      </c>
      <c r="G36" s="186"/>
      <c r="I36" s="189" t="s">
        <v>1243</v>
      </c>
      <c r="J36" s="192">
        <f>SUMIFS(AS!$W:$W,AS!$AB:$AB,AS!$AA$1,AS!$AH:$AH,$Y$8,AS!$AR:$AR,Tilanne!$Y36,AS!$AW:$AW,Tilanne!$Z$6,AS!$K:$K,Tilanne!$Z$1,AS!$X:$X,Tilanne!$Z$5,AS!$AV:$AV,Tilanne!$Z$2)</f>
        <v>0</v>
      </c>
      <c r="K36" s="207">
        <f t="shared" ref="K36:K42" si="16">IFERROR(J36/J$53,0)</f>
        <v>0</v>
      </c>
      <c r="L36" s="110">
        <f>SUMIFS(AS!$W:$W,AS!$AB:$AB,AS!$AA$1,AS!$AH:$AH,$Y$8,AS!$AR:$AR,Tilanne!$Y36,AS!$F:$F,$Y$7,AS!$AW:$AW,Tilanne!$Z$6,AS!$K:$K,Tilanne!$Z$1,AS!$X:$X,Tilanne!$Z$5,AS!$AV:$AV,Tilanne!$Z$2)</f>
        <v>0</v>
      </c>
      <c r="M36" s="110">
        <f>SUMIFS(AS!$W:$W,AS!$AB:$AB,AS!$AA$1,AS!$AH:$AH,$Y$8,AS!$AR:$AR,Tilanne!$Y36,AS!$F:$F,$Z$7,AS!$AW:$AW,Tilanne!$Z$6,AS!$K:$K,Tilanne!$Z$1,AS!$X:$X,Tilanne!$Z$5,AS!$AV:$AV,Tilanne!$Z$2)</f>
        <v>0</v>
      </c>
      <c r="N36" s="110">
        <f>SUMIFS(AS!$W:$W,AS!$AB:$AB,AS!$AA$1,AS!$AH:$AH,"vanha",AS!$AR:$AR,Tilanne!$Y36,AS!$AW:$AW,Tilanne!$Z$6,AS!$K:$K,Tilanne!$Z$1,AS!$X:$X,Tilanne!$Z$5,AS!$AV:$AV,Tilanne!$Z$2)</f>
        <v>0</v>
      </c>
      <c r="O36" s="186"/>
      <c r="Q36" s="189" t="s">
        <v>1243</v>
      </c>
      <c r="R36" s="193">
        <f t="shared" ref="R36:R42" si="17">J36-B36</f>
        <v>0</v>
      </c>
      <c r="S36" s="194">
        <f t="shared" ref="S36:S42" si="18">K36-C36</f>
        <v>0</v>
      </c>
      <c r="T36" s="193">
        <f t="shared" ref="T36:T42" si="19">L36-D36</f>
        <v>0</v>
      </c>
      <c r="U36" s="193">
        <f t="shared" ref="U36:U42" si="20">M36-E36</f>
        <v>0</v>
      </c>
      <c r="V36" s="193">
        <f t="shared" ref="V36:V42" si="21">N36-F36</f>
        <v>0</v>
      </c>
      <c r="Y36" s="195" t="s">
        <v>1244</v>
      </c>
      <c r="AA36" s="198"/>
      <c r="AB36" s="176" t="s">
        <v>187</v>
      </c>
      <c r="AC36" s="169" t="str">
        <f>IFERROR(INDEX(Data_Omakoodi!E:E,MATCH(AB36,Data_Omakoodi!A:A,0)),"")</f>
        <v/>
      </c>
      <c r="AD36" t="s">
        <v>188</v>
      </c>
      <c r="AE36" s="169" t="str">
        <f>IFERROR(INDEX(Data_Omakoodi!E:E,MATCH(AD36,Data_Omakoodi!A:A,0)),"")</f>
        <v/>
      </c>
      <c r="AF36" t="s">
        <v>188</v>
      </c>
      <c r="AG36" t="s">
        <v>189</v>
      </c>
      <c r="AH36"/>
    </row>
    <row r="37" spans="1:34" x14ac:dyDescent="0.25">
      <c r="A37" s="189" t="s">
        <v>1245</v>
      </c>
      <c r="B37" s="110">
        <f>SUMIFS(AS!$W:$W,AS!$AB:$AB,AS!$AA$1,AS!$AH:$AH,$Y$8,AS!$AM:$AM,Tilanne!$Y37,AS!$AW:$AW,Tilanne!$Z$6,AS!$K:$K,Tilanne!$Z$1,AS!$X:$X,Tilanne!$Z$5,AS!$AV:$AV,Tilanne!$Z$2)</f>
        <v>0</v>
      </c>
      <c r="C37" s="207">
        <f t="shared" si="15"/>
        <v>0</v>
      </c>
      <c r="D37" s="110">
        <f>SUMIFS(AS!$W:$W,AS!$AB:$AB,AS!$AA$1,AS!$AH:$AH,$Y$8,AS!$AM:$AM,Tilanne!$Y37,AS!$F:$F,$Y$7,AS!$AW:$AW,Tilanne!$Z$6,AS!$K:$K,Tilanne!$Z$1,AS!$X:$X,Tilanne!$Z$5,AS!$AV:$AV,Tilanne!$Z$2)</f>
        <v>0</v>
      </c>
      <c r="E37" s="110">
        <f>SUMIFS(AS!$W:$W,AS!$AB:$AB,AS!$AA$1,AS!$AH:$AH,$Y$8,AS!$AM:$AM,Tilanne!$Y37,AS!$F:$F,$Z$7,AS!$AW:$AW,Tilanne!$Z$6,AS!$K:$K,Tilanne!$Z$1,AS!$X:$X,Tilanne!$Z$5,AS!$AV:$AV,Tilanne!$Z$2)</f>
        <v>0</v>
      </c>
      <c r="F37" s="190">
        <f>SUMIFS(AS!$W:$W,AS!$AB:$AB,AS!$AA$1,AS!$AH:$AH,$Z$8,AS!$AM:$AM,Tilanne!$Y37,AS!$AW:$AW,Tilanne!$Z$6,AS!$K:$K,Tilanne!$Z$1,AS!$X:$X,Tilanne!$Z$5,AS!$AV:$AV,Tilanne!$Z$2)</f>
        <v>0</v>
      </c>
      <c r="G37" s="186"/>
      <c r="I37" s="189" t="s">
        <v>1245</v>
      </c>
      <c r="J37" s="192">
        <f>SUMIFS(AS!$W:$W,AS!$AB:$AB,AS!$AA$1,AS!$AH:$AH,$Y$8,AS!$AR:$AR,Tilanne!$Y37,AS!$AW:$AW,Tilanne!$Z$6,AS!$K:$K,Tilanne!$Z$1,AS!$X:$X,Tilanne!$Z$5,AS!$AV:$AV,Tilanne!$Z$2)</f>
        <v>0</v>
      </c>
      <c r="K37" s="207">
        <f t="shared" si="16"/>
        <v>0</v>
      </c>
      <c r="L37" s="110">
        <f>SUMIFS(AS!$W:$W,AS!$AB:$AB,AS!$AA$1,AS!$AH:$AH,$Y$8,AS!$AR:$AR,Tilanne!$Y37,AS!$F:$F,$Y$7,AS!$AW:$AW,Tilanne!$Z$6,AS!$K:$K,Tilanne!$Z$1,AS!$X:$X,Tilanne!$Z$5,AS!$AV:$AV,Tilanne!$Z$2)</f>
        <v>0</v>
      </c>
      <c r="M37" s="110">
        <f>SUMIFS(AS!$W:$W,AS!$AB:$AB,AS!$AA$1,AS!$AH:$AH,$Y$8,AS!$AR:$AR,Tilanne!$Y37,AS!$F:$F,$Z$7,AS!$AW:$AW,Tilanne!$Z$6,AS!$K:$K,Tilanne!$Z$1,AS!$X:$X,Tilanne!$Z$5,AS!$AV:$AV,Tilanne!$Z$2)</f>
        <v>0</v>
      </c>
      <c r="N37" s="110">
        <f>SUMIFS(AS!$W:$W,AS!$AB:$AB,AS!$AA$1,AS!$AH:$AH,"vanha",AS!$AR:$AR,Tilanne!$Y37,AS!$AW:$AW,Tilanne!$Z$6,AS!$K:$K,Tilanne!$Z$1,AS!$X:$X,Tilanne!$Z$5,AS!$AV:$AV,Tilanne!$Z$2)</f>
        <v>0</v>
      </c>
      <c r="O37" s="186"/>
      <c r="Q37" s="189" t="s">
        <v>1245</v>
      </c>
      <c r="R37" s="193">
        <f t="shared" si="17"/>
        <v>0</v>
      </c>
      <c r="S37" s="194">
        <f t="shared" si="18"/>
        <v>0</v>
      </c>
      <c r="T37" s="193">
        <f t="shared" si="19"/>
        <v>0</v>
      </c>
      <c r="U37" s="193">
        <f t="shared" si="20"/>
        <v>0</v>
      </c>
      <c r="V37" s="193">
        <f t="shared" si="21"/>
        <v>0</v>
      </c>
      <c r="Y37" s="195" t="s">
        <v>1246</v>
      </c>
      <c r="Z37" s="177">
        <v>2</v>
      </c>
      <c r="AA37" s="198">
        <f>LARGE($C$35:$C$51,$Z37)</f>
        <v>0</v>
      </c>
      <c r="AB37" s="176" t="s">
        <v>190</v>
      </c>
      <c r="AC37" s="169" t="str">
        <f>IFERROR(INDEX(Data_Omakoodi!E:E,MATCH(AB37,Data_Omakoodi!A:A,0)),"")</f>
        <v/>
      </c>
      <c r="AD37" t="s">
        <v>191</v>
      </c>
      <c r="AE37" s="169" t="str">
        <f>IFERROR(INDEX(Data_Omakoodi!E:E,MATCH(AD37,Data_Omakoodi!A:A,0)),"")</f>
        <v/>
      </c>
      <c r="AF37" t="s">
        <v>191</v>
      </c>
      <c r="AG37" t="s">
        <v>192</v>
      </c>
      <c r="AH37"/>
    </row>
    <row r="38" spans="1:34" x14ac:dyDescent="0.25">
      <c r="A38" s="189" t="s">
        <v>1247</v>
      </c>
      <c r="B38" s="110">
        <f>SUMIFS(AS!$W:$W,AS!$AB:$AB,AS!$AA$1,AS!$AH:$AH,$Y$8,AS!$AM:$AM,Tilanne!$Y38,AS!$AW:$AW,Tilanne!$Z$6,AS!$K:$K,Tilanne!$Z$1,AS!$X:$X,Tilanne!$Z$5,AS!$AV:$AV,Tilanne!$Z$2)</f>
        <v>0</v>
      </c>
      <c r="C38" s="207">
        <f t="shared" si="15"/>
        <v>0</v>
      </c>
      <c r="D38" s="110">
        <f>SUMIFS(AS!$W:$W,AS!$AB:$AB,AS!$AA$1,AS!$AH:$AH,$Y$8,AS!$AM:$AM,Tilanne!$Y38,AS!$F:$F,$Y$7,AS!$AW:$AW,Tilanne!$Z$6,AS!$K:$K,Tilanne!$Z$1,AS!$X:$X,Tilanne!$Z$5,AS!$AV:$AV,Tilanne!$Z$2)</f>
        <v>0</v>
      </c>
      <c r="E38" s="110">
        <f>SUMIFS(AS!$W:$W,AS!$AB:$AB,AS!$AA$1,AS!$AH:$AH,$Y$8,AS!$AM:$AM,Tilanne!$Y38,AS!$F:$F,$Z$7,AS!$AW:$AW,Tilanne!$Z$6,AS!$K:$K,Tilanne!$Z$1,AS!$X:$X,Tilanne!$Z$5,AS!$AV:$AV,Tilanne!$Z$2)</f>
        <v>0</v>
      </c>
      <c r="F38" s="190">
        <f>SUMIFS(AS!$W:$W,AS!$AB:$AB,AS!$AA$1,AS!$AH:$AH,$Z$8,AS!$AM:$AM,Tilanne!$Y38,AS!$AW:$AW,Tilanne!$Z$6,AS!$K:$K,Tilanne!$Z$1,AS!$X:$X,Tilanne!$Z$5,AS!$AV:$AV,Tilanne!$Z$2)</f>
        <v>0</v>
      </c>
      <c r="G38" s="186"/>
      <c r="I38" s="189" t="s">
        <v>1247</v>
      </c>
      <c r="J38" s="192">
        <f>SUMIFS(AS!$W:$W,AS!$AB:$AB,AS!$AA$1,AS!$AH:$AH,$Y$8,AS!$AR:$AR,Tilanne!$Y38,AS!$AW:$AW,Tilanne!$Z$6,AS!$K:$K,Tilanne!$Z$1,AS!$X:$X,Tilanne!$Z$5,AS!$AV:$AV,Tilanne!$Z$2)</f>
        <v>0</v>
      </c>
      <c r="K38" s="207">
        <f t="shared" si="16"/>
        <v>0</v>
      </c>
      <c r="L38" s="110">
        <f>SUMIFS(AS!$W:$W,AS!$AB:$AB,AS!$AA$1,AS!$AH:$AH,$Y$8,AS!$AR:$AR,Tilanne!$Y38,AS!$F:$F,$Y$7,AS!$AW:$AW,Tilanne!$Z$6,AS!$K:$K,Tilanne!$Z$1,AS!$X:$X,Tilanne!$Z$5,AS!$AV:$AV,Tilanne!$Z$2)</f>
        <v>0</v>
      </c>
      <c r="M38" s="110">
        <f>SUMIFS(AS!$W:$W,AS!$AB:$AB,AS!$AA$1,AS!$AH:$AH,$Y$8,AS!$AR:$AR,Tilanne!$Y38,AS!$F:$F,$Z$7,AS!$AW:$AW,Tilanne!$Z$6,AS!$K:$K,Tilanne!$Z$1,AS!$X:$X,Tilanne!$Z$5,AS!$AV:$AV,Tilanne!$Z$2)</f>
        <v>0</v>
      </c>
      <c r="N38" s="110">
        <f>SUMIFS(AS!$W:$W,AS!$AB:$AB,AS!$AA$1,AS!$AH:$AH,"vanha",AS!$AR:$AR,Tilanne!$Y38,AS!$AW:$AW,Tilanne!$Z$6,AS!$K:$K,Tilanne!$Z$1,AS!$X:$X,Tilanne!$Z$5,AS!$AV:$AV,Tilanne!$Z$2)</f>
        <v>0</v>
      </c>
      <c r="O38" s="186"/>
      <c r="Q38" s="189" t="s">
        <v>1247</v>
      </c>
      <c r="R38" s="193">
        <f t="shared" si="17"/>
        <v>0</v>
      </c>
      <c r="S38" s="194">
        <f t="shared" si="18"/>
        <v>0</v>
      </c>
      <c r="T38" s="193">
        <f t="shared" si="19"/>
        <v>0</v>
      </c>
      <c r="U38" s="193">
        <f t="shared" si="20"/>
        <v>0</v>
      </c>
      <c r="V38" s="193">
        <f t="shared" si="21"/>
        <v>0</v>
      </c>
      <c r="Y38" s="195" t="s">
        <v>1248</v>
      </c>
      <c r="AA38" s="198"/>
      <c r="AB38" s="176" t="s">
        <v>193</v>
      </c>
      <c r="AC38" s="169" t="str">
        <f>IFERROR(INDEX(Data_Omakoodi!E:E,MATCH(AB38,Data_Omakoodi!A:A,0)),"")</f>
        <v/>
      </c>
      <c r="AD38" t="s">
        <v>194</v>
      </c>
      <c r="AE38" s="169" t="str">
        <f>IFERROR(INDEX(Data_Omakoodi!E:E,MATCH(AD38,Data_Omakoodi!A:A,0)),"")</f>
        <v/>
      </c>
      <c r="AF38" t="s">
        <v>194</v>
      </c>
      <c r="AG38" t="s">
        <v>195</v>
      </c>
      <c r="AH38"/>
    </row>
    <row r="39" spans="1:34" x14ac:dyDescent="0.25">
      <c r="A39" s="189" t="s">
        <v>1249</v>
      </c>
      <c r="B39" s="110">
        <f>SUMIFS(AS!$W:$W,AS!$AB:$AB,AS!$AA$1,AS!$AH:$AH,$Y$8,AS!$AM:$AM,Tilanne!$Y39,AS!$AW:$AW,Tilanne!$Z$6,AS!$K:$K,Tilanne!$Z$1,AS!$X:$X,Tilanne!$Z$5,AS!$AV:$AV,Tilanne!$Z$2)</f>
        <v>0</v>
      </c>
      <c r="C39" s="207">
        <f t="shared" si="15"/>
        <v>0</v>
      </c>
      <c r="D39" s="110">
        <f>SUMIFS(AS!$W:$W,AS!$AB:$AB,AS!$AA$1,AS!$AH:$AH,$Y$8,AS!$AM:$AM,Tilanne!$Y39,AS!$F:$F,$Y$7,AS!$AW:$AW,Tilanne!$Z$6,AS!$K:$K,Tilanne!$Z$1,AS!$X:$X,Tilanne!$Z$5,AS!$AV:$AV,Tilanne!$Z$2)</f>
        <v>0</v>
      </c>
      <c r="E39" s="110">
        <f>SUMIFS(AS!$W:$W,AS!$AB:$AB,AS!$AA$1,AS!$AH:$AH,$Y$8,AS!$AM:$AM,Tilanne!$Y39,AS!$F:$F,$Z$7,AS!$AW:$AW,Tilanne!$Z$6,AS!$K:$K,Tilanne!$Z$1,AS!$X:$X,Tilanne!$Z$5,AS!$AV:$AV,Tilanne!$Z$2)</f>
        <v>0</v>
      </c>
      <c r="F39" s="190">
        <f>SUMIFS(AS!$W:$W,AS!$AB:$AB,AS!$AA$1,AS!$AH:$AH,$Z$8,AS!$AM:$AM,Tilanne!$Y39,AS!$AW:$AW,Tilanne!$Z$6,AS!$K:$K,Tilanne!$Z$1,AS!$X:$X,Tilanne!$Z$5,AS!$AV:$AV,Tilanne!$Z$2)</f>
        <v>0</v>
      </c>
      <c r="G39" s="186"/>
      <c r="I39" s="189" t="s">
        <v>1249</v>
      </c>
      <c r="J39" s="192">
        <f>SUMIFS(AS!$W:$W,AS!$AB:$AB,AS!$AA$1,AS!$AH:$AH,$Y$8,AS!$AR:$AR,Tilanne!$Y39,AS!$AW:$AW,Tilanne!$Z$6,AS!$K:$K,Tilanne!$Z$1,AS!$X:$X,Tilanne!$Z$5,AS!$AV:$AV,Tilanne!$Z$2)</f>
        <v>0</v>
      </c>
      <c r="K39" s="207">
        <f t="shared" si="16"/>
        <v>0</v>
      </c>
      <c r="L39" s="110">
        <f>SUMIFS(AS!$W:$W,AS!$AB:$AB,AS!$AA$1,AS!$AH:$AH,$Y$8,AS!$AR:$AR,Tilanne!$Y39,AS!$F:$F,$Y$7,AS!$AW:$AW,Tilanne!$Z$6,AS!$K:$K,Tilanne!$Z$1,AS!$X:$X,Tilanne!$Z$5,AS!$AV:$AV,Tilanne!$Z$2)</f>
        <v>0</v>
      </c>
      <c r="M39" s="110">
        <f>SUMIFS(AS!$W:$W,AS!$AB:$AB,AS!$AA$1,AS!$AH:$AH,$Y$8,AS!$AR:$AR,Tilanne!$Y39,AS!$F:$F,$Z$7,AS!$AW:$AW,Tilanne!$Z$6,AS!$K:$K,Tilanne!$Z$1,AS!$X:$X,Tilanne!$Z$5,AS!$AV:$AV,Tilanne!$Z$2)</f>
        <v>0</v>
      </c>
      <c r="N39" s="110">
        <f>SUMIFS(AS!$W:$W,AS!$AB:$AB,AS!$AA$1,AS!$AH:$AH,"vanha",AS!$AR:$AR,Tilanne!$Y39,AS!$AW:$AW,Tilanne!$Z$6,AS!$K:$K,Tilanne!$Z$1,AS!$X:$X,Tilanne!$Z$5,AS!$AV:$AV,Tilanne!$Z$2)</f>
        <v>0</v>
      </c>
      <c r="O39" s="186"/>
      <c r="Q39" s="189" t="s">
        <v>1249</v>
      </c>
      <c r="R39" s="193">
        <f t="shared" si="17"/>
        <v>0</v>
      </c>
      <c r="S39" s="194">
        <f t="shared" si="18"/>
        <v>0</v>
      </c>
      <c r="T39" s="193">
        <f t="shared" si="19"/>
        <v>0</v>
      </c>
      <c r="U39" s="193">
        <f t="shared" si="20"/>
        <v>0</v>
      </c>
      <c r="V39" s="193">
        <f t="shared" si="21"/>
        <v>0</v>
      </c>
      <c r="Y39" s="195" t="s">
        <v>1250</v>
      </c>
      <c r="Z39" s="177">
        <v>3</v>
      </c>
      <c r="AA39" s="198">
        <f>LARGE($C$35:$C$51,$Z39)</f>
        <v>0</v>
      </c>
      <c r="AB39"/>
      <c r="AC39"/>
      <c r="AD39"/>
      <c r="AE39"/>
      <c r="AF39"/>
      <c r="AG39"/>
      <c r="AH39"/>
    </row>
    <row r="40" spans="1:34" x14ac:dyDescent="0.25">
      <c r="A40" s="189" t="s">
        <v>1251</v>
      </c>
      <c r="B40" s="110">
        <f>SUMIFS(AS!$W:$W,AS!$AB:$AB,AS!$AA$1,AS!$AH:$AH,$Y$8,AS!$AM:$AM,Tilanne!$Y40,AS!$AW:$AW,Tilanne!$Z$6,AS!$K:$K,Tilanne!$Z$1,AS!$X:$X,Tilanne!$Z$5,AS!$AV:$AV,Tilanne!$Z$2)</f>
        <v>0</v>
      </c>
      <c r="C40" s="207">
        <f t="shared" si="15"/>
        <v>0</v>
      </c>
      <c r="D40" s="110">
        <f>SUMIFS(AS!$W:$W,AS!$AB:$AB,AS!$AA$1,AS!$AH:$AH,$Y$8,AS!$AM:$AM,Tilanne!$Y40,AS!$F:$F,$Y$7,AS!$AW:$AW,Tilanne!$Z$6,AS!$K:$K,Tilanne!$Z$1,AS!$X:$X,Tilanne!$Z$5,AS!$AV:$AV,Tilanne!$Z$2)</f>
        <v>0</v>
      </c>
      <c r="E40" s="110">
        <f>SUMIFS(AS!$W:$W,AS!$AB:$AB,AS!$AA$1,AS!$AH:$AH,$Y$8,AS!$AM:$AM,Tilanne!$Y40,AS!$F:$F,$Z$7,AS!$AW:$AW,Tilanne!$Z$6,AS!$K:$K,Tilanne!$Z$1,AS!$X:$X,Tilanne!$Z$5,AS!$AV:$AV,Tilanne!$Z$2)</f>
        <v>0</v>
      </c>
      <c r="F40" s="190">
        <f>SUMIFS(AS!$W:$W,AS!$AB:$AB,AS!$AA$1,AS!$AH:$AH,$Z$8,AS!$AM:$AM,Tilanne!$Y40,AS!$AW:$AW,Tilanne!$Z$6,AS!$K:$K,Tilanne!$Z$1,AS!$X:$X,Tilanne!$Z$5,AS!$AV:$AV,Tilanne!$Z$2)</f>
        <v>0</v>
      </c>
      <c r="G40" s="186"/>
      <c r="I40" s="189" t="s">
        <v>1251</v>
      </c>
      <c r="J40" s="192">
        <f>SUMIFS(AS!$W:$W,AS!$AB:$AB,AS!$AA$1,AS!$AH:$AH,$Y$8,AS!$AR:$AR,Tilanne!$Y40,AS!$AW:$AW,Tilanne!$Z$6,AS!$K:$K,Tilanne!$Z$1,AS!$X:$X,Tilanne!$Z$5,AS!$AV:$AV,Tilanne!$Z$2)</f>
        <v>0</v>
      </c>
      <c r="K40" s="207">
        <f t="shared" si="16"/>
        <v>0</v>
      </c>
      <c r="L40" s="110">
        <f>SUMIFS(AS!$W:$W,AS!$AB:$AB,AS!$AA$1,AS!$AH:$AH,$Y$8,AS!$AR:$AR,Tilanne!$Y40,AS!$F:$F,$Y$7,AS!$AW:$AW,Tilanne!$Z$6,AS!$K:$K,Tilanne!$Z$1,AS!$X:$X,Tilanne!$Z$5,AS!$AV:$AV,Tilanne!$Z$2)</f>
        <v>0</v>
      </c>
      <c r="M40" s="110">
        <f>SUMIFS(AS!$W:$W,AS!$AB:$AB,AS!$AA$1,AS!$AH:$AH,$Y$8,AS!$AR:$AR,Tilanne!$Y40,AS!$F:$F,$Z$7,AS!$AW:$AW,Tilanne!$Z$6,AS!$K:$K,Tilanne!$Z$1,AS!$X:$X,Tilanne!$Z$5,AS!$AV:$AV,Tilanne!$Z$2)</f>
        <v>0</v>
      </c>
      <c r="N40" s="110">
        <f>SUMIFS(AS!$W:$W,AS!$AB:$AB,AS!$AA$1,AS!$AH:$AH,"vanha",AS!$AR:$AR,Tilanne!$Y40,AS!$AW:$AW,Tilanne!$Z$6,AS!$K:$K,Tilanne!$Z$1,AS!$X:$X,Tilanne!$Z$5,AS!$AV:$AV,Tilanne!$Z$2)</f>
        <v>0</v>
      </c>
      <c r="O40" s="186"/>
      <c r="Q40" s="189" t="s">
        <v>1251</v>
      </c>
      <c r="R40" s="193">
        <f t="shared" si="17"/>
        <v>0</v>
      </c>
      <c r="S40" s="194">
        <f t="shared" si="18"/>
        <v>0</v>
      </c>
      <c r="T40" s="193">
        <f t="shared" si="19"/>
        <v>0</v>
      </c>
      <c r="U40" s="193">
        <f t="shared" si="20"/>
        <v>0</v>
      </c>
      <c r="V40" s="193">
        <f t="shared" si="21"/>
        <v>0</v>
      </c>
      <c r="Y40" s="195" t="s">
        <v>1252</v>
      </c>
      <c r="Z40" s="177">
        <v>4</v>
      </c>
      <c r="AA40" s="198">
        <f>LARGE($C$35:$C$51,$Z40)</f>
        <v>0</v>
      </c>
      <c r="AB40"/>
      <c r="AC40"/>
      <c r="AD40"/>
      <c r="AE40"/>
      <c r="AF40"/>
      <c r="AG40"/>
      <c r="AH40"/>
    </row>
    <row r="41" spans="1:34" x14ac:dyDescent="0.25">
      <c r="A41" s="189" t="s">
        <v>1253</v>
      </c>
      <c r="B41" s="110">
        <f>SUMIFS(AS!$W:$W,AS!$AB:$AB,AS!$AA$1,AS!$AH:$AH,$Y$8,AS!$AM:$AM,Tilanne!$Y41,AS!$AW:$AW,Tilanne!$Z$6,AS!$K:$K,Tilanne!$Z$1,AS!$X:$X,Tilanne!$Z$5,AS!$AV:$AV,Tilanne!$Z$2)</f>
        <v>0</v>
      </c>
      <c r="C41" s="207">
        <f t="shared" si="15"/>
        <v>0</v>
      </c>
      <c r="D41" s="110">
        <f>SUMIFS(AS!$W:$W,AS!$AB:$AB,AS!$AA$1,AS!$AH:$AH,$Y$8,AS!$AM:$AM,Tilanne!$Y41,AS!$F:$F,$Y$7,AS!$AW:$AW,Tilanne!$Z$6,AS!$K:$K,Tilanne!$Z$1,AS!$X:$X,Tilanne!$Z$5,AS!$AV:$AV,Tilanne!$Z$2)</f>
        <v>0</v>
      </c>
      <c r="E41" s="110">
        <f>SUMIFS(AS!$W:$W,AS!$AB:$AB,AS!$AA$1,AS!$AH:$AH,$Y$8,AS!$AM:$AM,Tilanne!$Y41,AS!$F:$F,$Z$7,AS!$AW:$AW,Tilanne!$Z$6,AS!$K:$K,Tilanne!$Z$1,AS!$X:$X,Tilanne!$Z$5,AS!$AV:$AV,Tilanne!$Z$2)</f>
        <v>0</v>
      </c>
      <c r="F41" s="190">
        <f>SUMIFS(AS!$W:$W,AS!$AB:$AB,AS!$AA$1,AS!$AH:$AH,$Z$8,AS!$AM:$AM,Tilanne!$Y41,AS!$AW:$AW,Tilanne!$Z$6,AS!$K:$K,Tilanne!$Z$1,AS!$X:$X,Tilanne!$Z$5,AS!$AV:$AV,Tilanne!$Z$2)</f>
        <v>0</v>
      </c>
      <c r="G41" s="186"/>
      <c r="I41" s="189" t="s">
        <v>1253</v>
      </c>
      <c r="J41" s="192">
        <f>SUMIFS(AS!$W:$W,AS!$AB:$AB,AS!$AA$1,AS!$AH:$AH,$Y$8,AS!$AR:$AR,Tilanne!$Y41,AS!$AW:$AW,Tilanne!$Z$6,AS!$K:$K,Tilanne!$Z$1,AS!$X:$X,Tilanne!$Z$5,AS!$AV:$AV,Tilanne!$Z$2)</f>
        <v>0</v>
      </c>
      <c r="K41" s="207">
        <f t="shared" si="16"/>
        <v>0</v>
      </c>
      <c r="L41" s="110">
        <f>SUMIFS(AS!$W:$W,AS!$AB:$AB,AS!$AA$1,AS!$AH:$AH,$Y$8,AS!$AR:$AR,Tilanne!$Y41,AS!$F:$F,$Y$7,AS!$AW:$AW,Tilanne!$Z$6,AS!$K:$K,Tilanne!$Z$1,AS!$X:$X,Tilanne!$Z$5,AS!$AV:$AV,Tilanne!$Z$2)</f>
        <v>0</v>
      </c>
      <c r="M41" s="110">
        <f>SUMIFS(AS!$W:$W,AS!$AB:$AB,AS!$AA$1,AS!$AH:$AH,$Y$8,AS!$AR:$AR,Tilanne!$Y41,AS!$F:$F,$Z$7,AS!$AW:$AW,Tilanne!$Z$6,AS!$K:$K,Tilanne!$Z$1,AS!$X:$X,Tilanne!$Z$5,AS!$AV:$AV,Tilanne!$Z$2)</f>
        <v>0</v>
      </c>
      <c r="N41" s="110">
        <f>SUMIFS(AS!$W:$W,AS!$AB:$AB,AS!$AA$1,AS!$AH:$AH,"vanha",AS!$AR:$AR,Tilanne!$Y41,AS!$AW:$AW,Tilanne!$Z$6,AS!$K:$K,Tilanne!$Z$1,AS!$X:$X,Tilanne!$Z$5,AS!$AV:$AV,Tilanne!$Z$2)</f>
        <v>0</v>
      </c>
      <c r="O41" s="186"/>
      <c r="Q41" s="189" t="s">
        <v>1253</v>
      </c>
      <c r="R41" s="193">
        <f t="shared" si="17"/>
        <v>0</v>
      </c>
      <c r="S41" s="194">
        <f t="shared" si="18"/>
        <v>0</v>
      </c>
      <c r="T41" s="193">
        <f t="shared" si="19"/>
        <v>0</v>
      </c>
      <c r="U41" s="193">
        <f t="shared" si="20"/>
        <v>0</v>
      </c>
      <c r="V41" s="193">
        <f t="shared" si="21"/>
        <v>0</v>
      </c>
      <c r="Y41" s="195" t="s">
        <v>1254</v>
      </c>
      <c r="AA41" s="198"/>
      <c r="AB41"/>
      <c r="AC41"/>
      <c r="AD41"/>
      <c r="AE41"/>
      <c r="AF41"/>
      <c r="AG41"/>
      <c r="AH41"/>
    </row>
    <row r="42" spans="1:34" x14ac:dyDescent="0.25">
      <c r="A42" s="189" t="s">
        <v>1255</v>
      </c>
      <c r="B42" s="110">
        <f>SUMIFS(AS!$W:$W,AS!$AB:$AB,AS!$AA$1,AS!$AH:$AH,$Y$8,AS!$AM:$AM,Tilanne!$Y42,AS!$AW:$AW,Tilanne!$Z$6,AS!$K:$K,Tilanne!$Z$1,AS!$X:$X,Tilanne!$Z$5,AS!$AV:$AV,Tilanne!$Z$2)</f>
        <v>0</v>
      </c>
      <c r="C42" s="207">
        <f t="shared" si="15"/>
        <v>0</v>
      </c>
      <c r="D42" s="110">
        <f>SUMIFS(AS!$W:$W,AS!$AB:$AB,AS!$AA$1,AS!$AH:$AH,$Y$8,AS!$AM:$AM,Tilanne!$Y42,AS!$F:$F,$Y$7,AS!$AW:$AW,Tilanne!$Z$6,AS!$K:$K,Tilanne!$Z$1,AS!$X:$X,Tilanne!$Z$5,AS!$AV:$AV,Tilanne!$Z$2)</f>
        <v>0</v>
      </c>
      <c r="E42" s="110">
        <f>SUMIFS(AS!$W:$W,AS!$AB:$AB,AS!$AA$1,AS!$AH:$AH,$Y$8,AS!$AM:$AM,Tilanne!$Y42,AS!$F:$F,$Z$7,AS!$AW:$AW,Tilanne!$Z$6,AS!$K:$K,Tilanne!$Z$1,AS!$X:$X,Tilanne!$Z$5,AS!$AV:$AV,Tilanne!$Z$2)</f>
        <v>0</v>
      </c>
      <c r="F42" s="190">
        <f>SUMIFS(AS!$W:$W,AS!$AB:$AB,AS!$AA$1,AS!$AH:$AH,$Z$8,AS!$AM:$AM,Tilanne!$Y42,AS!$AW:$AW,Tilanne!$Z$6,AS!$K:$K,Tilanne!$Z$1,AS!$X:$X,Tilanne!$Z$5,AS!$AV:$AV,Tilanne!$Z$2)</f>
        <v>0</v>
      </c>
      <c r="G42" s="186"/>
      <c r="I42" s="191" t="s">
        <v>1255</v>
      </c>
      <c r="J42" s="192">
        <f>SUMIFS(AS!$W:$W,AS!$AB:$AB,AS!$AA$1,AS!$AH:$AH,$Y$8,AS!$AR:$AR,Tilanne!$Y42,AS!$AW:$AW,Tilanne!$Z$6,AS!$K:$K,Tilanne!$Z$1,AS!$X:$X,Tilanne!$Z$5,AS!$AV:$AV,Tilanne!$Z$2)</f>
        <v>0</v>
      </c>
      <c r="K42" s="207">
        <f t="shared" si="16"/>
        <v>0</v>
      </c>
      <c r="L42" s="110">
        <f>SUMIFS(AS!$W:$W,AS!$AB:$AB,AS!$AA$1,AS!$AH:$AH,$Y$8,AS!$AR:$AR,Tilanne!$Y42,AS!$F:$F,$Y$7,AS!$AW:$AW,Tilanne!$Z$6,AS!$K:$K,Tilanne!$Z$1,AS!$X:$X,Tilanne!$Z$5,AS!$AV:$AV,Tilanne!$Z$2)</f>
        <v>0</v>
      </c>
      <c r="M42" s="110">
        <f>SUMIFS(AS!$W:$W,AS!$AB:$AB,AS!$AA$1,AS!$AH:$AH,$Y$8,AS!$AR:$AR,Tilanne!$Y42,AS!$F:$F,$Z$7,AS!$AW:$AW,Tilanne!$Z$6,AS!$K:$K,Tilanne!$Z$1,AS!$X:$X,Tilanne!$Z$5,AS!$AV:$AV,Tilanne!$Z$2)</f>
        <v>0</v>
      </c>
      <c r="N42" s="110">
        <f>SUMIFS(AS!$W:$W,AS!$AB:$AB,AS!$AA$1,AS!$AH:$AH,"vanha",AS!$AR:$AR,Tilanne!$Y42,AS!$AW:$AW,Tilanne!$Z$6,AS!$K:$K,Tilanne!$Z$1,AS!$X:$X,Tilanne!$Z$5,AS!$AV:$AV,Tilanne!$Z$2)</f>
        <v>0</v>
      </c>
      <c r="O42" s="186"/>
      <c r="Q42" s="189" t="s">
        <v>1255</v>
      </c>
      <c r="R42" s="193">
        <f t="shared" si="17"/>
        <v>0</v>
      </c>
      <c r="S42" s="194">
        <f t="shared" si="18"/>
        <v>0</v>
      </c>
      <c r="T42" s="193">
        <f t="shared" si="19"/>
        <v>0</v>
      </c>
      <c r="U42" s="193">
        <f t="shared" si="20"/>
        <v>0</v>
      </c>
      <c r="V42" s="193">
        <f t="shared" si="21"/>
        <v>0</v>
      </c>
      <c r="Y42" s="195" t="s">
        <v>1256</v>
      </c>
      <c r="Z42" s="177">
        <v>5</v>
      </c>
      <c r="AA42" s="198">
        <f t="shared" ref="AA42:AA49" si="22">LARGE($C$35:$C$51,$Z42)</f>
        <v>0</v>
      </c>
      <c r="AB42"/>
      <c r="AC42"/>
      <c r="AD42"/>
      <c r="AE42"/>
      <c r="AF42"/>
    </row>
    <row r="43" spans="1:34" x14ac:dyDescent="0.25">
      <c r="A43" s="189" t="s">
        <v>1257</v>
      </c>
      <c r="B43" s="110">
        <f>SUMIFS(AS!$W:$W,AS!$AB:$AB,AS!$AA$1,AS!$AH:$AH,$Y$8,AS!$AM:$AM,Tilanne!$Y43,AS!$AW:$AW,Tilanne!$Z$6,AS!$K:$K,Tilanne!$Z$1,AS!$X:$X,Tilanne!$Z$5,AS!$AV:$AV,Tilanne!$Z$2)</f>
        <v>0</v>
      </c>
      <c r="C43" s="207">
        <f t="shared" ref="C43:C52" si="23">IFERROR(B43/B$53,0)</f>
        <v>0</v>
      </c>
      <c r="D43" s="110">
        <f>SUMIFS(AS!$W:$W,AS!$AB:$AB,AS!$AA$1,AS!$AH:$AH,$Y$8,AS!$AM:$AM,Tilanne!$Y43,AS!$F:$F,$Y$7,AS!$AW:$AW,Tilanne!$Z$6,AS!$K:$K,Tilanne!$Z$1,AS!$X:$X,Tilanne!$Z$5,AS!$AV:$AV,Tilanne!$Z$2)</f>
        <v>0</v>
      </c>
      <c r="E43" s="110">
        <f>SUMIFS(AS!$W:$W,AS!$AB:$AB,AS!$AA$1,AS!$AH:$AH,$Y$8,AS!$AM:$AM,Tilanne!$Y43,AS!$F:$F,$Z$7,AS!$AW:$AW,Tilanne!$Z$6,AS!$K:$K,Tilanne!$Z$1,AS!$X:$X,Tilanne!$Z$5,AS!$AV:$AV,Tilanne!$Z$2)</f>
        <v>0</v>
      </c>
      <c r="F43" s="190">
        <f>SUMIFS(AS!$W:$W,AS!$AB:$AB,AS!$AA$1,AS!$AH:$AH,$Z$8,AS!$AM:$AM,Tilanne!$Y43,AS!$AW:$AW,Tilanne!$Z$6,AS!$K:$K,Tilanne!$Z$1,AS!$X:$X,Tilanne!$Z$5,AS!$AV:$AV,Tilanne!$Z$2)</f>
        <v>0</v>
      </c>
      <c r="G43" s="186"/>
      <c r="I43" s="191" t="s">
        <v>1257</v>
      </c>
      <c r="J43" s="192">
        <f>SUMIFS(AS!$W:$W,AS!$AB:$AB,AS!$AA$1,AS!$AH:$AH,$Y$8,AS!$AR:$AR,Tilanne!$Y43,AS!$AW:$AW,Tilanne!$Z$6,AS!$K:$K,Tilanne!$Z$1,AS!$X:$X,Tilanne!$Z$5,AS!$AV:$AV,Tilanne!$Z$2)</f>
        <v>0</v>
      </c>
      <c r="K43" s="207">
        <f t="shared" ref="K43:K52" si="24">IFERROR(J43/J$53,0)</f>
        <v>0</v>
      </c>
      <c r="L43" s="110">
        <f>SUMIFS(AS!$W:$W,AS!$AB:$AB,AS!$AA$1,AS!$AH:$AH,$Y$8,AS!$AR:$AR,Tilanne!$Y43,AS!$F:$F,$Y$7,AS!$AW:$AW,Tilanne!$Z$6,AS!$K:$K,Tilanne!$Z$1,AS!$X:$X,Tilanne!$Z$5,AS!$AV:$AV,Tilanne!$Z$2)</f>
        <v>0</v>
      </c>
      <c r="M43" s="110">
        <f>SUMIFS(AS!$W:$W,AS!$AB:$AB,AS!$AA$1,AS!$AH:$AH,$Y$8,AS!$AR:$AR,Tilanne!$Y43,AS!$F:$F,$Z$7,AS!$AW:$AW,Tilanne!$Z$6,AS!$K:$K,Tilanne!$Z$1,AS!$X:$X,Tilanne!$Z$5,AS!$AV:$AV,Tilanne!$Z$2)</f>
        <v>0</v>
      </c>
      <c r="N43" s="110">
        <f>SUMIFS(AS!$W:$W,AS!$AB:$AB,AS!$AA$1,AS!$AH:$AH,"vanha",AS!$AR:$AR,Tilanne!$Y43,AS!$AW:$AW,Tilanne!$Z$6,AS!$K:$K,Tilanne!$Z$1,AS!$X:$X,Tilanne!$Z$5,AS!$AV:$AV,Tilanne!$Z$2)</f>
        <v>0</v>
      </c>
      <c r="O43" s="186"/>
      <c r="Q43" s="189" t="s">
        <v>1257</v>
      </c>
      <c r="R43" s="193">
        <f t="shared" ref="R43:V50" si="25">J43-B43</f>
        <v>0</v>
      </c>
      <c r="S43" s="194">
        <f t="shared" si="25"/>
        <v>0</v>
      </c>
      <c r="T43" s="193">
        <f t="shared" si="25"/>
        <v>0</v>
      </c>
      <c r="U43" s="193">
        <f t="shared" si="25"/>
        <v>0</v>
      </c>
      <c r="V43" s="193">
        <f t="shared" si="25"/>
        <v>0</v>
      </c>
      <c r="Y43" s="195" t="s">
        <v>1258</v>
      </c>
      <c r="Z43" s="177">
        <v>6</v>
      </c>
      <c r="AA43" s="198">
        <f t="shared" si="22"/>
        <v>0</v>
      </c>
      <c r="AB43"/>
      <c r="AC43"/>
      <c r="AD43"/>
      <c r="AE43"/>
      <c r="AF43"/>
    </row>
    <row r="44" spans="1:34" x14ac:dyDescent="0.25">
      <c r="A44" s="189" t="s">
        <v>1259</v>
      </c>
      <c r="B44" s="110">
        <f>SUMIFS(AS!$W:$W,AS!$AB:$AB,AS!$AA$1,AS!$AH:$AH,$Y$8,AS!$AM:$AM,Tilanne!$Y44,AS!$AW:$AW,Tilanne!$Z$6,AS!$K:$K,Tilanne!$Z$1,AS!$X:$X,Tilanne!$Z$5,AS!$AV:$AV,Tilanne!$Z$2)</f>
        <v>0</v>
      </c>
      <c r="C44" s="207">
        <f t="shared" si="23"/>
        <v>0</v>
      </c>
      <c r="D44" s="110">
        <f>SUMIFS(AS!$W:$W,AS!$AB:$AB,AS!$AA$1,AS!$AH:$AH,$Y$8,AS!$AM:$AM,Tilanne!$Y44,AS!$F:$F,$Y$7,AS!$AW:$AW,Tilanne!$Z$6,AS!$K:$K,Tilanne!$Z$1,AS!$X:$X,Tilanne!$Z$5,AS!$AV:$AV,Tilanne!$Z$2)</f>
        <v>0</v>
      </c>
      <c r="E44" s="110">
        <f>SUMIFS(AS!$W:$W,AS!$AB:$AB,AS!$AA$1,AS!$AH:$AH,$Y$8,AS!$AM:$AM,Tilanne!$Y44,AS!$F:$F,$Z$7,AS!$AW:$AW,Tilanne!$Z$6,AS!$K:$K,Tilanne!$Z$1,AS!$X:$X,Tilanne!$Z$5,AS!$AV:$AV,Tilanne!$Z$2)</f>
        <v>0</v>
      </c>
      <c r="F44" s="190">
        <f>SUMIFS(AS!$W:$W,AS!$AB:$AB,AS!$AA$1,AS!$AH:$AH,$Z$8,AS!$AM:$AM,Tilanne!$Y44,AS!$AW:$AW,Tilanne!$Z$6,AS!$K:$K,Tilanne!$Z$1,AS!$X:$X,Tilanne!$Z$5,AS!$AV:$AV,Tilanne!$Z$2)</f>
        <v>0</v>
      </c>
      <c r="G44" s="186"/>
      <c r="I44" s="191" t="s">
        <v>1259</v>
      </c>
      <c r="J44" s="192">
        <f>SUMIFS(AS!$W:$W,AS!$AB:$AB,AS!$AA$1,AS!$AH:$AH,$Y$8,AS!$AR:$AR,Tilanne!$Y44,AS!$AW:$AW,Tilanne!$Z$6,AS!$K:$K,Tilanne!$Z$1,AS!$X:$X,Tilanne!$Z$5,AS!$AV:$AV,Tilanne!$Z$2)</f>
        <v>0</v>
      </c>
      <c r="K44" s="207">
        <f t="shared" si="24"/>
        <v>0</v>
      </c>
      <c r="L44" s="110">
        <f>SUMIFS(AS!$W:$W,AS!$AB:$AB,AS!$AA$1,AS!$AH:$AH,$Y$8,AS!$AR:$AR,Tilanne!$Y44,AS!$F:$F,$Y$7,AS!$AW:$AW,Tilanne!$Z$6,AS!$K:$K,Tilanne!$Z$1,AS!$X:$X,Tilanne!$Z$5,AS!$AV:$AV,Tilanne!$Z$2)</f>
        <v>0</v>
      </c>
      <c r="M44" s="110">
        <f>SUMIFS(AS!$W:$W,AS!$AB:$AB,AS!$AA$1,AS!$AH:$AH,$Y$8,AS!$AR:$AR,Tilanne!$Y44,AS!$F:$F,$Z$7,AS!$AW:$AW,Tilanne!$Z$6,AS!$K:$K,Tilanne!$Z$1,AS!$X:$X,Tilanne!$Z$5,AS!$AV:$AV,Tilanne!$Z$2)</f>
        <v>0</v>
      </c>
      <c r="N44" s="110">
        <f>SUMIFS(AS!$W:$W,AS!$AB:$AB,AS!$AA$1,AS!$AH:$AH,"vanha",AS!$AR:$AR,Tilanne!$Y44,AS!$AW:$AW,Tilanne!$Z$6,AS!$K:$K,Tilanne!$Z$1,AS!$X:$X,Tilanne!$Z$5,AS!$AV:$AV,Tilanne!$Z$2)</f>
        <v>0</v>
      </c>
      <c r="O44" s="186"/>
      <c r="Q44" s="189" t="s">
        <v>1259</v>
      </c>
      <c r="R44" s="193">
        <f t="shared" si="25"/>
        <v>0</v>
      </c>
      <c r="S44" s="194">
        <f t="shared" si="25"/>
        <v>0</v>
      </c>
      <c r="T44" s="193">
        <f t="shared" si="25"/>
        <v>0</v>
      </c>
      <c r="U44" s="193">
        <f t="shared" si="25"/>
        <v>0</v>
      </c>
      <c r="V44" s="193">
        <f t="shared" si="25"/>
        <v>0</v>
      </c>
      <c r="Y44" s="195" t="s">
        <v>1260</v>
      </c>
      <c r="Z44" s="177">
        <v>7</v>
      </c>
      <c r="AA44" s="198">
        <f t="shared" si="22"/>
        <v>0</v>
      </c>
    </row>
    <row r="45" spans="1:34" x14ac:dyDescent="0.25">
      <c r="A45" s="189" t="s">
        <v>1261</v>
      </c>
      <c r="B45" s="110">
        <f>SUMIFS(AS!$W:$W,AS!$AB:$AB,AS!$AA$1,AS!$AH:$AH,$Y$8,AS!$AM:$AM,Tilanne!$Y45,AS!$AW:$AW,Tilanne!$Z$6,AS!$K:$K,Tilanne!$Z$1,AS!$X:$X,Tilanne!$Z$5,AS!$AV:$AV,Tilanne!$Z$2)</f>
        <v>0</v>
      </c>
      <c r="C45" s="207">
        <f t="shared" si="23"/>
        <v>0</v>
      </c>
      <c r="D45" s="110">
        <f>SUMIFS(AS!$W:$W,AS!$AB:$AB,AS!$AA$1,AS!$AH:$AH,$Y$8,AS!$AM:$AM,Tilanne!$Y45,AS!$F:$F,$Y$7,AS!$AW:$AW,Tilanne!$Z$6,AS!$K:$K,Tilanne!$Z$1,AS!$X:$X,Tilanne!$Z$5,AS!$AV:$AV,Tilanne!$Z$2)</f>
        <v>0</v>
      </c>
      <c r="E45" s="110">
        <f>SUMIFS(AS!$W:$W,AS!$AB:$AB,AS!$AA$1,AS!$AH:$AH,$Y$8,AS!$AM:$AM,Tilanne!$Y45,AS!$F:$F,$Z$7,AS!$AW:$AW,Tilanne!$Z$6,AS!$K:$K,Tilanne!$Z$1,AS!$X:$X,Tilanne!$Z$5,AS!$AV:$AV,Tilanne!$Z$2)</f>
        <v>0</v>
      </c>
      <c r="F45" s="190">
        <f>SUMIFS(AS!$W:$W,AS!$AB:$AB,AS!$AA$1,AS!$AH:$AH,$Z$8,AS!$AM:$AM,Tilanne!$Y45,AS!$AW:$AW,Tilanne!$Z$6,AS!$K:$K,Tilanne!$Z$1,AS!$X:$X,Tilanne!$Z$5,AS!$AV:$AV,Tilanne!$Z$2)</f>
        <v>0</v>
      </c>
      <c r="G45" s="186"/>
      <c r="I45" s="191" t="s">
        <v>1261</v>
      </c>
      <c r="J45" s="192">
        <f>SUMIFS(AS!$W:$W,AS!$AB:$AB,AS!$AA$1,AS!$AH:$AH,$Y$8,AS!$AR:$AR,Tilanne!$Y45,AS!$AW:$AW,Tilanne!$Z$6,AS!$K:$K,Tilanne!$Z$1,AS!$X:$X,Tilanne!$Z$5,AS!$AV:$AV,Tilanne!$Z$2)</f>
        <v>0</v>
      </c>
      <c r="K45" s="207">
        <f t="shared" si="24"/>
        <v>0</v>
      </c>
      <c r="L45" s="110">
        <f>SUMIFS(AS!$W:$W,AS!$AB:$AB,AS!$AA$1,AS!$AH:$AH,$Y$8,AS!$AR:$AR,Tilanne!$Y45,AS!$F:$F,$Y$7,AS!$AW:$AW,Tilanne!$Z$6,AS!$K:$K,Tilanne!$Z$1,AS!$X:$X,Tilanne!$Z$5,AS!$AV:$AV,Tilanne!$Z$2)</f>
        <v>0</v>
      </c>
      <c r="M45" s="110">
        <f>SUMIFS(AS!$W:$W,AS!$AB:$AB,AS!$AA$1,AS!$AH:$AH,$Y$8,AS!$AR:$AR,Tilanne!$Y45,AS!$F:$F,$Z$7,AS!$AW:$AW,Tilanne!$Z$6,AS!$K:$K,Tilanne!$Z$1,AS!$X:$X,Tilanne!$Z$5,AS!$AV:$AV,Tilanne!$Z$2)</f>
        <v>0</v>
      </c>
      <c r="N45" s="110">
        <f>SUMIFS(AS!$W:$W,AS!$AB:$AB,AS!$AA$1,AS!$AH:$AH,"vanha",AS!$AR:$AR,Tilanne!$Y45,AS!$AW:$AW,Tilanne!$Z$6,AS!$K:$K,Tilanne!$Z$1,AS!$X:$X,Tilanne!$Z$5,AS!$AV:$AV,Tilanne!$Z$2)</f>
        <v>0</v>
      </c>
      <c r="O45" s="186"/>
      <c r="Q45" s="189" t="s">
        <v>1261</v>
      </c>
      <c r="R45" s="193">
        <f t="shared" si="25"/>
        <v>0</v>
      </c>
      <c r="S45" s="194">
        <f t="shared" si="25"/>
        <v>0</v>
      </c>
      <c r="T45" s="193">
        <f t="shared" si="25"/>
        <v>0</v>
      </c>
      <c r="U45" s="193">
        <f t="shared" si="25"/>
        <v>0</v>
      </c>
      <c r="V45" s="193">
        <f t="shared" si="25"/>
        <v>0</v>
      </c>
      <c r="Y45" s="195" t="s">
        <v>1262</v>
      </c>
      <c r="Z45" s="177">
        <v>8</v>
      </c>
      <c r="AA45" s="198">
        <f t="shared" si="22"/>
        <v>0</v>
      </c>
    </row>
    <row r="46" spans="1:34" x14ac:dyDescent="0.25">
      <c r="A46" s="189" t="s">
        <v>539</v>
      </c>
      <c r="B46" s="110">
        <f>SUMIFS(AS!$W:$W,AS!$AB:$AB,AS!$AA$1,AS!$AH:$AH,$Y$8,AS!$AM:$AM,Tilanne!$Y46,AS!$AW:$AW,Tilanne!$Z$6,AS!$K:$K,Tilanne!$Z$1,AS!$X:$X,Tilanne!$Z$5,AS!$AV:$AV,Tilanne!$Z$2)</f>
        <v>0</v>
      </c>
      <c r="C46" s="207">
        <f t="shared" si="23"/>
        <v>0</v>
      </c>
      <c r="D46" s="110">
        <f>SUMIFS(AS!$W:$W,AS!$AB:$AB,AS!$AA$1,AS!$AH:$AH,$Y$8,AS!$AM:$AM,Tilanne!$Y46,AS!$F:$F,$Y$7,AS!$AW:$AW,Tilanne!$Z$6,AS!$K:$K,Tilanne!$Z$1,AS!$X:$X,Tilanne!$Z$5,AS!$AV:$AV,Tilanne!$Z$2)</f>
        <v>0</v>
      </c>
      <c r="E46" s="110">
        <f>SUMIFS(AS!$W:$W,AS!$AB:$AB,AS!$AA$1,AS!$AH:$AH,$Y$8,AS!$AM:$AM,Tilanne!$Y46,AS!$F:$F,$Z$7,AS!$AW:$AW,Tilanne!$Z$6,AS!$K:$K,Tilanne!$Z$1,AS!$X:$X,Tilanne!$Z$5,AS!$AV:$AV,Tilanne!$Z$2)</f>
        <v>0</v>
      </c>
      <c r="F46" s="190">
        <f>SUMIFS(AS!$W:$W,AS!$AB:$AB,AS!$AA$1,AS!$AH:$AH,$Z$8,AS!$AM:$AM,Tilanne!$Y46,AS!$AW:$AW,Tilanne!$Z$6,AS!$K:$K,Tilanne!$Z$1,AS!$X:$X,Tilanne!$Z$5,AS!$AV:$AV,Tilanne!$Z$2)</f>
        <v>0</v>
      </c>
      <c r="G46" s="186"/>
      <c r="I46" s="191" t="s">
        <v>539</v>
      </c>
      <c r="J46" s="192">
        <f>SUMIFS(AS!$W:$W,AS!$AB:$AB,AS!$AA$1,AS!$AH:$AH,$Y$8,AS!$AR:$AR,Tilanne!$Y46,AS!$AW:$AW,Tilanne!$Z$6,AS!$K:$K,Tilanne!$Z$1,AS!$X:$X,Tilanne!$Z$5,AS!$AV:$AV,Tilanne!$Z$2)</f>
        <v>0</v>
      </c>
      <c r="K46" s="207">
        <f t="shared" si="24"/>
        <v>0</v>
      </c>
      <c r="L46" s="110">
        <f>SUMIFS(AS!$W:$W,AS!$AB:$AB,AS!$AA$1,AS!$AH:$AH,$Y$8,AS!$AR:$AR,Tilanne!$Y46,AS!$F:$F,$Y$7,AS!$AW:$AW,Tilanne!$Z$6,AS!$K:$K,Tilanne!$Z$1,AS!$X:$X,Tilanne!$Z$5,AS!$AV:$AV,Tilanne!$Z$2)</f>
        <v>0</v>
      </c>
      <c r="M46" s="110">
        <f>SUMIFS(AS!$W:$W,AS!$AB:$AB,AS!$AA$1,AS!$AH:$AH,$Y$8,AS!$AR:$AR,Tilanne!$Y46,AS!$F:$F,$Z$7,AS!$AW:$AW,Tilanne!$Z$6,AS!$K:$K,Tilanne!$Z$1,AS!$X:$X,Tilanne!$Z$5,AS!$AV:$AV,Tilanne!$Z$2)</f>
        <v>0</v>
      </c>
      <c r="N46" s="110">
        <f>SUMIFS(AS!$W:$W,AS!$AB:$AB,AS!$AA$1,AS!$AH:$AH,"vanha",AS!$AR:$AR,Tilanne!$Y46,AS!$AW:$AW,Tilanne!$Z$6,AS!$K:$K,Tilanne!$Z$1,AS!$X:$X,Tilanne!$Z$5,AS!$AV:$AV,Tilanne!$Z$2)</f>
        <v>0</v>
      </c>
      <c r="O46" s="186"/>
      <c r="Q46" s="189" t="s">
        <v>539</v>
      </c>
      <c r="R46" s="193">
        <f t="shared" si="25"/>
        <v>0</v>
      </c>
      <c r="S46" s="194">
        <f t="shared" si="25"/>
        <v>0</v>
      </c>
      <c r="T46" s="193">
        <f t="shared" si="25"/>
        <v>0</v>
      </c>
      <c r="U46" s="193">
        <f t="shared" si="25"/>
        <v>0</v>
      </c>
      <c r="V46" s="193">
        <f t="shared" si="25"/>
        <v>0</v>
      </c>
      <c r="Y46" s="195" t="s">
        <v>1263</v>
      </c>
      <c r="Z46" s="177">
        <v>9</v>
      </c>
      <c r="AA46" s="198">
        <f t="shared" si="22"/>
        <v>0</v>
      </c>
    </row>
    <row r="47" spans="1:34" x14ac:dyDescent="0.25">
      <c r="A47" s="189" t="s">
        <v>1264</v>
      </c>
      <c r="B47" s="110">
        <f>SUMIFS(AS!$W:$W,AS!$AB:$AB,AS!$AA$1,AS!$AH:$AH,$Y$8,AS!$AM:$AM,Tilanne!$Y47,AS!$AW:$AW,Tilanne!$Z$6,AS!$K:$K,Tilanne!$Z$1,AS!$X:$X,Tilanne!$Z$5,AS!$AV:$AV,Tilanne!$Z$2)</f>
        <v>0</v>
      </c>
      <c r="C47" s="207">
        <f t="shared" si="23"/>
        <v>0</v>
      </c>
      <c r="D47" s="110">
        <f>SUMIFS(AS!$W:$W,AS!$AB:$AB,AS!$AA$1,AS!$AH:$AH,$Y$8,AS!$AM:$AM,Tilanne!$Y47,AS!$F:$F,$Y$7,AS!$AW:$AW,Tilanne!$Z$6,AS!$K:$K,Tilanne!$Z$1,AS!$X:$X,Tilanne!$Z$5,AS!$AV:$AV,Tilanne!$Z$2)</f>
        <v>0</v>
      </c>
      <c r="E47" s="110">
        <f>SUMIFS(AS!$W:$W,AS!$AB:$AB,AS!$AA$1,AS!$AH:$AH,$Y$8,AS!$AM:$AM,Tilanne!$Y47,AS!$F:$F,$Z$7,AS!$AW:$AW,Tilanne!$Z$6,AS!$K:$K,Tilanne!$Z$1,AS!$X:$X,Tilanne!$Z$5,AS!$AV:$AV,Tilanne!$Z$2)</f>
        <v>0</v>
      </c>
      <c r="F47" s="190">
        <f>SUMIFS(AS!$W:$W,AS!$AB:$AB,AS!$AA$1,AS!$AH:$AH,$Z$8,AS!$AM:$AM,Tilanne!$Y47,AS!$AW:$AW,Tilanne!$Z$6,AS!$K:$K,Tilanne!$Z$1,AS!$X:$X,Tilanne!$Z$5,AS!$AV:$AV,Tilanne!$Z$2)</f>
        <v>0</v>
      </c>
      <c r="G47" s="186"/>
      <c r="I47" s="191" t="s">
        <v>1264</v>
      </c>
      <c r="J47" s="192">
        <f>SUMIFS(AS!$W:$W,AS!$AB:$AB,AS!$AA$1,AS!$AH:$AH,$Y$8,AS!$AR:$AR,Tilanne!$Y47,AS!$AW:$AW,Tilanne!$Z$6,AS!$K:$K,Tilanne!$Z$1,AS!$X:$X,Tilanne!$Z$5,AS!$AV:$AV,Tilanne!$Z$2)</f>
        <v>0</v>
      </c>
      <c r="K47" s="207">
        <f t="shared" si="24"/>
        <v>0</v>
      </c>
      <c r="L47" s="110">
        <f>SUMIFS(AS!$W:$W,AS!$AB:$AB,AS!$AA$1,AS!$AH:$AH,$Y$8,AS!$AR:$AR,Tilanne!$Y47,AS!$F:$F,$Y$7,AS!$AW:$AW,Tilanne!$Z$6,AS!$K:$K,Tilanne!$Z$1,AS!$X:$X,Tilanne!$Z$5,AS!$AV:$AV,Tilanne!$Z$2)</f>
        <v>0</v>
      </c>
      <c r="M47" s="110">
        <f>SUMIFS(AS!$W:$W,AS!$AB:$AB,AS!$AA$1,AS!$AH:$AH,$Y$8,AS!$AR:$AR,Tilanne!$Y47,AS!$F:$F,$Z$7,AS!$AW:$AW,Tilanne!$Z$6,AS!$K:$K,Tilanne!$Z$1,AS!$X:$X,Tilanne!$Z$5,AS!$AV:$AV,Tilanne!$Z$2)</f>
        <v>0</v>
      </c>
      <c r="N47" s="110">
        <f>SUMIFS(AS!$W:$W,AS!$AB:$AB,AS!$AA$1,AS!$AH:$AH,"vanha",AS!$AR:$AR,Tilanne!$Y47,AS!$AW:$AW,Tilanne!$Z$6,AS!$K:$K,Tilanne!$Z$1,AS!$X:$X,Tilanne!$Z$5,AS!$AV:$AV,Tilanne!$Z$2)</f>
        <v>0</v>
      </c>
      <c r="O47" s="186"/>
      <c r="Q47" s="189" t="s">
        <v>1264</v>
      </c>
      <c r="R47" s="193">
        <f t="shared" si="25"/>
        <v>0</v>
      </c>
      <c r="S47" s="194">
        <f t="shared" si="25"/>
        <v>0</v>
      </c>
      <c r="T47" s="193">
        <f t="shared" si="25"/>
        <v>0</v>
      </c>
      <c r="U47" s="193">
        <f t="shared" si="25"/>
        <v>0</v>
      </c>
      <c r="V47" s="193">
        <f t="shared" si="25"/>
        <v>0</v>
      </c>
      <c r="Y47" s="195" t="s">
        <v>1265</v>
      </c>
      <c r="Z47" s="177">
        <v>10</v>
      </c>
      <c r="AA47" s="198">
        <f t="shared" si="22"/>
        <v>0</v>
      </c>
    </row>
    <row r="48" spans="1:34" x14ac:dyDescent="0.25">
      <c r="A48" s="189" t="s">
        <v>1266</v>
      </c>
      <c r="B48" s="110">
        <f>SUMIFS(AS!$W:$W,AS!$AB:$AB,AS!$AA$1,AS!$AH:$AH,$Y$8,AS!$AM:$AM,Tilanne!$Y48,AS!$AW:$AW,Tilanne!$Z$6,AS!$K:$K,Tilanne!$Z$1,AS!$X:$X,Tilanne!$Z$5,AS!$AV:$AV,Tilanne!$Z$2)</f>
        <v>0</v>
      </c>
      <c r="C48" s="207">
        <f t="shared" si="23"/>
        <v>0</v>
      </c>
      <c r="D48" s="110">
        <f>SUMIFS(AS!$W:$W,AS!$AB:$AB,AS!$AA$1,AS!$AH:$AH,$Y$8,AS!$AM:$AM,Tilanne!$Y48,AS!$F:$F,$Y$7,AS!$AW:$AW,Tilanne!$Z$6,AS!$K:$K,Tilanne!$Z$1,AS!$X:$X,Tilanne!$Z$5,AS!$AV:$AV,Tilanne!$Z$2)</f>
        <v>0</v>
      </c>
      <c r="E48" s="110">
        <f>SUMIFS(AS!$W:$W,AS!$AB:$AB,AS!$AA$1,AS!$AH:$AH,$Y$8,AS!$AM:$AM,Tilanne!$Y48,AS!$F:$F,$Z$7,AS!$AW:$AW,Tilanne!$Z$6,AS!$K:$K,Tilanne!$Z$1,AS!$X:$X,Tilanne!$Z$5,AS!$AV:$AV,Tilanne!$Z$2)</f>
        <v>0</v>
      </c>
      <c r="F48" s="190">
        <f>SUMIFS(AS!$W:$W,AS!$AB:$AB,AS!$AA$1,AS!$AH:$AH,$Z$8,AS!$AM:$AM,Tilanne!$Y48,AS!$AW:$AW,Tilanne!$Z$6,AS!$K:$K,Tilanne!$Z$1,AS!$X:$X,Tilanne!$Z$5,AS!$AV:$AV,Tilanne!$Z$2)</f>
        <v>0</v>
      </c>
      <c r="G48" s="186"/>
      <c r="I48" s="191" t="s">
        <v>1266</v>
      </c>
      <c r="J48" s="192">
        <f>SUMIFS(AS!$W:$W,AS!$AB:$AB,AS!$AA$1,AS!$AH:$AH,$Y$8,AS!$AR:$AR,Tilanne!$Y48,AS!$AW:$AW,Tilanne!$Z$6,AS!$K:$K,Tilanne!$Z$1,AS!$X:$X,Tilanne!$Z$5,AS!$AV:$AV,Tilanne!$Z$2)</f>
        <v>0</v>
      </c>
      <c r="K48" s="207">
        <f t="shared" si="24"/>
        <v>0</v>
      </c>
      <c r="L48" s="110">
        <f>SUMIFS(AS!$W:$W,AS!$AB:$AB,AS!$AA$1,AS!$AH:$AH,$Y$8,AS!$AR:$AR,Tilanne!$Y48,AS!$F:$F,$Y$7,AS!$AW:$AW,Tilanne!$Z$6,AS!$K:$K,Tilanne!$Z$1,AS!$X:$X,Tilanne!$Z$5,AS!$AV:$AV,Tilanne!$Z$2)</f>
        <v>0</v>
      </c>
      <c r="M48" s="110">
        <f>SUMIFS(AS!$W:$W,AS!$AB:$AB,AS!$AA$1,AS!$AH:$AH,$Y$8,AS!$AR:$AR,Tilanne!$Y48,AS!$F:$F,$Z$7,AS!$AW:$AW,Tilanne!$Z$6,AS!$K:$K,Tilanne!$Z$1,AS!$X:$X,Tilanne!$Z$5,AS!$AV:$AV,Tilanne!$Z$2)</f>
        <v>0</v>
      </c>
      <c r="N48" s="110">
        <f>SUMIFS(AS!$W:$W,AS!$AB:$AB,AS!$AA$1,AS!$AH:$AH,"vanha",AS!$AR:$AR,Tilanne!$Y48,AS!$AW:$AW,Tilanne!$Z$6,AS!$K:$K,Tilanne!$Z$1,AS!$X:$X,Tilanne!$Z$5,AS!$AV:$AV,Tilanne!$Z$2)</f>
        <v>0</v>
      </c>
      <c r="O48" s="186"/>
      <c r="Q48" s="189" t="s">
        <v>1266</v>
      </c>
      <c r="R48" s="193">
        <f t="shared" si="25"/>
        <v>0</v>
      </c>
      <c r="S48" s="194">
        <f t="shared" si="25"/>
        <v>0</v>
      </c>
      <c r="T48" s="193">
        <f t="shared" si="25"/>
        <v>0</v>
      </c>
      <c r="U48" s="193">
        <f t="shared" si="25"/>
        <v>0</v>
      </c>
      <c r="V48" s="193">
        <f t="shared" si="25"/>
        <v>0</v>
      </c>
      <c r="Y48" s="195" t="s">
        <v>1267</v>
      </c>
      <c r="Z48" s="177">
        <v>11</v>
      </c>
      <c r="AA48" s="198">
        <f t="shared" si="22"/>
        <v>0</v>
      </c>
    </row>
    <row r="49" spans="1:29" x14ac:dyDescent="0.25">
      <c r="A49" s="189" t="s">
        <v>347</v>
      </c>
      <c r="B49" s="110">
        <f>SUMIFS(AS!$W:$W,AS!$AB:$AB,AS!$AA$1,AS!$AH:$AH,$Y$8,AS!$AM:$AM,Tilanne!$Y49,AS!$AW:$AW,Tilanne!$Z$6,AS!$K:$K,Tilanne!$Z$1,AS!$X:$X,Tilanne!$Z$5,AS!$AV:$AV,Tilanne!$Z$2)</f>
        <v>0</v>
      </c>
      <c r="C49" s="207">
        <f t="shared" si="23"/>
        <v>0</v>
      </c>
      <c r="D49" s="110">
        <f>SUMIFS(AS!$W:$W,AS!$AB:$AB,AS!$AA$1,AS!$AH:$AH,$Y$8,AS!$AM:$AM,Tilanne!$Y49,AS!$F:$F,$Y$7,AS!$AW:$AW,Tilanne!$Z$6,AS!$K:$K,Tilanne!$Z$1,AS!$X:$X,Tilanne!$Z$5,AS!$AV:$AV,Tilanne!$Z$2)</f>
        <v>0</v>
      </c>
      <c r="E49" s="110">
        <f>SUMIFS(AS!$W:$W,AS!$AB:$AB,AS!$AA$1,AS!$AH:$AH,$Y$8,AS!$AM:$AM,Tilanne!$Y49,AS!$F:$F,$Z$7,AS!$AW:$AW,Tilanne!$Z$6,AS!$K:$K,Tilanne!$Z$1,AS!$X:$X,Tilanne!$Z$5,AS!$AV:$AV,Tilanne!$Z$2)</f>
        <v>0</v>
      </c>
      <c r="F49" s="190">
        <f>SUMIFS(AS!$W:$W,AS!$AB:$AB,AS!$AA$1,AS!$AH:$AH,$Z$8,AS!$AM:$AM,Tilanne!$Y49,AS!$AW:$AW,Tilanne!$Z$6,AS!$K:$K,Tilanne!$Z$1,AS!$X:$X,Tilanne!$Z$5,AS!$AV:$AV,Tilanne!$Z$2)</f>
        <v>0</v>
      </c>
      <c r="G49" s="186"/>
      <c r="I49" s="191" t="s">
        <v>347</v>
      </c>
      <c r="J49" s="192">
        <f>SUMIFS(AS!$W:$W,AS!$AB:$AB,AS!$AA$1,AS!$AH:$AH,$Y$8,AS!$AR:$AR,Tilanne!$Y49,AS!$AW:$AW,Tilanne!$Z$6,AS!$K:$K,Tilanne!$Z$1,AS!$X:$X,Tilanne!$Z$5,AS!$AV:$AV,Tilanne!$Z$2)</f>
        <v>0</v>
      </c>
      <c r="K49" s="207">
        <f t="shared" si="24"/>
        <v>0</v>
      </c>
      <c r="L49" s="110">
        <f>SUMIFS(AS!$W:$W,AS!$AB:$AB,AS!$AA$1,AS!$AH:$AH,$Y$8,AS!$AR:$AR,Tilanne!$Y49,AS!$F:$F,$Y$7,AS!$AW:$AW,Tilanne!$Z$6,AS!$K:$K,Tilanne!$Z$1,AS!$X:$X,Tilanne!$Z$5,AS!$AV:$AV,Tilanne!$Z$2)</f>
        <v>0</v>
      </c>
      <c r="M49" s="110">
        <f>SUMIFS(AS!$W:$W,AS!$AB:$AB,AS!$AA$1,AS!$AH:$AH,$Y$8,AS!$AR:$AR,Tilanne!$Y49,AS!$F:$F,$Z$7,AS!$AW:$AW,Tilanne!$Z$6,AS!$K:$K,Tilanne!$Z$1,AS!$X:$X,Tilanne!$Z$5,AS!$AV:$AV,Tilanne!$Z$2)</f>
        <v>0</v>
      </c>
      <c r="N49" s="110">
        <f>SUMIFS(AS!$W:$W,AS!$AB:$AB,AS!$AA$1,AS!$AH:$AH,"vanha",AS!$AR:$AR,Tilanne!$Y49,AS!$AW:$AW,Tilanne!$Z$6,AS!$K:$K,Tilanne!$Z$1,AS!$X:$X,Tilanne!$Z$5,AS!$AV:$AV,Tilanne!$Z$2)</f>
        <v>0</v>
      </c>
      <c r="O49" s="186"/>
      <c r="Q49" s="189" t="s">
        <v>347</v>
      </c>
      <c r="R49" s="193">
        <f t="shared" si="25"/>
        <v>0</v>
      </c>
      <c r="S49" s="194">
        <f t="shared" si="25"/>
        <v>0</v>
      </c>
      <c r="T49" s="193">
        <f t="shared" si="25"/>
        <v>0</v>
      </c>
      <c r="U49" s="193">
        <f t="shared" si="25"/>
        <v>0</v>
      </c>
      <c r="V49" s="193">
        <f t="shared" si="25"/>
        <v>0</v>
      </c>
      <c r="Y49" s="195" t="s">
        <v>1268</v>
      </c>
      <c r="Z49" s="177">
        <v>12</v>
      </c>
      <c r="AA49" s="198">
        <f t="shared" si="22"/>
        <v>0</v>
      </c>
    </row>
    <row r="50" spans="1:29" x14ac:dyDescent="0.25">
      <c r="A50" s="255" t="s">
        <v>239</v>
      </c>
      <c r="B50" s="256">
        <f>SUM(B51:B52)</f>
        <v>0</v>
      </c>
      <c r="C50" s="257">
        <f t="shared" si="23"/>
        <v>0</v>
      </c>
      <c r="D50" s="256">
        <f>SUM(D51:D52)</f>
        <v>0</v>
      </c>
      <c r="E50" s="256">
        <f>SUM(E51:E52)</f>
        <v>0</v>
      </c>
      <c r="F50" s="258">
        <f>SUM(F51:F52)</f>
        <v>0</v>
      </c>
      <c r="G50" s="186"/>
      <c r="I50" s="255" t="s">
        <v>239</v>
      </c>
      <c r="J50" s="256">
        <f>SUM(J51:J52)</f>
        <v>0</v>
      </c>
      <c r="K50" s="257">
        <f t="shared" si="24"/>
        <v>0</v>
      </c>
      <c r="L50" s="256">
        <f>SUM(L51:L52)</f>
        <v>0</v>
      </c>
      <c r="M50" s="256">
        <f>SUM(M51:M52)</f>
        <v>0</v>
      </c>
      <c r="N50" s="256">
        <f>SUM(N51:N52)</f>
        <v>0</v>
      </c>
      <c r="O50" s="186"/>
      <c r="Q50" s="255" t="s">
        <v>239</v>
      </c>
      <c r="R50" s="266">
        <f t="shared" si="25"/>
        <v>0</v>
      </c>
      <c r="S50" s="267">
        <f t="shared" si="25"/>
        <v>0</v>
      </c>
      <c r="T50" s="266">
        <f t="shared" si="25"/>
        <v>0</v>
      </c>
      <c r="U50" s="266">
        <f t="shared" si="25"/>
        <v>0</v>
      </c>
      <c r="V50" s="266">
        <f t="shared" si="25"/>
        <v>0</v>
      </c>
      <c r="Y50" s="187"/>
      <c r="Z50" s="188"/>
    </row>
    <row r="51" spans="1:29" x14ac:dyDescent="0.25">
      <c r="A51" s="199" t="s">
        <v>239</v>
      </c>
      <c r="B51" s="200">
        <f>SUMIFS(AS!$W:$W,AS!$AB:$AB,AS!$AA$1,AS!$AH:$AH,$Y$8,AS!$AM:$AM,Tilanne!$Y51,AS!$AW:$AW,Tilanne!$Z$6,AS!$K:$K,Tilanne!$Z$1,AS!$X:$X,Tilanne!$Z$5,AS!$AV:$AV,Tilanne!$Z$2)</f>
        <v>0</v>
      </c>
      <c r="C51" s="361">
        <f t="shared" si="23"/>
        <v>0</v>
      </c>
      <c r="D51" s="201">
        <f>SUMIFS(AS!$W:$W,AS!$AB:$AB,AS!$AA$1,AS!$AH:$AH,$Y$8,AS!$AM:$AM,Tilanne!$Y51,AS!$F:$F,$Y$7,AS!$AW:$AW,Tilanne!$Z$6,AS!$K:$K,Tilanne!$Z$1,AS!$X:$X,Tilanne!$Z$5,AS!$AV:$AV,Tilanne!$Z$2)</f>
        <v>0</v>
      </c>
      <c r="E51" s="201">
        <f>SUMIFS(AS!$W:$W,AS!$AB:$AB,AS!$AA$1,AS!$AH:$AH,$Y$8,AS!$AM:$AM,Tilanne!$Y51,AS!$F:$F,$Z$7,AS!$AW:$AW,Tilanne!$Z$6,AS!$K:$K,Tilanne!$Z$1,AS!$X:$X,Tilanne!$Z$5,AS!$AV:$AV,Tilanne!$Z$2)</f>
        <v>0</v>
      </c>
      <c r="F51" s="202">
        <f>SUMIFS(AS!$W:$W,AS!$AB:$AB,AS!$AA$1,AS!$AH:$AH,$Z$8,AS!$AM:$AM,Tilanne!$Y51,AS!$AW:$AW,Tilanne!$Z$6,AS!$K:$K,Tilanne!$Z$1,AS!$X:$X,Tilanne!$Z$5,AS!$AV:$AV,Tilanne!$Z$2)</f>
        <v>0</v>
      </c>
      <c r="G51" s="186"/>
      <c r="I51" s="199" t="s">
        <v>239</v>
      </c>
      <c r="J51" s="200">
        <f>SUMIFS(AS!$W:$W,AS!$AB:$AB,AS!$AA$1,AS!$AH:$AH,$Y$8,AS!$AR:$AR,Tilanne!$Y51,AS!$AW:$AW,Tilanne!$Z$6,AS!$K:$K,Tilanne!$Z$1,AS!$X:$X,Tilanne!$Z$5,AS!$AV:$AV,Tilanne!$Z$2)</f>
        <v>0</v>
      </c>
      <c r="K51" s="361">
        <f t="shared" si="24"/>
        <v>0</v>
      </c>
      <c r="L51" s="201">
        <f>SUMIFS(AS!$W:$W,AS!$AB:$AB,AS!$AA$1,AS!$AH:$AH,$Y$8,AS!$AR:$AR,Tilanne!$Y51,AS!$F:$F,$Y$7,AS!$AW:$AW,Tilanne!$Z$6,AS!$K:$K,Tilanne!$Z$1,AS!$X:$X,Tilanne!$Z$5,AS!$AV:$AV,Tilanne!$Z$2)</f>
        <v>0</v>
      </c>
      <c r="M51" s="201">
        <f>SUMIFS(AS!$W:$W,AS!$AB:$AB,AS!$AA$1,AS!$AH:$AH,$Y$8,AS!$AR:$AR,Tilanne!$Y51,AS!$F:$F,$Z$7,AS!$AW:$AW,Tilanne!$Z$6,AS!$K:$K,Tilanne!$Z$1,AS!$X:$X,Tilanne!$Z$5,AS!$AV:$AV,Tilanne!$Z$2)</f>
        <v>0</v>
      </c>
      <c r="N51" s="202">
        <f>SUMIFS(AS!$W:$W,AS!$AB:$AB,AS!$AA$1,AS!$AH:$AH,"vanha",AS!$AR:$AR,Tilanne!$Y51,AS!$AW:$AW,Tilanne!$Z$6,AS!$K:$K,Tilanne!$Z$1,AS!$X:$X,Tilanne!$Z$5,AS!$AV:$AV,Tilanne!$Z$2)</f>
        <v>0</v>
      </c>
      <c r="O51" s="186"/>
      <c r="Q51" s="189" t="s">
        <v>239</v>
      </c>
      <c r="R51" s="193">
        <f>J51-B51</f>
        <v>0</v>
      </c>
      <c r="S51" s="194">
        <f>K51-C51</f>
        <v>0</v>
      </c>
      <c r="T51" s="193">
        <f>L51-D51</f>
        <v>0</v>
      </c>
      <c r="U51" s="193">
        <f>M51-E51</f>
        <v>0</v>
      </c>
      <c r="V51" s="193">
        <f>N51-F51</f>
        <v>0</v>
      </c>
      <c r="Y51" s="195" t="s">
        <v>1269</v>
      </c>
      <c r="Z51" s="177">
        <v>13</v>
      </c>
      <c r="AA51" s="198">
        <f>LARGE($C$35:$C$51,$Z51)</f>
        <v>0</v>
      </c>
    </row>
    <row r="52" spans="1:29" x14ac:dyDescent="0.25">
      <c r="A52" s="189" t="s">
        <v>241</v>
      </c>
      <c r="B52" s="110">
        <f>SUMIFS(AS!$W:$W,AS!$AB:$AB,AS!$AA$1,AS!$AH:$AH,$Y$8,AS!$AM:$AM,"",AS!$AW:$AW,Tilanne!$Z$6,AS!$K:$K,Tilanne!$Z$1,AS!$X:$X,Tilanne!$Z$5,AS!$AV:$AV,Tilanne!$Z$2)</f>
        <v>0</v>
      </c>
      <c r="C52" s="361">
        <f t="shared" si="23"/>
        <v>0</v>
      </c>
      <c r="D52" s="110">
        <f>SUMIFS(AS!$W:$W,AS!$AB:$AB,AS!$AA$1,AS!$AH:$AH,$Y$8,AS!$AM:$AM,"",AS!$F:$F,$Y$7,AS!$AW:$AW,Tilanne!$Z$6,AS!$K:$K,Tilanne!$Z$1,AS!$X:$X,Tilanne!$Z$5,AS!$AV:$AV,Tilanne!$Z$2)</f>
        <v>0</v>
      </c>
      <c r="E52" s="110">
        <f>SUMIFS(AS!$W:$W,AS!$AB:$AB,AS!$AA$1,AS!$AH:$AH,$Y$8,AS!$AM:$AM,"",AS!$F:$F,$Z$7,AS!$AW:$AW,Tilanne!$Z$6,AS!$K:$K,Tilanne!$Z$1,AS!$X:$X,Tilanne!$Z$5,AS!$AV:$AV,Tilanne!$Z$2)</f>
        <v>0</v>
      </c>
      <c r="F52" s="190">
        <f>SUMIFS(AS!$W:$W,AS!$AB:$AB,AS!$AA$1,AS!$AH:$AH,$Z$8,AS!$AM:$AM,"",AS!$AW:$AW,Tilanne!$Z$6,AS!$K:$K,Tilanne!$Z$1,AS!$X:$X,Tilanne!$Z$5,AS!$AV:$AV,Tilanne!$Z$2)</f>
        <v>0</v>
      </c>
      <c r="G52" s="186"/>
      <c r="I52" s="191" t="s">
        <v>241</v>
      </c>
      <c r="J52" s="192">
        <f>SUMIFS(AS!$W:$W,AS!$AB:$AB,AS!$AA$1,AS!$AH:$AH,$Y$8,AS!$AR:$AR,"",AS!$AW:$AW,Tilanne!$Z$6,AS!$K:$K,Tilanne!$Z$1,AS!$X:$X,Tilanne!$Z$5,AS!$AV:$AV,Tilanne!$Z$2)</f>
        <v>0</v>
      </c>
      <c r="K52" s="361">
        <f t="shared" si="24"/>
        <v>0</v>
      </c>
      <c r="L52" s="110">
        <f>SUMIFS(AS!$W:$W,AS!$AB:$AB,AS!$AA$1,AS!$AH:$AH,$Y$8,AS!$AR:$AR,"",AS!$F:$F,$Y$7,AS!$AW:$AW,Tilanne!$Z$6,AS!$K:$K,Tilanne!$Z$1,AS!$X:$X,Tilanne!$Z$5,AS!$AV:$AV,Tilanne!$Z$2)</f>
        <v>0</v>
      </c>
      <c r="M52" s="110">
        <f>SUMIFS(AS!$W:$W,AS!$AB:$AB,AS!$AA$1,AS!$AH:$AH,$Y$8,AS!$AR:$AR,"",AS!$F:$F,$Z$7,AS!$AW:$AW,Tilanne!$Z$6,AS!$K:$K,Tilanne!$Z$1,AS!$X:$X,Tilanne!$Z$5,AS!$AV:$AV,Tilanne!$Z$2)</f>
        <v>0</v>
      </c>
      <c r="N52" s="110">
        <f>SUMIFS(AS!$W:$W,AS!$AB:$AB,AS!$AA$1,AS!$AH:$AH,"vanha",AS!$AR:$AR,"",AS!$AW:$AW,Tilanne!$Z$6,AS!$K:$K,Tilanne!$Z$1,AS!$X:$X,Tilanne!$Z$5,AS!$AV:$AV,Tilanne!$Z$2)</f>
        <v>0</v>
      </c>
      <c r="O52" s="186"/>
      <c r="Q52" s="189" t="s">
        <v>241</v>
      </c>
      <c r="R52" s="193">
        <f t="shared" ref="R52:U53" si="26">J52-B52</f>
        <v>0</v>
      </c>
      <c r="S52" s="194">
        <f t="shared" si="26"/>
        <v>0</v>
      </c>
      <c r="T52" s="193">
        <f t="shared" si="26"/>
        <v>0</v>
      </c>
      <c r="U52" s="193">
        <f t="shared" si="26"/>
        <v>0</v>
      </c>
      <c r="V52" s="193">
        <f>N52-F52</f>
        <v>0</v>
      </c>
      <c r="Y52" s="119"/>
    </row>
    <row r="53" spans="1:29" s="177" customFormat="1" x14ac:dyDescent="0.25">
      <c r="A53" s="259" t="s">
        <v>716</v>
      </c>
      <c r="B53" s="260">
        <f>SUM(B35:B50)</f>
        <v>0</v>
      </c>
      <c r="C53" s="261">
        <f>SUM(C35:C50)</f>
        <v>0</v>
      </c>
      <c r="D53" s="260">
        <f>SUM(D35:D50)</f>
        <v>0</v>
      </c>
      <c r="E53" s="260">
        <f>SUM(E35:E50)</f>
        <v>0</v>
      </c>
      <c r="F53" s="260">
        <f>SUM(F35:F50)</f>
        <v>0</v>
      </c>
      <c r="G53" s="196"/>
      <c r="H53"/>
      <c r="I53" s="262" t="s">
        <v>716</v>
      </c>
      <c r="J53" s="263">
        <f>SUM(J35:J50)</f>
        <v>0</v>
      </c>
      <c r="K53" s="261">
        <f>SUM(K35:K50)</f>
        <v>0</v>
      </c>
      <c r="L53" s="260">
        <f>SUM(L35:L50)</f>
        <v>0</v>
      </c>
      <c r="M53" s="260">
        <f>SUM(M35:M50)</f>
        <v>0</v>
      </c>
      <c r="N53" s="260">
        <f>SUM(N35:N50)</f>
        <v>0</v>
      </c>
      <c r="O53" s="196"/>
      <c r="P53"/>
      <c r="Q53" s="259" t="s">
        <v>716</v>
      </c>
      <c r="R53" s="264">
        <f t="shared" si="26"/>
        <v>0</v>
      </c>
      <c r="S53" s="265">
        <f t="shared" si="26"/>
        <v>0</v>
      </c>
      <c r="T53" s="264">
        <f t="shared" si="26"/>
        <v>0</v>
      </c>
      <c r="U53" s="264">
        <f t="shared" si="26"/>
        <v>0</v>
      </c>
      <c r="V53" s="264">
        <f>N53-F53</f>
        <v>0</v>
      </c>
    </row>
    <row r="54" spans="1:29" x14ac:dyDescent="0.25">
      <c r="A54" s="359" t="str">
        <f>$A$6&amp; "    *Uusi kysymys 2018"</f>
        <v>Kaikki    *Uusi kysymys 2018</v>
      </c>
      <c r="B54" s="71"/>
      <c r="C54" s="71"/>
      <c r="D54" s="71"/>
      <c r="I54" s="71"/>
      <c r="J54" s="71"/>
      <c r="K54" s="71"/>
      <c r="Q54" s="71"/>
      <c r="R54" s="203"/>
      <c r="S54" s="197"/>
      <c r="T54" s="101"/>
      <c r="U54" s="101"/>
      <c r="V54" s="101"/>
    </row>
    <row r="55" spans="1:29" x14ac:dyDescent="0.25">
      <c r="A55" s="179" t="str">
        <f>Y58&amp;Y10&amp;Y12</f>
        <v>Nuoren pääasiallinen asumismuoto hakuajan alussa (lähin arvo) - 01.01.2026-31.12.2026 (Kaikki kunnat, Kaikki yksiköt)</v>
      </c>
      <c r="B55" s="178"/>
      <c r="C55" s="178"/>
      <c r="D55" s="178"/>
      <c r="E55" s="177"/>
      <c r="F55" s="177"/>
      <c r="I55" s="67" t="str">
        <f>"Viimeisin nuoren pääasiallinen toiminta"&amp;Y10&amp;Y12</f>
        <v>Viimeisin nuoren pääasiallinen toiminta - 01.01.2026-31.12.2026 (Kaikki kunnat, Kaikki yksiköt)</v>
      </c>
      <c r="J55" s="178"/>
      <c r="K55" s="178"/>
      <c r="L55" s="178"/>
      <c r="M55" s="177"/>
      <c r="N55" s="177"/>
      <c r="Q55" s="67" t="str">
        <f>Z58&amp;Y10&amp;Y12</f>
        <v>Nuoren pääasiallinen toiminta - muutos - 01.01.2026-31.12.2026 (Kaikki kunnat, Kaikki yksiköt)</v>
      </c>
      <c r="R55" s="204"/>
      <c r="S55" s="180"/>
      <c r="T55" s="204"/>
    </row>
    <row r="56" spans="1:29" ht="25.5" x14ac:dyDescent="0.25">
      <c r="A56" s="1114" t="s">
        <v>1270</v>
      </c>
      <c r="B56" s="1107" t="s">
        <v>716</v>
      </c>
      <c r="C56" s="1107"/>
      <c r="D56" s="114" t="s">
        <v>961</v>
      </c>
      <c r="E56" s="254" t="s">
        <v>962</v>
      </c>
      <c r="F56" s="182" t="s">
        <v>980</v>
      </c>
      <c r="G56" s="1109" t="str">
        <f>A55&amp;" (N="&amp;B73&amp;")"</f>
        <v>Nuoren pääasiallinen asumismuoto hakuajan alussa (lähin arvo) - 01.01.2026-31.12.2026 (Kaikki kunnat, Kaikki yksiköt) (N=0)</v>
      </c>
      <c r="H56" s="183"/>
      <c r="I56" s="1115" t="s">
        <v>1270</v>
      </c>
      <c r="J56" s="1113" t="s">
        <v>716</v>
      </c>
      <c r="K56" s="1107"/>
      <c r="L56" s="114" t="s">
        <v>961</v>
      </c>
      <c r="M56" s="254" t="s">
        <v>962</v>
      </c>
      <c r="N56" s="114" t="s">
        <v>980</v>
      </c>
      <c r="O56" s="1109" t="str">
        <f>I55&amp;" (N="&amp;J73&amp;")"</f>
        <v>Viimeisin nuoren pääasiallinen toiminta - 01.01.2026-31.12.2026 (Kaikki kunnat, Kaikki yksiköt) (N=0)</v>
      </c>
      <c r="Q56" s="1114" t="s">
        <v>1270</v>
      </c>
      <c r="R56" s="1107" t="s">
        <v>716</v>
      </c>
      <c r="S56" s="1107"/>
      <c r="T56" s="114" t="s">
        <v>961</v>
      </c>
      <c r="U56" s="254" t="s">
        <v>962</v>
      </c>
      <c r="V56" s="114" t="s">
        <v>980</v>
      </c>
    </row>
    <row r="57" spans="1:29" x14ac:dyDescent="0.25">
      <c r="A57" s="1114"/>
      <c r="B57" s="114" t="s">
        <v>742</v>
      </c>
      <c r="C57" s="114" t="s">
        <v>1211</v>
      </c>
      <c r="D57" s="114" t="s">
        <v>742</v>
      </c>
      <c r="E57" s="114" t="s">
        <v>742</v>
      </c>
      <c r="F57" s="182" t="s">
        <v>742</v>
      </c>
      <c r="G57" s="1110"/>
      <c r="H57" s="183"/>
      <c r="I57" s="1116"/>
      <c r="J57" s="253" t="s">
        <v>742</v>
      </c>
      <c r="K57" s="114" t="s">
        <v>1211</v>
      </c>
      <c r="L57" s="114" t="s">
        <v>742</v>
      </c>
      <c r="M57" s="114" t="s">
        <v>742</v>
      </c>
      <c r="N57" s="114" t="s">
        <v>742</v>
      </c>
      <c r="O57" s="1110"/>
      <c r="Q57" s="1114"/>
      <c r="R57" s="114" t="s">
        <v>742</v>
      </c>
      <c r="S57" s="185" t="s">
        <v>1211</v>
      </c>
      <c r="T57" s="114" t="s">
        <v>742</v>
      </c>
      <c r="U57" s="114" t="s">
        <v>742</v>
      </c>
      <c r="V57" s="114" t="s">
        <v>742</v>
      </c>
    </row>
    <row r="58" spans="1:29" x14ac:dyDescent="0.25">
      <c r="A58" s="255" t="s">
        <v>1270</v>
      </c>
      <c r="B58" s="256">
        <f>SUM(B59:B69)</f>
        <v>0</v>
      </c>
      <c r="C58" s="257">
        <f>IFERROR(B58/B$73,0)</f>
        <v>0</v>
      </c>
      <c r="D58" s="256">
        <f>SUM(D59:D69)</f>
        <v>0</v>
      </c>
      <c r="E58" s="256">
        <f>SUM(E59:E69)</f>
        <v>0</v>
      </c>
      <c r="F58" s="258">
        <f>SUM(F59:F69)</f>
        <v>0</v>
      </c>
      <c r="G58" s="186"/>
      <c r="I58" s="255" t="s">
        <v>1270</v>
      </c>
      <c r="J58" s="256">
        <f>SUM(J59:J69)</f>
        <v>0</v>
      </c>
      <c r="K58" s="257">
        <f>IFERROR(J58/J$73,0)</f>
        <v>0</v>
      </c>
      <c r="L58" s="256">
        <f>SUM(L59:L69)</f>
        <v>0</v>
      </c>
      <c r="M58" s="256">
        <f>SUM(M59:M69)</f>
        <v>0</v>
      </c>
      <c r="N58" s="256">
        <f>SUM(N59:N69)</f>
        <v>0</v>
      </c>
      <c r="O58" s="186"/>
      <c r="Q58" s="255" t="s">
        <v>1270</v>
      </c>
      <c r="R58" s="266">
        <f t="shared" ref="R58:V73" si="27">J58-B58</f>
        <v>0</v>
      </c>
      <c r="S58" s="267">
        <f t="shared" si="27"/>
        <v>0</v>
      </c>
      <c r="T58" s="266">
        <f t="shared" si="27"/>
        <v>0</v>
      </c>
      <c r="U58" s="266">
        <f t="shared" si="27"/>
        <v>0</v>
      </c>
      <c r="V58" s="266">
        <f t="shared" si="27"/>
        <v>0</v>
      </c>
      <c r="Y58" s="875" t="s">
        <v>1271</v>
      </c>
      <c r="Z58" s="188" t="s">
        <v>1213</v>
      </c>
      <c r="AB58" s="176"/>
      <c r="AC58" s="169"/>
    </row>
    <row r="59" spans="1:29" x14ac:dyDescent="0.25">
      <c r="A59" s="189" t="s">
        <v>1272</v>
      </c>
      <c r="B59" s="110">
        <f>SUMIFS(AS!$W:$W,AS!$AB:$AB,AS!$AA$1,AS!$AH:$AH,$Y$8,AS!$AN:$AN,Tilanne!$Y59,AS!$AW:$AW,Tilanne!$Z$6,AS!$K:$K,Tilanne!$Z$1,AS!$X:$X,Tilanne!$Z$5,AS!$AV:$AV,Tilanne!$Z$2)</f>
        <v>0</v>
      </c>
      <c r="C59" s="207">
        <f>IFERROR(B59/B$73,0)</f>
        <v>0</v>
      </c>
      <c r="D59" s="110">
        <f>SUMIFS(AS!$W:$W,AS!$AB:$AB,AS!$AA$1,AS!$AH:$AH,$Y$8,AS!$AN:$AN,Tilanne!$Y59,AS!$F:$F,$Y$7,AS!$AW:$AW,Tilanne!$Z$6,AS!$K:$K,Tilanne!$Z$1,AS!$X:$X,Tilanne!$Z$5,AS!$AV:$AV,Tilanne!$Z$2)</f>
        <v>0</v>
      </c>
      <c r="E59" s="110">
        <f>SUMIFS(AS!$W:$W,AS!$AB:$AB,AS!$AA$1,AS!$AH:$AH,$Y$8,AS!$AN:$AN,Tilanne!$Y59,AS!$F:$F,$Z$7,AS!$AW:$AW,Tilanne!$Z$6,AS!$K:$K,Tilanne!$Z$1,AS!$X:$X,Tilanne!$Z$5,AS!$AV:$AV,Tilanne!$Z$2)</f>
        <v>0</v>
      </c>
      <c r="F59" s="190">
        <f>SUMIFS(AS!$W:$W,AS!$AB:$AB,AS!$AA$1,AS!$AH:$AH,$Z$8,AS!$AN:$AN,Tilanne!$Y59,AS!$AW:$AW,Tilanne!$Z$6,AS!$K:$K,Tilanne!$Z$1,AS!$X:$X,Tilanne!$Z$5,AS!$AV:$AV,Tilanne!$Z$2)</f>
        <v>0</v>
      </c>
      <c r="G59" s="186"/>
      <c r="I59" s="191" t="s">
        <v>1272</v>
      </c>
      <c r="J59" s="192">
        <f>SUMIFS(AS!$W:$W,AS!$AB:$AB,AS!$AA$1,AS!$AH:$AH,$Y$8,AS!$AS:$AS,Tilanne!$Y59,AS!$AW:$AW,Tilanne!$Z$6,AS!$K:$K,Tilanne!$Z$1,AS!$X:$X,Tilanne!$Z$5,AS!$AV:$AV,Tilanne!$Z$2)</f>
        <v>0</v>
      </c>
      <c r="K59" s="207">
        <f>IFERROR(J59/J$73,0)</f>
        <v>0</v>
      </c>
      <c r="L59" s="110">
        <f>SUMIFS(AS!$W:$W,AS!$AB:$AB,AS!$AA$1,AS!$AH:$AH,$Y$8,AS!$AS:$AS,Tilanne!$Y59,AS!$F:$F,$Y$7,AS!$AW:$AW,Tilanne!$Z$6,AS!$K:$K,Tilanne!$Z$1,AS!$X:$X,Tilanne!$Z$5,AS!$AV:$AV,Tilanne!$Z$2)</f>
        <v>0</v>
      </c>
      <c r="M59" s="110">
        <f>SUMIFS(AS!$W:$W,AS!$AB:$AB,AS!$AA$1,AS!$AH:$AH,$Y$8,AS!$AS:$AS,Tilanne!$Y59,AS!$F:$F,$Z$7,AS!$AW:$AW,Tilanne!$Z$6,AS!$K:$K,Tilanne!$Z$1,AS!$X:$X,Tilanne!$Z$5,AS!$AV:$AV,Tilanne!$Z$2)</f>
        <v>0</v>
      </c>
      <c r="N59" s="110">
        <f>SUMIFS(AS!$W:$W,AS!$AB:$AB,AS!$AA$1,AS!$AH:$AH,"vanha",AS!$AS:$AS,Tilanne!$Y59,AS!$AW:$AW,Tilanne!$Z$6,AS!$K:$K,Tilanne!$Z$1,AS!$X:$X,Tilanne!$Z$5,AS!$AV:$AV,Tilanne!$Z$2)</f>
        <v>0</v>
      </c>
      <c r="O59" s="186"/>
      <c r="Q59" s="189" t="s">
        <v>1272</v>
      </c>
      <c r="R59" s="193">
        <f t="shared" si="27"/>
        <v>0</v>
      </c>
      <c r="S59" s="194">
        <f t="shared" si="27"/>
        <v>0</v>
      </c>
      <c r="T59" s="193">
        <f t="shared" si="27"/>
        <v>0</v>
      </c>
      <c r="U59" s="193">
        <f t="shared" si="27"/>
        <v>0</v>
      </c>
      <c r="V59" s="193">
        <f t="shared" si="27"/>
        <v>0</v>
      </c>
      <c r="Y59" s="195" t="s">
        <v>1273</v>
      </c>
    </row>
    <row r="60" spans="1:29" x14ac:dyDescent="0.25">
      <c r="A60" s="189" t="s">
        <v>1274</v>
      </c>
      <c r="B60" s="110">
        <f>SUMIFS(AS!$W:$W,AS!$AB:$AB,AS!$AA$1,AS!$AH:$AH,$Y$8,AS!$AN:$AN,Tilanne!$Y60,AS!$AW:$AW,Tilanne!$Z$6,AS!$K:$K,Tilanne!$Z$1,AS!$X:$X,Tilanne!$Z$5,AS!$AV:$AV,Tilanne!$Z$2)</f>
        <v>0</v>
      </c>
      <c r="C60" s="207">
        <f t="shared" ref="C60:C69" si="28">IFERROR(B60/B$73,0)</f>
        <v>0</v>
      </c>
      <c r="D60" s="110">
        <f>SUMIFS(AS!$W:$W,AS!$AB:$AB,AS!$AA$1,AS!$AH:$AH,$Y$8,AS!$AN:$AN,Tilanne!$Y60,AS!$F:$F,$Y$7,AS!$AW:$AW,Tilanne!$Z$6,AS!$K:$K,Tilanne!$Z$1,AS!$X:$X,Tilanne!$Z$5,AS!$AV:$AV,Tilanne!$Z$2)</f>
        <v>0</v>
      </c>
      <c r="E60" s="110">
        <f>SUMIFS(AS!$W:$W,AS!$AB:$AB,AS!$AA$1,AS!$AH:$AH,$Y$8,AS!$AN:$AN,Tilanne!$Y60,AS!$F:$F,$Z$7,AS!$AW:$AW,Tilanne!$Z$6,AS!$K:$K,Tilanne!$Z$1,AS!$X:$X,Tilanne!$Z$5,AS!$AV:$AV,Tilanne!$Z$2)</f>
        <v>0</v>
      </c>
      <c r="F60" s="190">
        <f>SUMIFS(AS!$W:$W,AS!$AB:$AB,AS!$AA$1,AS!$AH:$AH,$Z$8,AS!$AN:$AN,Tilanne!$Y60,AS!$AW:$AW,Tilanne!$Z$6,AS!$K:$K,Tilanne!$Z$1,AS!$X:$X,Tilanne!$Z$5,AS!$AV:$AV,Tilanne!$Z$2)</f>
        <v>0</v>
      </c>
      <c r="G60" s="186"/>
      <c r="I60" s="191" t="s">
        <v>1274</v>
      </c>
      <c r="J60" s="192">
        <f>SUMIFS(AS!$W:$W,AS!$AB:$AB,AS!$AA$1,AS!$AH:$AH,$Y$8,AS!$AS:$AS,Tilanne!$Y60,AS!$AW:$AW,Tilanne!$Z$6,AS!$K:$K,Tilanne!$Z$1,AS!$X:$X,Tilanne!$Z$5,AS!$AV:$AV,Tilanne!$Z$2)</f>
        <v>0</v>
      </c>
      <c r="K60" s="207">
        <f t="shared" ref="K60:K69" si="29">IFERROR(J60/J$73,0)</f>
        <v>0</v>
      </c>
      <c r="L60" s="110">
        <f>SUMIFS(AS!$W:$W,AS!$AB:$AB,AS!$AA$1,AS!$AH:$AH,$Y$8,AS!$AS:$AS,Tilanne!$Y60,AS!$F:$F,$Y$7,AS!$AW:$AW,Tilanne!$Z$6,AS!$K:$K,Tilanne!$Z$1,AS!$X:$X,Tilanne!$Z$5,AS!$AV:$AV,Tilanne!$Z$2)</f>
        <v>0</v>
      </c>
      <c r="M60" s="110">
        <f>SUMIFS(AS!$W:$W,AS!$AB:$AB,AS!$AA$1,AS!$AH:$AH,$Y$8,AS!$AS:$AS,Tilanne!$Y60,AS!$F:$F,$Z$7,AS!$AW:$AW,Tilanne!$Z$6,AS!$K:$K,Tilanne!$Z$1,AS!$X:$X,Tilanne!$Z$5,AS!$AV:$AV,Tilanne!$Z$2)</f>
        <v>0</v>
      </c>
      <c r="N60" s="110">
        <f>SUMIFS(AS!$W:$W,AS!$AB:$AB,AS!$AA$1,AS!$AH:$AH,"vanha",AS!$AS:$AS,Tilanne!$Y60,AS!$AW:$AW,Tilanne!$Z$6,AS!$K:$K,Tilanne!$Z$1,AS!$X:$X,Tilanne!$Z$5,AS!$AV:$AV,Tilanne!$Z$2)</f>
        <v>0</v>
      </c>
      <c r="O60" s="186"/>
      <c r="Q60" s="189" t="s">
        <v>1274</v>
      </c>
      <c r="R60" s="193">
        <f t="shared" si="27"/>
        <v>0</v>
      </c>
      <c r="S60" s="194">
        <f t="shared" si="27"/>
        <v>0</v>
      </c>
      <c r="T60" s="193">
        <f t="shared" si="27"/>
        <v>0</v>
      </c>
      <c r="U60" s="193">
        <f t="shared" si="27"/>
        <v>0</v>
      </c>
      <c r="V60" s="193">
        <f t="shared" si="27"/>
        <v>0</v>
      </c>
      <c r="Y60" s="195" t="s">
        <v>1275</v>
      </c>
    </row>
    <row r="61" spans="1:29" x14ac:dyDescent="0.25">
      <c r="A61" s="189" t="s">
        <v>1276</v>
      </c>
      <c r="B61" s="110">
        <f>SUMIFS(AS!$W:$W,AS!$AB:$AB,AS!$AA$1,AS!$AH:$AH,$Y$8,AS!$AN:$AN,Tilanne!$Y61,AS!$AW:$AW,Tilanne!$Z$6,AS!$K:$K,Tilanne!$Z$1,AS!$X:$X,Tilanne!$Z$5,AS!$AV:$AV,Tilanne!$Z$2)</f>
        <v>0</v>
      </c>
      <c r="C61" s="207">
        <f t="shared" si="28"/>
        <v>0</v>
      </c>
      <c r="D61" s="110">
        <f>SUMIFS(AS!$W:$W,AS!$AB:$AB,AS!$AA$1,AS!$AH:$AH,$Y$8,AS!$AN:$AN,Tilanne!$Y61,AS!$F:$F,$Y$7,AS!$AW:$AW,Tilanne!$Z$6,AS!$K:$K,Tilanne!$Z$1,AS!$X:$X,Tilanne!$Z$5,AS!$AV:$AV,Tilanne!$Z$2)</f>
        <v>0</v>
      </c>
      <c r="E61" s="110">
        <f>SUMIFS(AS!$W:$W,AS!$AB:$AB,AS!$AA$1,AS!$AH:$AH,$Y$8,AS!$AN:$AN,Tilanne!$Y61,AS!$F:$F,$Z$7,AS!$AW:$AW,Tilanne!$Z$6,AS!$K:$K,Tilanne!$Z$1,AS!$X:$X,Tilanne!$Z$5,AS!$AV:$AV,Tilanne!$Z$2)</f>
        <v>0</v>
      </c>
      <c r="F61" s="190">
        <f>SUMIFS(AS!$W:$W,AS!$AB:$AB,AS!$AA$1,AS!$AH:$AH,$Z$8,AS!$AN:$AN,Tilanne!$Y61,AS!$AW:$AW,Tilanne!$Z$6,AS!$K:$K,Tilanne!$Z$1,AS!$X:$X,Tilanne!$Z$5,AS!$AV:$AV,Tilanne!$Z$2)</f>
        <v>0</v>
      </c>
      <c r="G61" s="186"/>
      <c r="I61" s="191" t="s">
        <v>1276</v>
      </c>
      <c r="J61" s="192">
        <f>SUMIFS(AS!$W:$W,AS!$AB:$AB,AS!$AA$1,AS!$AH:$AH,$Y$8,AS!$AS:$AS,Tilanne!$Y61,AS!$AW:$AW,Tilanne!$Z$6,AS!$K:$K,Tilanne!$Z$1,AS!$X:$X,Tilanne!$Z$5,AS!$AV:$AV,Tilanne!$Z$2)</f>
        <v>0</v>
      </c>
      <c r="K61" s="207">
        <f t="shared" si="29"/>
        <v>0</v>
      </c>
      <c r="L61" s="110">
        <f>SUMIFS(AS!$W:$W,AS!$AB:$AB,AS!$AA$1,AS!$AH:$AH,$Y$8,AS!$AS:$AS,Tilanne!$Y61,AS!$F:$F,$Y$7,AS!$AW:$AW,Tilanne!$Z$6,AS!$K:$K,Tilanne!$Z$1,AS!$X:$X,Tilanne!$Z$5,AS!$AV:$AV,Tilanne!$Z$2)</f>
        <v>0</v>
      </c>
      <c r="M61" s="110">
        <f>SUMIFS(AS!$W:$W,AS!$AB:$AB,AS!$AA$1,AS!$AH:$AH,$Y$8,AS!$AS:$AS,Tilanne!$Y61,AS!$F:$F,$Z$7,AS!$AW:$AW,Tilanne!$Z$6,AS!$K:$K,Tilanne!$Z$1,AS!$X:$X,Tilanne!$Z$5,AS!$AV:$AV,Tilanne!$Z$2)</f>
        <v>0</v>
      </c>
      <c r="N61" s="110">
        <f>SUMIFS(AS!$W:$W,AS!$AB:$AB,AS!$AA$1,AS!$AH:$AH,"vanha",AS!$AS:$AS,Tilanne!$Y61,AS!$AW:$AW,Tilanne!$Z$6,AS!$K:$K,Tilanne!$Z$1,AS!$X:$X,Tilanne!$Z$5,AS!$AV:$AV,Tilanne!$Z$2)</f>
        <v>0</v>
      </c>
      <c r="O61" s="186"/>
      <c r="Q61" s="189" t="s">
        <v>1276</v>
      </c>
      <c r="R61" s="193">
        <f t="shared" si="27"/>
        <v>0</v>
      </c>
      <c r="S61" s="194">
        <f t="shared" si="27"/>
        <v>0</v>
      </c>
      <c r="T61" s="193">
        <f t="shared" si="27"/>
        <v>0</v>
      </c>
      <c r="U61" s="193">
        <f t="shared" si="27"/>
        <v>0</v>
      </c>
      <c r="V61" s="193">
        <f t="shared" si="27"/>
        <v>0</v>
      </c>
      <c r="Y61" s="195" t="s">
        <v>1277</v>
      </c>
    </row>
    <row r="62" spans="1:29" x14ac:dyDescent="0.25">
      <c r="A62" s="189" t="s">
        <v>1278</v>
      </c>
      <c r="B62" s="110">
        <f>SUMIFS(AS!$W:$W,AS!$AB:$AB,AS!$AA$1,AS!$AH:$AH,$Y$8,AS!$AN:$AN,Tilanne!$Y62,AS!$AW:$AW,Tilanne!$Z$6,AS!$K:$K,Tilanne!$Z$1,AS!$X:$X,Tilanne!$Z$5,AS!$AV:$AV,Tilanne!$Z$2)</f>
        <v>0</v>
      </c>
      <c r="C62" s="207">
        <f t="shared" si="28"/>
        <v>0</v>
      </c>
      <c r="D62" s="110">
        <f>SUMIFS(AS!$W:$W,AS!$AB:$AB,AS!$AA$1,AS!$AH:$AH,$Y$8,AS!$AN:$AN,Tilanne!$Y62,AS!$F:$F,$Y$7,AS!$AW:$AW,Tilanne!$Z$6,AS!$K:$K,Tilanne!$Z$1,AS!$X:$X,Tilanne!$Z$5,AS!$AV:$AV,Tilanne!$Z$2)</f>
        <v>0</v>
      </c>
      <c r="E62" s="110">
        <f>SUMIFS(AS!$W:$W,AS!$AB:$AB,AS!$AA$1,AS!$AH:$AH,$Y$8,AS!$AN:$AN,Tilanne!$Y62,AS!$F:$F,$Z$7,AS!$AW:$AW,Tilanne!$Z$6,AS!$K:$K,Tilanne!$Z$1,AS!$X:$X,Tilanne!$Z$5,AS!$AV:$AV,Tilanne!$Z$2)</f>
        <v>0</v>
      </c>
      <c r="F62" s="190">
        <f>SUMIFS(AS!$W:$W,AS!$AB:$AB,AS!$AA$1,AS!$AH:$AH,$Z$8,AS!$AN:$AN,Tilanne!$Y62,AS!$AW:$AW,Tilanne!$Z$6,AS!$K:$K,Tilanne!$Z$1,AS!$X:$X,Tilanne!$Z$5,AS!$AV:$AV,Tilanne!$Z$2)</f>
        <v>0</v>
      </c>
      <c r="G62" s="186"/>
      <c r="I62" s="191" t="s">
        <v>1278</v>
      </c>
      <c r="J62" s="192">
        <f>SUMIFS(AS!$W:$W,AS!$AB:$AB,AS!$AA$1,AS!$AH:$AH,$Y$8,AS!$AS:$AS,Tilanne!$Y62,AS!$AW:$AW,Tilanne!$Z$6,AS!$K:$K,Tilanne!$Z$1,AS!$X:$X,Tilanne!$Z$5,AS!$AV:$AV,Tilanne!$Z$2)</f>
        <v>0</v>
      </c>
      <c r="K62" s="207">
        <f t="shared" si="29"/>
        <v>0</v>
      </c>
      <c r="L62" s="110">
        <f>SUMIFS(AS!$W:$W,AS!$AB:$AB,AS!$AA$1,AS!$AH:$AH,$Y$8,AS!$AS:$AS,Tilanne!$Y62,AS!$F:$F,$Y$7,AS!$AW:$AW,Tilanne!$Z$6,AS!$K:$K,Tilanne!$Z$1,AS!$X:$X,Tilanne!$Z$5,AS!$AV:$AV,Tilanne!$Z$2)</f>
        <v>0</v>
      </c>
      <c r="M62" s="110">
        <f>SUMIFS(AS!$W:$W,AS!$AB:$AB,AS!$AA$1,AS!$AH:$AH,$Y$8,AS!$AS:$AS,Tilanne!$Y62,AS!$F:$F,$Z$7,AS!$AW:$AW,Tilanne!$Z$6,AS!$K:$K,Tilanne!$Z$1,AS!$X:$X,Tilanne!$Z$5,AS!$AV:$AV,Tilanne!$Z$2)</f>
        <v>0</v>
      </c>
      <c r="N62" s="110">
        <f>SUMIFS(AS!$W:$W,AS!$AB:$AB,AS!$AA$1,AS!$AH:$AH,"vanha",AS!$AS:$AS,Tilanne!$Y62,AS!$AW:$AW,Tilanne!$Z$6,AS!$K:$K,Tilanne!$Z$1,AS!$X:$X,Tilanne!$Z$5,AS!$AV:$AV,Tilanne!$Z$2)</f>
        <v>0</v>
      </c>
      <c r="O62" s="186"/>
      <c r="Q62" s="189" t="s">
        <v>1278</v>
      </c>
      <c r="R62" s="193">
        <f t="shared" si="27"/>
        <v>0</v>
      </c>
      <c r="S62" s="194">
        <f t="shared" si="27"/>
        <v>0</v>
      </c>
      <c r="T62" s="193">
        <f t="shared" si="27"/>
        <v>0</v>
      </c>
      <c r="U62" s="193">
        <f t="shared" si="27"/>
        <v>0</v>
      </c>
      <c r="V62" s="193">
        <f t="shared" si="27"/>
        <v>0</v>
      </c>
      <c r="Y62" s="195" t="s">
        <v>1279</v>
      </c>
    </row>
    <row r="63" spans="1:29" x14ac:dyDescent="0.25">
      <c r="A63" s="189" t="s">
        <v>1280</v>
      </c>
      <c r="B63" s="110">
        <f>SUMIFS(AS!$W:$W,AS!$AB:$AB,AS!$AA$1,AS!$AH:$AH,$Y$8,AS!$AN:$AN,Tilanne!$Y63,AS!$AW:$AW,Tilanne!$Z$6,AS!$K:$K,Tilanne!$Z$1,AS!$X:$X,Tilanne!$Z$5,AS!$AV:$AV,Tilanne!$Z$2)</f>
        <v>0</v>
      </c>
      <c r="C63" s="207">
        <f t="shared" si="28"/>
        <v>0</v>
      </c>
      <c r="D63" s="110">
        <f>SUMIFS(AS!$W:$W,AS!$AB:$AB,AS!$AA$1,AS!$AH:$AH,$Y$8,AS!$AN:$AN,Tilanne!$Y63,AS!$F:$F,$Y$7,AS!$AW:$AW,Tilanne!$Z$6,AS!$K:$K,Tilanne!$Z$1,AS!$X:$X,Tilanne!$Z$5,AS!$AV:$AV,Tilanne!$Z$2)</f>
        <v>0</v>
      </c>
      <c r="E63" s="110">
        <f>SUMIFS(AS!$W:$W,AS!$AB:$AB,AS!$AA$1,AS!$AH:$AH,$Y$8,AS!$AN:$AN,Tilanne!$Y63,AS!$F:$F,$Z$7,AS!$AW:$AW,Tilanne!$Z$6,AS!$K:$K,Tilanne!$Z$1,AS!$X:$X,Tilanne!$Z$5,AS!$AV:$AV,Tilanne!$Z$2)</f>
        <v>0</v>
      </c>
      <c r="F63" s="190">
        <f>SUMIFS(AS!$W:$W,AS!$AB:$AB,AS!$AA$1,AS!$AH:$AH,$Z$8,AS!$AN:$AN,Tilanne!$Y63,AS!$AW:$AW,Tilanne!$Z$6,AS!$K:$K,Tilanne!$Z$1,AS!$X:$X,Tilanne!$Z$5,AS!$AV:$AV,Tilanne!$Z$2)</f>
        <v>0</v>
      </c>
      <c r="G63" s="186"/>
      <c r="I63" s="191" t="s">
        <v>1280</v>
      </c>
      <c r="J63" s="192">
        <f>SUMIFS(AS!$W:$W,AS!$AB:$AB,AS!$AA$1,AS!$AH:$AH,$Y$8,AS!$AS:$AS,Tilanne!$Y63,AS!$AW:$AW,Tilanne!$Z$6,AS!$K:$K,Tilanne!$Z$1,AS!$X:$X,Tilanne!$Z$5,AS!$AV:$AV,Tilanne!$Z$2)</f>
        <v>0</v>
      </c>
      <c r="K63" s="207">
        <f t="shared" si="29"/>
        <v>0</v>
      </c>
      <c r="L63" s="110">
        <f>SUMIFS(AS!$W:$W,AS!$AB:$AB,AS!$AA$1,AS!$AH:$AH,$Y$8,AS!$AS:$AS,Tilanne!$Y63,AS!$F:$F,$Y$7,AS!$AW:$AW,Tilanne!$Z$6,AS!$K:$K,Tilanne!$Z$1,AS!$X:$X,Tilanne!$Z$5,AS!$AV:$AV,Tilanne!$Z$2)</f>
        <v>0</v>
      </c>
      <c r="M63" s="110">
        <f>SUMIFS(AS!$W:$W,AS!$AB:$AB,AS!$AA$1,AS!$AH:$AH,$Y$8,AS!$AS:$AS,Tilanne!$Y63,AS!$F:$F,$Z$7,AS!$AW:$AW,Tilanne!$Z$6,AS!$K:$K,Tilanne!$Z$1,AS!$X:$X,Tilanne!$Z$5,AS!$AV:$AV,Tilanne!$Z$2)</f>
        <v>0</v>
      </c>
      <c r="N63" s="110">
        <f>SUMIFS(AS!$W:$W,AS!$AB:$AB,AS!$AA$1,AS!$AH:$AH,"vanha",AS!$AS:$AS,Tilanne!$Y63,AS!$AW:$AW,Tilanne!$Z$6,AS!$K:$K,Tilanne!$Z$1,AS!$X:$X,Tilanne!$Z$5,AS!$AV:$AV,Tilanne!$Z$2)</f>
        <v>0</v>
      </c>
      <c r="O63" s="186"/>
      <c r="Q63" s="189" t="s">
        <v>1280</v>
      </c>
      <c r="R63" s="193">
        <f t="shared" si="27"/>
        <v>0</v>
      </c>
      <c r="S63" s="194">
        <f t="shared" si="27"/>
        <v>0</v>
      </c>
      <c r="T63" s="193">
        <f t="shared" si="27"/>
        <v>0</v>
      </c>
      <c r="U63" s="193">
        <f t="shared" si="27"/>
        <v>0</v>
      </c>
      <c r="V63" s="193">
        <f t="shared" si="27"/>
        <v>0</v>
      </c>
      <c r="Y63" s="195" t="s">
        <v>1281</v>
      </c>
    </row>
    <row r="64" spans="1:29" x14ac:dyDescent="0.25">
      <c r="A64" s="189" t="s">
        <v>1282</v>
      </c>
      <c r="B64" s="110">
        <f>SUMIFS(AS!$W:$W,AS!$AB:$AB,AS!$AA$1,AS!$AH:$AH,$Y$8,AS!$AN:$AN,Tilanne!$Y64,AS!$AW:$AW,Tilanne!$Z$6,AS!$K:$K,Tilanne!$Z$1,AS!$X:$X,Tilanne!$Z$5,AS!$AV:$AV,Tilanne!$Z$2)</f>
        <v>0</v>
      </c>
      <c r="C64" s="207">
        <f t="shared" si="28"/>
        <v>0</v>
      </c>
      <c r="D64" s="110">
        <f>SUMIFS(AS!$W:$W,AS!$AB:$AB,AS!$AA$1,AS!$AH:$AH,$Y$8,AS!$AN:$AN,Tilanne!$Y64,AS!$F:$F,$Y$7,AS!$AW:$AW,Tilanne!$Z$6,AS!$K:$K,Tilanne!$Z$1,AS!$X:$X,Tilanne!$Z$5,AS!$AV:$AV,Tilanne!$Z$2)</f>
        <v>0</v>
      </c>
      <c r="E64" s="110">
        <f>SUMIFS(AS!$W:$W,AS!$AB:$AB,AS!$AA$1,AS!$AH:$AH,$Y$8,AS!$AN:$AN,Tilanne!$Y64,AS!$F:$F,$Z$7,AS!$AW:$AW,Tilanne!$Z$6,AS!$K:$K,Tilanne!$Z$1,AS!$X:$X,Tilanne!$Z$5,AS!$AV:$AV,Tilanne!$Z$2)</f>
        <v>0</v>
      </c>
      <c r="F64" s="190">
        <f>SUMIFS(AS!$W:$W,AS!$AB:$AB,AS!$AA$1,AS!$AH:$AH,$Z$8,AS!$AN:$AN,Tilanne!$Y64,AS!$AW:$AW,Tilanne!$Z$6,AS!$K:$K,Tilanne!$Z$1,AS!$X:$X,Tilanne!$Z$5,AS!$AV:$AV,Tilanne!$Z$2)</f>
        <v>0</v>
      </c>
      <c r="G64" s="186"/>
      <c r="I64" s="191" t="s">
        <v>1282</v>
      </c>
      <c r="J64" s="192">
        <f>SUMIFS(AS!$W:$W,AS!$AB:$AB,AS!$AA$1,AS!$AH:$AH,$Y$8,AS!$AS:$AS,Tilanne!$Y64,AS!$AW:$AW,Tilanne!$Z$6,AS!$K:$K,Tilanne!$Z$1,AS!$X:$X,Tilanne!$Z$5,AS!$AV:$AV,Tilanne!$Z$2)</f>
        <v>0</v>
      </c>
      <c r="K64" s="207">
        <f t="shared" si="29"/>
        <v>0</v>
      </c>
      <c r="L64" s="110">
        <f>SUMIFS(AS!$W:$W,AS!$AB:$AB,AS!$AA$1,AS!$AH:$AH,$Y$8,AS!$AS:$AS,Tilanne!$Y64,AS!$F:$F,$Y$7,AS!$AW:$AW,Tilanne!$Z$6,AS!$K:$K,Tilanne!$Z$1,AS!$X:$X,Tilanne!$Z$5,AS!$AV:$AV,Tilanne!$Z$2)</f>
        <v>0</v>
      </c>
      <c r="M64" s="110">
        <f>SUMIFS(AS!$W:$W,AS!$AB:$AB,AS!$AA$1,AS!$AH:$AH,$Y$8,AS!$AS:$AS,Tilanne!$Y64,AS!$F:$F,$Z$7,AS!$AW:$AW,Tilanne!$Z$6,AS!$K:$K,Tilanne!$Z$1,AS!$X:$X,Tilanne!$Z$5,AS!$AV:$AV,Tilanne!$Z$2)</f>
        <v>0</v>
      </c>
      <c r="N64" s="110">
        <f>SUMIFS(AS!$W:$W,AS!$AB:$AB,AS!$AA$1,AS!$AH:$AH,"vanha",AS!$AS:$AS,Tilanne!$Y64,AS!$AW:$AW,Tilanne!$Z$6,AS!$K:$K,Tilanne!$Z$1,AS!$X:$X,Tilanne!$Z$5,AS!$AV:$AV,Tilanne!$Z$2)</f>
        <v>0</v>
      </c>
      <c r="O64" s="186"/>
      <c r="Q64" s="189" t="s">
        <v>1282</v>
      </c>
      <c r="R64" s="193">
        <f t="shared" si="27"/>
        <v>0</v>
      </c>
      <c r="S64" s="194">
        <f t="shared" si="27"/>
        <v>0</v>
      </c>
      <c r="T64" s="193">
        <f t="shared" si="27"/>
        <v>0</v>
      </c>
      <c r="U64" s="193">
        <f t="shared" si="27"/>
        <v>0</v>
      </c>
      <c r="V64" s="193">
        <f t="shared" si="27"/>
        <v>0</v>
      </c>
      <c r="Y64" s="195" t="s">
        <v>1283</v>
      </c>
    </row>
    <row r="65" spans="1:29" x14ac:dyDescent="0.25">
      <c r="A65" s="189" t="s">
        <v>1284</v>
      </c>
      <c r="B65" s="110">
        <f>SUMIFS(AS!$W:$W,AS!$AB:$AB,AS!$AA$1,AS!$AH:$AH,$Y$8,AS!$AN:$AN,Tilanne!$Y65,AS!$AW:$AW,Tilanne!$Z$6,AS!$K:$K,Tilanne!$Z$1,AS!$X:$X,Tilanne!$Z$5,AS!$AV:$AV,Tilanne!$Z$2)</f>
        <v>0</v>
      </c>
      <c r="C65" s="207">
        <f t="shared" si="28"/>
        <v>0</v>
      </c>
      <c r="D65" s="110">
        <f>SUMIFS(AS!$W:$W,AS!$AB:$AB,AS!$AA$1,AS!$AH:$AH,$Y$8,AS!$AN:$AN,Tilanne!$Y65,AS!$F:$F,$Y$7,AS!$AW:$AW,Tilanne!$Z$6,AS!$K:$K,Tilanne!$Z$1,AS!$X:$X,Tilanne!$Z$5,AS!$AV:$AV,Tilanne!$Z$2)</f>
        <v>0</v>
      </c>
      <c r="E65" s="110">
        <f>SUMIFS(AS!$W:$W,AS!$AB:$AB,AS!$AA$1,AS!$AH:$AH,$Y$8,AS!$AN:$AN,Tilanne!$Y65,AS!$F:$F,$Z$7,AS!$AW:$AW,Tilanne!$Z$6,AS!$K:$K,Tilanne!$Z$1,AS!$X:$X,Tilanne!$Z$5,AS!$AV:$AV,Tilanne!$Z$2)</f>
        <v>0</v>
      </c>
      <c r="F65" s="190">
        <f>SUMIFS(AS!$W:$W,AS!$AB:$AB,AS!$AA$1,AS!$AH:$AH,$Z$8,AS!$AN:$AN,Tilanne!$Y65,AS!$AW:$AW,Tilanne!$Z$6,AS!$K:$K,Tilanne!$Z$1,AS!$X:$X,Tilanne!$Z$5,AS!$AV:$AV,Tilanne!$Z$2)</f>
        <v>0</v>
      </c>
      <c r="G65" s="186"/>
      <c r="I65" s="191" t="s">
        <v>1284</v>
      </c>
      <c r="J65" s="192">
        <f>SUMIFS(AS!$W:$W,AS!$AB:$AB,AS!$AA$1,AS!$AH:$AH,$Y$8,AS!$AS:$AS,Tilanne!$Y65,AS!$AW:$AW,Tilanne!$Z$6,AS!$K:$K,Tilanne!$Z$1,AS!$X:$X,Tilanne!$Z$5,AS!$AV:$AV,Tilanne!$Z$2)</f>
        <v>0</v>
      </c>
      <c r="K65" s="207">
        <f t="shared" si="29"/>
        <v>0</v>
      </c>
      <c r="L65" s="110">
        <f>SUMIFS(AS!$W:$W,AS!$AB:$AB,AS!$AA$1,AS!$AH:$AH,$Y$8,AS!$AS:$AS,Tilanne!$Y65,AS!$F:$F,$Y$7,AS!$AW:$AW,Tilanne!$Z$6,AS!$K:$K,Tilanne!$Z$1,AS!$X:$X,Tilanne!$Z$5,AS!$AV:$AV,Tilanne!$Z$2)</f>
        <v>0</v>
      </c>
      <c r="M65" s="110">
        <f>SUMIFS(AS!$W:$W,AS!$AB:$AB,AS!$AA$1,AS!$AH:$AH,$Y$8,AS!$AS:$AS,Tilanne!$Y65,AS!$F:$F,$Z$7,AS!$AW:$AW,Tilanne!$Z$6,AS!$K:$K,Tilanne!$Z$1,AS!$X:$X,Tilanne!$Z$5,AS!$AV:$AV,Tilanne!$Z$2)</f>
        <v>0</v>
      </c>
      <c r="N65" s="110">
        <f>SUMIFS(AS!$W:$W,AS!$AB:$AB,AS!$AA$1,AS!$AH:$AH,"vanha",AS!$AS:$AS,Tilanne!$Y65,AS!$AW:$AW,Tilanne!$Z$6,AS!$K:$K,Tilanne!$Z$1,AS!$X:$X,Tilanne!$Z$5,AS!$AV:$AV,Tilanne!$Z$2)</f>
        <v>0</v>
      </c>
      <c r="O65" s="186"/>
      <c r="Q65" s="189" t="s">
        <v>1284</v>
      </c>
      <c r="R65" s="193">
        <f t="shared" si="27"/>
        <v>0</v>
      </c>
      <c r="S65" s="194">
        <f t="shared" si="27"/>
        <v>0</v>
      </c>
      <c r="T65" s="193">
        <f t="shared" si="27"/>
        <v>0</v>
      </c>
      <c r="U65" s="193">
        <f t="shared" si="27"/>
        <v>0</v>
      </c>
      <c r="V65" s="193">
        <f t="shared" si="27"/>
        <v>0</v>
      </c>
      <c r="Y65" s="195" t="s">
        <v>1285</v>
      </c>
    </row>
    <row r="66" spans="1:29" x14ac:dyDescent="0.25">
      <c r="A66" s="189" t="s">
        <v>1286</v>
      </c>
      <c r="B66" s="110">
        <f>SUMIFS(AS!$W:$W,AS!$AB:$AB,AS!$AA$1,AS!$AH:$AH,$Y$8,AS!$AN:$AN,Tilanne!$Y66,AS!$AW:$AW,Tilanne!$Z$6,AS!$K:$K,Tilanne!$Z$1,AS!$X:$X,Tilanne!$Z$5,AS!$AV:$AV,Tilanne!$Z$2)</f>
        <v>0</v>
      </c>
      <c r="C66" s="207">
        <f t="shared" si="28"/>
        <v>0</v>
      </c>
      <c r="D66" s="110">
        <f>SUMIFS(AS!$W:$W,AS!$AB:$AB,AS!$AA$1,AS!$AH:$AH,$Y$8,AS!$AN:$AN,Tilanne!$Y66,AS!$F:$F,$Y$7,AS!$AW:$AW,Tilanne!$Z$6,AS!$K:$K,Tilanne!$Z$1,AS!$X:$X,Tilanne!$Z$5,AS!$AV:$AV,Tilanne!$Z$2)</f>
        <v>0</v>
      </c>
      <c r="E66" s="110">
        <f>SUMIFS(AS!$W:$W,AS!$AB:$AB,AS!$AA$1,AS!$AH:$AH,$Y$8,AS!$AN:$AN,Tilanne!$Y66,AS!$F:$F,$Z$7,AS!$AW:$AW,Tilanne!$Z$6,AS!$K:$K,Tilanne!$Z$1,AS!$X:$X,Tilanne!$Z$5,AS!$AV:$AV,Tilanne!$Z$2)</f>
        <v>0</v>
      </c>
      <c r="F66" s="190">
        <f>SUMIFS(AS!$W:$W,AS!$AB:$AB,AS!$AA$1,AS!$AH:$AH,$Z$8,AS!$AN:$AN,Tilanne!$Y66,AS!$AW:$AW,Tilanne!$Z$6,AS!$K:$K,Tilanne!$Z$1,AS!$X:$X,Tilanne!$Z$5,AS!$AV:$AV,Tilanne!$Z$2)</f>
        <v>0</v>
      </c>
      <c r="G66" s="186"/>
      <c r="I66" s="191" t="s">
        <v>1286</v>
      </c>
      <c r="J66" s="192">
        <f>SUMIFS(AS!$W:$W,AS!$AB:$AB,AS!$AA$1,AS!$AH:$AH,$Y$8,AS!$AS:$AS,Tilanne!$Y66,AS!$AW:$AW,Tilanne!$Z$6,AS!$K:$K,Tilanne!$Z$1,AS!$X:$X,Tilanne!$Z$5,AS!$AV:$AV,Tilanne!$Z$2)</f>
        <v>0</v>
      </c>
      <c r="K66" s="207">
        <f t="shared" si="29"/>
        <v>0</v>
      </c>
      <c r="L66" s="110">
        <f>SUMIFS(AS!$W:$W,AS!$AB:$AB,AS!$AA$1,AS!$AH:$AH,$Y$8,AS!$AS:$AS,Tilanne!$Y66,AS!$F:$F,$Y$7,AS!$AW:$AW,Tilanne!$Z$6,AS!$K:$K,Tilanne!$Z$1,AS!$X:$X,Tilanne!$Z$5,AS!$AV:$AV,Tilanne!$Z$2)</f>
        <v>0</v>
      </c>
      <c r="M66" s="110">
        <f>SUMIFS(AS!$W:$W,AS!$AB:$AB,AS!$AA$1,AS!$AH:$AH,$Y$8,AS!$AS:$AS,Tilanne!$Y66,AS!$F:$F,$Z$7,AS!$AW:$AW,Tilanne!$Z$6,AS!$K:$K,Tilanne!$Z$1,AS!$X:$X,Tilanne!$Z$5,AS!$AV:$AV,Tilanne!$Z$2)</f>
        <v>0</v>
      </c>
      <c r="N66" s="110">
        <f>SUMIFS(AS!$W:$W,AS!$AB:$AB,AS!$AA$1,AS!$AH:$AH,"vanha",AS!$AS:$AS,Tilanne!$Y66,AS!$AW:$AW,Tilanne!$Z$6,AS!$K:$K,Tilanne!$Z$1,AS!$X:$X,Tilanne!$Z$5,AS!$AV:$AV,Tilanne!$Z$2)</f>
        <v>0</v>
      </c>
      <c r="O66" s="186"/>
      <c r="Q66" s="189" t="s">
        <v>1286</v>
      </c>
      <c r="R66" s="193">
        <f t="shared" si="27"/>
        <v>0</v>
      </c>
      <c r="S66" s="194">
        <f t="shared" si="27"/>
        <v>0</v>
      </c>
      <c r="T66" s="193">
        <f t="shared" si="27"/>
        <v>0</v>
      </c>
      <c r="U66" s="193">
        <f t="shared" si="27"/>
        <v>0</v>
      </c>
      <c r="V66" s="193">
        <f t="shared" si="27"/>
        <v>0</v>
      </c>
      <c r="Y66" s="195" t="s">
        <v>1287</v>
      </c>
    </row>
    <row r="67" spans="1:29" x14ac:dyDescent="0.25">
      <c r="A67" s="189" t="s">
        <v>1288</v>
      </c>
      <c r="B67" s="110">
        <f>SUMIFS(AS!$W:$W,AS!$AB:$AB,AS!$AA$1,AS!$AH:$AH,$Y$8,AS!$AN:$AN,Tilanne!$Y67,AS!$AW:$AW,Tilanne!$Z$6,AS!$K:$K,Tilanne!$Z$1,AS!$X:$X,Tilanne!$Z$5,AS!$AV:$AV,Tilanne!$Z$2)</f>
        <v>0</v>
      </c>
      <c r="C67" s="207">
        <f t="shared" si="28"/>
        <v>0</v>
      </c>
      <c r="D67" s="110">
        <f>SUMIFS(AS!$W:$W,AS!$AB:$AB,AS!$AA$1,AS!$AH:$AH,$Y$8,AS!$AN:$AN,Tilanne!$Y67,AS!$F:$F,$Y$7,AS!$AW:$AW,Tilanne!$Z$6,AS!$K:$K,Tilanne!$Z$1,AS!$X:$X,Tilanne!$Z$5,AS!$AV:$AV,Tilanne!$Z$2)</f>
        <v>0</v>
      </c>
      <c r="E67" s="110">
        <f>SUMIFS(AS!$W:$W,AS!$AB:$AB,AS!$AA$1,AS!$AH:$AH,$Y$8,AS!$AN:$AN,Tilanne!$Y67,AS!$F:$F,$Z$7,AS!$AW:$AW,Tilanne!$Z$6,AS!$K:$K,Tilanne!$Z$1,AS!$X:$X,Tilanne!$Z$5,AS!$AV:$AV,Tilanne!$Z$2)</f>
        <v>0</v>
      </c>
      <c r="F67" s="190">
        <f>SUMIFS(AS!$W:$W,AS!$AB:$AB,AS!$AA$1,AS!$AH:$AH,$Z$8,AS!$AN:$AN,Tilanne!$Y67,AS!$AW:$AW,Tilanne!$Z$6,AS!$K:$K,Tilanne!$Z$1,AS!$X:$X,Tilanne!$Z$5,AS!$AV:$AV,Tilanne!$Z$2)</f>
        <v>0</v>
      </c>
      <c r="G67" s="186"/>
      <c r="I67" s="191" t="s">
        <v>1288</v>
      </c>
      <c r="J67" s="192">
        <f>SUMIFS(AS!$W:$W,AS!$AB:$AB,AS!$AA$1,AS!$AH:$AH,$Y$8,AS!$AS:$AS,Tilanne!$Y67,AS!$AW:$AW,Tilanne!$Z$6,AS!$K:$K,Tilanne!$Z$1,AS!$X:$X,Tilanne!$Z$5,AS!$AV:$AV,Tilanne!$Z$2)</f>
        <v>0</v>
      </c>
      <c r="K67" s="207">
        <f t="shared" si="29"/>
        <v>0</v>
      </c>
      <c r="L67" s="110">
        <f>SUMIFS(AS!$W:$W,AS!$AB:$AB,AS!$AA$1,AS!$AH:$AH,$Y$8,AS!$AS:$AS,Tilanne!$Y67,AS!$F:$F,$Y$7,AS!$AW:$AW,Tilanne!$Z$6,AS!$K:$K,Tilanne!$Z$1,AS!$X:$X,Tilanne!$Z$5,AS!$AV:$AV,Tilanne!$Z$2)</f>
        <v>0</v>
      </c>
      <c r="M67" s="110">
        <f>SUMIFS(AS!$W:$W,AS!$AB:$AB,AS!$AA$1,AS!$AH:$AH,$Y$8,AS!$AS:$AS,Tilanne!$Y67,AS!$F:$F,$Z$7,AS!$AW:$AW,Tilanne!$Z$6,AS!$K:$K,Tilanne!$Z$1,AS!$X:$X,Tilanne!$Z$5,AS!$AV:$AV,Tilanne!$Z$2)</f>
        <v>0</v>
      </c>
      <c r="N67" s="110">
        <f>SUMIFS(AS!$W:$W,AS!$AB:$AB,AS!$AA$1,AS!$AH:$AH,"vanha",AS!$AS:$AS,Tilanne!$Y67,AS!$AW:$AW,Tilanne!$Z$6,AS!$K:$K,Tilanne!$Z$1,AS!$X:$X,Tilanne!$Z$5,AS!$AV:$AV,Tilanne!$Z$2)</f>
        <v>0</v>
      </c>
      <c r="O67" s="186"/>
      <c r="Q67" s="189" t="s">
        <v>1288</v>
      </c>
      <c r="R67" s="193">
        <f t="shared" si="27"/>
        <v>0</v>
      </c>
      <c r="S67" s="194">
        <f t="shared" si="27"/>
        <v>0</v>
      </c>
      <c r="T67" s="193">
        <f t="shared" si="27"/>
        <v>0</v>
      </c>
      <c r="U67" s="193">
        <f t="shared" si="27"/>
        <v>0</v>
      </c>
      <c r="V67" s="193">
        <f t="shared" si="27"/>
        <v>0</v>
      </c>
      <c r="Y67" s="195" t="s">
        <v>1289</v>
      </c>
    </row>
    <row r="68" spans="1:29" x14ac:dyDescent="0.25">
      <c r="A68" s="189" t="s">
        <v>1290</v>
      </c>
      <c r="B68" s="110">
        <f>SUMIFS(AS!$W:$W,AS!$AB:$AB,AS!$AA$1,AS!$AH:$AH,$Y$8,AS!$AN:$AN,Tilanne!$Y68,AS!$AW:$AW,Tilanne!$Z$6,AS!$K:$K,Tilanne!$Z$1,AS!$X:$X,Tilanne!$Z$5,AS!$AV:$AV,Tilanne!$Z$2)</f>
        <v>0</v>
      </c>
      <c r="C68" s="207">
        <f t="shared" si="28"/>
        <v>0</v>
      </c>
      <c r="D68" s="110">
        <f>SUMIFS(AS!$W:$W,AS!$AB:$AB,AS!$AA$1,AS!$AH:$AH,$Y$8,AS!$AN:$AN,Tilanne!$Y68,AS!$F:$F,$Y$7,AS!$AW:$AW,Tilanne!$Z$6,AS!$K:$K,Tilanne!$Z$1,AS!$X:$X,Tilanne!$Z$5,AS!$AV:$AV,Tilanne!$Z$2)</f>
        <v>0</v>
      </c>
      <c r="E68" s="110">
        <f>SUMIFS(AS!$W:$W,AS!$AB:$AB,AS!$AA$1,AS!$AH:$AH,$Y$8,AS!$AN:$AN,Tilanne!$Y68,AS!$F:$F,$Z$7,AS!$AW:$AW,Tilanne!$Z$6,AS!$K:$K,Tilanne!$Z$1,AS!$X:$X,Tilanne!$Z$5,AS!$AV:$AV,Tilanne!$Z$2)</f>
        <v>0</v>
      </c>
      <c r="F68" s="190">
        <f>SUMIFS(AS!$W:$W,AS!$AB:$AB,AS!$AA$1,AS!$AH:$AH,$Z$8,AS!$AN:$AN,Tilanne!$Y68,AS!$AW:$AW,Tilanne!$Z$6,AS!$K:$K,Tilanne!$Z$1,AS!$X:$X,Tilanne!$Z$5,AS!$AV:$AV,Tilanne!$Z$2)</f>
        <v>0</v>
      </c>
      <c r="G68" s="186"/>
      <c r="I68" s="191" t="s">
        <v>1290</v>
      </c>
      <c r="J68" s="192">
        <f>SUMIFS(AS!$W:$W,AS!$AB:$AB,AS!$AA$1,AS!$AH:$AH,$Y$8,AS!$AS:$AS,Tilanne!$Y68,AS!$AW:$AW,Tilanne!$Z$6,AS!$K:$K,Tilanne!$Z$1,AS!$X:$X,Tilanne!$Z$5,AS!$AV:$AV,Tilanne!$Z$2)</f>
        <v>0</v>
      </c>
      <c r="K68" s="207">
        <f t="shared" si="29"/>
        <v>0</v>
      </c>
      <c r="L68" s="110">
        <f>SUMIFS(AS!$W:$W,AS!$AB:$AB,AS!$AA$1,AS!$AH:$AH,$Y$8,AS!$AS:$AS,Tilanne!$Y68,AS!$F:$F,$Y$7,AS!$AW:$AW,Tilanne!$Z$6,AS!$K:$K,Tilanne!$Z$1,AS!$X:$X,Tilanne!$Z$5,AS!$AV:$AV,Tilanne!$Z$2)</f>
        <v>0</v>
      </c>
      <c r="M68" s="110">
        <f>SUMIFS(AS!$W:$W,AS!$AB:$AB,AS!$AA$1,AS!$AH:$AH,$Y$8,AS!$AS:$AS,Tilanne!$Y68,AS!$F:$F,$Z$7,AS!$AW:$AW,Tilanne!$Z$6,AS!$K:$K,Tilanne!$Z$1,AS!$X:$X,Tilanne!$Z$5,AS!$AV:$AV,Tilanne!$Z$2)</f>
        <v>0</v>
      </c>
      <c r="N68" s="110">
        <f>SUMIFS(AS!$W:$W,AS!$AB:$AB,AS!$AA$1,AS!$AH:$AH,"vanha",AS!$AS:$AS,Tilanne!$Y68,AS!$AW:$AW,Tilanne!$Z$6,AS!$K:$K,Tilanne!$Z$1,AS!$X:$X,Tilanne!$Z$5,AS!$AV:$AV,Tilanne!$Z$2)</f>
        <v>0</v>
      </c>
      <c r="O68" s="186"/>
      <c r="Q68" s="189" t="s">
        <v>1290</v>
      </c>
      <c r="R68" s="193">
        <f t="shared" si="27"/>
        <v>0</v>
      </c>
      <c r="S68" s="194">
        <f t="shared" si="27"/>
        <v>0</v>
      </c>
      <c r="T68" s="193">
        <f t="shared" si="27"/>
        <v>0</v>
      </c>
      <c r="U68" s="193">
        <f t="shared" si="27"/>
        <v>0</v>
      </c>
      <c r="V68" s="193">
        <f t="shared" si="27"/>
        <v>0</v>
      </c>
      <c r="Y68" s="195" t="s">
        <v>1291</v>
      </c>
    </row>
    <row r="69" spans="1:29" x14ac:dyDescent="0.25">
      <c r="A69" s="189" t="s">
        <v>347</v>
      </c>
      <c r="B69" s="110">
        <f>SUMIFS(AS!$W:$W,AS!$AB:$AB,AS!$AA$1,AS!$AH:$AH,$Y$8,AS!$AN:$AN,Tilanne!$Y69,AS!$AW:$AW,Tilanne!$Z$6,AS!$K:$K,Tilanne!$Z$1,AS!$X:$X,Tilanne!$Z$5,AS!$AV:$AV,Tilanne!$Z$2)</f>
        <v>0</v>
      </c>
      <c r="C69" s="207">
        <f t="shared" si="28"/>
        <v>0</v>
      </c>
      <c r="D69" s="110">
        <f>SUMIFS(AS!$W:$W,AS!$AB:$AB,AS!$AA$1,AS!$AH:$AH,$Y$8,AS!$AN:$AN,Tilanne!$Y69,AS!$F:$F,$Y$7,AS!$AW:$AW,Tilanne!$Z$6,AS!$K:$K,Tilanne!$Z$1,AS!$X:$X,Tilanne!$Z$5,AS!$AV:$AV,Tilanne!$Z$2)</f>
        <v>0</v>
      </c>
      <c r="E69" s="110">
        <f>SUMIFS(AS!$W:$W,AS!$AB:$AB,AS!$AA$1,AS!$AH:$AH,$Y$8,AS!$AN:$AN,Tilanne!$Y69,AS!$F:$F,$Z$7,AS!$AW:$AW,Tilanne!$Z$6,AS!$K:$K,Tilanne!$Z$1,AS!$X:$X,Tilanne!$Z$5,AS!$AV:$AV,Tilanne!$Z$2)</f>
        <v>0</v>
      </c>
      <c r="F69" s="190">
        <f>SUMIFS(AS!$W:$W,AS!$AB:$AB,AS!$AA$1,AS!$AH:$AH,$Z$8,AS!$AN:$AN,Tilanne!$Y69,AS!$AW:$AW,Tilanne!$Z$6,AS!$K:$K,Tilanne!$Z$1,AS!$X:$X,Tilanne!$Z$5,AS!$AV:$AV,Tilanne!$Z$2)</f>
        <v>0</v>
      </c>
      <c r="G69" s="186"/>
      <c r="I69" s="191" t="s">
        <v>347</v>
      </c>
      <c r="J69" s="192">
        <f>SUMIFS(AS!$W:$W,AS!$AB:$AB,AS!$AA$1,AS!$AH:$AH,$Y$8,AS!$AS:$AS,Tilanne!$Y69,AS!$AW:$AW,Tilanne!$Z$6,AS!$K:$K,Tilanne!$Z$1,AS!$X:$X,Tilanne!$Z$5,AS!$AV:$AV,Tilanne!$Z$2)</f>
        <v>0</v>
      </c>
      <c r="K69" s="207">
        <f t="shared" si="29"/>
        <v>0</v>
      </c>
      <c r="L69" s="110">
        <f>SUMIFS(AS!$W:$W,AS!$AB:$AB,AS!$AA$1,AS!$AH:$AH,$Y$8,AS!$AS:$AS,Tilanne!$Y69,AS!$F:$F,$Y$7,AS!$AW:$AW,Tilanne!$Z$6,AS!$K:$K,Tilanne!$Z$1,AS!$X:$X,Tilanne!$Z$5,AS!$AV:$AV,Tilanne!$Z$2)</f>
        <v>0</v>
      </c>
      <c r="M69" s="110">
        <f>SUMIFS(AS!$W:$W,AS!$AB:$AB,AS!$AA$1,AS!$AH:$AH,$Y$8,AS!$AS:$AS,Tilanne!$Y69,AS!$F:$F,$Z$7,AS!$AW:$AW,Tilanne!$Z$6,AS!$K:$K,Tilanne!$Z$1,AS!$X:$X,Tilanne!$Z$5,AS!$AV:$AV,Tilanne!$Z$2)</f>
        <v>0</v>
      </c>
      <c r="N69" s="110">
        <f>SUMIFS(AS!$W:$W,AS!$AB:$AB,AS!$AA$1,AS!$AH:$AH,"vanha",AS!$AS:$AS,Tilanne!$Y69,AS!$AW:$AW,Tilanne!$Z$6,AS!$K:$K,Tilanne!$Z$1,AS!$X:$X,Tilanne!$Z$5,AS!$AV:$AV,Tilanne!$Z$2)</f>
        <v>0</v>
      </c>
      <c r="O69" s="186"/>
      <c r="Q69" s="189" t="s">
        <v>347</v>
      </c>
      <c r="R69" s="193">
        <f t="shared" si="27"/>
        <v>0</v>
      </c>
      <c r="S69" s="194">
        <f t="shared" si="27"/>
        <v>0</v>
      </c>
      <c r="T69" s="193">
        <f t="shared" si="27"/>
        <v>0</v>
      </c>
      <c r="U69" s="193">
        <f t="shared" si="27"/>
        <v>0</v>
      </c>
      <c r="V69" s="193">
        <f t="shared" si="27"/>
        <v>0</v>
      </c>
      <c r="Y69" s="195" t="s">
        <v>1292</v>
      </c>
    </row>
    <row r="70" spans="1:29" x14ac:dyDescent="0.25">
      <c r="A70" s="255" t="s">
        <v>239</v>
      </c>
      <c r="B70" s="256">
        <f>SUM(B71:B72)</f>
        <v>0</v>
      </c>
      <c r="C70" s="257">
        <f>IFERROR(B70/B$73,0)</f>
        <v>0</v>
      </c>
      <c r="D70" s="256">
        <f>SUM(D71:D72)</f>
        <v>0</v>
      </c>
      <c r="E70" s="256">
        <f>SUM(E71:E72)</f>
        <v>0</v>
      </c>
      <c r="F70" s="258">
        <f>SUM(F71:F72)</f>
        <v>0</v>
      </c>
      <c r="G70" s="186"/>
      <c r="I70" s="255" t="s">
        <v>239</v>
      </c>
      <c r="J70" s="256">
        <f>SUM(J71:J72)</f>
        <v>0</v>
      </c>
      <c r="K70" s="257">
        <f>IFERROR(J70/J$73,0)</f>
        <v>0</v>
      </c>
      <c r="L70" s="256">
        <f>SUM(L71:L72)</f>
        <v>0</v>
      </c>
      <c r="M70" s="256">
        <f>SUM(M71:M72)</f>
        <v>0</v>
      </c>
      <c r="N70" s="256">
        <f>SUM(N71:N72)</f>
        <v>0</v>
      </c>
      <c r="O70" s="186"/>
      <c r="Q70" s="255" t="s">
        <v>239</v>
      </c>
      <c r="R70" s="266">
        <f t="shared" ref="R70:U71" si="30">J70-B70</f>
        <v>0</v>
      </c>
      <c r="S70" s="267">
        <f t="shared" si="30"/>
        <v>0</v>
      </c>
      <c r="T70" s="266">
        <f t="shared" si="30"/>
        <v>0</v>
      </c>
      <c r="U70" s="266">
        <f t="shared" si="30"/>
        <v>0</v>
      </c>
      <c r="V70" s="266">
        <f t="shared" si="27"/>
        <v>0</v>
      </c>
      <c r="Y70" s="187"/>
      <c r="Z70" s="188"/>
      <c r="AB70" s="176"/>
      <c r="AC70" s="169"/>
    </row>
    <row r="71" spans="1:29" x14ac:dyDescent="0.25">
      <c r="A71" s="199" t="s">
        <v>239</v>
      </c>
      <c r="B71" s="200">
        <f>SUMIFS(AS!$W:$W,AS!$AB:$AB,AS!$AA$1,AS!$AH:$AH,$Y$8,AS!$AN:$AN,Tilanne!$Y71,AS!$AW:$AW,Tilanne!$Z$6,AS!$K:$K,Tilanne!$Z$1,AS!$X:$X,Tilanne!$Z$5,AS!$AV:$AV,Tilanne!$Z$2)</f>
        <v>0</v>
      </c>
      <c r="C71" s="361">
        <f>IFERROR(B71/B$73,0)</f>
        <v>0</v>
      </c>
      <c r="D71" s="201">
        <f>SUMIFS(AS!$W:$W,AS!$AB:$AB,AS!$AA$1,AS!$AH:$AH,$Y$8,AS!$AN:$AN,Tilanne!$Y71,AS!$F:$F,$Y$7,AS!$AW:$AW,Tilanne!$Z$6,AS!$K:$K,Tilanne!$Z$1,AS!$X:$X,Tilanne!$Z$5,AS!$AV:$AV,Tilanne!$Z$2)</f>
        <v>0</v>
      </c>
      <c r="E71" s="201">
        <f>SUMIFS(AS!$W:$W,AS!$AB:$AB,AS!$AA$1,AS!$AH:$AH,$Y$8,AS!$AN:$AN,Tilanne!$Y71,AS!$F:$F,$Z$7,AS!$AW:$AW,Tilanne!$Z$6,AS!$K:$K,Tilanne!$Z$1,AS!$X:$X,Tilanne!$Z$5,AS!$AV:$AV,Tilanne!$Z$2)</f>
        <v>0</v>
      </c>
      <c r="F71" s="202">
        <f>SUMIFS(AS!$W:$W,AS!$AB:$AB,AS!$AA$1,AS!$AH:$AH,$Z$8,AS!$AN:$AN,Tilanne!$Y71,AS!$AW:$AW,Tilanne!$Z$6,AS!$K:$K,Tilanne!$Z$1,AS!$X:$X,Tilanne!$Z$5,AS!$AV:$AV,Tilanne!$Z$2)</f>
        <v>0</v>
      </c>
      <c r="G71" s="186"/>
      <c r="I71" s="199" t="s">
        <v>239</v>
      </c>
      <c r="J71" s="200">
        <f>SUMIFS(AS!$W:$W,AS!$AB:$AB,AS!$AA$1,AS!$AH:$AH,$Y$8,AS!$AS:$AS,Tilanne!$Y71,AS!$AW:$AW,Tilanne!$Z$6,AS!$K:$K,Tilanne!$Z$1,AS!$X:$X,Tilanne!$Z$5,AS!$AV:$AV,Tilanne!$Z$2)</f>
        <v>0</v>
      </c>
      <c r="K71" s="361">
        <f>IFERROR(J71/J$73,0)</f>
        <v>0</v>
      </c>
      <c r="L71" s="201">
        <f>SUMIFS(AS!$W:$W,AS!$AB:$AB,AS!$AA$1,AS!$AH:$AH,$Y$8,AS!$AS:$AS,Tilanne!$Y71,AS!$F:$F,$Y$7,AS!$AW:$AW,Tilanne!$Z$6,AS!$K:$K,Tilanne!$Z$1,AS!$X:$X,Tilanne!$Z$5,AS!$AV:$AV,Tilanne!$Z$2)</f>
        <v>0</v>
      </c>
      <c r="M71" s="201">
        <f>SUMIFS(AS!$W:$W,AS!$AB:$AB,AS!$AA$1,AS!$AH:$AH,$Y$8,AS!$AS:$AS,Tilanne!$Y71,AS!$F:$F,$Z$7,AS!$AW:$AW,Tilanne!$Z$6,AS!$K:$K,Tilanne!$Z$1,AS!$X:$X,Tilanne!$Z$5,AS!$AV:$AV,Tilanne!$Z$2)</f>
        <v>0</v>
      </c>
      <c r="N71" s="202">
        <f>SUMIFS(AS!$W:$W,AS!$AB:$AB,AS!$AA$1,AS!$AH:$AH,"vanha",AS!$AS:$AS,Tilanne!$Y71,AS!$AW:$AW,Tilanne!$Z$6,AS!$K:$K,Tilanne!$Z$1,AS!$X:$X,Tilanne!$Z$5,AS!$AV:$AV,Tilanne!$Z$2)</f>
        <v>0</v>
      </c>
      <c r="O71" s="186"/>
      <c r="Q71" s="189" t="s">
        <v>239</v>
      </c>
      <c r="R71" s="193">
        <f t="shared" si="30"/>
        <v>0</v>
      </c>
      <c r="S71" s="194">
        <f t="shared" si="30"/>
        <v>0</v>
      </c>
      <c r="T71" s="193">
        <f t="shared" si="30"/>
        <v>0</v>
      </c>
      <c r="U71" s="193">
        <f t="shared" si="30"/>
        <v>0</v>
      </c>
      <c r="V71" s="193">
        <f t="shared" si="27"/>
        <v>0</v>
      </c>
      <c r="Y71" s="195" t="s">
        <v>1293</v>
      </c>
    </row>
    <row r="72" spans="1:29" x14ac:dyDescent="0.25">
      <c r="A72" s="189" t="s">
        <v>241</v>
      </c>
      <c r="B72" s="110">
        <f>SUMIFS(AS!$W:$W,AS!$AB:$AB,AS!$AA$1,AS!$AH:$AH,$Y$8,AS!$AN:$AN,"",AS!$AW:$AW,Tilanne!$Z$6,AS!$K:$K,Tilanne!$Z$1,AS!$X:$X,Tilanne!$Z$5,AS!$AV:$AV,Tilanne!$Z$2)</f>
        <v>0</v>
      </c>
      <c r="C72" s="361">
        <f>IFERROR(B72/B$73,0)</f>
        <v>0</v>
      </c>
      <c r="D72" s="110">
        <f>SUMIFS(AS!$W:$W,AS!$AB:$AB,AS!$AA$1,AS!$AH:$AH,$Y$8,AS!$AN:$AN,"",AS!$F:$F,$Y$7,AS!$AW:$AW,Tilanne!$Z$6,AS!$K:$K,Tilanne!$Z$1,AS!$X:$X,Tilanne!$Z$5,AS!$AV:$AV,Tilanne!$Z$2)</f>
        <v>0</v>
      </c>
      <c r="E72" s="110">
        <f>SUMIFS(AS!$W:$W,AS!$AB:$AB,AS!$AA$1,AS!$AH:$AH,$Y$8,AS!$AN:$AN,"",AS!$F:$F,$Z$7,AS!$AW:$AW,Tilanne!$Z$6,AS!$K:$K,Tilanne!$Z$1,AS!$X:$X,Tilanne!$Z$5,AS!$AV:$AV,Tilanne!$Z$2)</f>
        <v>0</v>
      </c>
      <c r="F72" s="190">
        <f>SUMIFS(AS!$W:$W,AS!$AB:$AB,AS!$AA$1,AS!$AH:$AH,$Z$8,AS!$AN:$AN,"",AS!$AW:$AW,Tilanne!$Z$6,AS!$K:$K,Tilanne!$Z$1,AS!$X:$X,Tilanne!$Z$5,AS!$AV:$AV,Tilanne!$Z$2)</f>
        <v>0</v>
      </c>
      <c r="G72" s="186"/>
      <c r="I72" s="191" t="s">
        <v>241</v>
      </c>
      <c r="J72" s="192">
        <f>SUMIFS(AS!$W:$W,AS!$AB:$AB,AS!$AA$1,AS!$AH:$AH,$Y$8,AS!$AS:$AS,"",AS!$AW:$AW,Tilanne!$Z$6,AS!$K:$K,Tilanne!$Z$1,AS!$X:$X,Tilanne!$Z$5,AS!$AV:$AV,Tilanne!$Z$2)</f>
        <v>0</v>
      </c>
      <c r="K72" s="361">
        <f>IFERROR(J72/J$73,0)</f>
        <v>0</v>
      </c>
      <c r="L72" s="110">
        <f>SUMIFS(AS!$W:$W,AS!$AB:$AB,AS!$AA$1,AS!$AH:$AH,$Y$8,AS!$AS:$AS,"",AS!$F:$F,$Y$7,AS!$AW:$AW,Tilanne!$Z$6,AS!$K:$K,Tilanne!$Z$1,AS!$X:$X,Tilanne!$Z$5,AS!$AV:$AV,Tilanne!$Z$2)</f>
        <v>0</v>
      </c>
      <c r="M72" s="110">
        <f>SUMIFS(AS!$W:$W,AS!$AB:$AB,AS!$AA$1,AS!$AH:$AH,$Y$8,AS!$AS:$AS,"",AS!$F:$F,$Z$7,AS!$AW:$AW,Tilanne!$Z$6,AS!$K:$K,Tilanne!$Z$1,AS!$X:$X,Tilanne!$Z$5,AS!$AV:$AV,Tilanne!$Z$2)</f>
        <v>0</v>
      </c>
      <c r="N72" s="110">
        <f>SUMIFS(AS!$W:$W,AS!$AB:$AB,AS!$AA$1,AS!$AH:$AH,"vanha",AS!$AS:$AS,"",AS!$AW:$AW,Tilanne!$Z$6,AS!$K:$K,Tilanne!$Z$1,AS!$X:$X,Tilanne!$Z$5,AS!$AV:$AV,Tilanne!$Z$2)</f>
        <v>0</v>
      </c>
      <c r="O72" s="186"/>
      <c r="Q72" s="189" t="s">
        <v>241</v>
      </c>
      <c r="R72" s="193">
        <f t="shared" si="27"/>
        <v>0</v>
      </c>
      <c r="S72" s="194">
        <f t="shared" si="27"/>
        <v>0</v>
      </c>
      <c r="T72" s="193">
        <f t="shared" si="27"/>
        <v>0</v>
      </c>
      <c r="U72" s="193">
        <f t="shared" si="27"/>
        <v>0</v>
      </c>
      <c r="V72" s="193">
        <f t="shared" si="27"/>
        <v>0</v>
      </c>
      <c r="Y72" s="119"/>
    </row>
    <row r="73" spans="1:29" s="177" customFormat="1" x14ac:dyDescent="0.25">
      <c r="A73" s="259" t="s">
        <v>716</v>
      </c>
      <c r="B73" s="260">
        <f>SUM(B59:B70)</f>
        <v>0</v>
      </c>
      <c r="C73" s="261">
        <f>SUM(C58:C70)</f>
        <v>0</v>
      </c>
      <c r="D73" s="260">
        <f>SUM(D59:D70)</f>
        <v>0</v>
      </c>
      <c r="E73" s="260">
        <f>SUM(E59:E70)</f>
        <v>0</v>
      </c>
      <c r="F73" s="260">
        <f>SUM(F59:F70)</f>
        <v>0</v>
      </c>
      <c r="G73" s="196"/>
      <c r="H73"/>
      <c r="I73" s="262" t="s">
        <v>716</v>
      </c>
      <c r="J73" s="263">
        <f>SUM(J59:J70)</f>
        <v>0</v>
      </c>
      <c r="K73" s="261">
        <f>SUM(K58:K70)</f>
        <v>0</v>
      </c>
      <c r="L73" s="260">
        <f>SUM(L59:L70)</f>
        <v>0</v>
      </c>
      <c r="M73" s="260">
        <f>SUM(M59:M70)</f>
        <v>0</v>
      </c>
      <c r="N73" s="260">
        <f>SUM(N59:N70)</f>
        <v>0</v>
      </c>
      <c r="O73" s="196"/>
      <c r="P73"/>
      <c r="Q73" s="259" t="s">
        <v>716</v>
      </c>
      <c r="R73" s="264">
        <f t="shared" si="27"/>
        <v>0</v>
      </c>
      <c r="S73" s="265">
        <f t="shared" si="27"/>
        <v>0</v>
      </c>
      <c r="T73" s="264">
        <f t="shared" si="27"/>
        <v>0</v>
      </c>
      <c r="U73" s="264">
        <f t="shared" si="27"/>
        <v>0</v>
      </c>
      <c r="V73" s="264">
        <f t="shared" si="27"/>
        <v>0</v>
      </c>
      <c r="AB73" s="176"/>
      <c r="AC73" s="169"/>
    </row>
    <row r="74" spans="1:29" x14ac:dyDescent="0.25">
      <c r="A74" s="359" t="str">
        <f>$A$6&amp; "    *Uusi kysymys 2018"</f>
        <v>Kaikki    *Uusi kysymys 2018</v>
      </c>
    </row>
    <row r="76" spans="1:29" x14ac:dyDescent="0.25">
      <c r="A76" s="205"/>
    </row>
    <row r="77" spans="1:29" x14ac:dyDescent="0.25">
      <c r="A77" s="179" t="str">
        <f>Y80&amp;Y10&amp;Y12</f>
        <v>Nuoren koulutustilanne hakuajan alussa (lähin arvo) - 01.01.2026-31.12.2026 (Kaikki kunnat, Kaikki yksiköt)</v>
      </c>
      <c r="I77" s="179" t="str">
        <f>"Viimeisin nuoren koulutustilanne"&amp;Y10&amp;Y12</f>
        <v>Viimeisin nuoren koulutustilanne - 01.01.2026-31.12.2026 (Kaikki kunnat, Kaikki yksiköt)</v>
      </c>
      <c r="Q77" s="179" t="str">
        <f>Z80&amp;Y10&amp;Y12</f>
        <v>Nuoren koulutustilanne - muutos - 01.01.2026-31.12.2026 (Kaikki kunnat, Kaikki yksiköt)</v>
      </c>
    </row>
    <row r="78" spans="1:29" ht="25.5" x14ac:dyDescent="0.25">
      <c r="A78" s="1108" t="s">
        <v>1294</v>
      </c>
      <c r="B78" s="1107" t="s">
        <v>716</v>
      </c>
      <c r="C78" s="1107"/>
      <c r="D78" s="114" t="s">
        <v>961</v>
      </c>
      <c r="E78" s="254" t="s">
        <v>962</v>
      </c>
      <c r="F78" s="182" t="s">
        <v>980</v>
      </c>
      <c r="G78" s="1109" t="str">
        <f>A77&amp;" (N="&amp;B100&amp;")"</f>
        <v>Nuoren koulutustilanne hakuajan alussa (lähin arvo) - 01.01.2026-31.12.2026 (Kaikki kunnat, Kaikki yksiköt) (N=0)</v>
      </c>
      <c r="H78" s="183"/>
      <c r="I78" s="1111" t="s">
        <v>308</v>
      </c>
      <c r="J78" s="1113" t="s">
        <v>716</v>
      </c>
      <c r="K78" s="1107"/>
      <c r="L78" s="114" t="s">
        <v>961</v>
      </c>
      <c r="M78" s="254" t="s">
        <v>962</v>
      </c>
      <c r="N78" s="114" t="s">
        <v>980</v>
      </c>
      <c r="O78" s="1109" t="str">
        <f>I77&amp;" (N="&amp;J100&amp;")"</f>
        <v>Viimeisin nuoren koulutustilanne - 01.01.2026-31.12.2026 (Kaikki kunnat, Kaikki yksiköt) (N=0)</v>
      </c>
      <c r="P78" s="101"/>
      <c r="Q78" s="1108" t="s">
        <v>1294</v>
      </c>
      <c r="R78" s="1107" t="s">
        <v>716</v>
      </c>
      <c r="S78" s="1107"/>
      <c r="T78" s="114" t="s">
        <v>961</v>
      </c>
      <c r="U78" s="254" t="s">
        <v>962</v>
      </c>
      <c r="V78" s="114" t="s">
        <v>980</v>
      </c>
    </row>
    <row r="79" spans="1:29" x14ac:dyDescent="0.25">
      <c r="A79" s="1108"/>
      <c r="B79" s="114" t="s">
        <v>742</v>
      </c>
      <c r="C79" s="114" t="s">
        <v>1211</v>
      </c>
      <c r="D79" s="114" t="s">
        <v>742</v>
      </c>
      <c r="E79" s="114" t="s">
        <v>742</v>
      </c>
      <c r="F79" s="182" t="s">
        <v>742</v>
      </c>
      <c r="G79" s="1110"/>
      <c r="H79" s="183"/>
      <c r="I79" s="1112"/>
      <c r="J79" s="253" t="s">
        <v>742</v>
      </c>
      <c r="K79" s="114" t="s">
        <v>1211</v>
      </c>
      <c r="L79" s="114" t="s">
        <v>742</v>
      </c>
      <c r="M79" s="114" t="s">
        <v>742</v>
      </c>
      <c r="N79" s="114" t="s">
        <v>742</v>
      </c>
      <c r="O79" s="1110"/>
      <c r="P79" s="101"/>
      <c r="Q79" s="1108"/>
      <c r="R79" s="114" t="s">
        <v>742</v>
      </c>
      <c r="S79" s="114" t="s">
        <v>1211</v>
      </c>
      <c r="T79" s="114" t="s">
        <v>742</v>
      </c>
      <c r="U79" s="114" t="s">
        <v>742</v>
      </c>
      <c r="V79" s="114" t="s">
        <v>742</v>
      </c>
    </row>
    <row r="80" spans="1:29" x14ac:dyDescent="0.25">
      <c r="A80" s="255" t="s">
        <v>1294</v>
      </c>
      <c r="B80" s="256">
        <f>SUM(B81:B96)</f>
        <v>0</v>
      </c>
      <c r="C80" s="257">
        <f t="shared" ref="C80:C99" si="31">IFERROR(B80/$B$100,0)</f>
        <v>0</v>
      </c>
      <c r="D80" s="256">
        <f>SUM(D81:D96)</f>
        <v>0</v>
      </c>
      <c r="E80" s="256">
        <f>SUM(E81:E96)</f>
        <v>0</v>
      </c>
      <c r="F80" s="258">
        <f>SUM(F81:F96)</f>
        <v>0</v>
      </c>
      <c r="G80" s="186"/>
      <c r="I80" s="255" t="s">
        <v>308</v>
      </c>
      <c r="J80" s="256">
        <f>SUM(J81:J96)</f>
        <v>0</v>
      </c>
      <c r="K80" s="257">
        <f t="shared" ref="K80:K99" si="32">IFERROR(J80/$J$100,0)</f>
        <v>0</v>
      </c>
      <c r="L80" s="256">
        <f>SUM(L81:L96)</f>
        <v>0</v>
      </c>
      <c r="M80" s="256">
        <f>SUM(M81:M96)</f>
        <v>0</v>
      </c>
      <c r="N80" s="256">
        <f>SUM(N81:N96)</f>
        <v>0</v>
      </c>
      <c r="O80" s="186"/>
      <c r="Q80" s="255" t="s">
        <v>1294</v>
      </c>
      <c r="R80" s="266">
        <f>J80-B80</f>
        <v>0</v>
      </c>
      <c r="S80" s="267">
        <f>K80-C80</f>
        <v>0</v>
      </c>
      <c r="T80" s="266">
        <f>L80-D80</f>
        <v>0</v>
      </c>
      <c r="U80" s="266">
        <f>M80-E80</f>
        <v>0</v>
      </c>
      <c r="V80" s="266">
        <f>N80-F80</f>
        <v>0</v>
      </c>
      <c r="Y80" s="875" t="s">
        <v>1295</v>
      </c>
      <c r="Z80" s="188" t="s">
        <v>1296</v>
      </c>
      <c r="AB80" s="176"/>
      <c r="AC80" s="169"/>
    </row>
    <row r="81" spans="1:26" x14ac:dyDescent="0.25">
      <c r="A81" s="206" t="s">
        <v>309</v>
      </c>
      <c r="B81" s="202">
        <f>SUMIFS(AS!$W:$W,AS!$AB:$AB,AS!$AA$1,AS!$AK:$AK,$Y81,AS!$AH:$AH,$Y$8,AS!$AW:$AW,Tilanne!$Z$6,AS!$K:$K,Tilanne!$Z$1,AS!$X:$X,Tilanne!$Z$5,AS!$AV:$AV,Tilanne!$Z$2)</f>
        <v>0</v>
      </c>
      <c r="C81" s="207">
        <f t="shared" si="31"/>
        <v>0</v>
      </c>
      <c r="D81" s="201">
        <f>SUMIFS(AS!$W:$W,AS!$AB:$AB,AS!$AA$1,AS!$AK:$AK,$Y81,AS!$AH:$AH,$Y$8,AS!$F:$F,$Y$7,AS!$AW:$AW,Tilanne!$Z$6,AS!$K:$K,Tilanne!$Z$1,AS!$X:$X,Tilanne!$Z$5,AS!$AV:$AV,Tilanne!$Z$2)</f>
        <v>0</v>
      </c>
      <c r="E81" s="208">
        <f>SUMIFS(AS!$W:$W,AS!$AB:$AB,AS!$AA$1,AS!$AK:$AK,$Y81,AS!$AH:$AH,$Y$8,AS!$F:$F,$Z$7,AS!$AW:$AW,Tilanne!$Z$6,AS!$K:$K,Tilanne!$Z$1,AS!$X:$X,Tilanne!$Z$5,AS!$AV:$AV,Tilanne!$Z$2)</f>
        <v>0</v>
      </c>
      <c r="F81" s="209">
        <f>SUMIFS(AS!$W:$W,AS!$AB:$AB,AS!$AA$1,AS!$AK:$AK,$Y81,AS!$AH:$AH,$Z$8,AS!$AW:$AW,Tilanne!$Z$6,AS!$K:$K,Tilanne!$Z$1,AS!$X:$X,Tilanne!$Z$5,AS!$AV:$AV,Tilanne!$Z$2)</f>
        <v>0</v>
      </c>
      <c r="G81" s="186"/>
      <c r="I81" s="199" t="s">
        <v>309</v>
      </c>
      <c r="J81" s="200">
        <f>SUMIFS(AS!$W:$W,AS!$AB:$AB,AS!$AA$1,AS!$AP:$AP,$Y81,AS!$AH:$AH,$Y$8,AS!$AW:$AW,Tilanne!$Z$6,AS!$K:$K,Tilanne!$Z$1,AS!$X:$X,Tilanne!$Z$5,AS!$AV:$AV,Tilanne!$Z$2)</f>
        <v>0</v>
      </c>
      <c r="K81" s="207">
        <f t="shared" si="32"/>
        <v>0</v>
      </c>
      <c r="L81" s="201">
        <f>SUMIFS(AS!$W:$W,AS!$AB:$AB,AS!$AA$1,AS!$AP:$AP,$Y81,AS!$AH:$AH,$Y$8,AS!$F:$F,$Y$7,AS!$AW:$AW,Tilanne!$Z$6,AS!$K:$K,Tilanne!$Z$1,AS!$X:$X,Tilanne!$Z$5,AS!$AV:$AV,Tilanne!$Z$2)</f>
        <v>0</v>
      </c>
      <c r="M81" s="208">
        <f>SUMIFS(AS!$W:$W,AS!$AB:$AB,AS!$AA$1,AS!$AP:$AP,$Y81,AS!$AH:$AH,$Y$8,AS!$F:$F,$Z$7,AS!$AW:$AW,Tilanne!$Z$6,AS!$K:$K,Tilanne!$Z$1,AS!$X:$X,Tilanne!$Z$5,AS!$AV:$AV,Tilanne!$Z$2)</f>
        <v>0</v>
      </c>
      <c r="N81" s="208">
        <f>SUMIFS(AS!$W:$W,AS!$AB:$AB,AS!$AA$1,AS!$AP:$AP,$Y81,AS!$AH:$AH,"vanha",AS!$AW:$AW,Tilanne!$Z$6,AS!$K:$K,Tilanne!$Z$1,AS!$X:$X,Tilanne!$Z$5,AS!$AV:$AV,Tilanne!$Z$2)</f>
        <v>0</v>
      </c>
      <c r="O81" s="186"/>
      <c r="Q81" s="206" t="s">
        <v>309</v>
      </c>
      <c r="R81" s="193">
        <f t="shared" ref="R81:V97" si="33">J81-B81</f>
        <v>0</v>
      </c>
      <c r="S81" s="194">
        <f t="shared" si="33"/>
        <v>0</v>
      </c>
      <c r="T81" s="193">
        <f t="shared" si="33"/>
        <v>0</v>
      </c>
      <c r="U81" s="193">
        <f t="shared" si="33"/>
        <v>0</v>
      </c>
      <c r="V81" s="193">
        <f t="shared" si="33"/>
        <v>0</v>
      </c>
      <c r="Y81" s="104" t="s">
        <v>1297</v>
      </c>
    </row>
    <row r="82" spans="1:26" x14ac:dyDescent="0.25">
      <c r="A82" s="206" t="s">
        <v>312</v>
      </c>
      <c r="B82" s="202">
        <f>SUMIFS(AS!$W:$W,AS!$AB:$AB,AS!$AA$1,AS!$AK:$AK,$Y82,AS!$AH:$AH,$Y$8,AS!$AW:$AW,Tilanne!$Z$6,AS!$K:$K,Tilanne!$Z$1,AS!$X:$X,Tilanne!$Z$5,AS!$AV:$AV,Tilanne!$Z$2)</f>
        <v>0</v>
      </c>
      <c r="C82" s="207">
        <f t="shared" si="31"/>
        <v>0</v>
      </c>
      <c r="D82" s="201">
        <f>SUMIFS(AS!$W:$W,AS!$AB:$AB,AS!$AA$1,AS!$AK:$AK,$Y82,AS!$AH:$AH,$Y$8,AS!$F:$F,$Y$7,AS!$AW:$AW,Tilanne!$Z$6,AS!$K:$K,Tilanne!$Z$1,AS!$X:$X,Tilanne!$Z$5,AS!$AV:$AV,Tilanne!$Z$2)</f>
        <v>0</v>
      </c>
      <c r="E82" s="208">
        <f>SUMIFS(AS!$W:$W,AS!$AB:$AB,AS!$AA$1,AS!$AK:$AK,$Y82,AS!$AH:$AH,$Y$8,AS!$F:$F,$Z$7,AS!$AW:$AW,Tilanne!$Z$6,AS!$K:$K,Tilanne!$Z$1,AS!$X:$X,Tilanne!$Z$5,AS!$AV:$AV,Tilanne!$Z$2)</f>
        <v>0</v>
      </c>
      <c r="F82" s="209">
        <f>SUMIFS(AS!$W:$W,AS!$AB:$AB,AS!$AA$1,AS!$AK:$AK,$Y82,AS!$AH:$AH,$Z$8,AS!$AW:$AW,Tilanne!$Z$6,AS!$K:$K,Tilanne!$Z$1,AS!$X:$X,Tilanne!$Z$5,AS!$AV:$AV,Tilanne!$Z$2)</f>
        <v>0</v>
      </c>
      <c r="G82" s="186"/>
      <c r="I82" s="199" t="s">
        <v>312</v>
      </c>
      <c r="J82" s="200">
        <f>SUMIFS(AS!$W:$W,AS!$AB:$AB,AS!$AA$1,AS!$AP:$AP,$Y82,AS!$AH:$AH,$Y$8,AS!$AW:$AW,Tilanne!$Z$6,AS!$K:$K,Tilanne!$Z$1,AS!$X:$X,Tilanne!$Z$5,AS!$AV:$AV,Tilanne!$Z$2)</f>
        <v>0</v>
      </c>
      <c r="K82" s="207">
        <f t="shared" si="32"/>
        <v>0</v>
      </c>
      <c r="L82" s="201">
        <f>SUMIFS(AS!$W:$W,AS!$AB:$AB,AS!$AA$1,AS!$AP:$AP,$Y82,AS!$AH:$AH,$Y$8,AS!$F:$F,$Y$7,AS!$AW:$AW,Tilanne!$Z$6,AS!$K:$K,Tilanne!$Z$1,AS!$X:$X,Tilanne!$Z$5,AS!$AV:$AV,Tilanne!$Z$2)</f>
        <v>0</v>
      </c>
      <c r="M82" s="208">
        <f>SUMIFS(AS!$W:$W,AS!$AB:$AB,AS!$AA$1,AS!$AP:$AP,$Y82,AS!$AH:$AH,$Y$8,AS!$F:$F,$Z$7,AS!$AW:$AW,Tilanne!$Z$6,AS!$K:$K,Tilanne!$Z$1,AS!$X:$X,Tilanne!$Z$5,AS!$AV:$AV,Tilanne!$Z$2)</f>
        <v>0</v>
      </c>
      <c r="N82" s="208">
        <f>SUMIFS(AS!$W:$W,AS!$AB:$AB,AS!$AA$1,AS!$AP:$AP,$Y82,AS!$AH:$AH,"vanha",AS!$AW:$AW,Tilanne!$Z$6,AS!$K:$K,Tilanne!$Z$1,AS!$X:$X,Tilanne!$Z$5,AS!$AV:$AV,Tilanne!$Z$2)</f>
        <v>0</v>
      </c>
      <c r="O82" s="186"/>
      <c r="Q82" s="206" t="s">
        <v>312</v>
      </c>
      <c r="R82" s="193">
        <f t="shared" si="33"/>
        <v>0</v>
      </c>
      <c r="S82" s="194">
        <f t="shared" si="33"/>
        <v>0</v>
      </c>
      <c r="T82" s="193">
        <f t="shared" si="33"/>
        <v>0</v>
      </c>
      <c r="U82" s="193">
        <f t="shared" si="33"/>
        <v>0</v>
      </c>
      <c r="V82" s="193">
        <f t="shared" si="33"/>
        <v>0</v>
      </c>
      <c r="Y82" s="104" t="s">
        <v>1298</v>
      </c>
    </row>
    <row r="83" spans="1:26" x14ac:dyDescent="0.25">
      <c r="A83" s="206" t="s">
        <v>1299</v>
      </c>
      <c r="B83" s="202">
        <f>SUMIFS(AS!$W:$W,AS!$AB:$AB,AS!$AA$1,AS!$AK:$AK,$Y83,AS!$AH:$AH,$Y$8,AS!$AW:$AW,Tilanne!$Z$6,AS!$K:$K,Tilanne!$Z$1,AS!$X:$X,Tilanne!$Z$5,AS!$AV:$AV,Tilanne!$Z$2)</f>
        <v>0</v>
      </c>
      <c r="C83" s="207">
        <f t="shared" si="31"/>
        <v>0</v>
      </c>
      <c r="D83" s="201">
        <f>SUMIFS(AS!$W:$W,AS!$AB:$AB,AS!$AA$1,AS!$AK:$AK,$Y83,AS!$AH:$AH,$Y$8,AS!$F:$F,$Y$7,AS!$AW:$AW,Tilanne!$Z$6,AS!$K:$K,Tilanne!$Z$1,AS!$X:$X,Tilanne!$Z$5,AS!$AV:$AV,Tilanne!$Z$2)</f>
        <v>0</v>
      </c>
      <c r="E83" s="208">
        <f>SUMIFS(AS!$W:$W,AS!$AB:$AB,AS!$AA$1,AS!$AK:$AK,$Y83,AS!$AH:$AH,$Y$8,AS!$F:$F,$Z$7,AS!$AW:$AW,Tilanne!$Z$6,AS!$K:$K,Tilanne!$Z$1,AS!$X:$X,Tilanne!$Z$5,AS!$AV:$AV,Tilanne!$Z$2)</f>
        <v>0</v>
      </c>
      <c r="F83" s="209">
        <f>SUMIFS(AS!$W:$W,AS!$AB:$AB,AS!$AA$1,AS!$AK:$AK,$Y83,AS!$AH:$AH,$Z$8,AS!$AW:$AW,Tilanne!$Z$6,AS!$K:$K,Tilanne!$Z$1,AS!$X:$X,Tilanne!$Z$5,AS!$AV:$AV,Tilanne!$Z$2)</f>
        <v>0</v>
      </c>
      <c r="G83" s="186"/>
      <c r="I83" s="199" t="s">
        <v>1299</v>
      </c>
      <c r="J83" s="200">
        <f>SUMIFS(AS!$W:$W,AS!$AB:$AB,AS!$AA$1,AS!$AP:$AP,$Y83,AS!$AH:$AH,$Y$8,AS!$AW:$AW,Tilanne!$Z$6,AS!$K:$K,Tilanne!$Z$1,AS!$X:$X,Tilanne!$Z$5,AS!$AV:$AV,Tilanne!$Z$2)</f>
        <v>0</v>
      </c>
      <c r="K83" s="207">
        <f t="shared" si="32"/>
        <v>0</v>
      </c>
      <c r="L83" s="201">
        <f>SUMIFS(AS!$W:$W,AS!$AB:$AB,AS!$AA$1,AS!$AP:$AP,$Y83,AS!$AH:$AH,$Y$8,AS!$F:$F,$Y$7,AS!$AW:$AW,Tilanne!$Z$6,AS!$K:$K,Tilanne!$Z$1,AS!$X:$X,Tilanne!$Z$5,AS!$AV:$AV,Tilanne!$Z$2)</f>
        <v>0</v>
      </c>
      <c r="M83" s="208">
        <f>SUMIFS(AS!$W:$W,AS!$AB:$AB,AS!$AA$1,AS!$AP:$AP,$Y83,AS!$AH:$AH,$Y$8,AS!$F:$F,$Z$7,AS!$AW:$AW,Tilanne!$Z$6,AS!$K:$K,Tilanne!$Z$1,AS!$X:$X,Tilanne!$Z$5,AS!$AV:$AV,Tilanne!$Z$2)</f>
        <v>0</v>
      </c>
      <c r="N83" s="208">
        <f>SUMIFS(AS!$W:$W,AS!$AB:$AB,AS!$AA$1,AS!$AP:$AP,$Y83,AS!$AH:$AH,"vanha",AS!$AW:$AW,Tilanne!$Z$6,AS!$K:$K,Tilanne!$Z$1,AS!$X:$X,Tilanne!$Z$5,AS!$AV:$AV,Tilanne!$Z$2)</f>
        <v>0</v>
      </c>
      <c r="O83" s="186"/>
      <c r="Q83" s="206" t="s">
        <v>1299</v>
      </c>
      <c r="R83" s="193">
        <f t="shared" si="33"/>
        <v>0</v>
      </c>
      <c r="S83" s="194">
        <f t="shared" si="33"/>
        <v>0</v>
      </c>
      <c r="T83" s="193">
        <f t="shared" si="33"/>
        <v>0</v>
      </c>
      <c r="U83" s="193">
        <f t="shared" si="33"/>
        <v>0</v>
      </c>
      <c r="V83" s="193">
        <f t="shared" si="33"/>
        <v>0</v>
      </c>
      <c r="Y83" s="104" t="s">
        <v>1300</v>
      </c>
    </row>
    <row r="84" spans="1:26" x14ac:dyDescent="0.25">
      <c r="A84" s="206" t="s">
        <v>1301</v>
      </c>
      <c r="B84" s="202">
        <f>SUMIFS(AS!$W:$W,AS!$AB:$AB,AS!$AA$1,AS!$AK:$AK,$Y84,AS!$AH:$AH,$Y$8,AS!$AW:$AW,Tilanne!$Z$6,AS!$K:$K,Tilanne!$Z$1,AS!$X:$X,Tilanne!$Z$5,AS!$AV:$AV,Tilanne!$Z$2)</f>
        <v>0</v>
      </c>
      <c r="C84" s="207">
        <f t="shared" si="31"/>
        <v>0</v>
      </c>
      <c r="D84" s="201">
        <f>SUMIFS(AS!$W:$W,AS!$AB:$AB,AS!$AA$1,AS!$AK:$AK,$Y84,AS!$AH:$AH,$Y$8,AS!$F:$F,$Y$7,AS!$AW:$AW,Tilanne!$Z$6,AS!$K:$K,Tilanne!$Z$1,AS!$X:$X,Tilanne!$Z$5,AS!$AV:$AV,Tilanne!$Z$2)</f>
        <v>0</v>
      </c>
      <c r="E84" s="208">
        <f>SUMIFS(AS!$W:$W,AS!$AB:$AB,AS!$AA$1,AS!$AK:$AK,$Y84,AS!$AH:$AH,$Y$8,AS!$F:$F,$Z$7,AS!$AW:$AW,Tilanne!$Z$6,AS!$K:$K,Tilanne!$Z$1,AS!$X:$X,Tilanne!$Z$5,AS!$AV:$AV,Tilanne!$Z$2)</f>
        <v>0</v>
      </c>
      <c r="F84" s="209">
        <f>SUMIFS(AS!$W:$W,AS!$AB:$AB,AS!$AA$1,AS!$AK:$AK,$Y84,AS!$AH:$AH,$Z$8,AS!$AW:$AW,Tilanne!$Z$6,AS!$K:$K,Tilanne!$Z$1,AS!$X:$X,Tilanne!$Z$5,AS!$AV:$AV,Tilanne!$Z$2)</f>
        <v>0</v>
      </c>
      <c r="G84" s="186"/>
      <c r="I84" s="199" t="s">
        <v>1301</v>
      </c>
      <c r="J84" s="200">
        <f>SUMIFS(AS!$W:$W,AS!$AB:$AB,AS!$AA$1,AS!$AP:$AP,$Y84,AS!$AH:$AH,$Y$8,AS!$AW:$AW,Tilanne!$Z$6,AS!$K:$K,Tilanne!$Z$1,AS!$X:$X,Tilanne!$Z$5,AS!$AV:$AV,Tilanne!$Z$2)</f>
        <v>0</v>
      </c>
      <c r="K84" s="207">
        <f t="shared" si="32"/>
        <v>0</v>
      </c>
      <c r="L84" s="201">
        <f>SUMIFS(AS!$W:$W,AS!$AB:$AB,AS!$AA$1,AS!$AP:$AP,$Y84,AS!$AH:$AH,$Y$8,AS!$F:$F,$Y$7,AS!$AW:$AW,Tilanne!$Z$6,AS!$K:$K,Tilanne!$Z$1,AS!$X:$X,Tilanne!$Z$5,AS!$AV:$AV,Tilanne!$Z$2)</f>
        <v>0</v>
      </c>
      <c r="M84" s="208">
        <f>SUMIFS(AS!$W:$W,AS!$AB:$AB,AS!$AA$1,AS!$AP:$AP,$Y84,AS!$AH:$AH,$Y$8,AS!$F:$F,$Z$7,AS!$AW:$AW,Tilanne!$Z$6,AS!$K:$K,Tilanne!$Z$1,AS!$X:$X,Tilanne!$Z$5,AS!$AV:$AV,Tilanne!$Z$2)</f>
        <v>0</v>
      </c>
      <c r="N84" s="208">
        <f>SUMIFS(AS!$W:$W,AS!$AB:$AB,AS!$AA$1,AS!$AP:$AP,$Y84,AS!$AH:$AH,"vanha",AS!$AW:$AW,Tilanne!$Z$6,AS!$K:$K,Tilanne!$Z$1,AS!$X:$X,Tilanne!$Z$5,AS!$AV:$AV,Tilanne!$Z$2)</f>
        <v>0</v>
      </c>
      <c r="O84" s="186"/>
      <c r="Q84" s="206" t="s">
        <v>1301</v>
      </c>
      <c r="R84" s="193">
        <f t="shared" si="33"/>
        <v>0</v>
      </c>
      <c r="S84" s="194">
        <f t="shared" si="33"/>
        <v>0</v>
      </c>
      <c r="T84" s="193">
        <f t="shared" si="33"/>
        <v>0</v>
      </c>
      <c r="U84" s="193">
        <f t="shared" si="33"/>
        <v>0</v>
      </c>
      <c r="V84" s="193">
        <f t="shared" si="33"/>
        <v>0</v>
      </c>
      <c r="Y84" s="104" t="s">
        <v>1302</v>
      </c>
    </row>
    <row r="85" spans="1:26" x14ac:dyDescent="0.25">
      <c r="A85" s="206" t="s">
        <v>1303</v>
      </c>
      <c r="B85" s="202">
        <f>SUMIFS(AS!$W:$W,AS!$AB:$AB,AS!$AA$1,AS!$AK:$AK,$Y85,AS!$AH:$AH,$Y$8,AS!$AW:$AW,Tilanne!$Z$6,AS!$K:$K,Tilanne!$Z$1,AS!$X:$X,Tilanne!$Z$5,AS!$AV:$AV,Tilanne!$Z$2)</f>
        <v>0</v>
      </c>
      <c r="C85" s="207">
        <f t="shared" si="31"/>
        <v>0</v>
      </c>
      <c r="D85" s="201">
        <f>SUMIFS(AS!$W:$W,AS!$AB:$AB,AS!$AA$1,AS!$AK:$AK,$Y85,AS!$AH:$AH,$Y$8,AS!$F:$F,$Y$7,AS!$AW:$AW,Tilanne!$Z$6,AS!$K:$K,Tilanne!$Z$1,AS!$X:$X,Tilanne!$Z$5,AS!$AV:$AV,Tilanne!$Z$2)</f>
        <v>0</v>
      </c>
      <c r="E85" s="208">
        <f>SUMIFS(AS!$W:$W,AS!$AB:$AB,AS!$AA$1,AS!$AK:$AK,$Y85,AS!$AH:$AH,$Y$8,AS!$F:$F,$Z$7,AS!$AW:$AW,Tilanne!$Z$6,AS!$K:$K,Tilanne!$Z$1,AS!$X:$X,Tilanne!$Z$5,AS!$AV:$AV,Tilanne!$Z$2)</f>
        <v>0</v>
      </c>
      <c r="F85" s="209">
        <f>SUMIFS(AS!$W:$W,AS!$AB:$AB,AS!$AA$1,AS!$AK:$AK,$Y85,AS!$AH:$AH,$Z$8,AS!$AW:$AW,Tilanne!$Z$6,AS!$K:$K,Tilanne!$Z$1,AS!$X:$X,Tilanne!$Z$5,AS!$AV:$AV,Tilanne!$Z$2)</f>
        <v>0</v>
      </c>
      <c r="G85" s="186"/>
      <c r="I85" s="199" t="s">
        <v>1303</v>
      </c>
      <c r="J85" s="200">
        <f>SUMIFS(AS!$W:$W,AS!$AB:$AB,AS!$AA$1,AS!$AP:$AP,$Y85,AS!$AH:$AH,$Y$8,AS!$AW:$AW,Tilanne!$Z$6,AS!$K:$K,Tilanne!$Z$1,AS!$X:$X,Tilanne!$Z$5,AS!$AV:$AV,Tilanne!$Z$2)</f>
        <v>0</v>
      </c>
      <c r="K85" s="207">
        <f t="shared" si="32"/>
        <v>0</v>
      </c>
      <c r="L85" s="201">
        <f>SUMIFS(AS!$W:$W,AS!$AB:$AB,AS!$AA$1,AS!$AP:$AP,$Y85,AS!$AH:$AH,$Y$8,AS!$F:$F,$Y$7,AS!$AW:$AW,Tilanne!$Z$6,AS!$K:$K,Tilanne!$Z$1,AS!$X:$X,Tilanne!$Z$5,AS!$AV:$AV,Tilanne!$Z$2)</f>
        <v>0</v>
      </c>
      <c r="M85" s="208">
        <f>SUMIFS(AS!$W:$W,AS!$AB:$AB,AS!$AA$1,AS!$AP:$AP,$Y85,AS!$AH:$AH,$Y$8,AS!$F:$F,$Z$7,AS!$AW:$AW,Tilanne!$Z$6,AS!$K:$K,Tilanne!$Z$1,AS!$X:$X,Tilanne!$Z$5,AS!$AV:$AV,Tilanne!$Z$2)</f>
        <v>0</v>
      </c>
      <c r="N85" s="208">
        <f>SUMIFS(AS!$W:$W,AS!$AB:$AB,AS!$AA$1,AS!$AP:$AP,$Y85,AS!$AH:$AH,"vanha",AS!$AW:$AW,Tilanne!$Z$6,AS!$K:$K,Tilanne!$Z$1,AS!$X:$X,Tilanne!$Z$5,AS!$AV:$AV,Tilanne!$Z$2)</f>
        <v>0</v>
      </c>
      <c r="O85" s="186"/>
      <c r="Q85" s="206" t="s">
        <v>1303</v>
      </c>
      <c r="R85" s="193">
        <f t="shared" si="33"/>
        <v>0</v>
      </c>
      <c r="S85" s="194">
        <f t="shared" si="33"/>
        <v>0</v>
      </c>
      <c r="T85" s="193">
        <f t="shared" si="33"/>
        <v>0</v>
      </c>
      <c r="U85" s="193">
        <f t="shared" si="33"/>
        <v>0</v>
      </c>
      <c r="V85" s="193">
        <f t="shared" si="33"/>
        <v>0</v>
      </c>
      <c r="Y85" s="104" t="s">
        <v>1304</v>
      </c>
    </row>
    <row r="86" spans="1:26" x14ac:dyDescent="0.25">
      <c r="A86" s="206" t="s">
        <v>321</v>
      </c>
      <c r="B86" s="202">
        <f>SUMIFS(AS!$W:$W,AS!$AB:$AB,AS!$AA$1,AS!$AK:$AK,$Y86,AS!$AH:$AH,$Y$8,AS!$AW:$AW,Tilanne!$Z$6,AS!$K:$K,Tilanne!$Z$1,AS!$X:$X,Tilanne!$Z$5,AS!$AV:$AV,Tilanne!$Z$2)</f>
        <v>0</v>
      </c>
      <c r="C86" s="207">
        <f t="shared" si="31"/>
        <v>0</v>
      </c>
      <c r="D86" s="201">
        <f>SUMIFS(AS!$W:$W,AS!$AB:$AB,AS!$AA$1,AS!$AK:$AK,$Y86,AS!$AH:$AH,$Y$8,AS!$F:$F,$Y$7,AS!$AW:$AW,Tilanne!$Z$6,AS!$K:$K,Tilanne!$Z$1,AS!$X:$X,Tilanne!$Z$5,AS!$AV:$AV,Tilanne!$Z$2)</f>
        <v>0</v>
      </c>
      <c r="E86" s="208">
        <f>SUMIFS(AS!$W:$W,AS!$AB:$AB,AS!$AA$1,AS!$AK:$AK,$Y86,AS!$AH:$AH,$Y$8,AS!$F:$F,$Z$7,AS!$AW:$AW,Tilanne!$Z$6,AS!$K:$K,Tilanne!$Z$1,AS!$X:$X,Tilanne!$Z$5,AS!$AV:$AV,Tilanne!$Z$2)</f>
        <v>0</v>
      </c>
      <c r="F86" s="209">
        <f>SUMIFS(AS!$W:$W,AS!$AB:$AB,AS!$AA$1,AS!$AK:$AK,$Y86,AS!$AH:$AH,$Z$8,AS!$AW:$AW,Tilanne!$Z$6,AS!$K:$K,Tilanne!$Z$1,AS!$X:$X,Tilanne!$Z$5,AS!$AV:$AV,Tilanne!$Z$2)</f>
        <v>0</v>
      </c>
      <c r="G86" s="186"/>
      <c r="I86" s="199" t="s">
        <v>321</v>
      </c>
      <c r="J86" s="200">
        <f>SUMIFS(AS!$W:$W,AS!$AB:$AB,AS!$AA$1,AS!$AP:$AP,$Y86,AS!$AH:$AH,$Y$8,AS!$AW:$AW,Tilanne!$Z$6,AS!$K:$K,Tilanne!$Z$1,AS!$X:$X,Tilanne!$Z$5,AS!$AV:$AV,Tilanne!$Z$2)</f>
        <v>0</v>
      </c>
      <c r="K86" s="207">
        <f t="shared" si="32"/>
        <v>0</v>
      </c>
      <c r="L86" s="201">
        <f>SUMIFS(AS!$W:$W,AS!$AB:$AB,AS!$AA$1,AS!$AP:$AP,$Y86,AS!$AH:$AH,$Y$8,AS!$F:$F,$Y$7,AS!$AW:$AW,Tilanne!$Z$6,AS!$K:$K,Tilanne!$Z$1,AS!$X:$X,Tilanne!$Z$5,AS!$AV:$AV,Tilanne!$Z$2)</f>
        <v>0</v>
      </c>
      <c r="M86" s="208">
        <f>SUMIFS(AS!$W:$W,AS!$AB:$AB,AS!$AA$1,AS!$AP:$AP,$Y86,AS!$AH:$AH,$Y$8,AS!$F:$F,$Z$7,AS!$AW:$AW,Tilanne!$Z$6,AS!$K:$K,Tilanne!$Z$1,AS!$X:$X,Tilanne!$Z$5,AS!$AV:$AV,Tilanne!$Z$2)</f>
        <v>0</v>
      </c>
      <c r="N86" s="208">
        <f>SUMIFS(AS!$W:$W,AS!$AB:$AB,AS!$AA$1,AS!$AP:$AP,$Y86,AS!$AH:$AH,"vanha",AS!$AW:$AW,Tilanne!$Z$6,AS!$K:$K,Tilanne!$Z$1,AS!$X:$X,Tilanne!$Z$5,AS!$AV:$AV,Tilanne!$Z$2)</f>
        <v>0</v>
      </c>
      <c r="O86" s="186"/>
      <c r="P86" s="101"/>
      <c r="Q86" s="206" t="s">
        <v>321</v>
      </c>
      <c r="R86" s="193">
        <f t="shared" si="33"/>
        <v>0</v>
      </c>
      <c r="S86" s="194">
        <f t="shared" si="33"/>
        <v>0</v>
      </c>
      <c r="T86" s="193">
        <f t="shared" si="33"/>
        <v>0</v>
      </c>
      <c r="U86" s="193">
        <f t="shared" si="33"/>
        <v>0</v>
      </c>
      <c r="V86" s="193">
        <f t="shared" si="33"/>
        <v>0</v>
      </c>
      <c r="Y86" s="104" t="s">
        <v>1305</v>
      </c>
    </row>
    <row r="87" spans="1:26" x14ac:dyDescent="0.25">
      <c r="A87" s="206" t="s">
        <v>324</v>
      </c>
      <c r="B87" s="202">
        <f>SUMIFS(AS!$W:$W,AS!$AB:$AB,AS!$AA$1,AS!$AK:$AK,$Y87,AS!$AH:$AH,$Y$8,AS!$AW:$AW,Tilanne!$Z$6,AS!$K:$K,Tilanne!$Z$1,AS!$X:$X,Tilanne!$Z$5,AS!$AV:$AV,Tilanne!$Z$2)</f>
        <v>0</v>
      </c>
      <c r="C87" s="207">
        <f t="shared" si="31"/>
        <v>0</v>
      </c>
      <c r="D87" s="201">
        <f>SUMIFS(AS!$W:$W,AS!$AB:$AB,AS!$AA$1,AS!$AK:$AK,$Y87,AS!$AH:$AH,$Y$8,AS!$F:$F,$Y$7,AS!$AW:$AW,Tilanne!$Z$6,AS!$K:$K,Tilanne!$Z$1,AS!$X:$X,Tilanne!$Z$5,AS!$AV:$AV,Tilanne!$Z$2)</f>
        <v>0</v>
      </c>
      <c r="E87" s="208">
        <f>SUMIFS(AS!$W:$W,AS!$AB:$AB,AS!$AA$1,AS!$AK:$AK,$Y87,AS!$AH:$AH,$Y$8,AS!$F:$F,$Z$7,AS!$AW:$AW,Tilanne!$Z$6,AS!$K:$K,Tilanne!$Z$1,AS!$X:$X,Tilanne!$Z$5,AS!$AV:$AV,Tilanne!$Z$2)</f>
        <v>0</v>
      </c>
      <c r="F87" s="209">
        <f>SUMIFS(AS!$W:$W,AS!$AB:$AB,AS!$AA$1,AS!$AK:$AK,$Y87,AS!$AH:$AH,$Z$8,AS!$AW:$AW,Tilanne!$Z$6,AS!$K:$K,Tilanne!$Z$1,AS!$X:$X,Tilanne!$Z$5,AS!$AV:$AV,Tilanne!$Z$2)</f>
        <v>0</v>
      </c>
      <c r="G87" s="186"/>
      <c r="I87" s="199" t="s">
        <v>324</v>
      </c>
      <c r="J87" s="200">
        <f>SUMIFS(AS!$W:$W,AS!$AB:$AB,AS!$AA$1,AS!$AP:$AP,$Y87,AS!$AH:$AH,$Y$8,AS!$AW:$AW,Tilanne!$Z$6,AS!$K:$K,Tilanne!$Z$1,AS!$X:$X,Tilanne!$Z$5,AS!$AV:$AV,Tilanne!$Z$2)</f>
        <v>0</v>
      </c>
      <c r="K87" s="207">
        <f t="shared" si="32"/>
        <v>0</v>
      </c>
      <c r="L87" s="201">
        <f>SUMIFS(AS!$W:$W,AS!$AB:$AB,AS!$AA$1,AS!$AP:$AP,$Y87,AS!$AH:$AH,$Y$8,AS!$F:$F,$Y$7,AS!$AW:$AW,Tilanne!$Z$6,AS!$K:$K,Tilanne!$Z$1,AS!$X:$X,Tilanne!$Z$5,AS!$AV:$AV,Tilanne!$Z$2)</f>
        <v>0</v>
      </c>
      <c r="M87" s="208">
        <f>SUMIFS(AS!$W:$W,AS!$AB:$AB,AS!$AA$1,AS!$AP:$AP,$Y87,AS!$AH:$AH,$Y$8,AS!$F:$F,$Z$7,AS!$AW:$AW,Tilanne!$Z$6,AS!$K:$K,Tilanne!$Z$1,AS!$X:$X,Tilanne!$Z$5,AS!$AV:$AV,Tilanne!$Z$2)</f>
        <v>0</v>
      </c>
      <c r="N87" s="208">
        <f>SUMIFS(AS!$W:$W,AS!$AB:$AB,AS!$AA$1,AS!$AP:$AP,$Y87,AS!$AH:$AH,"vanha",AS!$AW:$AW,Tilanne!$Z$6,AS!$K:$K,Tilanne!$Z$1,AS!$X:$X,Tilanne!$Z$5,AS!$AV:$AV,Tilanne!$Z$2)</f>
        <v>0</v>
      </c>
      <c r="O87" s="186"/>
      <c r="P87" s="101"/>
      <c r="Q87" s="206" t="s">
        <v>324</v>
      </c>
      <c r="R87" s="193">
        <f t="shared" si="33"/>
        <v>0</v>
      </c>
      <c r="S87" s="194">
        <f t="shared" si="33"/>
        <v>0</v>
      </c>
      <c r="T87" s="193">
        <f t="shared" si="33"/>
        <v>0</v>
      </c>
      <c r="U87" s="193">
        <f t="shared" si="33"/>
        <v>0</v>
      </c>
      <c r="V87" s="193">
        <f t="shared" si="33"/>
        <v>0</v>
      </c>
      <c r="Y87" s="104" t="s">
        <v>1306</v>
      </c>
    </row>
    <row r="88" spans="1:26" x14ac:dyDescent="0.25">
      <c r="A88" s="206" t="s">
        <v>1307</v>
      </c>
      <c r="B88" s="202">
        <f>SUMIFS(AS!$W:$W,AS!$AB:$AB,AS!$AA$1,AS!$AK:$AK,$Y88,AS!$AH:$AH,$Y$8,AS!$AW:$AW,Tilanne!$Z$6,AS!$K:$K,Tilanne!$Z$1,AS!$X:$X,Tilanne!$Z$5,AS!$AV:$AV,Tilanne!$Z$2)</f>
        <v>0</v>
      </c>
      <c r="C88" s="207">
        <f t="shared" si="31"/>
        <v>0</v>
      </c>
      <c r="D88" s="201">
        <f>SUMIFS(AS!$W:$W,AS!$AB:$AB,AS!$AA$1,AS!$AK:$AK,$Y88,AS!$AH:$AH,$Y$8,AS!$F:$F,$Y$7,AS!$AW:$AW,Tilanne!$Z$6,AS!$K:$K,Tilanne!$Z$1,AS!$X:$X,Tilanne!$Z$5,AS!$AV:$AV,Tilanne!$Z$2)</f>
        <v>0</v>
      </c>
      <c r="E88" s="208">
        <f>SUMIFS(AS!$W:$W,AS!$AB:$AB,AS!$AA$1,AS!$AK:$AK,$Y88,AS!$AH:$AH,$Y$8,AS!$F:$F,$Z$7,AS!$AW:$AW,Tilanne!$Z$6,AS!$K:$K,Tilanne!$Z$1,AS!$X:$X,Tilanne!$Z$5,AS!$AV:$AV,Tilanne!$Z$2)</f>
        <v>0</v>
      </c>
      <c r="F88" s="209">
        <f>SUMIFS(AS!$W:$W,AS!$AB:$AB,AS!$AA$1,AS!$AK:$AK,$Y88,AS!$AH:$AH,$Z$8,AS!$AW:$AW,Tilanne!$Z$6,AS!$K:$K,Tilanne!$Z$1,AS!$X:$X,Tilanne!$Z$5,AS!$AV:$AV,Tilanne!$Z$2)</f>
        <v>0</v>
      </c>
      <c r="G88" s="186"/>
      <c r="I88" s="199" t="s">
        <v>1307</v>
      </c>
      <c r="J88" s="200">
        <f>SUMIFS(AS!$W:$W,AS!$AB:$AB,AS!$AA$1,AS!$AP:$AP,$Y88,AS!$AH:$AH,$Y$8,AS!$AW:$AW,Tilanne!$Z$6,AS!$K:$K,Tilanne!$Z$1,AS!$X:$X,Tilanne!$Z$5,AS!$AV:$AV,Tilanne!$Z$2)</f>
        <v>0</v>
      </c>
      <c r="K88" s="207">
        <f t="shared" si="32"/>
        <v>0</v>
      </c>
      <c r="L88" s="201">
        <f>SUMIFS(AS!$W:$W,AS!$AB:$AB,AS!$AA$1,AS!$AP:$AP,$Y88,AS!$AH:$AH,$Y$8,AS!$F:$F,$Y$7,AS!$AW:$AW,Tilanne!$Z$6,AS!$K:$K,Tilanne!$Z$1,AS!$X:$X,Tilanne!$Z$5,AS!$AV:$AV,Tilanne!$Z$2)</f>
        <v>0</v>
      </c>
      <c r="M88" s="208">
        <f>SUMIFS(AS!$W:$W,AS!$AB:$AB,AS!$AA$1,AS!$AP:$AP,$Y88,AS!$AH:$AH,$Y$8,AS!$F:$F,$Z$7,AS!$AW:$AW,Tilanne!$Z$6,AS!$K:$K,Tilanne!$Z$1,AS!$X:$X,Tilanne!$Z$5,AS!$AV:$AV,Tilanne!$Z$2)</f>
        <v>0</v>
      </c>
      <c r="N88" s="208">
        <f>SUMIFS(AS!$W:$W,AS!$AB:$AB,AS!$AA$1,AS!$AP:$AP,$Y88,AS!$AH:$AH,"vanha",AS!$AW:$AW,Tilanne!$Z$6,AS!$K:$K,Tilanne!$Z$1,AS!$X:$X,Tilanne!$Z$5,AS!$AV:$AV,Tilanne!$Z$2)</f>
        <v>0</v>
      </c>
      <c r="O88" s="186"/>
      <c r="P88" s="101"/>
      <c r="Q88" s="206" t="s">
        <v>1307</v>
      </c>
      <c r="R88" s="193">
        <f t="shared" si="33"/>
        <v>0</v>
      </c>
      <c r="S88" s="194">
        <f t="shared" si="33"/>
        <v>0</v>
      </c>
      <c r="T88" s="193">
        <f t="shared" si="33"/>
        <v>0</v>
      </c>
      <c r="U88" s="193">
        <f t="shared" si="33"/>
        <v>0</v>
      </c>
      <c r="V88" s="193">
        <f t="shared" si="33"/>
        <v>0</v>
      </c>
      <c r="Y88" s="210" t="s">
        <v>1308</v>
      </c>
    </row>
    <row r="89" spans="1:26" x14ac:dyDescent="0.25">
      <c r="A89" s="206" t="s">
        <v>1309</v>
      </c>
      <c r="B89" s="202">
        <f>SUMIFS(AS!$W:$W,AS!$AB:$AB,AS!$AA$1,AS!$AK:$AK,$Y89,AS!$AH:$AH,$Y$8,AS!$AW:$AW,Tilanne!$Z$6,AS!$K:$K,Tilanne!$Z$1,AS!$X:$X,Tilanne!$Z$5,AS!$AV:$AV,Tilanne!$Z$2)</f>
        <v>0</v>
      </c>
      <c r="C89" s="207">
        <f t="shared" si="31"/>
        <v>0</v>
      </c>
      <c r="D89" s="201">
        <f>SUMIFS(AS!$W:$W,AS!$AB:$AB,AS!$AA$1,AS!$AK:$AK,$Y89,AS!$AH:$AH,$Y$8,AS!$F:$F,$Y$7,AS!$AW:$AW,Tilanne!$Z$6,AS!$K:$K,Tilanne!$Z$1,AS!$X:$X,Tilanne!$Z$5,AS!$AV:$AV,Tilanne!$Z$2)</f>
        <v>0</v>
      </c>
      <c r="E89" s="208">
        <f>SUMIFS(AS!$W:$W,AS!$AB:$AB,AS!$AA$1,AS!$AK:$AK,$Y89,AS!$AH:$AH,$Y$8,AS!$F:$F,$Z$7,AS!$AW:$AW,Tilanne!$Z$6,AS!$K:$K,Tilanne!$Z$1,AS!$X:$X,Tilanne!$Z$5,AS!$AV:$AV,Tilanne!$Z$2)</f>
        <v>0</v>
      </c>
      <c r="F89" s="209">
        <f>SUMIFS(AS!$W:$W,AS!$AB:$AB,AS!$AA$1,AS!$AK:$AK,$Y89,AS!$AH:$AH,$Z$8,AS!$AW:$AW,Tilanne!$Z$6,AS!$K:$K,Tilanne!$Z$1,AS!$X:$X,Tilanne!$Z$5,AS!$AV:$AV,Tilanne!$Z$2)</f>
        <v>0</v>
      </c>
      <c r="G89" s="186"/>
      <c r="I89" s="199" t="s">
        <v>1309</v>
      </c>
      <c r="J89" s="200">
        <f>SUMIFS(AS!$W:$W,AS!$AB:$AB,AS!$AA$1,AS!$AP:$AP,$Y89,AS!$AH:$AH,$Y$8,AS!$AW:$AW,Tilanne!$Z$6,AS!$K:$K,Tilanne!$Z$1,AS!$X:$X,Tilanne!$Z$5,AS!$AV:$AV,Tilanne!$Z$2)</f>
        <v>0</v>
      </c>
      <c r="K89" s="207">
        <f t="shared" si="32"/>
        <v>0</v>
      </c>
      <c r="L89" s="201">
        <f>SUMIFS(AS!$W:$W,AS!$AB:$AB,AS!$AA$1,AS!$AP:$AP,$Y89,AS!$AH:$AH,$Y$8,AS!$F:$F,$Y$7,AS!$AW:$AW,Tilanne!$Z$6,AS!$K:$K,Tilanne!$Z$1,AS!$X:$X,Tilanne!$Z$5,AS!$AV:$AV,Tilanne!$Z$2)</f>
        <v>0</v>
      </c>
      <c r="M89" s="208">
        <f>SUMIFS(AS!$W:$W,AS!$AB:$AB,AS!$AA$1,AS!$AP:$AP,$Y89,AS!$AH:$AH,$Y$8,AS!$F:$F,$Z$7,AS!$AW:$AW,Tilanne!$Z$6,AS!$K:$K,Tilanne!$Z$1,AS!$X:$X,Tilanne!$Z$5,AS!$AV:$AV,Tilanne!$Z$2)</f>
        <v>0</v>
      </c>
      <c r="N89" s="208">
        <f>SUMIFS(AS!$W:$W,AS!$AB:$AB,AS!$AA$1,AS!$AP:$AP,$Y89,AS!$AH:$AH,"vanha",AS!$AW:$AW,Tilanne!$Z$6,AS!$K:$K,Tilanne!$Z$1,AS!$X:$X,Tilanne!$Z$5,AS!$AV:$AV,Tilanne!$Z$2)</f>
        <v>0</v>
      </c>
      <c r="O89" s="186"/>
      <c r="P89" s="101"/>
      <c r="Q89" s="206" t="s">
        <v>1309</v>
      </c>
      <c r="R89" s="193">
        <f t="shared" si="33"/>
        <v>0</v>
      </c>
      <c r="S89" s="194">
        <f t="shared" si="33"/>
        <v>0</v>
      </c>
      <c r="T89" s="193">
        <f t="shared" si="33"/>
        <v>0</v>
      </c>
      <c r="U89" s="193">
        <f t="shared" si="33"/>
        <v>0</v>
      </c>
      <c r="V89" s="193">
        <f t="shared" si="33"/>
        <v>0</v>
      </c>
      <c r="Y89" s="210" t="s">
        <v>1310</v>
      </c>
    </row>
    <row r="90" spans="1:26" x14ac:dyDescent="0.25">
      <c r="A90" s="206" t="s">
        <v>329</v>
      </c>
      <c r="B90" s="202">
        <f>SUMIFS(AS!$W:$W,AS!$AB:$AB,AS!$AA$1,AS!$AK:$AK,$Y90,AS!$AH:$AH,$Y$8,AS!$AW:$AW,Tilanne!$Z$6,AS!$K:$K,Tilanne!$Z$1,AS!$X:$X,Tilanne!$Z$5,AS!$AV:$AV,Tilanne!$Z$2)</f>
        <v>0</v>
      </c>
      <c r="C90" s="207">
        <f t="shared" si="31"/>
        <v>0</v>
      </c>
      <c r="D90" s="201">
        <f>SUMIFS(AS!$W:$W,AS!$AB:$AB,AS!$AA$1,AS!$AK:$AK,$Y90,AS!$AH:$AH,$Y$8,AS!$F:$F,$Y$7,AS!$AW:$AW,Tilanne!$Z$6,AS!$K:$K,Tilanne!$Z$1,AS!$X:$X,Tilanne!$Z$5,AS!$AV:$AV,Tilanne!$Z$2)</f>
        <v>0</v>
      </c>
      <c r="E90" s="208">
        <f>SUMIFS(AS!$W:$W,AS!$AB:$AB,AS!$AA$1,AS!$AK:$AK,$Y90,AS!$AH:$AH,$Y$8,AS!$F:$F,$Z$7,AS!$AW:$AW,Tilanne!$Z$6,AS!$K:$K,Tilanne!$Z$1,AS!$X:$X,Tilanne!$Z$5,AS!$AV:$AV,Tilanne!$Z$2)</f>
        <v>0</v>
      </c>
      <c r="F90" s="209">
        <f>SUMIFS(AS!$W:$W,AS!$AB:$AB,AS!$AA$1,AS!$AK:$AK,$Y90,AS!$AH:$AH,$Z$8,AS!$AW:$AW,Tilanne!$Z$6,AS!$K:$K,Tilanne!$Z$1,AS!$X:$X,Tilanne!$Z$5,AS!$AV:$AV,Tilanne!$Z$2)</f>
        <v>0</v>
      </c>
      <c r="G90" s="186"/>
      <c r="I90" s="199" t="s">
        <v>329</v>
      </c>
      <c r="J90" s="200">
        <f>SUMIFS(AS!$W:$W,AS!$AB:$AB,AS!$AA$1,AS!$AP:$AP,$Y90,AS!$AH:$AH,$Y$8,AS!$AW:$AW,Tilanne!$Z$6,AS!$K:$K,Tilanne!$Z$1,AS!$X:$X,Tilanne!$Z$5,AS!$AV:$AV,Tilanne!$Z$2)</f>
        <v>0</v>
      </c>
      <c r="K90" s="207">
        <f t="shared" si="32"/>
        <v>0</v>
      </c>
      <c r="L90" s="201">
        <f>SUMIFS(AS!$W:$W,AS!$AB:$AB,AS!$AA$1,AS!$AP:$AP,$Y90,AS!$AH:$AH,$Y$8,AS!$F:$F,$Y$7,AS!$AW:$AW,Tilanne!$Z$6,AS!$K:$K,Tilanne!$Z$1,AS!$X:$X,Tilanne!$Z$5,AS!$AV:$AV,Tilanne!$Z$2)</f>
        <v>0</v>
      </c>
      <c r="M90" s="208">
        <f>SUMIFS(AS!$W:$W,AS!$AB:$AB,AS!$AA$1,AS!$AP:$AP,$Y90,AS!$AH:$AH,$Y$8,AS!$F:$F,$Z$7,AS!$AW:$AW,Tilanne!$Z$6,AS!$K:$K,Tilanne!$Z$1,AS!$X:$X,Tilanne!$Z$5,AS!$AV:$AV,Tilanne!$Z$2)</f>
        <v>0</v>
      </c>
      <c r="N90" s="208">
        <f>SUMIFS(AS!$W:$W,AS!$AB:$AB,AS!$AA$1,AS!$AP:$AP,$Y90,AS!$AH:$AH,"vanha",AS!$AW:$AW,Tilanne!$Z$6,AS!$K:$K,Tilanne!$Z$1,AS!$X:$X,Tilanne!$Z$5,AS!$AV:$AV,Tilanne!$Z$2)</f>
        <v>0</v>
      </c>
      <c r="O90" s="186"/>
      <c r="P90" s="101"/>
      <c r="Q90" s="206" t="s">
        <v>329</v>
      </c>
      <c r="R90" s="193">
        <f t="shared" si="33"/>
        <v>0</v>
      </c>
      <c r="S90" s="194">
        <f t="shared" si="33"/>
        <v>0</v>
      </c>
      <c r="T90" s="193">
        <f t="shared" si="33"/>
        <v>0</v>
      </c>
      <c r="U90" s="193">
        <f t="shared" si="33"/>
        <v>0</v>
      </c>
      <c r="V90" s="193">
        <f t="shared" si="33"/>
        <v>0</v>
      </c>
      <c r="Y90" s="210" t="s">
        <v>1311</v>
      </c>
    </row>
    <row r="91" spans="1:26" x14ac:dyDescent="0.25">
      <c r="A91" s="206" t="s">
        <v>1312</v>
      </c>
      <c r="B91" s="202">
        <f>SUMIFS(AS!$W:$W,AS!$AB:$AB,AS!$AA$1,AS!$AK:$AK,$Y91,AS!$AH:$AH,$Y$8,AS!$AW:$AW,Tilanne!$Z$6,AS!$K:$K,Tilanne!$Z$1,AS!$X:$X,Tilanne!$Z$5,AS!$AV:$AV,Tilanne!$Z$2)</f>
        <v>0</v>
      </c>
      <c r="C91" s="207">
        <f t="shared" si="31"/>
        <v>0</v>
      </c>
      <c r="D91" s="201">
        <f>SUMIFS(AS!$W:$W,AS!$AB:$AB,AS!$AA$1,AS!$AK:$AK,$Y91,AS!$AH:$AH,$Y$8,AS!$F:$F,$Y$7,AS!$AW:$AW,Tilanne!$Z$6,AS!$K:$K,Tilanne!$Z$1,AS!$X:$X,Tilanne!$Z$5,AS!$AV:$AV,Tilanne!$Z$2)</f>
        <v>0</v>
      </c>
      <c r="E91" s="208">
        <f>SUMIFS(AS!$W:$W,AS!$AB:$AB,AS!$AA$1,AS!$AK:$AK,$Y91,AS!$AH:$AH,$Y$8,AS!$F:$F,$Z$7,AS!$AW:$AW,Tilanne!$Z$6,AS!$K:$K,Tilanne!$Z$1,AS!$X:$X,Tilanne!$Z$5,AS!$AV:$AV,Tilanne!$Z$2)</f>
        <v>0</v>
      </c>
      <c r="F91" s="209">
        <f>SUMIFS(AS!$W:$W,AS!$AB:$AB,AS!$AA$1,AS!$AK:$AK,$Y91,AS!$AH:$AH,$Z$8,AS!$AW:$AW,Tilanne!$Z$6,AS!$K:$K,Tilanne!$Z$1,AS!$X:$X,Tilanne!$Z$5,AS!$AV:$AV,Tilanne!$Z$2)</f>
        <v>0</v>
      </c>
      <c r="G91" s="186"/>
      <c r="I91" s="199" t="s">
        <v>1312</v>
      </c>
      <c r="J91" s="200">
        <f>SUMIFS(AS!$W:$W,AS!$AB:$AB,AS!$AA$1,AS!$AP:$AP,$Y91,AS!$AH:$AH,$Y$8,AS!$AW:$AW,Tilanne!$Z$6,AS!$K:$K,Tilanne!$Z$1,AS!$X:$X,Tilanne!$Z$5,AS!$AV:$AV,Tilanne!$Z$2)</f>
        <v>0</v>
      </c>
      <c r="K91" s="207">
        <f t="shared" si="32"/>
        <v>0</v>
      </c>
      <c r="L91" s="201">
        <f>SUMIFS(AS!$W:$W,AS!$AB:$AB,AS!$AA$1,AS!$AP:$AP,$Y91,AS!$AH:$AH,$Y$8,AS!$F:$F,$Y$7,AS!$AW:$AW,Tilanne!$Z$6,AS!$K:$K,Tilanne!$Z$1,AS!$X:$X,Tilanne!$Z$5,AS!$AV:$AV,Tilanne!$Z$2)</f>
        <v>0</v>
      </c>
      <c r="M91" s="208">
        <f>SUMIFS(AS!$W:$W,AS!$AB:$AB,AS!$AA$1,AS!$AP:$AP,$Y91,AS!$AH:$AH,$Y$8,AS!$F:$F,$Z$7,AS!$AW:$AW,Tilanne!$Z$6,AS!$K:$K,Tilanne!$Z$1,AS!$X:$X,Tilanne!$Z$5,AS!$AV:$AV,Tilanne!$Z$2)</f>
        <v>0</v>
      </c>
      <c r="N91" s="208">
        <f>SUMIFS(AS!$W:$W,AS!$AB:$AB,AS!$AA$1,AS!$AP:$AP,$Y91,AS!$AH:$AH,"vanha",AS!$AW:$AW,Tilanne!$Z$6,AS!$K:$K,Tilanne!$Z$1,AS!$X:$X,Tilanne!$Z$5,AS!$AV:$AV,Tilanne!$Z$2)</f>
        <v>0</v>
      </c>
      <c r="O91" s="186"/>
      <c r="P91" s="101"/>
      <c r="Q91" s="206" t="s">
        <v>1312</v>
      </c>
      <c r="R91" s="193">
        <f t="shared" si="33"/>
        <v>0</v>
      </c>
      <c r="S91" s="194">
        <f t="shared" si="33"/>
        <v>0</v>
      </c>
      <c r="T91" s="193">
        <f t="shared" si="33"/>
        <v>0</v>
      </c>
      <c r="U91" s="193">
        <f t="shared" si="33"/>
        <v>0</v>
      </c>
      <c r="V91" s="193">
        <f t="shared" si="33"/>
        <v>0</v>
      </c>
      <c r="Y91" s="210" t="s">
        <v>1313</v>
      </c>
    </row>
    <row r="92" spans="1:26" x14ac:dyDescent="0.25">
      <c r="A92" s="206" t="s">
        <v>1314</v>
      </c>
      <c r="B92" s="202">
        <f>SUMIFS(AS!$W:$W,AS!$AB:$AB,AS!$AA$1,AS!$AK:$AK,$Y92,AS!$AH:$AH,$Y$8,AS!$AW:$AW,Tilanne!$Z$6,AS!$K:$K,Tilanne!$Z$1,AS!$X:$X,Tilanne!$Z$5,AS!$AV:$AV,Tilanne!$Z$2)</f>
        <v>0</v>
      </c>
      <c r="C92" s="207">
        <f t="shared" si="31"/>
        <v>0</v>
      </c>
      <c r="D92" s="201">
        <f>SUMIFS(AS!$W:$W,AS!$AB:$AB,AS!$AA$1,AS!$AK:$AK,$Y92,AS!$AH:$AH,$Y$8,AS!$F:$F,$Y$7,AS!$AW:$AW,Tilanne!$Z$6,AS!$K:$K,Tilanne!$Z$1,AS!$X:$X,Tilanne!$Z$5,AS!$AV:$AV,Tilanne!$Z$2)</f>
        <v>0</v>
      </c>
      <c r="E92" s="208">
        <f>SUMIFS(AS!$W:$W,AS!$AB:$AB,AS!$AA$1,AS!$AK:$AK,$Y92,AS!$AH:$AH,$Y$8,AS!$F:$F,$Z$7,AS!$AW:$AW,Tilanne!$Z$6,AS!$K:$K,Tilanne!$Z$1,AS!$X:$X,Tilanne!$Z$5,AS!$AV:$AV,Tilanne!$Z$2)</f>
        <v>0</v>
      </c>
      <c r="F92" s="209">
        <f>SUMIFS(AS!$W:$W,AS!$AB:$AB,AS!$AA$1,AS!$AK:$AK,$Y92,AS!$AH:$AH,$Z$8,AS!$AW:$AW,Tilanne!$Z$6,AS!$K:$K,Tilanne!$Z$1,AS!$X:$X,Tilanne!$Z$5,AS!$AV:$AV,Tilanne!$Z$2)</f>
        <v>0</v>
      </c>
      <c r="G92" s="186"/>
      <c r="I92" s="199" t="s">
        <v>1314</v>
      </c>
      <c r="J92" s="200">
        <f>SUMIFS(AS!$W:$W,AS!$AB:$AB,AS!$AA$1,AS!$AP:$AP,$Y92,AS!$AH:$AH,$Y$8,AS!$AW:$AW,Tilanne!$Z$6,AS!$K:$K,Tilanne!$Z$1,AS!$X:$X,Tilanne!$Z$5,AS!$AV:$AV,Tilanne!$Z$2)</f>
        <v>0</v>
      </c>
      <c r="K92" s="207">
        <f t="shared" si="32"/>
        <v>0</v>
      </c>
      <c r="L92" s="201">
        <f>SUMIFS(AS!$W:$W,AS!$AB:$AB,AS!$AA$1,AS!$AP:$AP,$Y92,AS!$AH:$AH,$Y$8,AS!$F:$F,$Y$7,AS!$AW:$AW,Tilanne!$Z$6,AS!$K:$K,Tilanne!$Z$1,AS!$X:$X,Tilanne!$Z$5,AS!$AV:$AV,Tilanne!$Z$2)</f>
        <v>0</v>
      </c>
      <c r="M92" s="208">
        <f>SUMIFS(AS!$W:$W,AS!$AB:$AB,AS!$AA$1,AS!$AP:$AP,$Y92,AS!$AH:$AH,$Y$8,AS!$F:$F,$Z$7,AS!$AW:$AW,Tilanne!$Z$6,AS!$K:$K,Tilanne!$Z$1,AS!$X:$X,Tilanne!$Z$5,AS!$AV:$AV,Tilanne!$Z$2)</f>
        <v>0</v>
      </c>
      <c r="N92" s="208">
        <f>SUMIFS(AS!$W:$W,AS!$AB:$AB,AS!$AA$1,AS!$AP:$AP,$Y92,AS!$AH:$AH,"vanha",AS!$AW:$AW,Tilanne!$Z$6,AS!$K:$K,Tilanne!$Z$1,AS!$X:$X,Tilanne!$Z$5,AS!$AV:$AV,Tilanne!$Z$2)</f>
        <v>0</v>
      </c>
      <c r="O92" s="186"/>
      <c r="P92" s="101"/>
      <c r="Q92" s="206" t="s">
        <v>1314</v>
      </c>
      <c r="R92" s="193">
        <f t="shared" si="33"/>
        <v>0</v>
      </c>
      <c r="S92" s="194">
        <f t="shared" si="33"/>
        <v>0</v>
      </c>
      <c r="T92" s="193">
        <f t="shared" si="33"/>
        <v>0</v>
      </c>
      <c r="U92" s="193">
        <f t="shared" si="33"/>
        <v>0</v>
      </c>
      <c r="V92" s="193">
        <f t="shared" si="33"/>
        <v>0</v>
      </c>
      <c r="Y92" s="210" t="s">
        <v>1315</v>
      </c>
    </row>
    <row r="93" spans="1:26" x14ac:dyDescent="0.25">
      <c r="A93" s="206" t="s">
        <v>1316</v>
      </c>
      <c r="B93" s="202">
        <f>SUMIFS(AS!$W:$W,AS!$AB:$AB,AS!$AA$1,AS!$AK:$AK,$Y93,AS!$AH:$AH,$Y$8,AS!$AW:$AW,Tilanne!$Z$6,AS!$K:$K,Tilanne!$Z$1,AS!$X:$X,Tilanne!$Z$5,AS!$AV:$AV,Tilanne!$Z$2)</f>
        <v>0</v>
      </c>
      <c r="C93" s="207">
        <f t="shared" si="31"/>
        <v>0</v>
      </c>
      <c r="D93" s="201">
        <f>SUMIFS(AS!$W:$W,AS!$AB:$AB,AS!$AA$1,AS!$AK:$AK,$Y93,AS!$AH:$AH,$Y$8,AS!$F:$F,$Y$7,AS!$AW:$AW,Tilanne!$Z$6,AS!$K:$K,Tilanne!$Z$1,AS!$X:$X,Tilanne!$Z$5,AS!$AV:$AV,Tilanne!$Z$2)</f>
        <v>0</v>
      </c>
      <c r="E93" s="208">
        <f>SUMIFS(AS!$W:$W,AS!$AB:$AB,AS!$AA$1,AS!$AK:$AK,$Y93,AS!$AH:$AH,$Y$8,AS!$F:$F,$Z$7,AS!$AW:$AW,Tilanne!$Z$6,AS!$K:$K,Tilanne!$Z$1,AS!$X:$X,Tilanne!$Z$5,AS!$AV:$AV,Tilanne!$Z$2)</f>
        <v>0</v>
      </c>
      <c r="F93" s="209">
        <f>SUMIFS(AS!$W:$W,AS!$AB:$AB,AS!$AA$1,AS!$AK:$AK,$Y93,AS!$AH:$AH,$Z$8,AS!$AW:$AW,Tilanne!$Z$6,AS!$K:$K,Tilanne!$Z$1,AS!$X:$X,Tilanne!$Z$5,AS!$AV:$AV,Tilanne!$Z$2)</f>
        <v>0</v>
      </c>
      <c r="G93" s="186"/>
      <c r="I93" s="199" t="s">
        <v>1316</v>
      </c>
      <c r="J93" s="200">
        <f>SUMIFS(AS!$W:$W,AS!$AB:$AB,AS!$AA$1,AS!$AP:$AP,$Y93,AS!$AH:$AH,$Y$8,AS!$AW:$AW,Tilanne!$Z$6,AS!$K:$K,Tilanne!$Z$1,AS!$X:$X,Tilanne!$Z$5,AS!$AV:$AV,Tilanne!$Z$2)</f>
        <v>0</v>
      </c>
      <c r="K93" s="207">
        <f t="shared" si="32"/>
        <v>0</v>
      </c>
      <c r="L93" s="201">
        <f>SUMIFS(AS!$W:$W,AS!$AB:$AB,AS!$AA$1,AS!$AP:$AP,$Y93,AS!$AH:$AH,$Y$8,AS!$F:$F,$Y$7,AS!$AW:$AW,Tilanne!$Z$6,AS!$K:$K,Tilanne!$Z$1,AS!$X:$X,Tilanne!$Z$5,AS!$AV:$AV,Tilanne!$Z$2)</f>
        <v>0</v>
      </c>
      <c r="M93" s="208">
        <f>SUMIFS(AS!$W:$W,AS!$AB:$AB,AS!$AA$1,AS!$AP:$AP,$Y93,AS!$AH:$AH,$Y$8,AS!$F:$F,$Z$7,AS!$AW:$AW,Tilanne!$Z$6,AS!$K:$K,Tilanne!$Z$1,AS!$X:$X,Tilanne!$Z$5,AS!$AV:$AV,Tilanne!$Z$2)</f>
        <v>0</v>
      </c>
      <c r="N93" s="208">
        <f>SUMIFS(AS!$W:$W,AS!$AB:$AB,AS!$AA$1,AS!$AP:$AP,$Y93,AS!$AH:$AH,"vanha",AS!$AW:$AW,Tilanne!$Z$6,AS!$K:$K,Tilanne!$Z$1,AS!$X:$X,Tilanne!$Z$5,AS!$AV:$AV,Tilanne!$Z$2)</f>
        <v>0</v>
      </c>
      <c r="O93" s="186"/>
      <c r="P93" s="101"/>
      <c r="Q93" s="206" t="s">
        <v>1316</v>
      </c>
      <c r="R93" s="193">
        <f t="shared" si="33"/>
        <v>0</v>
      </c>
      <c r="S93" s="194">
        <f t="shared" si="33"/>
        <v>0</v>
      </c>
      <c r="T93" s="193">
        <f t="shared" si="33"/>
        <v>0</v>
      </c>
      <c r="U93" s="193">
        <f t="shared" si="33"/>
        <v>0</v>
      </c>
      <c r="V93" s="193">
        <f t="shared" si="33"/>
        <v>0</v>
      </c>
      <c r="Y93" s="210" t="s">
        <v>1317</v>
      </c>
    </row>
    <row r="94" spans="1:26" x14ac:dyDescent="0.25">
      <c r="A94" s="206" t="s">
        <v>413</v>
      </c>
      <c r="B94" s="202">
        <f>SUMIFS(AS!$W:$W,AS!$AB:$AB,AS!$AA$1,AS!$AK:$AK,$Y94,AS!$AH:$AH,$Y$8,AS!$AW:$AW,Tilanne!$Z$6,AS!$K:$K,Tilanne!$Z$1,AS!$X:$X,Tilanne!$Z$5,AS!$AV:$AV,Tilanne!$Z$2)</f>
        <v>0</v>
      </c>
      <c r="C94" s="207">
        <f t="shared" si="31"/>
        <v>0</v>
      </c>
      <c r="D94" s="201">
        <f>SUMIFS(AS!$W:$W,AS!$AB:$AB,AS!$AA$1,AS!$AK:$AK,$Y94,AS!$AH:$AH,$Y$8,AS!$F:$F,$Y$7,AS!$AW:$AW,Tilanne!$Z$6,AS!$K:$K,Tilanne!$Z$1,AS!$X:$X,Tilanne!$Z$5,AS!$AV:$AV,Tilanne!$Z$2)</f>
        <v>0</v>
      </c>
      <c r="E94" s="208">
        <f>SUMIFS(AS!$W:$W,AS!$AB:$AB,AS!$AA$1,AS!$AK:$AK,$Y94,AS!$AH:$AH,$Y$8,AS!$F:$F,$Z$7,AS!$AW:$AW,Tilanne!$Z$6,AS!$K:$K,Tilanne!$Z$1,AS!$X:$X,Tilanne!$Z$5,AS!$AV:$AV,Tilanne!$Z$2)</f>
        <v>0</v>
      </c>
      <c r="F94" s="209">
        <f>SUMIFS(AS!$W:$W,AS!$AB:$AB,AS!$AA$1,AS!$AK:$AK,$Y94,AS!$AH:$AH,$Z$8,AS!$AW:$AW,Tilanne!$Z$6,AS!$K:$K,Tilanne!$Z$1,AS!$X:$X,Tilanne!$Z$5,AS!$AV:$AV,Tilanne!$Z$2)</f>
        <v>0</v>
      </c>
      <c r="G94" s="186"/>
      <c r="I94" s="206" t="s">
        <v>413</v>
      </c>
      <c r="J94" s="200">
        <f>SUMIFS(AS!$W:$W,AS!$AB:$AB,AS!$AA$1,AS!$AP:$AP,$Y94,AS!$AH:$AH,$Y$8,AS!$AW:$AW,Tilanne!$Z$6,AS!$K:$K,Tilanne!$Z$1,AS!$X:$X,Tilanne!$Z$5,AS!$AV:$AV,Tilanne!$Z$2)</f>
        <v>0</v>
      </c>
      <c r="K94" s="207">
        <f t="shared" si="32"/>
        <v>0</v>
      </c>
      <c r="L94" s="201">
        <f>SUMIFS(AS!$W:$W,AS!$AB:$AB,AS!$AA$1,AS!$AP:$AP,$Y94,AS!$AH:$AH,$Y$8,AS!$F:$F,$Y$7,AS!$AW:$AW,Tilanne!$Z$6,AS!$K:$K,Tilanne!$Z$1,AS!$X:$X,Tilanne!$Z$5,AS!$AV:$AV,Tilanne!$Z$2)</f>
        <v>0</v>
      </c>
      <c r="M94" s="208">
        <f>SUMIFS(AS!$W:$W,AS!$AB:$AB,AS!$AA$1,AS!$AP:$AP,$Y94,AS!$AH:$AH,$Y$8,AS!$F:$F,$Z$7,AS!$AW:$AW,Tilanne!$Z$6,AS!$K:$K,Tilanne!$Z$1,AS!$X:$X,Tilanne!$Z$5,AS!$AV:$AV,Tilanne!$Z$2)</f>
        <v>0</v>
      </c>
      <c r="N94" s="208">
        <f>SUMIFS(AS!$W:$W,AS!$AB:$AB,AS!$AA$1,AS!$AP:$AP,$Y94,AS!$AH:$AH,"vanha",AS!$AW:$AW,Tilanne!$Z$6,AS!$K:$K,Tilanne!$Z$1,AS!$X:$X,Tilanne!$Z$5,AS!$AV:$AV,Tilanne!$Z$2)</f>
        <v>0</v>
      </c>
      <c r="O94" s="186"/>
      <c r="P94" s="101"/>
      <c r="Q94" s="206" t="s">
        <v>413</v>
      </c>
      <c r="R94" s="193">
        <f>J94-B94</f>
        <v>0</v>
      </c>
      <c r="S94" s="194">
        <f>K94-C94</f>
        <v>0</v>
      </c>
      <c r="T94" s="193">
        <f>L94-D94</f>
        <v>0</v>
      </c>
      <c r="U94" s="193">
        <f>M94-E94</f>
        <v>0</v>
      </c>
      <c r="V94" s="193">
        <f>N94-F94</f>
        <v>0</v>
      </c>
      <c r="Y94" s="210" t="s">
        <v>1318</v>
      </c>
      <c r="Z94" s="625"/>
    </row>
    <row r="95" spans="1:26" x14ac:dyDescent="0.25">
      <c r="A95" s="206" t="s">
        <v>348</v>
      </c>
      <c r="B95" s="202">
        <f>SUMIFS(AS!$W:$W,AS!$AB:$AB,AS!$AA$1,AS!$AK:$AK,$Y95,AS!$AH:$AH,$Y$8,AS!$AW:$AW,Tilanne!$Z$6,AS!$K:$K,Tilanne!$Z$1,AS!$X:$X,Tilanne!$Z$5,AS!$AV:$AV,Tilanne!$Z$2)</f>
        <v>0</v>
      </c>
      <c r="C95" s="207">
        <f t="shared" si="31"/>
        <v>0</v>
      </c>
      <c r="D95" s="201">
        <f>SUMIFS(AS!$W:$W,AS!$AB:$AB,AS!$AA$1,AS!$AK:$AK,$Y95,AS!$AH:$AH,$Y$8,AS!$F:$F,$Y$7,AS!$AW:$AW,Tilanne!$Z$6,AS!$K:$K,Tilanne!$Z$1,AS!$X:$X,Tilanne!$Z$5,AS!$AV:$AV,Tilanne!$Z$2)</f>
        <v>0</v>
      </c>
      <c r="E95" s="208">
        <f>SUMIFS(AS!$W:$W,AS!$AB:$AB,AS!$AA$1,AS!$AK:$AK,$Y95,AS!$AH:$AH,$Y$8,AS!$F:$F,$Z$7,AS!$AW:$AW,Tilanne!$Z$6,AS!$K:$K,Tilanne!$Z$1,AS!$X:$X,Tilanne!$Z$5,AS!$AV:$AV,Tilanne!$Z$2)</f>
        <v>0</v>
      </c>
      <c r="F95" s="209">
        <f>SUMIFS(AS!$W:$W,AS!$AB:$AB,AS!$AA$1,AS!$AK:$AK,$Y95,AS!$AH:$AH,$Z$8,AS!$AW:$AW,Tilanne!$Z$6,AS!$K:$K,Tilanne!$Z$1,AS!$X:$X,Tilanne!$Z$5,AS!$AV:$AV,Tilanne!$Z$2)</f>
        <v>0</v>
      </c>
      <c r="G95" s="186"/>
      <c r="I95" s="199" t="s">
        <v>348</v>
      </c>
      <c r="J95" s="200">
        <f>SUMIFS(AS!$W:$W,AS!$AB:$AB,AS!$AA$1,AS!$AP:$AP,$Y95,AS!$AH:$AH,$Y$8,AS!$AW:$AW,Tilanne!$Z$6,AS!$K:$K,Tilanne!$Z$1,AS!$X:$X,Tilanne!$Z$5,AS!$AV:$AV,Tilanne!$Z$2)</f>
        <v>0</v>
      </c>
      <c r="K95" s="207">
        <f t="shared" si="32"/>
        <v>0</v>
      </c>
      <c r="L95" s="201">
        <f>SUMIFS(AS!$W:$W,AS!$AB:$AB,AS!$AA$1,AS!$AP:$AP,$Y95,AS!$AH:$AH,$Y$8,AS!$F:$F,$Y$7,AS!$AW:$AW,Tilanne!$Z$6,AS!$K:$K,Tilanne!$Z$1,AS!$X:$X,Tilanne!$Z$5,AS!$AV:$AV,Tilanne!$Z$2)</f>
        <v>0</v>
      </c>
      <c r="M95" s="208">
        <f>SUMIFS(AS!$W:$W,AS!$AB:$AB,AS!$AA$1,AS!$AP:$AP,$Y95,AS!$AH:$AH,$Y$8,AS!$F:$F,$Z$7,AS!$AW:$AW,Tilanne!$Z$6,AS!$K:$K,Tilanne!$Z$1,AS!$X:$X,Tilanne!$Z$5,AS!$AV:$AV,Tilanne!$Z$2)</f>
        <v>0</v>
      </c>
      <c r="N95" s="208">
        <f>SUMIFS(AS!$W:$W,AS!$AB:$AB,AS!$AA$1,AS!$AP:$AP,$Y95,AS!$AH:$AH,"vanha",AS!$AW:$AW,Tilanne!$Z$6,AS!$K:$K,Tilanne!$Z$1,AS!$X:$X,Tilanne!$Z$5,AS!$AV:$AV,Tilanne!$Z$2)</f>
        <v>0</v>
      </c>
      <c r="O95" s="186"/>
      <c r="P95" s="101"/>
      <c r="Q95" s="206" t="s">
        <v>348</v>
      </c>
      <c r="R95" s="193">
        <f t="shared" si="33"/>
        <v>0</v>
      </c>
      <c r="S95" s="194">
        <f t="shared" si="33"/>
        <v>0</v>
      </c>
      <c r="T95" s="193">
        <f t="shared" si="33"/>
        <v>0</v>
      </c>
      <c r="U95" s="193">
        <f t="shared" si="33"/>
        <v>0</v>
      </c>
      <c r="V95" s="193">
        <f t="shared" si="33"/>
        <v>0</v>
      </c>
      <c r="Y95" s="210" t="s">
        <v>1319</v>
      </c>
    </row>
    <row r="96" spans="1:26" x14ac:dyDescent="0.25">
      <c r="A96" s="206" t="s">
        <v>347</v>
      </c>
      <c r="B96" s="202">
        <f>SUMIFS(AS!$W:$W,AS!$AB:$AB,AS!$AA$1,AS!$AK:$AK,$Y96,AS!$AH:$AH,$Y$8,AS!$AW:$AW,Tilanne!$Z$6,AS!$K:$K,Tilanne!$Z$1,AS!$X:$X,Tilanne!$Z$5,AS!$AV:$AV,Tilanne!$Z$2)</f>
        <v>0</v>
      </c>
      <c r="C96" s="207">
        <f t="shared" si="31"/>
        <v>0</v>
      </c>
      <c r="D96" s="201">
        <f>SUMIFS(AS!$W:$W,AS!$AB:$AB,AS!$AA$1,AS!$AK:$AK,$Y96,AS!$AH:$AH,$Y$8,AS!$F:$F,$Y$7,AS!$AW:$AW,Tilanne!$Z$6,AS!$K:$K,Tilanne!$Z$1,AS!$X:$X,Tilanne!$Z$5,AS!$AV:$AV,Tilanne!$Z$2)</f>
        <v>0</v>
      </c>
      <c r="E96" s="208">
        <f>SUMIFS(AS!$W:$W,AS!$AB:$AB,AS!$AA$1,AS!$AK:$AK,$Y96,AS!$AH:$AH,$Y$8,AS!$F:$F,$Z$7,AS!$AW:$AW,Tilanne!$Z$6,AS!$K:$K,Tilanne!$Z$1,AS!$X:$X,Tilanne!$Z$5,AS!$AV:$AV,Tilanne!$Z$2)</f>
        <v>0</v>
      </c>
      <c r="F96" s="209">
        <f>SUMIFS(AS!$W:$W,AS!$AB:$AB,AS!$AA$1,AS!$AK:$AK,$Y96,AS!$AH:$AH,$Z$8,AS!$AW:$AW,Tilanne!$Z$6,AS!$K:$K,Tilanne!$Z$1,AS!$X:$X,Tilanne!$Z$5,AS!$AV:$AV,Tilanne!$Z$2)</f>
        <v>0</v>
      </c>
      <c r="G96" s="186"/>
      <c r="I96" s="199" t="s">
        <v>347</v>
      </c>
      <c r="J96" s="200">
        <f>SUMIFS(AS!$W:$W,AS!$AB:$AB,AS!$AA$1,AS!$AP:$AP,$Y96,AS!$AH:$AH,$Y$8,AS!$AW:$AW,Tilanne!$Z$6,AS!$K:$K,Tilanne!$Z$1,AS!$X:$X,Tilanne!$Z$5,AS!$AV:$AV,Tilanne!$Z$2)</f>
        <v>0</v>
      </c>
      <c r="K96" s="207">
        <f t="shared" si="32"/>
        <v>0</v>
      </c>
      <c r="L96" s="201">
        <f>SUMIFS(AS!$W:$W,AS!$AB:$AB,AS!$AA$1,AS!$AP:$AP,$Y96,AS!$AH:$AH,$Y$8,AS!$F:$F,$Y$7,AS!$AW:$AW,Tilanne!$Z$6,AS!$K:$K,Tilanne!$Z$1,AS!$X:$X,Tilanne!$Z$5,AS!$AV:$AV,Tilanne!$Z$2)</f>
        <v>0</v>
      </c>
      <c r="M96" s="208">
        <f>SUMIFS(AS!$W:$W,AS!$AB:$AB,AS!$AA$1,AS!$AP:$AP,$Y96,AS!$AH:$AH,$Y$8,AS!$F:$F,$Z$7,AS!$AW:$AW,Tilanne!$Z$6,AS!$K:$K,Tilanne!$Z$1,AS!$X:$X,Tilanne!$Z$5,AS!$AV:$AV,Tilanne!$Z$2)</f>
        <v>0</v>
      </c>
      <c r="N96" s="208">
        <f>SUMIFS(AS!$W:$W,AS!$AB:$AB,AS!$AA$1,AS!$AP:$AP,$Y96,AS!$AH:$AH,"vanha",AS!$AW:$AW,Tilanne!$Z$6,AS!$K:$K,Tilanne!$Z$1,AS!$X:$X,Tilanne!$Z$5,AS!$AV:$AV,Tilanne!$Z$2)</f>
        <v>0</v>
      </c>
      <c r="O96" s="186"/>
      <c r="P96" s="101"/>
      <c r="Q96" s="206" t="s">
        <v>347</v>
      </c>
      <c r="R96" s="193">
        <f t="shared" si="33"/>
        <v>0</v>
      </c>
      <c r="S96" s="194">
        <f t="shared" si="33"/>
        <v>0</v>
      </c>
      <c r="T96" s="193">
        <f t="shared" si="33"/>
        <v>0</v>
      </c>
      <c r="U96" s="193">
        <f t="shared" si="33"/>
        <v>0</v>
      </c>
      <c r="V96" s="193">
        <f t="shared" si="33"/>
        <v>0</v>
      </c>
      <c r="Y96" s="210" t="s">
        <v>1320</v>
      </c>
    </row>
    <row r="97" spans="1:29" x14ac:dyDescent="0.25">
      <c r="A97" s="255" t="s">
        <v>239</v>
      </c>
      <c r="B97" s="256">
        <f>SUM(B98:B99)</f>
        <v>0</v>
      </c>
      <c r="C97" s="257">
        <f t="shared" si="31"/>
        <v>0</v>
      </c>
      <c r="D97" s="256">
        <f>SUM(D98:D99)</f>
        <v>0</v>
      </c>
      <c r="E97" s="256">
        <f>SUM(E98:E99)</f>
        <v>0</v>
      </c>
      <c r="F97" s="258">
        <f>SUM(F98:F99)</f>
        <v>0</v>
      </c>
      <c r="G97" s="186"/>
      <c r="I97" s="255" t="s">
        <v>239</v>
      </c>
      <c r="J97" s="256">
        <f>SUM(J98:J99)</f>
        <v>0</v>
      </c>
      <c r="K97" s="257">
        <f t="shared" si="32"/>
        <v>0</v>
      </c>
      <c r="L97" s="256">
        <f>SUM(L98:L99)</f>
        <v>0</v>
      </c>
      <c r="M97" s="256">
        <f>SUM(M98:M99)</f>
        <v>0</v>
      </c>
      <c r="N97" s="256">
        <f>SUM(N98:N99)</f>
        <v>0</v>
      </c>
      <c r="O97" s="186"/>
      <c r="Q97" s="255" t="s">
        <v>239</v>
      </c>
      <c r="R97" s="266">
        <f>J97-B97</f>
        <v>0</v>
      </c>
      <c r="S97" s="267">
        <f>K97-C97</f>
        <v>0</v>
      </c>
      <c r="T97" s="266">
        <f>L97-D97</f>
        <v>0</v>
      </c>
      <c r="U97" s="266">
        <f>M97-E97</f>
        <v>0</v>
      </c>
      <c r="V97" s="266">
        <f t="shared" si="33"/>
        <v>0</v>
      </c>
      <c r="Y97" s="187"/>
      <c r="Z97" s="188"/>
      <c r="AB97" s="176"/>
      <c r="AC97" s="169"/>
    </row>
    <row r="98" spans="1:29" x14ac:dyDescent="0.25">
      <c r="A98" s="199" t="s">
        <v>1321</v>
      </c>
      <c r="B98" s="200">
        <f>SUMIFS(AS!$W:$W,AS!$AB:$AB,AS!$AA$1,AS!$AK:$AK,$Y98,AS!$AH:$AH,$Y$8,AS!$AW:$AW,Tilanne!$Z$6,AS!$K:$K,Tilanne!$Z$1,AS!$X:$X,Tilanne!$Z$5,AS!$AV:$AV,Tilanne!$Z$2)</f>
        <v>0</v>
      </c>
      <c r="C98" s="361">
        <f t="shared" si="31"/>
        <v>0</v>
      </c>
      <c r="D98" s="201">
        <f>SUMIFS(AS!$W:$W,AS!$AB:$AB,AS!$AA$1,AS!$AK:$AK,$Y98,AS!$AH:$AH,$Y$8,AS!$F:$F,$Y$7,AS!$AW:$AW,Tilanne!$Z$6,AS!$K:$K,Tilanne!$Z$1,AS!$X:$X,Tilanne!$Z$5,AS!$AV:$AV,Tilanne!$Z$2)</f>
        <v>0</v>
      </c>
      <c r="E98" s="201">
        <f>SUMIFS(AS!$W:$W,AS!$AB:$AB,AS!$AA$1,AS!$AK:$AK,$Y98,AS!$AH:$AH,$Y$8,AS!$F:$F,$Z$7,AS!$AW:$AW,Tilanne!$Z$6,AS!$K:$K,Tilanne!$Z$1,AS!$X:$X,Tilanne!$Z$5,AS!$AV:$AV,Tilanne!$Z$2)</f>
        <v>0</v>
      </c>
      <c r="F98" s="202">
        <f>SUMIFS(AS!$W:$W,AS!$AB:$AB,AS!$AA$1,AS!$AK:$AK,$Y98,AS!$AH:$AH,$Z$8,AS!$AW:$AW,Tilanne!$Z$6,AS!$K:$K,Tilanne!$Z$1,AS!$X:$X,Tilanne!$Z$5,AS!$AV:$AV,Tilanne!$Z$2)</f>
        <v>0</v>
      </c>
      <c r="G98" s="186"/>
      <c r="I98" s="199" t="s">
        <v>1321</v>
      </c>
      <c r="J98" s="200">
        <f>SUMIFS(AS!$W:$W,AS!$AB:$AB,AS!$AA$1,AS!$AP:$AP,$Y98,AS!$AH:$AH,$Y$8,AS!$AW:$AW,Tilanne!$Z$6,AS!$K:$K,Tilanne!$Z$1,AS!$X:$X,Tilanne!$Z$5,AS!$AV:$AV,Tilanne!$Z$2)</f>
        <v>0</v>
      </c>
      <c r="K98" s="361">
        <f t="shared" si="32"/>
        <v>0</v>
      </c>
      <c r="L98" s="201">
        <f>SUMIFS(AS!$W:$W,AS!$AB:$AB,AS!$AA$1,AS!$AP:$AP,$Y98,AS!$AH:$AH,$Y$8,AS!$F:$F,$Y$7,AS!$AW:$AW,Tilanne!$Z$6,AS!$K:$K,Tilanne!$Z$1,AS!$X:$X,Tilanne!$Z$5,AS!$AV:$AV,Tilanne!$Z$2)</f>
        <v>0</v>
      </c>
      <c r="M98" s="201">
        <f>SUMIFS(AS!$W:$W,AS!$AB:$AB,AS!$AA$1,AS!$AP:$AP,$Y98,AS!$AH:$AH,$Y$8,AS!$F:$F,$Z$7,AS!$AW:$AW,Tilanne!$Z$6,AS!$K:$K,Tilanne!$Z$1,AS!$X:$X,Tilanne!$Z$5,AS!$AV:$AV,Tilanne!$Z$2)</f>
        <v>0</v>
      </c>
      <c r="N98" s="202">
        <f>SUMIFS(AS!$W:$W,AS!$AB:$AB,AS!$AA$1,AS!$AP:$AP,$Y98,AS!$AH:$AH,"vanha",AS!$AW:$AW,Tilanne!$Z$6,AS!$K:$K,Tilanne!$Z$1,AS!$X:$X,Tilanne!$Z$5,AS!$AV:$AV,Tilanne!$Z$2)</f>
        <v>0</v>
      </c>
      <c r="O98" s="186"/>
      <c r="P98" s="101"/>
      <c r="Q98" s="189" t="s">
        <v>239</v>
      </c>
      <c r="R98" s="193">
        <f>J98-B98</f>
        <v>0</v>
      </c>
      <c r="S98" s="194">
        <f t="shared" ref="S98:V100" si="34">K98-C98</f>
        <v>0</v>
      </c>
      <c r="T98" s="193">
        <f t="shared" si="34"/>
        <v>0</v>
      </c>
      <c r="U98" s="193">
        <f t="shared" si="34"/>
        <v>0</v>
      </c>
      <c r="V98" s="193">
        <f t="shared" si="34"/>
        <v>0</v>
      </c>
      <c r="Y98" s="210" t="s">
        <v>1322</v>
      </c>
    </row>
    <row r="99" spans="1:29" x14ac:dyDescent="0.25">
      <c r="A99" s="206" t="s">
        <v>241</v>
      </c>
      <c r="B99" s="202">
        <f>SUMIFS(AS!$W:$W,AS!$AB:$AB,AS!$AA$1,AS!$AK:$AK,"",AS!$AH:$AH,$Y$8,AS!$AW:$AW,Tilanne!$Z$6,AS!$K:$K,Tilanne!$Z$1,AS!$X:$X,Tilanne!$Z$5,AS!$AV:$AV,Tilanne!$Z$2)</f>
        <v>0</v>
      </c>
      <c r="C99" s="361">
        <f t="shared" si="31"/>
        <v>0</v>
      </c>
      <c r="D99" s="201">
        <f>SUMIFS(AS!$W:$W,AS!$AB:$AB,AS!$AA$1,AS!$AK:$AK,"",AS!$AH:$AH,$Y$8,AS!$F:$F,$Y$7,AS!$AW:$AW,Tilanne!$Z$6,AS!$K:$K,Tilanne!$Z$1,AS!$X:$X,Tilanne!$Z$5,AS!$AV:$AV,Tilanne!$Z$2)</f>
        <v>0</v>
      </c>
      <c r="E99" s="208">
        <f>SUMIFS(AS!$W:$W,AS!$AB:$AB,AS!$AA$1,AS!$AK:$AK,"",AS!$AH:$AH,$Y$8,AS!$F:$F,$Z$7,AS!$AW:$AW,Tilanne!$Z$6,AS!$K:$K,Tilanne!$Z$1,AS!$X:$X,Tilanne!$Z$5,AS!$AV:$AV,Tilanne!$Z$2)</f>
        <v>0</v>
      </c>
      <c r="F99" s="209">
        <f>SUMIFS(AS!$W:$W,AS!$AB:$AB,AS!$AA$1,AS!$AK:$AK,"",AS!$AH:$AH,$Z$8,AS!$AW:$AW,Tilanne!$Z$6,AS!$K:$K,Tilanne!$Z$1,AS!$X:$X,Tilanne!$Z$5,AS!$AV:$AV,Tilanne!$Z$2)</f>
        <v>0</v>
      </c>
      <c r="G99" s="186"/>
      <c r="I99" s="199" t="s">
        <v>241</v>
      </c>
      <c r="J99" s="200">
        <f>SUMIFS(AS!$W:$W,AS!$AB:$AB,AS!$AA$1,AS!$AP:$AP,"",AS!$AH:$AH,$Y$8,AS!$AW:$AW,Tilanne!$Z$6,AS!$K:$K,Tilanne!$Z$1,AS!$X:$X,Tilanne!$Z$5,AS!$AV:$AV,Tilanne!$Z$2)</f>
        <v>0</v>
      </c>
      <c r="K99" s="361">
        <f t="shared" si="32"/>
        <v>0</v>
      </c>
      <c r="L99" s="201">
        <f>SUMIFS(AS!$W:$W,AS!$AB:$AB,AS!$AA$1,AS!$AP:$AP,"",AS!$AH:$AH,$Y$8,AS!$F:$F,$Y$7,AS!$AW:$AW,Tilanne!$Z$6,AS!$K:$K,Tilanne!$Z$1,AS!$X:$X,Tilanne!$Z$5,AS!$AV:$AV,Tilanne!$Z$2)</f>
        <v>0</v>
      </c>
      <c r="M99" s="208">
        <f>SUMIFS(AS!$W:$W,AS!$AB:$AB,AS!$AA$1,AS!$AP:$AP,"",AS!$AH:$AH,$Y$8,AS!$F:$F,$Z$7,AS!$AW:$AW,Tilanne!$Z$6,AS!$K:$K,Tilanne!$Z$1,AS!$X:$X,Tilanne!$Z$5,AS!$AV:$AV,Tilanne!$Z$2)</f>
        <v>0</v>
      </c>
      <c r="N99" s="208">
        <f>SUMIFS(AS!$W:$W,AS!$AB:$AB,AS!$AA$1,AS!$AP:$AP,"",AS!$AH:$AH,"vanha",AS!$AW:$AW,Tilanne!$Z$6,AS!$K:$K,Tilanne!$Z$1,AS!$X:$X,Tilanne!$Z$5,AS!$AV:$AV,Tilanne!$Z$2)</f>
        <v>0</v>
      </c>
      <c r="O99" s="186"/>
      <c r="P99" s="101"/>
      <c r="Q99" s="206" t="s">
        <v>241</v>
      </c>
      <c r="R99" s="193">
        <f>J99-B99</f>
        <v>0</v>
      </c>
      <c r="S99" s="194">
        <f t="shared" si="34"/>
        <v>0</v>
      </c>
      <c r="T99" s="193">
        <f t="shared" si="34"/>
        <v>0</v>
      </c>
      <c r="U99" s="193">
        <f t="shared" si="34"/>
        <v>0</v>
      </c>
      <c r="V99" s="193">
        <f t="shared" si="34"/>
        <v>0</v>
      </c>
    </row>
    <row r="100" spans="1:29" s="177" customFormat="1" x14ac:dyDescent="0.25">
      <c r="A100" s="259" t="s">
        <v>744</v>
      </c>
      <c r="B100" s="260">
        <f>SUM(B81:B97)</f>
        <v>0</v>
      </c>
      <c r="C100" s="261">
        <f>SUM(C81:C97)</f>
        <v>0</v>
      </c>
      <c r="D100" s="260">
        <f>SUM(D81:D97)</f>
        <v>0</v>
      </c>
      <c r="E100" s="260">
        <f>SUM(E81:E97)</f>
        <v>0</v>
      </c>
      <c r="F100" s="260">
        <f>SUM(F81:F97)</f>
        <v>0</v>
      </c>
      <c r="G100" s="196"/>
      <c r="H100"/>
      <c r="I100" s="262" t="s">
        <v>744</v>
      </c>
      <c r="J100" s="263">
        <f>SUM(J81:J97)</f>
        <v>0</v>
      </c>
      <c r="K100" s="261">
        <f>SUM(K81:K97)</f>
        <v>0</v>
      </c>
      <c r="L100" s="260">
        <f>SUM(L81:L97)</f>
        <v>0</v>
      </c>
      <c r="M100" s="260">
        <f>SUM(M81:M97)</f>
        <v>0</v>
      </c>
      <c r="N100" s="260">
        <f>SUM(N81:N97)</f>
        <v>0</v>
      </c>
      <c r="O100" s="196"/>
      <c r="P100"/>
      <c r="Q100" s="259" t="s">
        <v>744</v>
      </c>
      <c r="R100" s="264">
        <f>J100-B100</f>
        <v>0</v>
      </c>
      <c r="S100" s="265">
        <f t="shared" si="34"/>
        <v>0</v>
      </c>
      <c r="T100" s="264">
        <f t="shared" si="34"/>
        <v>0</v>
      </c>
      <c r="U100" s="264">
        <f t="shared" si="34"/>
        <v>0</v>
      </c>
      <c r="V100" s="264">
        <f t="shared" si="34"/>
        <v>0</v>
      </c>
      <c r="AB100" s="176"/>
      <c r="AC100" s="169"/>
    </row>
    <row r="101" spans="1:29" x14ac:dyDescent="0.25">
      <c r="A101" s="359" t="str">
        <f>$A$6&amp; "    *Uusi kysymys 2018"</f>
        <v>Kaikki    *Uusi kysymys 2018</v>
      </c>
      <c r="B101" s="203"/>
      <c r="C101" s="203"/>
      <c r="D101" s="101"/>
      <c r="E101" s="101"/>
      <c r="F101" s="101"/>
      <c r="G101" s="101"/>
      <c r="H101" s="101"/>
      <c r="I101" s="101"/>
      <c r="J101" s="101"/>
      <c r="K101" s="101"/>
      <c r="L101" s="101"/>
      <c r="M101" s="101"/>
      <c r="N101" s="101"/>
      <c r="O101" s="101"/>
      <c r="P101" s="101"/>
      <c r="Q101" s="101"/>
      <c r="R101" s="101"/>
    </row>
    <row r="102" spans="1:29" x14ac:dyDescent="0.25">
      <c r="A102" s="205"/>
      <c r="B102" s="203"/>
      <c r="C102" s="203"/>
      <c r="D102" s="203"/>
      <c r="E102" s="101"/>
      <c r="F102" s="101"/>
      <c r="G102" s="101"/>
      <c r="H102" s="101"/>
      <c r="I102" s="101"/>
      <c r="J102" s="101"/>
      <c r="K102" s="101"/>
      <c r="L102" s="101"/>
      <c r="M102" s="101"/>
      <c r="N102" s="101"/>
      <c r="O102" s="101"/>
      <c r="P102" s="101"/>
      <c r="Q102" s="101"/>
      <c r="R102" s="101"/>
    </row>
    <row r="103" spans="1:29" x14ac:dyDescent="0.25">
      <c r="A103" s="179" t="str">
        <f>Y106&amp;Y10&amp;Y12</f>
        <v>Nuoren ylin suoritettu tutkinto hakuajan alussa (lähin arvo) - 01.01.2026-31.12.2026 (Kaikki kunnat, Kaikki yksiköt)</v>
      </c>
      <c r="B103" s="203"/>
      <c r="C103" s="203"/>
      <c r="D103" s="203"/>
      <c r="E103" s="101"/>
      <c r="F103" s="101"/>
      <c r="G103" s="101"/>
      <c r="H103" s="101"/>
      <c r="I103" s="101" t="str">
        <f>"Viimeisin nuoren ylin suoritettu tutkinto"&amp;Y10&amp;Y12</f>
        <v>Viimeisin nuoren ylin suoritettu tutkinto - 01.01.2026-31.12.2026 (Kaikki kunnat, Kaikki yksiköt)</v>
      </c>
      <c r="J103" s="101"/>
      <c r="K103" s="101"/>
      <c r="L103" s="101"/>
      <c r="M103" s="101"/>
      <c r="N103" s="101"/>
      <c r="O103" s="101"/>
      <c r="P103" s="101"/>
      <c r="Q103" s="179" t="str">
        <f>Z106&amp;Y10&amp;Y12</f>
        <v>Nuoren ylin suoritettu tutkinto -muutos - 01.01.2026-31.12.2026 (Kaikki kunnat, Kaikki yksiköt)</v>
      </c>
      <c r="R103" s="101"/>
    </row>
    <row r="104" spans="1:29" ht="25.5" x14ac:dyDescent="0.25">
      <c r="A104" s="1108" t="s">
        <v>308</v>
      </c>
      <c r="B104" s="1107" t="s">
        <v>716</v>
      </c>
      <c r="C104" s="1107"/>
      <c r="D104" s="114" t="s">
        <v>961</v>
      </c>
      <c r="E104" s="254" t="s">
        <v>962</v>
      </c>
      <c r="F104" s="182" t="s">
        <v>980</v>
      </c>
      <c r="G104" s="1109" t="str">
        <f>A103&amp;" (N="&amp;B120&amp;")"</f>
        <v>Nuoren ylin suoritettu tutkinto hakuajan alussa (lähin arvo) - 01.01.2026-31.12.2026 (Kaikki kunnat, Kaikki yksiköt) (N=0)</v>
      </c>
      <c r="H104" s="101"/>
      <c r="I104" s="1111" t="s">
        <v>308</v>
      </c>
      <c r="J104" s="1113" t="s">
        <v>716</v>
      </c>
      <c r="K104" s="1107"/>
      <c r="L104" s="114" t="s">
        <v>961</v>
      </c>
      <c r="M104" s="254" t="s">
        <v>962</v>
      </c>
      <c r="N104" s="114" t="s">
        <v>980</v>
      </c>
      <c r="O104" s="1109" t="str">
        <f>I103&amp;" (N="&amp;J120&amp;")"</f>
        <v>Viimeisin nuoren ylin suoritettu tutkinto - 01.01.2026-31.12.2026 (Kaikki kunnat, Kaikki yksiköt) (N=0)</v>
      </c>
      <c r="P104" s="101"/>
      <c r="Q104" s="1108" t="s">
        <v>308</v>
      </c>
      <c r="R104" s="1107" t="s">
        <v>716</v>
      </c>
      <c r="S104" s="1107"/>
      <c r="T104" s="114" t="s">
        <v>961</v>
      </c>
      <c r="U104" s="254" t="s">
        <v>962</v>
      </c>
      <c r="V104" s="114" t="s">
        <v>980</v>
      </c>
    </row>
    <row r="105" spans="1:29" x14ac:dyDescent="0.25">
      <c r="A105" s="1108"/>
      <c r="B105" s="114" t="s">
        <v>742</v>
      </c>
      <c r="C105" s="114" t="s">
        <v>1211</v>
      </c>
      <c r="D105" s="114" t="s">
        <v>742</v>
      </c>
      <c r="E105" s="114" t="s">
        <v>742</v>
      </c>
      <c r="F105" s="182" t="s">
        <v>742</v>
      </c>
      <c r="G105" s="1110"/>
      <c r="H105" s="101"/>
      <c r="I105" s="1112"/>
      <c r="J105" s="253" t="s">
        <v>742</v>
      </c>
      <c r="K105" s="114" t="s">
        <v>1211</v>
      </c>
      <c r="L105" s="114" t="s">
        <v>742</v>
      </c>
      <c r="M105" s="114" t="s">
        <v>742</v>
      </c>
      <c r="N105" s="114" t="s">
        <v>742</v>
      </c>
      <c r="O105" s="1110"/>
      <c r="P105" s="101"/>
      <c r="Q105" s="1108"/>
      <c r="R105" s="114" t="s">
        <v>742</v>
      </c>
      <c r="S105" s="114" t="s">
        <v>1211</v>
      </c>
      <c r="T105" s="114" t="s">
        <v>742</v>
      </c>
      <c r="U105" s="114" t="s">
        <v>742</v>
      </c>
      <c r="V105" s="114" t="s">
        <v>742</v>
      </c>
    </row>
    <row r="106" spans="1:29" x14ac:dyDescent="0.25">
      <c r="A106" s="255" t="s">
        <v>308</v>
      </c>
      <c r="B106" s="256">
        <f>SUM(B107:B116)</f>
        <v>0</v>
      </c>
      <c r="C106" s="257">
        <f>IFERROR(B106/$B$120,0)</f>
        <v>0</v>
      </c>
      <c r="D106" s="256">
        <f>SUM(D107:D116)</f>
        <v>0</v>
      </c>
      <c r="E106" s="256">
        <f>SUM(E107:E116)</f>
        <v>0</v>
      </c>
      <c r="F106" s="258">
        <f>SUM(F107:F116)</f>
        <v>0</v>
      </c>
      <c r="G106" s="186"/>
      <c r="I106" s="255" t="s">
        <v>308</v>
      </c>
      <c r="J106" s="256">
        <f>SUM(J107:J116)</f>
        <v>0</v>
      </c>
      <c r="K106" s="257">
        <f>IFERROR(J106/$J$120,0)</f>
        <v>0</v>
      </c>
      <c r="L106" s="256">
        <f>SUM(L107:L116)</f>
        <v>0</v>
      </c>
      <c r="M106" s="256">
        <f>SUM(M107:M116)</f>
        <v>0</v>
      </c>
      <c r="N106" s="256">
        <f>SUM(N107:N116)</f>
        <v>0</v>
      </c>
      <c r="O106" s="186"/>
      <c r="Q106" s="255" t="s">
        <v>308</v>
      </c>
      <c r="R106" s="266">
        <f>J106-B106</f>
        <v>0</v>
      </c>
      <c r="S106" s="267">
        <f>K106-C106</f>
        <v>0</v>
      </c>
      <c r="T106" s="266">
        <f>L106-D106</f>
        <v>0</v>
      </c>
      <c r="U106" s="266">
        <f>M106-E106</f>
        <v>0</v>
      </c>
      <c r="V106" s="266">
        <f>N106-F106</f>
        <v>0</v>
      </c>
      <c r="Y106" s="875" t="s">
        <v>1323</v>
      </c>
      <c r="Z106" s="188" t="s">
        <v>1324</v>
      </c>
      <c r="AB106" s="176"/>
      <c r="AC106" s="169"/>
    </row>
    <row r="107" spans="1:29" x14ac:dyDescent="0.25">
      <c r="A107" s="206" t="s">
        <v>309</v>
      </c>
      <c r="B107" s="202">
        <f>SUMIFS(AS!$W:$W,AS!$AB:$AB,AS!$AA$1,AS!$AJ:$AJ,$Y107,AS!$AH:$AH,$Y$8,AS!$AW:$AW,Tilanne!$Z$6,AS!$K:$K,Tilanne!$Z$1,AS!$X:$X,Tilanne!$Z$5,AS!$AV:$AV,Tilanne!$Z$2)</f>
        <v>0</v>
      </c>
      <c r="C107" s="207">
        <f>IFERROR(B107/$B$120,0)</f>
        <v>0</v>
      </c>
      <c r="D107" s="201">
        <f>SUMIFS(AS!$W:$W,AS!$AB:$AB,AS!$AA$1,AS!$AJ:$AJ,$Y107,AS!$AH:$AH,$Y$8,AS!$F:$F,$Y$7,AS!$AW:$AW,Tilanne!$Z$6,AS!$K:$K,Tilanne!$Z$1,AS!$X:$X,Tilanne!$Z$5,AS!$AV:$AV,Tilanne!$Z$2)</f>
        <v>0</v>
      </c>
      <c r="E107" s="201">
        <f>SUMIFS(AS!$W:$W,AS!$AB:$AB,AS!$AA$1,AS!$AJ:$AJ,$Y107,AS!$AH:$AH,$Y$8,AS!$F:$F,$Z$7,AS!$AW:$AW,Tilanne!$Z$6,AS!$K:$K,Tilanne!$Z$1,AS!$X:$X,Tilanne!$Z$5,AS!$AV:$AV,Tilanne!$Z$2)</f>
        <v>0</v>
      </c>
      <c r="F107" s="211">
        <f>SUMIFS(AS!$W:$W,AS!$AB:$AB,AS!$AA$1,AS!$AJ:$AJ,$Y107,AS!$AH:$AH,$Z$8,AS!$AW:$AW,Tilanne!$Z$6,AS!$K:$K,Tilanne!$Z$1,AS!$X:$X,Tilanne!$Z$5,AS!$AV:$AV,Tilanne!$Z$2)</f>
        <v>0</v>
      </c>
      <c r="G107" s="212"/>
      <c r="H107" s="101"/>
      <c r="I107" s="199" t="s">
        <v>309</v>
      </c>
      <c r="J107" s="200">
        <f>SUMIFS(AS!$W:$W,AS!$AB:$AB,AS!$AA$1,AS!$AO:$AO,$Y107,AS!$AH:$AH,$Y$8,AS!$AW:$AW,Tilanne!$Z$6,AS!$K:$K,Tilanne!$Z$1,AS!$X:$X,Tilanne!$Z$5,AS!$AV:$AV,Tilanne!$Z$2)</f>
        <v>0</v>
      </c>
      <c r="K107" s="207">
        <f>IFERROR(J107/$J$120,0)</f>
        <v>0</v>
      </c>
      <c r="L107" s="201">
        <f>SUMIFS(AS!$W:$W,AS!$AB:$AB,AS!$AA$1,AS!$AO:$AO,$Y107,AS!$AH:$AH,$Y$8,AS!$F:$F,$Y$7,AS!$AW:$AW,Tilanne!$Z$6,AS!$K:$K,Tilanne!$Z$1,AS!$X:$X,Tilanne!$Z$5,AS!$AV:$AV,Tilanne!$Z$2)</f>
        <v>0</v>
      </c>
      <c r="M107" s="201">
        <f>SUMIFS(AS!$W:$W,AS!$AB:$AB,AS!$AA$1,AS!$AO:$AO,$Y107,AS!$AH:$AH,$Y$8,AS!$F:$F,$Z$7,AS!$AW:$AW,Tilanne!$Z$6,AS!$K:$K,Tilanne!$Z$1,AS!$X:$X,Tilanne!$Z$5,AS!$AV:$AV,Tilanne!$Z$2)</f>
        <v>0</v>
      </c>
      <c r="N107" s="202">
        <f>SUMIFS(AS!$W:$W,AS!$AB:$AB,AS!$AA$1,AS!$AO:$AO,$Y107,AS!$AH:$AH,"vanha",AS!$AW:$AW,Tilanne!$Z$6,AS!$K:$K,Tilanne!$Z$1,AS!$X:$X,Tilanne!$Z$5,AS!$AV:$AV,Tilanne!$Z$2)</f>
        <v>0</v>
      </c>
      <c r="O107" s="212"/>
      <c r="P107" s="101"/>
      <c r="Q107" s="206" t="s">
        <v>309</v>
      </c>
      <c r="R107" s="193">
        <f t="shared" ref="R107:V118" si="35">J107-B107</f>
        <v>0</v>
      </c>
      <c r="S107" s="194">
        <f t="shared" si="35"/>
        <v>0</v>
      </c>
      <c r="T107" s="193">
        <f t="shared" si="35"/>
        <v>0</v>
      </c>
      <c r="U107" s="193">
        <f t="shared" si="35"/>
        <v>0</v>
      </c>
      <c r="V107" s="193">
        <f t="shared" si="35"/>
        <v>0</v>
      </c>
      <c r="Y107" s="195" t="s">
        <v>310</v>
      </c>
    </row>
    <row r="108" spans="1:29" x14ac:dyDescent="0.25">
      <c r="A108" s="206" t="s">
        <v>312</v>
      </c>
      <c r="B108" s="202">
        <f>SUMIFS(AS!$W:$W,AS!$AB:$AB,AS!$AA$1,AS!$AJ:$AJ,$Y108,AS!$AH:$AH,$Y$8,AS!$AW:$AW,Tilanne!$Z$6,AS!$K:$K,Tilanne!$Z$1,AS!$X:$X,Tilanne!$Z$5,AS!$AV:$AV,Tilanne!$Z$2)</f>
        <v>0</v>
      </c>
      <c r="C108" s="207">
        <f t="shared" ref="C108:C116" si="36">IFERROR(B108/$B$120,0)</f>
        <v>0</v>
      </c>
      <c r="D108" s="201">
        <f>SUMIFS(AS!$W:$W,AS!$AB:$AB,AS!$AA$1,AS!$AJ:$AJ,$Y108,AS!$AH:$AH,$Y$8,AS!$F:$F,$Y$7,AS!$AW:$AW,Tilanne!$Z$6,AS!$K:$K,Tilanne!$Z$1,AS!$X:$X,Tilanne!$Z$5,AS!$AV:$AV,Tilanne!$Z$2)</f>
        <v>0</v>
      </c>
      <c r="E108" s="201">
        <f>SUMIFS(AS!$W:$W,AS!$AB:$AB,AS!$AA$1,AS!$AJ:$AJ,$Y108,AS!$AH:$AH,$Y$8,AS!$F:$F,$Z$7,AS!$AW:$AW,Tilanne!$Z$6,AS!$K:$K,Tilanne!$Z$1,AS!$X:$X,Tilanne!$Z$5,AS!$AV:$AV,Tilanne!$Z$2)</f>
        <v>0</v>
      </c>
      <c r="F108" s="211">
        <f>SUMIFS(AS!$W:$W,AS!$AB:$AB,AS!$AA$1,AS!$AJ:$AJ,$Y108,AS!$AH:$AH,$Z$8,AS!$AW:$AW,Tilanne!$Z$6,AS!$K:$K,Tilanne!$Z$1,AS!$X:$X,Tilanne!$Z$5,AS!$AV:$AV,Tilanne!$Z$2)</f>
        <v>0</v>
      </c>
      <c r="G108" s="212"/>
      <c r="H108" s="101"/>
      <c r="I108" s="199" t="s">
        <v>312</v>
      </c>
      <c r="J108" s="200">
        <f>SUMIFS(AS!$W:$W,AS!$AB:$AB,AS!$AA$1,AS!$AO:$AO,$Y108,AS!$AH:$AH,$Y$8,AS!$AW:$AW,Tilanne!$Z$6,AS!$K:$K,Tilanne!$Z$1,AS!$X:$X,Tilanne!$Z$5,AS!$AV:$AV,Tilanne!$Z$2)</f>
        <v>0</v>
      </c>
      <c r="K108" s="207">
        <f t="shared" ref="K108:K116" si="37">IFERROR(J108/$J$120,0)</f>
        <v>0</v>
      </c>
      <c r="L108" s="201">
        <f>SUMIFS(AS!$W:$W,AS!$AB:$AB,AS!$AA$1,AS!$AO:$AO,$Y108,AS!$AH:$AH,$Y$8,AS!$F:$F,$Y$7,AS!$AW:$AW,Tilanne!$Z$6,AS!$K:$K,Tilanne!$Z$1,AS!$X:$X,Tilanne!$Z$5,AS!$AV:$AV,Tilanne!$Z$2)</f>
        <v>0</v>
      </c>
      <c r="M108" s="201">
        <f>SUMIFS(AS!$W:$W,AS!$AB:$AB,AS!$AA$1,AS!$AO:$AO,$Y108,AS!$AH:$AH,$Y$8,AS!$F:$F,$Z$7,AS!$AW:$AW,Tilanne!$Z$6,AS!$K:$K,Tilanne!$Z$1,AS!$X:$X,Tilanne!$Z$5,AS!$AV:$AV,Tilanne!$Z$2)</f>
        <v>0</v>
      </c>
      <c r="N108" s="202">
        <f>SUMIFS(AS!$W:$W,AS!$AB:$AB,AS!$AA$1,AS!$AO:$AO,$Y108,AS!$AH:$AH,"vanha",AS!$AW:$AW,Tilanne!$Z$6,AS!$K:$K,Tilanne!$Z$1,AS!$X:$X,Tilanne!$Z$5,AS!$AV:$AV,Tilanne!$Z$2)</f>
        <v>0</v>
      </c>
      <c r="O108" s="212"/>
      <c r="P108" s="101"/>
      <c r="Q108" s="206" t="s">
        <v>312</v>
      </c>
      <c r="R108" s="193">
        <f t="shared" si="35"/>
        <v>0</v>
      </c>
      <c r="S108" s="194">
        <f t="shared" si="35"/>
        <v>0</v>
      </c>
      <c r="T108" s="193">
        <f t="shared" si="35"/>
        <v>0</v>
      </c>
      <c r="U108" s="193">
        <f t="shared" si="35"/>
        <v>0</v>
      </c>
      <c r="V108" s="193">
        <f t="shared" si="35"/>
        <v>0</v>
      </c>
      <c r="Y108" s="195" t="s">
        <v>313</v>
      </c>
    </row>
    <row r="109" spans="1:29" x14ac:dyDescent="0.25">
      <c r="A109" s="206" t="s">
        <v>1299</v>
      </c>
      <c r="B109" s="202">
        <f>SUMIFS(AS!$W:$W,AS!$AB:$AB,AS!$AA$1,AS!$AJ:$AJ,$Y109,AS!$AH:$AH,$Y$8,AS!$AW:$AW,Tilanne!$Z$6,AS!$K:$K,Tilanne!$Z$1,AS!$X:$X,Tilanne!$Z$5,AS!$AV:$AV,Tilanne!$Z$2)</f>
        <v>0</v>
      </c>
      <c r="C109" s="207">
        <f t="shared" si="36"/>
        <v>0</v>
      </c>
      <c r="D109" s="201">
        <f>SUMIFS(AS!$W:$W,AS!$AB:$AB,AS!$AA$1,AS!$AJ:$AJ,$Y109,AS!$AH:$AH,$Y$8,AS!$F:$F,$Y$7,AS!$AW:$AW,Tilanne!$Z$6,AS!$K:$K,Tilanne!$Z$1,AS!$X:$X,Tilanne!$Z$5,AS!$AV:$AV,Tilanne!$Z$2)</f>
        <v>0</v>
      </c>
      <c r="E109" s="201">
        <f>SUMIFS(AS!$W:$W,AS!$AB:$AB,AS!$AA$1,AS!$AJ:$AJ,$Y109,AS!$AH:$AH,$Y$8,AS!$F:$F,$Z$7,AS!$AW:$AW,Tilanne!$Z$6,AS!$K:$K,Tilanne!$Z$1,AS!$X:$X,Tilanne!$Z$5,AS!$AV:$AV,Tilanne!$Z$2)</f>
        <v>0</v>
      </c>
      <c r="F109" s="211">
        <f>SUMIFS(AS!$W:$W,AS!$AB:$AB,AS!$AA$1,AS!$AJ:$AJ,$Y109,AS!$AH:$AH,$Z$8,AS!$AW:$AW,Tilanne!$Z$6,AS!$K:$K,Tilanne!$Z$1,AS!$X:$X,Tilanne!$Z$5,AS!$AV:$AV,Tilanne!$Z$2)</f>
        <v>0</v>
      </c>
      <c r="G109" s="212"/>
      <c r="H109" s="101"/>
      <c r="I109" s="199" t="s">
        <v>1299</v>
      </c>
      <c r="J109" s="200">
        <f>SUMIFS(AS!$W:$W,AS!$AB:$AB,AS!$AA$1,AS!$AO:$AO,$Y109,AS!$AH:$AH,$Y$8,AS!$AW:$AW,Tilanne!$Z$6,AS!$K:$K,Tilanne!$Z$1,AS!$X:$X,Tilanne!$Z$5,AS!$AV:$AV,Tilanne!$Z$2)</f>
        <v>0</v>
      </c>
      <c r="K109" s="207">
        <f t="shared" si="37"/>
        <v>0</v>
      </c>
      <c r="L109" s="201">
        <f>SUMIFS(AS!$W:$W,AS!$AB:$AB,AS!$AA$1,AS!$AO:$AO,$Y109,AS!$AH:$AH,$Y$8,AS!$F:$F,$Y$7,AS!$AW:$AW,Tilanne!$Z$6,AS!$K:$K,Tilanne!$Z$1,AS!$X:$X,Tilanne!$Z$5,AS!$AV:$AV,Tilanne!$Z$2)</f>
        <v>0</v>
      </c>
      <c r="M109" s="201">
        <f>SUMIFS(AS!$W:$W,AS!$AB:$AB,AS!$AA$1,AS!$AO:$AO,$Y109,AS!$AH:$AH,$Y$8,AS!$F:$F,$Z$7,AS!$AW:$AW,Tilanne!$Z$6,AS!$K:$K,Tilanne!$Z$1,AS!$X:$X,Tilanne!$Z$5,AS!$AV:$AV,Tilanne!$Z$2)</f>
        <v>0</v>
      </c>
      <c r="N109" s="202">
        <f>SUMIFS(AS!$W:$W,AS!$AB:$AB,AS!$AA$1,AS!$AO:$AO,$Y109,AS!$AH:$AH,"vanha",AS!$AW:$AW,Tilanne!$Z$6,AS!$K:$K,Tilanne!$Z$1,AS!$X:$X,Tilanne!$Z$5,AS!$AV:$AV,Tilanne!$Z$2)</f>
        <v>0</v>
      </c>
      <c r="O109" s="212"/>
      <c r="P109" s="101"/>
      <c r="Q109" s="206" t="s">
        <v>1299</v>
      </c>
      <c r="R109" s="193">
        <f t="shared" si="35"/>
        <v>0</v>
      </c>
      <c r="S109" s="194">
        <f t="shared" si="35"/>
        <v>0</v>
      </c>
      <c r="T109" s="193">
        <f t="shared" si="35"/>
        <v>0</v>
      </c>
      <c r="U109" s="193">
        <f t="shared" si="35"/>
        <v>0</v>
      </c>
      <c r="V109" s="193">
        <f t="shared" si="35"/>
        <v>0</v>
      </c>
      <c r="Y109" s="195" t="s">
        <v>318</v>
      </c>
    </row>
    <row r="110" spans="1:29" x14ac:dyDescent="0.25">
      <c r="A110" s="206" t="s">
        <v>321</v>
      </c>
      <c r="B110" s="202">
        <f>SUMIFS(AS!$W:$W,AS!$AB:$AB,AS!$AA$1,AS!$AJ:$AJ,$Y110,AS!$AH:$AH,$Y$8,AS!$AW:$AW,Tilanne!$Z$6,AS!$K:$K,Tilanne!$Z$1,AS!$X:$X,Tilanne!$Z$5,AS!$AV:$AV,Tilanne!$Z$2)</f>
        <v>0</v>
      </c>
      <c r="C110" s="207">
        <f t="shared" si="36"/>
        <v>0</v>
      </c>
      <c r="D110" s="201">
        <f>SUMIFS(AS!$W:$W,AS!$AB:$AB,AS!$AA$1,AS!$AJ:$AJ,$Y110,AS!$AH:$AH,$Y$8,AS!$F:$F,$Y$7,AS!$AW:$AW,Tilanne!$Z$6,AS!$K:$K,Tilanne!$Z$1,AS!$X:$X,Tilanne!$Z$5,AS!$AV:$AV,Tilanne!$Z$2)</f>
        <v>0</v>
      </c>
      <c r="E110" s="201">
        <f>SUMIFS(AS!$W:$W,AS!$AB:$AB,AS!$AA$1,AS!$AJ:$AJ,$Y110,AS!$AH:$AH,$Y$8,AS!$F:$F,$Z$7,AS!$AW:$AW,Tilanne!$Z$6,AS!$K:$K,Tilanne!$Z$1,AS!$X:$X,Tilanne!$Z$5,AS!$AV:$AV,Tilanne!$Z$2)</f>
        <v>0</v>
      </c>
      <c r="F110" s="211">
        <f>SUMIFS(AS!$W:$W,AS!$AB:$AB,AS!$AA$1,AS!$AJ:$AJ,$Y110,AS!$AH:$AH,$Z$8,AS!$AW:$AW,Tilanne!$Z$6,AS!$K:$K,Tilanne!$Z$1,AS!$X:$X,Tilanne!$Z$5,AS!$AV:$AV,Tilanne!$Z$2)</f>
        <v>0</v>
      </c>
      <c r="G110" s="212"/>
      <c r="H110" s="101"/>
      <c r="I110" s="199" t="s">
        <v>321</v>
      </c>
      <c r="J110" s="200">
        <f>SUMIFS(AS!$W:$W,AS!$AB:$AB,AS!$AA$1,AS!$AO:$AO,$Y110,AS!$AH:$AH,$Y$8,AS!$AW:$AW,Tilanne!$Z$6,AS!$K:$K,Tilanne!$Z$1,AS!$X:$X,Tilanne!$Z$5,AS!$AV:$AV,Tilanne!$Z$2)</f>
        <v>0</v>
      </c>
      <c r="K110" s="207">
        <f t="shared" si="37"/>
        <v>0</v>
      </c>
      <c r="L110" s="201">
        <f>SUMIFS(AS!$W:$W,AS!$AB:$AB,AS!$AA$1,AS!$AO:$AO,$Y110,AS!$AH:$AH,$Y$8,AS!$F:$F,$Y$7,AS!$AW:$AW,Tilanne!$Z$6,AS!$K:$K,Tilanne!$Z$1,AS!$X:$X,Tilanne!$Z$5,AS!$AV:$AV,Tilanne!$Z$2)</f>
        <v>0</v>
      </c>
      <c r="M110" s="201">
        <f>SUMIFS(AS!$W:$W,AS!$AB:$AB,AS!$AA$1,AS!$AO:$AO,$Y110,AS!$AH:$AH,$Y$8,AS!$F:$F,$Z$7,AS!$AW:$AW,Tilanne!$Z$6,AS!$K:$K,Tilanne!$Z$1,AS!$X:$X,Tilanne!$Z$5,AS!$AV:$AV,Tilanne!$Z$2)</f>
        <v>0</v>
      </c>
      <c r="N110" s="202">
        <f>SUMIFS(AS!$W:$W,AS!$AB:$AB,AS!$AA$1,AS!$AO:$AO,$Y110,AS!$AH:$AH,"vanha",AS!$AW:$AW,Tilanne!$Z$6,AS!$K:$K,Tilanne!$Z$1,AS!$X:$X,Tilanne!$Z$5,AS!$AV:$AV,Tilanne!$Z$2)</f>
        <v>0</v>
      </c>
      <c r="O110" s="212"/>
      <c r="P110" s="101"/>
      <c r="Q110" s="206" t="s">
        <v>321</v>
      </c>
      <c r="R110" s="193">
        <f t="shared" si="35"/>
        <v>0</v>
      </c>
      <c r="S110" s="194">
        <f t="shared" si="35"/>
        <v>0</v>
      </c>
      <c r="T110" s="193">
        <f t="shared" si="35"/>
        <v>0</v>
      </c>
      <c r="U110" s="193">
        <f t="shared" si="35"/>
        <v>0</v>
      </c>
      <c r="V110" s="193">
        <f t="shared" si="35"/>
        <v>0</v>
      </c>
      <c r="Y110" s="195" t="s">
        <v>322</v>
      </c>
    </row>
    <row r="111" spans="1:29" x14ac:dyDescent="0.25">
      <c r="A111" s="206" t="s">
        <v>324</v>
      </c>
      <c r="B111" s="202">
        <f>SUMIFS(AS!$W:$W,AS!$AB:$AB,AS!$AA$1,AS!$AJ:$AJ,$Y111,AS!$AH:$AH,$Y$8,AS!$AW:$AW,Tilanne!$Z$6,AS!$K:$K,Tilanne!$Z$1,AS!$X:$X,Tilanne!$Z$5,AS!$AV:$AV,Tilanne!$Z$2)</f>
        <v>0</v>
      </c>
      <c r="C111" s="207">
        <f t="shared" si="36"/>
        <v>0</v>
      </c>
      <c r="D111" s="201">
        <f>SUMIFS(AS!$W:$W,AS!$AB:$AB,AS!$AA$1,AS!$AJ:$AJ,$Y111,AS!$AH:$AH,$Y$8,AS!$F:$F,$Y$7,AS!$AW:$AW,Tilanne!$Z$6,AS!$K:$K,Tilanne!$Z$1,AS!$X:$X,Tilanne!$Z$5,AS!$AV:$AV,Tilanne!$Z$2)</f>
        <v>0</v>
      </c>
      <c r="E111" s="201">
        <f>SUMIFS(AS!$W:$W,AS!$AB:$AB,AS!$AA$1,AS!$AJ:$AJ,$Y111,AS!$AH:$AH,$Y$8,AS!$F:$F,$Z$7,AS!$AW:$AW,Tilanne!$Z$6,AS!$K:$K,Tilanne!$Z$1,AS!$X:$X,Tilanne!$Z$5,AS!$AV:$AV,Tilanne!$Z$2)</f>
        <v>0</v>
      </c>
      <c r="F111" s="211">
        <f>SUMIFS(AS!$W:$W,AS!$AB:$AB,AS!$AA$1,AS!$AJ:$AJ,$Y111,AS!$AH:$AH,$Z$8,AS!$AW:$AW,Tilanne!$Z$6,AS!$K:$K,Tilanne!$Z$1,AS!$X:$X,Tilanne!$Z$5,AS!$AV:$AV,Tilanne!$Z$2)</f>
        <v>0</v>
      </c>
      <c r="G111" s="212"/>
      <c r="H111" s="101"/>
      <c r="I111" s="199" t="s">
        <v>324</v>
      </c>
      <c r="J111" s="200">
        <f>SUMIFS(AS!$W:$W,AS!$AB:$AB,AS!$AA$1,AS!$AO:$AO,$Y111,AS!$AH:$AH,$Y$8,AS!$AW:$AW,Tilanne!$Z$6,AS!$K:$K,Tilanne!$Z$1,AS!$X:$X,Tilanne!$Z$5,AS!$AV:$AV,Tilanne!$Z$2)</f>
        <v>0</v>
      </c>
      <c r="K111" s="207">
        <f t="shared" si="37"/>
        <v>0</v>
      </c>
      <c r="L111" s="201">
        <f>SUMIFS(AS!$W:$W,AS!$AB:$AB,AS!$AA$1,AS!$AO:$AO,$Y111,AS!$AH:$AH,$Y$8,AS!$F:$F,$Y$7,AS!$AW:$AW,Tilanne!$Z$6,AS!$K:$K,Tilanne!$Z$1,AS!$X:$X,Tilanne!$Z$5,AS!$AV:$AV,Tilanne!$Z$2)</f>
        <v>0</v>
      </c>
      <c r="M111" s="201">
        <f>SUMIFS(AS!$W:$W,AS!$AB:$AB,AS!$AA$1,AS!$AO:$AO,$Y111,AS!$AH:$AH,$Y$8,AS!$F:$F,$Z$7,AS!$AW:$AW,Tilanne!$Z$6,AS!$K:$K,Tilanne!$Z$1,AS!$X:$X,Tilanne!$Z$5,AS!$AV:$AV,Tilanne!$Z$2)</f>
        <v>0</v>
      </c>
      <c r="N111" s="202">
        <f>SUMIFS(AS!$W:$W,AS!$AB:$AB,AS!$AA$1,AS!$AO:$AO,$Y111,AS!$AH:$AH,"vanha",AS!$AW:$AW,Tilanne!$Z$6,AS!$K:$K,Tilanne!$Z$1,AS!$X:$X,Tilanne!$Z$5,AS!$AV:$AV,Tilanne!$Z$2)</f>
        <v>0</v>
      </c>
      <c r="O111" s="212"/>
      <c r="P111" s="101"/>
      <c r="Q111" s="206" t="s">
        <v>324</v>
      </c>
      <c r="R111" s="193">
        <f t="shared" si="35"/>
        <v>0</v>
      </c>
      <c r="S111" s="194">
        <f t="shared" si="35"/>
        <v>0</v>
      </c>
      <c r="T111" s="193">
        <f t="shared" si="35"/>
        <v>0</v>
      </c>
      <c r="U111" s="193">
        <f t="shared" si="35"/>
        <v>0</v>
      </c>
      <c r="V111" s="193">
        <f t="shared" si="35"/>
        <v>0</v>
      </c>
      <c r="Y111" s="195" t="s">
        <v>327</v>
      </c>
    </row>
    <row r="112" spans="1:29" x14ac:dyDescent="0.25">
      <c r="A112" s="206" t="s">
        <v>329</v>
      </c>
      <c r="B112" s="202">
        <f>SUMIFS(AS!$W:$W,AS!$AB:$AB,AS!$AA$1,AS!$AJ:$AJ,$Y112,AS!$AH:$AH,$Y$8,AS!$AW:$AW,Tilanne!$Z$6,AS!$K:$K,Tilanne!$Z$1,AS!$X:$X,Tilanne!$Z$5,AS!$AV:$AV,Tilanne!$Z$2)</f>
        <v>0</v>
      </c>
      <c r="C112" s="207">
        <f t="shared" si="36"/>
        <v>0</v>
      </c>
      <c r="D112" s="201">
        <f>SUMIFS(AS!$W:$W,AS!$AB:$AB,AS!$AA$1,AS!$AJ:$AJ,$Y112,AS!$AH:$AH,$Y$8,AS!$F:$F,$Y$7,AS!$AW:$AW,Tilanne!$Z$6,AS!$K:$K,Tilanne!$Z$1,AS!$X:$X,Tilanne!$Z$5,AS!$AV:$AV,Tilanne!$Z$2)</f>
        <v>0</v>
      </c>
      <c r="E112" s="201">
        <f>SUMIFS(AS!$W:$W,AS!$AB:$AB,AS!$AA$1,AS!$AJ:$AJ,$Y112,AS!$AH:$AH,$Y$8,AS!$F:$F,$Z$7,AS!$AW:$AW,Tilanne!$Z$6,AS!$K:$K,Tilanne!$Z$1,AS!$X:$X,Tilanne!$Z$5,AS!$AV:$AV,Tilanne!$Z$2)</f>
        <v>0</v>
      </c>
      <c r="F112" s="211">
        <f>SUMIFS(AS!$W:$W,AS!$AB:$AB,AS!$AA$1,AS!$AJ:$AJ,$Y112,AS!$AH:$AH,$Z$8,AS!$AW:$AW,Tilanne!$Z$6,AS!$K:$K,Tilanne!$Z$1,AS!$X:$X,Tilanne!$Z$5,AS!$AV:$AV,Tilanne!$Z$2)</f>
        <v>0</v>
      </c>
      <c r="G112" s="212"/>
      <c r="H112" s="101"/>
      <c r="I112" s="199" t="s">
        <v>329</v>
      </c>
      <c r="J112" s="200">
        <f>SUMIFS(AS!$W:$W,AS!$AB:$AB,AS!$AA$1,AS!$AO:$AO,$Y112,AS!$AH:$AH,$Y$8,AS!$AW:$AW,Tilanne!$Z$6,AS!$K:$K,Tilanne!$Z$1,AS!$X:$X,Tilanne!$Z$5,AS!$AV:$AV,Tilanne!$Z$2)</f>
        <v>0</v>
      </c>
      <c r="K112" s="207">
        <f t="shared" si="37"/>
        <v>0</v>
      </c>
      <c r="L112" s="201">
        <f>SUMIFS(AS!$W:$W,AS!$AB:$AB,AS!$AA$1,AS!$AO:$AO,$Y112,AS!$AH:$AH,$Y$8,AS!$F:$F,$Y$7,AS!$AW:$AW,Tilanne!$Z$6,AS!$K:$K,Tilanne!$Z$1,AS!$X:$X,Tilanne!$Z$5,AS!$AV:$AV,Tilanne!$Z$2)</f>
        <v>0</v>
      </c>
      <c r="M112" s="201">
        <f>SUMIFS(AS!$W:$W,AS!$AB:$AB,AS!$AA$1,AS!$AO:$AO,$Y112,AS!$AH:$AH,$Y$8,AS!$F:$F,$Z$7,AS!$AW:$AW,Tilanne!$Z$6,AS!$K:$K,Tilanne!$Z$1,AS!$X:$X,Tilanne!$Z$5,AS!$AV:$AV,Tilanne!$Z$2)</f>
        <v>0</v>
      </c>
      <c r="N112" s="202">
        <f>SUMIFS(AS!$W:$W,AS!$AB:$AB,AS!$AA$1,AS!$AO:$AO,$Y112,AS!$AH:$AH,"vanha",AS!$AW:$AW,Tilanne!$Z$6,AS!$K:$K,Tilanne!$Z$1,AS!$X:$X,Tilanne!$Z$5,AS!$AV:$AV,Tilanne!$Z$2)</f>
        <v>0</v>
      </c>
      <c r="O112" s="212"/>
      <c r="P112" s="101"/>
      <c r="Q112" s="206" t="s">
        <v>329</v>
      </c>
      <c r="R112" s="193">
        <f>J112-B112</f>
        <v>0</v>
      </c>
      <c r="S112" s="194">
        <f t="shared" si="35"/>
        <v>0</v>
      </c>
      <c r="T112" s="193">
        <f t="shared" si="35"/>
        <v>0</v>
      </c>
      <c r="U112" s="193">
        <f t="shared" si="35"/>
        <v>0</v>
      </c>
      <c r="V112" s="193">
        <f t="shared" si="35"/>
        <v>0</v>
      </c>
      <c r="Y112" s="195" t="s">
        <v>332</v>
      </c>
    </row>
    <row r="113" spans="1:29" x14ac:dyDescent="0.25">
      <c r="A113" s="206" t="s">
        <v>336</v>
      </c>
      <c r="B113" s="202">
        <f>SUMIFS(AS!$W:$W,AS!$AB:$AB,AS!$AA$1,AS!$AJ:$AJ,$Y113,AS!$AH:$AH,$Y$8,AS!$AW:$AW,Tilanne!$Z$6,AS!$K:$K,Tilanne!$Z$1,AS!$X:$X,Tilanne!$Z$5,AS!$AV:$AV,Tilanne!$Z$2)</f>
        <v>0</v>
      </c>
      <c r="C113" s="207">
        <f t="shared" si="36"/>
        <v>0</v>
      </c>
      <c r="D113" s="201">
        <f>SUMIFS(AS!$W:$W,AS!$AB:$AB,AS!$AA$1,AS!$AJ:$AJ,$Y113,AS!$AH:$AH,$Y$8,AS!$F:$F,$Y$7,AS!$AW:$AW,Tilanne!$Z$6,AS!$K:$K,Tilanne!$Z$1,AS!$X:$X,Tilanne!$Z$5,AS!$AV:$AV,Tilanne!$Z$2)</f>
        <v>0</v>
      </c>
      <c r="E113" s="201">
        <f>SUMIFS(AS!$W:$W,AS!$AB:$AB,AS!$AA$1,AS!$AJ:$AJ,$Y113,AS!$AH:$AH,$Y$8,AS!$F:$F,$Z$7,AS!$AW:$AW,Tilanne!$Z$6,AS!$K:$K,Tilanne!$Z$1,AS!$X:$X,Tilanne!$Z$5,AS!$AV:$AV,Tilanne!$Z$2)</f>
        <v>0</v>
      </c>
      <c r="F113" s="211">
        <f>SUMIFS(AS!$W:$W,AS!$AB:$AB,AS!$AA$1,AS!$AJ:$AJ,$Y113,AS!$AH:$AH,$Z$8,AS!$AW:$AW,Tilanne!$Z$6,AS!$K:$K,Tilanne!$Z$1,AS!$X:$X,Tilanne!$Z$5,AS!$AV:$AV,Tilanne!$Z$2)</f>
        <v>0</v>
      </c>
      <c r="G113" s="212"/>
      <c r="H113" s="101"/>
      <c r="I113" s="199" t="s">
        <v>336</v>
      </c>
      <c r="J113" s="200">
        <f>SUMIFS(AS!$W:$W,AS!$AB:$AB,AS!$AA$1,AS!$AO:$AO,$Y113,AS!$AH:$AH,$Y$8,AS!$AW:$AW,Tilanne!$Z$6,AS!$K:$K,Tilanne!$Z$1,AS!$X:$X,Tilanne!$Z$5,AS!$AV:$AV,Tilanne!$Z$2)</f>
        <v>0</v>
      </c>
      <c r="K113" s="207">
        <f t="shared" si="37"/>
        <v>0</v>
      </c>
      <c r="L113" s="201">
        <f>SUMIFS(AS!$W:$W,AS!$AB:$AB,AS!$AA$1,AS!$AO:$AO,$Y113,AS!$AH:$AH,$Y$8,AS!$F:$F,$Y$7,AS!$AW:$AW,Tilanne!$Z$6,AS!$K:$K,Tilanne!$Z$1,AS!$X:$X,Tilanne!$Z$5,AS!$AV:$AV,Tilanne!$Z$2)</f>
        <v>0</v>
      </c>
      <c r="M113" s="201">
        <f>SUMIFS(AS!$W:$W,AS!$AB:$AB,AS!$AA$1,AS!$AO:$AO,$Y113,AS!$AH:$AH,$Y$8,AS!$F:$F,$Z$7,AS!$AW:$AW,Tilanne!$Z$6,AS!$K:$K,Tilanne!$Z$1,AS!$X:$X,Tilanne!$Z$5,AS!$AV:$AV,Tilanne!$Z$2)</f>
        <v>0</v>
      </c>
      <c r="N113" s="202">
        <f>SUMIFS(AS!$W:$W,AS!$AB:$AB,AS!$AA$1,AS!$AO:$AO,$Y113,AS!$AH:$AH,"vanha",AS!$AW:$AW,Tilanne!$Z$6,AS!$K:$K,Tilanne!$Z$1,AS!$X:$X,Tilanne!$Z$5,AS!$AV:$AV,Tilanne!$Z$2)</f>
        <v>0</v>
      </c>
      <c r="O113" s="212"/>
      <c r="P113" s="101"/>
      <c r="Q113" s="206" t="s">
        <v>336</v>
      </c>
      <c r="R113" s="193">
        <f t="shared" si="35"/>
        <v>0</v>
      </c>
      <c r="S113" s="194">
        <f t="shared" si="35"/>
        <v>0</v>
      </c>
      <c r="T113" s="193">
        <f t="shared" si="35"/>
        <v>0</v>
      </c>
      <c r="U113" s="193">
        <f t="shared" si="35"/>
        <v>0</v>
      </c>
      <c r="V113" s="193">
        <f t="shared" si="35"/>
        <v>0</v>
      </c>
      <c r="Y113" s="195" t="s">
        <v>338</v>
      </c>
    </row>
    <row r="114" spans="1:29" x14ac:dyDescent="0.25">
      <c r="A114" s="206" t="s">
        <v>341</v>
      </c>
      <c r="B114" s="202">
        <f>SUMIFS(AS!$W:$W,AS!$AB:$AB,AS!$AA$1,AS!$AJ:$AJ,$Y114,AS!$AH:$AH,$Y$8,AS!$AW:$AW,Tilanne!$Z$6,AS!$K:$K,Tilanne!$Z$1,AS!$X:$X,Tilanne!$Z$5,AS!$AV:$AV,Tilanne!$Z$2)</f>
        <v>0</v>
      </c>
      <c r="C114" s="207">
        <f t="shared" si="36"/>
        <v>0</v>
      </c>
      <c r="D114" s="201">
        <f>SUMIFS(AS!$W:$W,AS!$AB:$AB,AS!$AA$1,AS!$AJ:$AJ,$Y114,AS!$AH:$AH,$Y$8,AS!$F:$F,$Y$7,AS!$AW:$AW,Tilanne!$Z$6,AS!$K:$K,Tilanne!$Z$1,AS!$X:$X,Tilanne!$Z$5,AS!$AV:$AV,Tilanne!$Z$2)</f>
        <v>0</v>
      </c>
      <c r="E114" s="201">
        <f>SUMIFS(AS!$W:$W,AS!$AB:$AB,AS!$AA$1,AS!$AJ:$AJ,$Y114,AS!$AH:$AH,$Y$8,AS!$F:$F,$Z$7,AS!$AW:$AW,Tilanne!$Z$6,AS!$K:$K,Tilanne!$Z$1,AS!$X:$X,Tilanne!$Z$5,AS!$AV:$AV,Tilanne!$Z$2)</f>
        <v>0</v>
      </c>
      <c r="F114" s="211">
        <f>SUMIFS(AS!$W:$W,AS!$AB:$AB,AS!$AA$1,AS!$AJ:$AJ,$Y114,AS!$AH:$AH,$Z$8,AS!$AW:$AW,Tilanne!$Z$6,AS!$K:$K,Tilanne!$Z$1,AS!$X:$X,Tilanne!$Z$5,AS!$AV:$AV,Tilanne!$Z$2)</f>
        <v>0</v>
      </c>
      <c r="G114" s="212"/>
      <c r="H114" s="101"/>
      <c r="I114" s="199" t="s">
        <v>341</v>
      </c>
      <c r="J114" s="200">
        <f>SUMIFS(AS!$W:$W,AS!$AB:$AB,AS!$AA$1,AS!$AO:$AO,$Y114,AS!$AH:$AH,$Y$8,AS!$AW:$AW,Tilanne!$Z$6,AS!$K:$K,Tilanne!$Z$1,AS!$X:$X,Tilanne!$Z$5,AS!$AV:$AV,Tilanne!$Z$2)</f>
        <v>0</v>
      </c>
      <c r="K114" s="207">
        <f t="shared" si="37"/>
        <v>0</v>
      </c>
      <c r="L114" s="201">
        <f>SUMIFS(AS!$W:$W,AS!$AB:$AB,AS!$AA$1,AS!$AO:$AO,$Y114,AS!$AH:$AH,$Y$8,AS!$F:$F,$Y$7,AS!$AW:$AW,Tilanne!$Z$6,AS!$K:$K,Tilanne!$Z$1,AS!$X:$X,Tilanne!$Z$5,AS!$AV:$AV,Tilanne!$Z$2)</f>
        <v>0</v>
      </c>
      <c r="M114" s="201">
        <f>SUMIFS(AS!$W:$W,AS!$AB:$AB,AS!$AA$1,AS!$AO:$AO,$Y114,AS!$AH:$AH,$Y$8,AS!$F:$F,$Z$7,AS!$AW:$AW,Tilanne!$Z$6,AS!$K:$K,Tilanne!$Z$1,AS!$X:$X,Tilanne!$Z$5,AS!$AV:$AV,Tilanne!$Z$2)</f>
        <v>0</v>
      </c>
      <c r="N114" s="202">
        <f>SUMIFS(AS!$W:$W,AS!$AB:$AB,AS!$AA$1,AS!$AO:$AO,$Y114,AS!$AH:$AH,"vanha",AS!$AW:$AW,Tilanne!$Z$6,AS!$K:$K,Tilanne!$Z$1,AS!$X:$X,Tilanne!$Z$5,AS!$AV:$AV,Tilanne!$Z$2)</f>
        <v>0</v>
      </c>
      <c r="O114" s="212"/>
      <c r="P114" s="101"/>
      <c r="Q114" s="206" t="s">
        <v>341</v>
      </c>
      <c r="R114" s="193">
        <f t="shared" si="35"/>
        <v>0</v>
      </c>
      <c r="S114" s="194">
        <f t="shared" si="35"/>
        <v>0</v>
      </c>
      <c r="T114" s="193">
        <f t="shared" si="35"/>
        <v>0</v>
      </c>
      <c r="U114" s="193">
        <f t="shared" si="35"/>
        <v>0</v>
      </c>
      <c r="V114" s="193">
        <f t="shared" si="35"/>
        <v>0</v>
      </c>
      <c r="Y114" s="195" t="s">
        <v>344</v>
      </c>
    </row>
    <row r="115" spans="1:29" x14ac:dyDescent="0.25">
      <c r="A115" s="206" t="s">
        <v>348</v>
      </c>
      <c r="B115" s="202">
        <f>SUMIFS(AS!$W:$W,AS!$AB:$AB,AS!$AA$1,AS!$AJ:$AJ,$Y115,AS!$AH:$AH,$Y$8,AS!$AW:$AW,Tilanne!$Z$6,AS!$K:$K,Tilanne!$Z$1,AS!$X:$X,Tilanne!$Z$5,AS!$AV:$AV,Tilanne!$Z$2)</f>
        <v>0</v>
      </c>
      <c r="C115" s="207">
        <f t="shared" si="36"/>
        <v>0</v>
      </c>
      <c r="D115" s="201">
        <f>SUMIFS(AS!$W:$W,AS!$AB:$AB,AS!$AA$1,AS!$AJ:$AJ,$Y115,AS!$AH:$AH,$Y$8,AS!$F:$F,$Y$7,AS!$AW:$AW,Tilanne!$Z$6,AS!$K:$K,Tilanne!$Z$1,AS!$X:$X,Tilanne!$Z$5,AS!$AV:$AV,Tilanne!$Z$2)</f>
        <v>0</v>
      </c>
      <c r="E115" s="201">
        <f>SUMIFS(AS!$W:$W,AS!$AB:$AB,AS!$AA$1,AS!$AJ:$AJ,$Y115,AS!$AH:$AH,$Y$8,AS!$F:$F,$Z$7,AS!$AW:$AW,Tilanne!$Z$6,AS!$K:$K,Tilanne!$Z$1,AS!$X:$X,Tilanne!$Z$5,AS!$AV:$AV,Tilanne!$Z$2)</f>
        <v>0</v>
      </c>
      <c r="F115" s="211">
        <f>SUMIFS(AS!$W:$W,AS!$AB:$AB,AS!$AA$1,AS!$AJ:$AJ,$Y115,AS!$AH:$AH,$Z$8,AS!$AW:$AW,Tilanne!$Z$6,AS!$K:$K,Tilanne!$Z$1,AS!$X:$X,Tilanne!$Z$5,AS!$AV:$AV,Tilanne!$Z$2)</f>
        <v>0</v>
      </c>
      <c r="G115" s="212"/>
      <c r="H115" s="101"/>
      <c r="I115" s="199" t="s">
        <v>348</v>
      </c>
      <c r="J115" s="200">
        <f>SUMIFS(AS!$W:$W,AS!$AB:$AB,AS!$AA$1,AS!$AO:$AO,$Y115,AS!$AH:$AH,$Y$8,AS!$AW:$AW,Tilanne!$Z$6,AS!$K:$K,Tilanne!$Z$1,AS!$X:$X,Tilanne!$Z$5,AS!$AV:$AV,Tilanne!$Z$2)</f>
        <v>0</v>
      </c>
      <c r="K115" s="207">
        <f t="shared" si="37"/>
        <v>0</v>
      </c>
      <c r="L115" s="201">
        <f>SUMIFS(AS!$W:$W,AS!$AB:$AB,AS!$AA$1,AS!$AO:$AO,$Y115,AS!$AH:$AH,$Y$8,AS!$F:$F,$Y$7,AS!$AW:$AW,Tilanne!$Z$6,AS!$K:$K,Tilanne!$Z$1,AS!$X:$X,Tilanne!$Z$5,AS!$AV:$AV,Tilanne!$Z$2)</f>
        <v>0</v>
      </c>
      <c r="M115" s="201">
        <f>SUMIFS(AS!$W:$W,AS!$AB:$AB,AS!$AA$1,AS!$AO:$AO,$Y115,AS!$AH:$AH,$Y$8,AS!$F:$F,$Z$7,AS!$AW:$AW,Tilanne!$Z$6,AS!$K:$K,Tilanne!$Z$1,AS!$X:$X,Tilanne!$Z$5,AS!$AV:$AV,Tilanne!$Z$2)</f>
        <v>0</v>
      </c>
      <c r="N115" s="202">
        <f>SUMIFS(AS!$W:$W,AS!$AB:$AB,AS!$AA$1,AS!$AO:$AO,$Y115,AS!$AH:$AH,"vanha",AS!$AW:$AW,Tilanne!$Z$6,AS!$K:$K,Tilanne!$Z$1,AS!$X:$X,Tilanne!$Z$5,AS!$AV:$AV,Tilanne!$Z$2)</f>
        <v>0</v>
      </c>
      <c r="O115" s="212"/>
      <c r="P115" s="101"/>
      <c r="Q115" s="206" t="s">
        <v>348</v>
      </c>
      <c r="R115" s="193">
        <f t="shared" si="35"/>
        <v>0</v>
      </c>
      <c r="S115" s="194">
        <f t="shared" si="35"/>
        <v>0</v>
      </c>
      <c r="T115" s="193">
        <f t="shared" si="35"/>
        <v>0</v>
      </c>
      <c r="U115" s="193">
        <f t="shared" si="35"/>
        <v>0</v>
      </c>
      <c r="V115" s="193">
        <f t="shared" si="35"/>
        <v>0</v>
      </c>
      <c r="Y115" s="195" t="s">
        <v>351</v>
      </c>
    </row>
    <row r="116" spans="1:29" x14ac:dyDescent="0.25">
      <c r="A116" s="206" t="s">
        <v>347</v>
      </c>
      <c r="B116" s="202">
        <f>SUMIFS(AS!$W:$W,AS!$AB:$AB,AS!$AA$1,AS!$AJ:$AJ,$Y116,AS!$AH:$AH,$Y$8,AS!$AW:$AW,Tilanne!$Z$6,AS!$K:$K,Tilanne!$Z$1,AS!$X:$X,Tilanne!$Z$5,AS!$AV:$AV,Tilanne!$Z$2)</f>
        <v>0</v>
      </c>
      <c r="C116" s="207">
        <f t="shared" si="36"/>
        <v>0</v>
      </c>
      <c r="D116" s="201">
        <f>SUMIFS(AS!$W:$W,AS!$AB:$AB,AS!$AA$1,AS!$AJ:$AJ,$Y116,AS!$AH:$AH,$Y$8,AS!$F:$F,$Y$7,AS!$AW:$AW,Tilanne!$Z$6,AS!$K:$K,Tilanne!$Z$1,AS!$X:$X,Tilanne!$Z$5,AS!$AV:$AV,Tilanne!$Z$2)</f>
        <v>0</v>
      </c>
      <c r="E116" s="201">
        <f>SUMIFS(AS!$W:$W,AS!$AB:$AB,AS!$AA$1,AS!$AJ:$AJ,$Y116,AS!$AH:$AH,$Y$8,AS!$F:$F,$Z$7,AS!$AW:$AW,Tilanne!$Z$6,AS!$K:$K,Tilanne!$Z$1,AS!$X:$X,Tilanne!$Z$5,AS!$AV:$AV,Tilanne!$Z$2)</f>
        <v>0</v>
      </c>
      <c r="F116" s="211">
        <f>SUMIFS(AS!$W:$W,AS!$AB:$AB,AS!$AA$1,AS!$AJ:$AJ,$Y116,AS!$AH:$AH,$Z$8,AS!$AW:$AW,Tilanne!$Z$6,AS!$K:$K,Tilanne!$Z$1,AS!$X:$X,Tilanne!$Z$5,AS!$AV:$AV,Tilanne!$Z$2)</f>
        <v>0</v>
      </c>
      <c r="G116" s="212"/>
      <c r="H116" s="101"/>
      <c r="I116" s="199" t="s">
        <v>347</v>
      </c>
      <c r="J116" s="200">
        <f>SUMIFS(AS!$W:$W,AS!$AB:$AB,AS!$AA$1,AS!$AO:$AO,$Y116,AS!$AH:$AH,$Y$8,AS!$AW:$AW,Tilanne!$Z$6,AS!$K:$K,Tilanne!$Z$1,AS!$X:$X,Tilanne!$Z$5,AS!$AV:$AV,Tilanne!$Z$2)</f>
        <v>0</v>
      </c>
      <c r="K116" s="207">
        <f t="shared" si="37"/>
        <v>0</v>
      </c>
      <c r="L116" s="201">
        <f>SUMIFS(AS!$W:$W,AS!$AB:$AB,AS!$AA$1,AS!$AO:$AO,$Y116,AS!$AH:$AH,$Y$8,AS!$F:$F,$Y$7,AS!$AW:$AW,Tilanne!$Z$6,AS!$K:$K,Tilanne!$Z$1,AS!$X:$X,Tilanne!$Z$5,AS!$AV:$AV,Tilanne!$Z$2)</f>
        <v>0</v>
      </c>
      <c r="M116" s="201">
        <f>SUMIFS(AS!$W:$W,AS!$AB:$AB,AS!$AA$1,AS!$AO:$AO,$Y116,AS!$AH:$AH,$Y$8,AS!$F:$F,$Z$7,AS!$AW:$AW,Tilanne!$Z$6,AS!$K:$K,Tilanne!$Z$1,AS!$X:$X,Tilanne!$Z$5,AS!$AV:$AV,Tilanne!$Z$2)</f>
        <v>0</v>
      </c>
      <c r="N116" s="202">
        <f>SUMIFS(AS!$W:$W,AS!$AB:$AB,AS!$AA$1,AS!$AO:$AO,$Y116,AS!$AH:$AH,"vanha",AS!$AW:$AW,Tilanne!$Z$6,AS!$K:$K,Tilanne!$Z$1,AS!$X:$X,Tilanne!$Z$5,AS!$AV:$AV,Tilanne!$Z$2)</f>
        <v>0</v>
      </c>
      <c r="O116" s="212"/>
      <c r="P116" s="101"/>
      <c r="Q116" s="206" t="s">
        <v>347</v>
      </c>
      <c r="R116" s="193">
        <f t="shared" si="35"/>
        <v>0</v>
      </c>
      <c r="S116" s="194">
        <f t="shared" si="35"/>
        <v>0</v>
      </c>
      <c r="T116" s="193">
        <f t="shared" si="35"/>
        <v>0</v>
      </c>
      <c r="U116" s="193">
        <f t="shared" si="35"/>
        <v>0</v>
      </c>
      <c r="V116" s="193">
        <f t="shared" si="35"/>
        <v>0</v>
      </c>
      <c r="Y116" s="195" t="s">
        <v>356</v>
      </c>
    </row>
    <row r="117" spans="1:29" x14ac:dyDescent="0.25">
      <c r="A117" s="255" t="s">
        <v>239</v>
      </c>
      <c r="B117" s="256">
        <f>SUM(B118:B119)</f>
        <v>0</v>
      </c>
      <c r="C117" s="257">
        <f>IFERROR(B117/$B$120,0)</f>
        <v>0</v>
      </c>
      <c r="D117" s="256">
        <f>SUM(D118:D119)</f>
        <v>0</v>
      </c>
      <c r="E117" s="256">
        <f>SUM(E118:E119)</f>
        <v>0</v>
      </c>
      <c r="F117" s="258">
        <f>SUM(F118:F119)</f>
        <v>0</v>
      </c>
      <c r="G117" s="186"/>
      <c r="I117" s="255" t="s">
        <v>239</v>
      </c>
      <c r="J117" s="256">
        <f>SUM(J118:J119)</f>
        <v>0</v>
      </c>
      <c r="K117" s="257">
        <f>IFERROR(J117/$J$120,0)</f>
        <v>0</v>
      </c>
      <c r="L117" s="256">
        <f>SUM(L118:L119)</f>
        <v>0</v>
      </c>
      <c r="M117" s="256">
        <f>SUM(M118:M119)</f>
        <v>0</v>
      </c>
      <c r="N117" s="256">
        <f>SUM(N118:N119)</f>
        <v>0</v>
      </c>
      <c r="O117" s="186"/>
      <c r="Q117" s="255" t="s">
        <v>239</v>
      </c>
      <c r="R117" s="266">
        <f>J117-B117</f>
        <v>0</v>
      </c>
      <c r="S117" s="267">
        <f>K117-C117</f>
        <v>0</v>
      </c>
      <c r="T117" s="266">
        <f>L117-D117</f>
        <v>0</v>
      </c>
      <c r="U117" s="266">
        <f>M117-E117</f>
        <v>0</v>
      </c>
      <c r="V117" s="266">
        <f t="shared" si="35"/>
        <v>0</v>
      </c>
      <c r="Y117" s="187"/>
      <c r="Z117" s="188"/>
      <c r="AB117" s="176"/>
      <c r="AC117" s="169"/>
    </row>
    <row r="118" spans="1:29" x14ac:dyDescent="0.25">
      <c r="A118" s="199" t="s">
        <v>1321</v>
      </c>
      <c r="B118" s="200">
        <f>SUMIFS(AS!$W:$W,AS!$AB:$AB,AS!$AA$1,AS!$AJ:$AJ,$Y118,AS!$AH:$AH,$Y$8,AS!$AW:$AW,Tilanne!$Z$6,AS!$K:$K,Tilanne!$Z$1,AS!$X:$X,Tilanne!$Z$5,AS!$AV:$AV,Tilanne!$Z$2)</f>
        <v>0</v>
      </c>
      <c r="C118" s="361">
        <f>IFERROR(B118/$B$120,0)</f>
        <v>0</v>
      </c>
      <c r="D118" s="201">
        <f>SUMIFS(AS!$W:$W,AS!$AB:$AB,AS!$AA$1,AS!$AJ:$AJ,$Y118,AS!$AH:$AH,$Y$8,AS!$F:$F,$Y$7,AS!$AW:$AW,Tilanne!$Z$6,AS!$K:$K,Tilanne!$Z$1,AS!$X:$X,Tilanne!$Z$5,AS!$AV:$AV,Tilanne!$Z$2)</f>
        <v>0</v>
      </c>
      <c r="E118" s="201">
        <f>SUMIFS(AS!$W:$W,AS!$AB:$AB,AS!$AA$1,AS!$AJ:$AJ,$Y118,AS!$AH:$AH,$Y$8,AS!$F:$F,$Z$7,AS!$AW:$AW,Tilanne!$Z$6,AS!$K:$K,Tilanne!$Z$1,AS!$X:$X,Tilanne!$Z$5,AS!$AV:$AV,Tilanne!$Z$2)</f>
        <v>0</v>
      </c>
      <c r="F118" s="202">
        <f>SUMIFS(AS!$W:$W,AS!$AB:$AB,AS!$AA$1,AS!$AJ:$AJ,$Y118,AS!$AH:$AH,$Z$8,AS!$AW:$AW,Tilanne!$Z$6,AS!$K:$K,Tilanne!$Z$1,AS!$X:$X,Tilanne!$Z$5,AS!$AV:$AV,Tilanne!$Z$2)</f>
        <v>0</v>
      </c>
      <c r="G118" s="212"/>
      <c r="H118" s="101"/>
      <c r="I118" s="199" t="s">
        <v>1321</v>
      </c>
      <c r="J118" s="200">
        <f>SUMIFS(AS!$W:$W,AS!$AB:$AB,AS!$AA$1,AS!$AO:$AO,$Y118,AS!$AH:$AH,$Y$8,AS!$AW:$AW,Tilanne!$Z$6,AS!$K:$K,Tilanne!$Z$1,AS!$X:$X,Tilanne!$Z$5,AS!$AV:$AV,Tilanne!$Z$2)</f>
        <v>0</v>
      </c>
      <c r="K118" s="361">
        <f>IFERROR(J118/$J$120,0)</f>
        <v>0</v>
      </c>
      <c r="L118" s="201">
        <f>SUMIFS(AS!$W:$W,AS!$AB:$AB,AS!$AA$1,AS!$AO:$AO,$Y118,AS!$AH:$AH,$Y$8,AS!$F:$F,$Y$7,AS!$AW:$AW,Tilanne!$Z$6,AS!$K:$K,Tilanne!$Z$1,AS!$X:$X,Tilanne!$Z$5,AS!$AV:$AV,Tilanne!$Z$2)</f>
        <v>0</v>
      </c>
      <c r="M118" s="201">
        <f>SUMIFS(AS!$W:$W,AS!$AB:$AB,AS!$AA$1,AS!$AO:$AO,$Y118,AS!$AH:$AH,$Y$8,AS!$F:$F,$Z$7,AS!$AW:$AW,Tilanne!$Z$6,AS!$K:$K,Tilanne!$Z$1,AS!$X:$X,Tilanne!$Z$5,AS!$AV:$AV,Tilanne!$Z$2)</f>
        <v>0</v>
      </c>
      <c r="N118" s="202">
        <f>SUMIFS(AS!$W:$W,AS!$AB:$AB,AS!$AA$1,AS!$AO:$AO,$Y118,AS!$AH:$AH,"vanha",AS!$AW:$AW,Tilanne!$Z$6,AS!$K:$K,Tilanne!$Z$1,AS!$X:$X,Tilanne!$Z$5,AS!$AV:$AV,Tilanne!$Z$2)</f>
        <v>0</v>
      </c>
      <c r="O118" s="212"/>
      <c r="P118" s="101"/>
      <c r="Q118" s="189" t="s">
        <v>239</v>
      </c>
      <c r="R118" s="193">
        <f>J118-B118</f>
        <v>0</v>
      </c>
      <c r="S118" s="194">
        <f t="shared" ref="S118:V120" si="38">K118-C118</f>
        <v>0</v>
      </c>
      <c r="T118" s="193">
        <f t="shared" si="38"/>
        <v>0</v>
      </c>
      <c r="U118" s="193">
        <f t="shared" si="38"/>
        <v>0</v>
      </c>
      <c r="V118" s="193">
        <f t="shared" si="35"/>
        <v>0</v>
      </c>
      <c r="Y118" s="195" t="s">
        <v>360</v>
      </c>
    </row>
    <row r="119" spans="1:29" x14ac:dyDescent="0.25">
      <c r="A119" s="206" t="s">
        <v>241</v>
      </c>
      <c r="B119" s="202">
        <f>SUMIFS(AS!$W:$W,AS!$AB:$AB,AS!$AA$1,AS!$AJ:$AJ,"",AS!$AH:$AH,$Y$8,AS!$AW:$AW,Tilanne!$Z$6,AS!$K:$K,Tilanne!$Z$1,AS!$X:$X,Tilanne!$Z$5,AS!$AV:$AV,Tilanne!$Z$2)</f>
        <v>0</v>
      </c>
      <c r="C119" s="361">
        <f>IFERROR(B119/$B$120,0)</f>
        <v>0</v>
      </c>
      <c r="D119" s="201">
        <f>SUMIFS(AS!$W:$W,AS!$AB:$AB,AS!$AA$1,AS!$AJ:$AJ,"",AS!$AH:$AH,$Y$8,AS!$F:$F,$Y$7,AS!$AW:$AW,Tilanne!$Z$6,AS!$K:$K,Tilanne!$Z$1,AS!$X:$X,Tilanne!$Z$5,AS!$AV:$AV,Tilanne!$Z$2)</f>
        <v>0</v>
      </c>
      <c r="E119" s="201">
        <f>SUMIFS(AS!$W:$W,AS!$AB:$AB,AS!$AA$1,AS!$AJ:$AJ,"",AS!$AH:$AH,$Y$8,AS!$F:$F,$Z$7,AS!$AW:$AW,Tilanne!$Z$6,AS!$K:$K,Tilanne!$Z$1,AS!$X:$X,Tilanne!$Z$5,AS!$AV:$AV,Tilanne!$Z$2)</f>
        <v>0</v>
      </c>
      <c r="F119" s="211">
        <f>SUMIFS(AS!$W:$W,AS!$AB:$AB,AS!$AA$1,AS!$AJ:$AJ,"",AS!$AH:$AH,$Z$8,AS!$AW:$AW,Tilanne!$Z$6,AS!$K:$K,Tilanne!$Z$1,AS!$X:$X,Tilanne!$Z$5,AS!$AV:$AV,Tilanne!$Z$2)</f>
        <v>0</v>
      </c>
      <c r="G119" s="212"/>
      <c r="H119" s="101"/>
      <c r="I119" s="199" t="s">
        <v>241</v>
      </c>
      <c r="J119" s="200">
        <f>SUMIFS(AS!$W:$W,AS!$AB:$AB,AS!$AA$1,AS!$AO:$AO,"",AS!$AH:$AH,$Y$8,AS!$AW:$AW,Tilanne!$Z$6,AS!$K:$K,Tilanne!$Z$1,AS!$X:$X,Tilanne!$Z$5,AS!$AV:$AV,Tilanne!$Z$2)</f>
        <v>0</v>
      </c>
      <c r="K119" s="361">
        <f>IFERROR(J119/$J$120,0)</f>
        <v>0</v>
      </c>
      <c r="L119" s="201">
        <f>SUMIFS(AS!$W:$W,AS!$AB:$AB,AS!$AA$1,AS!$AO:$AO,"",AS!$AH:$AH,$Y$8,AS!$F:$F,$Y$7,AS!$AW:$AW,Tilanne!$Z$6,AS!$K:$K,Tilanne!$Z$1,AS!$X:$X,Tilanne!$Z$5,AS!$AV:$AV,Tilanne!$Z$2)</f>
        <v>0</v>
      </c>
      <c r="M119" s="201">
        <f>SUMIFS(AS!$W:$W,AS!$AB:$AB,AS!$AA$1,AS!$AO:$AO,"",AS!$AH:$AH,$Y$8,AS!$F:$F,$Z$7,AS!$AW:$AW,Tilanne!$Z$6,AS!$K:$K,Tilanne!$Z$1,AS!$X:$X,Tilanne!$Z$5,AS!$AV:$AV,Tilanne!$Z$2)</f>
        <v>0</v>
      </c>
      <c r="N119" s="202">
        <f>SUMIFS(AS!$W:$W,AS!$AB:$AB,AS!$AA$1,AS!$AO:$AO,"",AS!$AH:$AH,"vanha",AS!$AW:$AW,Tilanne!$Z$6,AS!$K:$K,Tilanne!$Z$1,AS!$X:$X,Tilanne!$Z$5,AS!$AV:$AV,Tilanne!$Z$2)</f>
        <v>0</v>
      </c>
      <c r="O119" s="212"/>
      <c r="P119" s="101"/>
      <c r="Q119" s="206" t="s">
        <v>241</v>
      </c>
      <c r="R119" s="193">
        <f>J119-B119</f>
        <v>0</v>
      </c>
      <c r="S119" s="194">
        <f t="shared" si="38"/>
        <v>0</v>
      </c>
      <c r="T119" s="193">
        <f t="shared" si="38"/>
        <v>0</v>
      </c>
      <c r="U119" s="193">
        <f t="shared" si="38"/>
        <v>0</v>
      </c>
      <c r="V119" s="193">
        <f t="shared" si="38"/>
        <v>0</v>
      </c>
    </row>
    <row r="120" spans="1:29" s="177" customFormat="1" x14ac:dyDescent="0.25">
      <c r="A120" s="259" t="s">
        <v>744</v>
      </c>
      <c r="B120" s="260">
        <f>SUM(B107:B117)</f>
        <v>0</v>
      </c>
      <c r="C120" s="261">
        <f>SUM(C107:C117)</f>
        <v>0</v>
      </c>
      <c r="D120" s="260">
        <f>SUM(D107:D117)</f>
        <v>0</v>
      </c>
      <c r="E120" s="260">
        <f>SUM(E107:E117)</f>
        <v>0</v>
      </c>
      <c r="F120" s="260">
        <f>SUM(F107:F117)</f>
        <v>0</v>
      </c>
      <c r="G120" s="196"/>
      <c r="H120"/>
      <c r="I120" s="262" t="s">
        <v>744</v>
      </c>
      <c r="J120" s="263">
        <f>SUM(J107:J117)</f>
        <v>0</v>
      </c>
      <c r="K120" s="261">
        <f>SUM(K107:K117)</f>
        <v>0</v>
      </c>
      <c r="L120" s="260">
        <f>SUM(L107:L117)</f>
        <v>0</v>
      </c>
      <c r="M120" s="260">
        <f>SUM(M107:M117)</f>
        <v>0</v>
      </c>
      <c r="N120" s="260">
        <f>SUM(N107:N117)</f>
        <v>0</v>
      </c>
      <c r="O120" s="196"/>
      <c r="P120"/>
      <c r="Q120" s="259" t="s">
        <v>744</v>
      </c>
      <c r="R120" s="264">
        <f>J120-B120</f>
        <v>0</v>
      </c>
      <c r="S120" s="265">
        <f t="shared" si="38"/>
        <v>0</v>
      </c>
      <c r="T120" s="264">
        <f t="shared" si="38"/>
        <v>0</v>
      </c>
      <c r="U120" s="264">
        <f t="shared" si="38"/>
        <v>0</v>
      </c>
      <c r="V120" s="264">
        <f t="shared" si="38"/>
        <v>0</v>
      </c>
      <c r="AB120" s="176"/>
      <c r="AC120" s="169"/>
    </row>
    <row r="121" spans="1:29" x14ac:dyDescent="0.25">
      <c r="A121" s="359" t="str">
        <f>$A$6</f>
        <v>Kaikki</v>
      </c>
      <c r="B121" s="203"/>
      <c r="C121" s="203"/>
      <c r="D121" s="101"/>
      <c r="E121" s="101"/>
      <c r="F121" s="101"/>
      <c r="G121" s="101"/>
      <c r="H121" s="101"/>
      <c r="I121" s="101"/>
      <c r="J121" s="101"/>
      <c r="K121" s="101"/>
      <c r="L121" s="101"/>
      <c r="M121" s="101"/>
      <c r="N121" s="101"/>
      <c r="O121" s="101"/>
      <c r="P121" s="101"/>
      <c r="Q121" s="101"/>
      <c r="R121" s="101"/>
    </row>
    <row r="122" spans="1:29" x14ac:dyDescent="0.25">
      <c r="B122" s="213"/>
    </row>
    <row r="123" spans="1:29" x14ac:dyDescent="0.25">
      <c r="A123" s="396" t="s">
        <v>568</v>
      </c>
    </row>
  </sheetData>
  <sheetProtection sheet="1" objects="1" scenarios="1"/>
  <mergeCells count="40">
    <mergeCell ref="R11:S11"/>
    <mergeCell ref="A32:A33"/>
    <mergeCell ref="B32:C32"/>
    <mergeCell ref="G32:G33"/>
    <mergeCell ref="I32:I33"/>
    <mergeCell ref="J32:K32"/>
    <mergeCell ref="Q32:Q33"/>
    <mergeCell ref="R32:S32"/>
    <mergeCell ref="A11:A12"/>
    <mergeCell ref="B11:C11"/>
    <mergeCell ref="G11:G12"/>
    <mergeCell ref="I11:I12"/>
    <mergeCell ref="J11:K11"/>
    <mergeCell ref="Q11:Q12"/>
    <mergeCell ref="O11:O12"/>
    <mergeCell ref="O32:O33"/>
    <mergeCell ref="R56:S56"/>
    <mergeCell ref="A78:A79"/>
    <mergeCell ref="B78:C78"/>
    <mergeCell ref="G78:G79"/>
    <mergeCell ref="I78:I79"/>
    <mergeCell ref="J78:K78"/>
    <mergeCell ref="Q78:Q79"/>
    <mergeCell ref="R78:S78"/>
    <mergeCell ref="A56:A57"/>
    <mergeCell ref="B56:C56"/>
    <mergeCell ref="G56:G57"/>
    <mergeCell ref="I56:I57"/>
    <mergeCell ref="J56:K56"/>
    <mergeCell ref="Q56:Q57"/>
    <mergeCell ref="O56:O57"/>
    <mergeCell ref="O78:O79"/>
    <mergeCell ref="R104:S104"/>
    <mergeCell ref="A104:A105"/>
    <mergeCell ref="B104:C104"/>
    <mergeCell ref="G104:G105"/>
    <mergeCell ref="I104:I105"/>
    <mergeCell ref="J104:K104"/>
    <mergeCell ref="Q104:Q105"/>
    <mergeCell ref="O104:O105"/>
  </mergeCells>
  <conditionalFormatting sqref="C14:C25">
    <cfRule type="colorScale" priority="2">
      <colorScale>
        <cfvo type="min"/>
        <cfvo type="max"/>
        <color rgb="FFFCFCFF"/>
        <color rgb="FF63BE7B"/>
      </colorScale>
    </cfRule>
  </conditionalFormatting>
  <conditionalFormatting sqref="C35:C49">
    <cfRule type="colorScale" priority="3">
      <colorScale>
        <cfvo type="min"/>
        <cfvo type="max"/>
        <color rgb="FFFCFCFF"/>
        <color rgb="FF63BE7B"/>
      </colorScale>
    </cfRule>
  </conditionalFormatting>
  <conditionalFormatting sqref="C59:C69">
    <cfRule type="colorScale" priority="6">
      <colorScale>
        <cfvo type="min"/>
        <cfvo type="max"/>
        <color rgb="FFFCFCFF"/>
        <color rgb="FF63BE7B"/>
      </colorScale>
    </cfRule>
  </conditionalFormatting>
  <conditionalFormatting sqref="C81:C96">
    <cfRule type="colorScale" priority="87">
      <colorScale>
        <cfvo type="min"/>
        <cfvo type="max"/>
        <color rgb="FFFCFCFF"/>
        <color rgb="FF63BE7B"/>
      </colorScale>
    </cfRule>
  </conditionalFormatting>
  <conditionalFormatting sqref="C107:C116">
    <cfRule type="colorScale" priority="8">
      <colorScale>
        <cfvo type="min"/>
        <cfvo type="max"/>
        <color rgb="FFFCFCFF"/>
        <color rgb="FF63BE7B"/>
      </colorScale>
    </cfRule>
  </conditionalFormatting>
  <conditionalFormatting sqref="K14:K25">
    <cfRule type="colorScale" priority="1">
      <colorScale>
        <cfvo type="min"/>
        <cfvo type="max"/>
        <color rgb="FFFCFCFF"/>
        <color rgb="FF63BE7B"/>
      </colorScale>
    </cfRule>
  </conditionalFormatting>
  <conditionalFormatting sqref="K35:K49">
    <cfRule type="colorScale" priority="4">
      <colorScale>
        <cfvo type="min"/>
        <cfvo type="max"/>
        <color rgb="FFFCFCFF"/>
        <color rgb="FF63BE7B"/>
      </colorScale>
    </cfRule>
  </conditionalFormatting>
  <conditionalFormatting sqref="K59:K69">
    <cfRule type="colorScale" priority="5">
      <colorScale>
        <cfvo type="min"/>
        <cfvo type="max"/>
        <color rgb="FFFCFCFF"/>
        <color rgb="FF63BE7B"/>
      </colorScale>
    </cfRule>
  </conditionalFormatting>
  <conditionalFormatting sqref="K81:K96">
    <cfRule type="colorScale" priority="9">
      <colorScale>
        <cfvo type="min"/>
        <cfvo type="max"/>
        <color rgb="FFFCFCFF"/>
        <color rgb="FF63BE7B"/>
      </colorScale>
    </cfRule>
  </conditionalFormatting>
  <conditionalFormatting sqref="K107:K116">
    <cfRule type="colorScale" priority="7">
      <colorScale>
        <cfvo type="min"/>
        <cfvo type="max"/>
        <color rgb="FFFCFCFF"/>
        <color rgb="FF63BE7B"/>
      </colorScale>
    </cfRule>
  </conditionalFormatting>
  <dataValidations count="4">
    <dataValidation type="date" allowBlank="1" showInputMessage="1" showErrorMessage="1" error="Kirjoita päivämäärä muodossa _x000a_pp.kk.vvvv_x000a__x000a_Päivämäärän on oltava _x000a_suurempi kuin 01.01.2008 ja _x000a_pienempi kuin 31.12.2020" sqref="A2:A3" xr:uid="{00000000-0002-0000-0600-000001000000}">
      <formula1>39448</formula1>
      <formula2>44196</formula2>
    </dataValidation>
    <dataValidation type="list" allowBlank="1" showInputMessage="1" showErrorMessage="1" sqref="A6" xr:uid="{00000000-0002-0000-0600-000003000000}">
      <formula1>$Y$2:$Y$4</formula1>
    </dataValidation>
    <dataValidation type="list" showInputMessage="1" showErrorMessage="1" sqref="A4" xr:uid="{00000000-0002-0000-0600-000000000000}">
      <formula1>$AC$5:$AC$38</formula1>
    </dataValidation>
    <dataValidation type="list" allowBlank="1" showInputMessage="1" showErrorMessage="1" sqref="A5" xr:uid="{00000000-0002-0000-0600-000002000000}">
      <formula1>$AE$5:$AE$59</formula1>
    </dataValidation>
  </dataValidations>
  <hyperlinks>
    <hyperlink ref="A123" location="Tilanne!A1" display="Sivun alkuun" xr:uid="{00000000-0004-0000-0600-000002000000}"/>
  </hyperlinks>
  <pageMargins left="0.70866141732283472" right="0.70866141732283472" top="0.74803149606299213" bottom="0.83333333333333337" header="0" footer="0"/>
  <pageSetup paperSize="9" scale="70" fitToWidth="0" orientation="portrait" r:id="rId1"/>
  <headerFooter>
    <oddFooter>&amp;L 
PAR työpaja
osoitettie
0100, paikka&amp;C&amp;G&amp;R&amp;P/&amp;N</oddFooter>
  </headerFooter>
  <rowBreaks count="1" manualBreakCount="1">
    <brk id="75" max="16383" man="1"/>
  </rowBreaks>
  <colBreaks count="4" manualBreakCount="4">
    <brk id="6" max="1048575" man="1"/>
    <brk id="7" max="1048575" man="1"/>
    <brk id="15" max="1048575" man="1"/>
    <brk id="16" max="1048575" man="1"/>
  </colBreaks>
  <drawing r:id="rId2"/>
  <extLst>
    <ext xmlns:x14="http://schemas.microsoft.com/office/spreadsheetml/2009/9/main" uri="{78C0D931-6437-407d-A8EE-F0AAD7539E65}">
      <x14:conditionalFormattings>
        <x14:conditionalFormatting xmlns:xm="http://schemas.microsoft.com/office/excel/2006/main">
          <x14:cfRule type="iconSet" priority="85" id="{E02A7CDF-20BB-452F-9919-FDE9F6D28403}">
            <x14:iconSet iconSet="3Arrows" custom="1">
              <x14:cfvo type="percent">
                <xm:f>0</xm:f>
              </x14:cfvo>
              <x14:cfvo type="num">
                <xm:f>0</xm:f>
              </x14:cfvo>
              <x14:cfvo type="num" gte="0">
                <xm:f>0</xm:f>
              </x14:cfvo>
              <x14:cfIcon iconSet="3Arrows" iconId="0"/>
              <x14:cfIcon iconSet="NoIcons" iconId="0"/>
              <x14:cfIcon iconSet="3Arrows" iconId="2"/>
            </x14:iconSet>
          </x14:cfRule>
          <xm:sqref>R13 T13:V13</xm:sqref>
        </x14:conditionalFormatting>
        <x14:conditionalFormatting xmlns:xm="http://schemas.microsoft.com/office/excel/2006/main">
          <x14:cfRule type="iconSet" priority="31" id="{C2923341-5225-401E-A317-A121D42B8B18}">
            <x14:iconSet iconSet="3Arrows" custom="1">
              <x14:cfvo type="percent">
                <xm:f>0</xm:f>
              </x14:cfvo>
              <x14:cfvo type="num">
                <xm:f>0</xm:f>
              </x14:cfvo>
              <x14:cfvo type="num" gte="0">
                <xm:f>0</xm:f>
              </x14:cfvo>
              <x14:cfIcon iconSet="3Arrows" iconId="0"/>
              <x14:cfIcon iconSet="NoIcons" iconId="0"/>
              <x14:cfIcon iconSet="3Arrows" iconId="2"/>
            </x14:iconSet>
          </x14:cfRule>
          <xm:sqref>R26 T26:V26</xm:sqref>
        </x14:conditionalFormatting>
        <x14:conditionalFormatting xmlns:xm="http://schemas.microsoft.com/office/excel/2006/main">
          <x14:cfRule type="iconSet" priority="15" id="{D0D5E60A-B1F5-4E50-B7FE-73058E824146}">
            <x14:iconSet iconSet="3Arrows" custom="1">
              <x14:cfvo type="percent">
                <xm:f>0</xm:f>
              </x14:cfvo>
              <x14:cfvo type="num">
                <xm:f>0</xm:f>
              </x14:cfvo>
              <x14:cfvo type="num" gte="0">
                <xm:f>0</xm:f>
              </x14:cfvo>
              <x14:cfIcon iconSet="3Arrows" iconId="0"/>
              <x14:cfIcon iconSet="NoIcons" iconId="0"/>
              <x14:cfIcon iconSet="3Arrows" iconId="2"/>
            </x14:iconSet>
          </x14:cfRule>
          <xm:sqref>R34 T34:V34</xm:sqref>
        </x14:conditionalFormatting>
        <x14:conditionalFormatting xmlns:xm="http://schemas.microsoft.com/office/excel/2006/main">
          <x14:cfRule type="iconSet" priority="29" id="{51DF9C71-D7B0-4B86-B81F-D5B50A6ED8E8}">
            <x14:iconSet iconSet="3Arrows" custom="1">
              <x14:cfvo type="percent">
                <xm:f>0</xm:f>
              </x14:cfvo>
              <x14:cfvo type="num">
                <xm:f>0</xm:f>
              </x14:cfvo>
              <x14:cfvo type="num" gte="0">
                <xm:f>0</xm:f>
              </x14:cfvo>
              <x14:cfIcon iconSet="3Arrows" iconId="0"/>
              <x14:cfIcon iconSet="NoIcons" iconId="0"/>
              <x14:cfIcon iconSet="3Arrows" iconId="2"/>
            </x14:iconSet>
          </x14:cfRule>
          <xm:sqref>R50 T50:V50</xm:sqref>
        </x14:conditionalFormatting>
        <x14:conditionalFormatting xmlns:xm="http://schemas.microsoft.com/office/excel/2006/main">
          <x14:cfRule type="iconSet" priority="27" id="{46719075-9F82-4CAC-A34A-3610522D59B7}">
            <x14:iconSet iconSet="3Arrows" custom="1">
              <x14:cfvo type="percent">
                <xm:f>0</xm:f>
              </x14:cfvo>
              <x14:cfvo type="num">
                <xm:f>0</xm:f>
              </x14:cfvo>
              <x14:cfvo type="num" gte="0">
                <xm:f>0</xm:f>
              </x14:cfvo>
              <x14:cfIcon iconSet="3Arrows" iconId="0"/>
              <x14:cfIcon iconSet="NoIcons" iconId="0"/>
              <x14:cfIcon iconSet="3Arrows" iconId="2"/>
            </x14:iconSet>
          </x14:cfRule>
          <xm:sqref>R58 T58:V58</xm:sqref>
        </x14:conditionalFormatting>
        <x14:conditionalFormatting xmlns:xm="http://schemas.microsoft.com/office/excel/2006/main">
          <x14:cfRule type="iconSet" priority="108" id="{7B2B0D85-0202-42DD-9A72-2147428DAEB8}">
            <x14:iconSet iconSet="3Arrows" custom="1">
              <x14:cfvo type="percent">
                <xm:f>0</xm:f>
              </x14:cfvo>
              <x14:cfvo type="num">
                <xm:f>0</xm:f>
              </x14:cfvo>
              <x14:cfvo type="num" gte="0">
                <xm:f>0</xm:f>
              </x14:cfvo>
              <x14:cfIcon iconSet="3Arrows" iconId="0"/>
              <x14:cfIcon iconSet="NoIcons" iconId="0"/>
              <x14:cfIcon iconSet="3Arrows" iconId="2"/>
            </x14:iconSet>
          </x14:cfRule>
          <xm:sqref>R59:R69 T59:V69</xm:sqref>
        </x14:conditionalFormatting>
        <x14:conditionalFormatting xmlns:xm="http://schemas.microsoft.com/office/excel/2006/main">
          <x14:cfRule type="iconSet" priority="25" id="{374A077A-C465-40FB-ADF2-5FC5FAF8604C}">
            <x14:iconSet iconSet="3Arrows" custom="1">
              <x14:cfvo type="percent">
                <xm:f>0</xm:f>
              </x14:cfvo>
              <x14:cfvo type="num">
                <xm:f>0</xm:f>
              </x14:cfvo>
              <x14:cfvo type="num" gte="0">
                <xm:f>0</xm:f>
              </x14:cfvo>
              <x14:cfIcon iconSet="3Arrows" iconId="0"/>
              <x14:cfIcon iconSet="NoIcons" iconId="0"/>
              <x14:cfIcon iconSet="3Arrows" iconId="2"/>
            </x14:iconSet>
          </x14:cfRule>
          <xm:sqref>R70 T70:V70</xm:sqref>
        </x14:conditionalFormatting>
        <x14:conditionalFormatting xmlns:xm="http://schemas.microsoft.com/office/excel/2006/main">
          <x14:cfRule type="iconSet" priority="106" id="{89BFF774-AB3F-4B5E-A2E7-FF8A4243F0B4}">
            <x14:iconSet iconSet="3Arrows" custom="1">
              <x14:cfvo type="percent">
                <xm:f>0</xm:f>
              </x14:cfvo>
              <x14:cfvo type="num">
                <xm:f>0</xm:f>
              </x14:cfvo>
              <x14:cfvo type="num" gte="0">
                <xm:f>0</xm:f>
              </x14:cfvo>
              <x14:cfIcon iconSet="3Arrows" iconId="0"/>
              <x14:cfIcon iconSet="NoIcons" iconId="0"/>
              <x14:cfIcon iconSet="3Arrows" iconId="2"/>
            </x14:iconSet>
          </x14:cfRule>
          <xm:sqref>R72 T72:V72</xm:sqref>
        </x14:conditionalFormatting>
        <x14:conditionalFormatting xmlns:xm="http://schemas.microsoft.com/office/excel/2006/main">
          <x14:cfRule type="iconSet" priority="23" id="{59E25E0B-8641-4747-A444-F0F6F86FEF6B}">
            <x14:iconSet iconSet="3Arrows" custom="1">
              <x14:cfvo type="percent">
                <xm:f>0</xm:f>
              </x14:cfvo>
              <x14:cfvo type="num">
                <xm:f>0</xm:f>
              </x14:cfvo>
              <x14:cfvo type="num" gte="0">
                <xm:f>0</xm:f>
              </x14:cfvo>
              <x14:cfIcon iconSet="3Arrows" iconId="0"/>
              <x14:cfIcon iconSet="NoIcons" iconId="0"/>
              <x14:cfIcon iconSet="3Arrows" iconId="2"/>
            </x14:iconSet>
          </x14:cfRule>
          <xm:sqref>R80 T80:V80</xm:sqref>
        </x14:conditionalFormatting>
        <x14:conditionalFormatting xmlns:xm="http://schemas.microsoft.com/office/excel/2006/main">
          <x14:cfRule type="iconSet" priority="102" id="{D518C383-17F7-42D8-9F69-7DD373A9C864}">
            <x14:iconSet iconSet="3Arrows" custom="1">
              <x14:cfvo type="percent">
                <xm:f>0</xm:f>
              </x14:cfvo>
              <x14:cfvo type="num">
                <xm:f>0</xm:f>
              </x14:cfvo>
              <x14:cfvo type="num" gte="0">
                <xm:f>0</xm:f>
              </x14:cfvo>
              <x14:cfIcon iconSet="3Arrows" iconId="0"/>
              <x14:cfIcon iconSet="NoIcons" iconId="0"/>
              <x14:cfIcon iconSet="3Arrows" iconId="2"/>
            </x14:iconSet>
          </x14:cfRule>
          <xm:sqref>R81:R96 T81:V96</xm:sqref>
        </x14:conditionalFormatting>
        <x14:conditionalFormatting xmlns:xm="http://schemas.microsoft.com/office/excel/2006/main">
          <x14:cfRule type="iconSet" priority="21" id="{F02B7700-ACE3-47B6-A981-811AEE901477}">
            <x14:iconSet iconSet="3Arrows" custom="1">
              <x14:cfvo type="percent">
                <xm:f>0</xm:f>
              </x14:cfvo>
              <x14:cfvo type="num">
                <xm:f>0</xm:f>
              </x14:cfvo>
              <x14:cfvo type="num" gte="0">
                <xm:f>0</xm:f>
              </x14:cfvo>
              <x14:cfIcon iconSet="3Arrows" iconId="0"/>
              <x14:cfIcon iconSet="NoIcons" iconId="0"/>
              <x14:cfIcon iconSet="3Arrows" iconId="2"/>
            </x14:iconSet>
          </x14:cfRule>
          <xm:sqref>R97 T97:V97</xm:sqref>
        </x14:conditionalFormatting>
        <x14:conditionalFormatting xmlns:xm="http://schemas.microsoft.com/office/excel/2006/main">
          <x14:cfRule type="iconSet" priority="100" id="{3BC0F6CD-0F1E-43E3-B7B7-4836A91E7E89}">
            <x14:iconSet iconSet="3Arrows" custom="1">
              <x14:cfvo type="percent">
                <xm:f>0</xm:f>
              </x14:cfvo>
              <x14:cfvo type="num">
                <xm:f>0</xm:f>
              </x14:cfvo>
              <x14:cfvo type="num" gte="0">
                <xm:f>0</xm:f>
              </x14:cfvo>
              <x14:cfIcon iconSet="3Arrows" iconId="0"/>
              <x14:cfIcon iconSet="NoIcons" iconId="0"/>
              <x14:cfIcon iconSet="3Arrows" iconId="2"/>
            </x14:iconSet>
          </x14:cfRule>
          <xm:sqref>R99 T99:V99</xm:sqref>
        </x14:conditionalFormatting>
        <x14:conditionalFormatting xmlns:xm="http://schemas.microsoft.com/office/excel/2006/main">
          <x14:cfRule type="iconSet" priority="19" id="{7D7F30A3-FA31-489F-A08F-3ACD4C5EF043}">
            <x14:iconSet iconSet="3Arrows" custom="1">
              <x14:cfvo type="percent">
                <xm:f>0</xm:f>
              </x14:cfvo>
              <x14:cfvo type="num">
                <xm:f>0</xm:f>
              </x14:cfvo>
              <x14:cfvo type="num" gte="0">
                <xm:f>0</xm:f>
              </x14:cfvo>
              <x14:cfIcon iconSet="3Arrows" iconId="0"/>
              <x14:cfIcon iconSet="NoIcons" iconId="0"/>
              <x14:cfIcon iconSet="3Arrows" iconId="2"/>
            </x14:iconSet>
          </x14:cfRule>
          <xm:sqref>R106 T106:V106</xm:sqref>
        </x14:conditionalFormatting>
        <x14:conditionalFormatting xmlns:xm="http://schemas.microsoft.com/office/excel/2006/main">
          <x14:cfRule type="iconSet" priority="96" id="{DDE7CD20-3A7D-4035-8998-8245B336F605}">
            <x14:iconSet iconSet="3Arrows" custom="1">
              <x14:cfvo type="percent">
                <xm:f>0</xm:f>
              </x14:cfvo>
              <x14:cfvo type="num">
                <xm:f>0</xm:f>
              </x14:cfvo>
              <x14:cfvo type="num" gte="0">
                <xm:f>0</xm:f>
              </x14:cfvo>
              <x14:cfIcon iconSet="3Arrows" iconId="0"/>
              <x14:cfIcon iconSet="NoIcons" iconId="0"/>
              <x14:cfIcon iconSet="3Arrows" iconId="2"/>
            </x14:iconSet>
          </x14:cfRule>
          <xm:sqref>R107:R116 T107:V116</xm:sqref>
        </x14:conditionalFormatting>
        <x14:conditionalFormatting xmlns:xm="http://schemas.microsoft.com/office/excel/2006/main">
          <x14:cfRule type="iconSet" priority="17" id="{4660A9E0-1ACC-4490-9C82-58E27C8F1A3E}">
            <x14:iconSet iconSet="3Arrows" custom="1">
              <x14:cfvo type="percent">
                <xm:f>0</xm:f>
              </x14:cfvo>
              <x14:cfvo type="num">
                <xm:f>0</xm:f>
              </x14:cfvo>
              <x14:cfvo type="num" gte="0">
                <xm:f>0</xm:f>
              </x14:cfvo>
              <x14:cfIcon iconSet="3Arrows" iconId="0"/>
              <x14:cfIcon iconSet="NoIcons" iconId="0"/>
              <x14:cfIcon iconSet="3Arrows" iconId="2"/>
            </x14:iconSet>
          </x14:cfRule>
          <xm:sqref>R117 T117:V117</xm:sqref>
        </x14:conditionalFormatting>
        <x14:conditionalFormatting xmlns:xm="http://schemas.microsoft.com/office/excel/2006/main">
          <x14:cfRule type="iconSet" priority="94" id="{0A60DB8B-0BBD-4EB7-A8AF-0315046F837C}">
            <x14:iconSet iconSet="3Arrows" custom="1">
              <x14:cfvo type="percent">
                <xm:f>0</xm:f>
              </x14:cfvo>
              <x14:cfvo type="num">
                <xm:f>0</xm:f>
              </x14:cfvo>
              <x14:cfvo type="num" gte="0">
                <xm:f>0</xm:f>
              </x14:cfvo>
              <x14:cfIcon iconSet="3Arrows" iconId="0"/>
              <x14:cfIcon iconSet="NoIcons" iconId="0"/>
              <x14:cfIcon iconSet="3Arrows" iconId="2"/>
            </x14:iconSet>
          </x14:cfRule>
          <xm:sqref>R119 T119:V119</xm:sqref>
        </x14:conditionalFormatting>
        <x14:conditionalFormatting xmlns:xm="http://schemas.microsoft.com/office/excel/2006/main">
          <x14:cfRule type="iconSet" priority="84" id="{8179BAD8-A340-4443-A104-71D5EE8AF887}">
            <x14:iconSet iconSet="3Arrows" custom="1">
              <x14:cfvo type="percent">
                <xm:f>0</xm:f>
              </x14:cfvo>
              <x14:cfvo type="num">
                <xm:f>0</xm:f>
              </x14:cfvo>
              <x14:cfvo type="num" gte="0">
                <xm:f>0</xm:f>
              </x14:cfvo>
              <x14:cfIcon iconSet="3Arrows" iconId="0"/>
              <x14:cfIcon iconSet="NoIcons" iconId="0"/>
              <x14:cfIcon iconSet="3Arrows" iconId="2"/>
            </x14:iconSet>
          </x14:cfRule>
          <xm:sqref>S13</xm:sqref>
        </x14:conditionalFormatting>
        <x14:conditionalFormatting xmlns:xm="http://schemas.microsoft.com/office/excel/2006/main">
          <x14:cfRule type="iconSet" priority="30" id="{BE23643A-3C22-4972-B224-16309D4A099B}">
            <x14:iconSet iconSet="3Arrows" custom="1">
              <x14:cfvo type="percent">
                <xm:f>0</xm:f>
              </x14:cfvo>
              <x14:cfvo type="num">
                <xm:f>0</xm:f>
              </x14:cfvo>
              <x14:cfvo type="num" gte="0">
                <xm:f>0</xm:f>
              </x14:cfvo>
              <x14:cfIcon iconSet="3Arrows" iconId="0"/>
              <x14:cfIcon iconSet="NoIcons" iconId="0"/>
              <x14:cfIcon iconSet="3Arrows" iconId="2"/>
            </x14:iconSet>
          </x14:cfRule>
          <xm:sqref>S26</xm:sqref>
        </x14:conditionalFormatting>
        <x14:conditionalFormatting xmlns:xm="http://schemas.microsoft.com/office/excel/2006/main">
          <x14:cfRule type="iconSet" priority="74" id="{6BBF278C-8498-4A52-828E-2B08FF341B4F}">
            <x14:iconSet iconSet="3Arrows" custom="1">
              <x14:cfvo type="percent">
                <xm:f>0</xm:f>
              </x14:cfvo>
              <x14:cfvo type="num">
                <xm:f>0</xm:f>
              </x14:cfvo>
              <x14:cfvo type="num" gte="0">
                <xm:f>0</xm:f>
              </x14:cfvo>
              <x14:cfIcon iconSet="3Arrows" iconId="0"/>
              <x14:cfIcon iconSet="NoIcons" iconId="0"/>
              <x14:cfIcon iconSet="3Arrows" iconId="2"/>
            </x14:iconSet>
          </x14:cfRule>
          <xm:sqref>S27</xm:sqref>
        </x14:conditionalFormatting>
        <x14:conditionalFormatting xmlns:xm="http://schemas.microsoft.com/office/excel/2006/main">
          <x14:cfRule type="iconSet" priority="14" id="{047A4AD4-8D80-42FE-9A34-3D7D1AA180EE}">
            <x14:iconSet iconSet="3Arrows" custom="1">
              <x14:cfvo type="percent">
                <xm:f>0</xm:f>
              </x14:cfvo>
              <x14:cfvo type="num">
                <xm:f>0</xm:f>
              </x14:cfvo>
              <x14:cfvo type="num" gte="0">
                <xm:f>0</xm:f>
              </x14:cfvo>
              <x14:cfIcon iconSet="3Arrows" iconId="0"/>
              <x14:cfIcon iconSet="NoIcons" iconId="0"/>
              <x14:cfIcon iconSet="3Arrows" iconId="2"/>
            </x14:iconSet>
          </x14:cfRule>
          <xm:sqref>S34</xm:sqref>
        </x14:conditionalFormatting>
        <x14:conditionalFormatting xmlns:xm="http://schemas.microsoft.com/office/excel/2006/main">
          <x14:cfRule type="iconSet" priority="28" id="{96AA1C3E-BA2D-4604-BE17-8EB73D0CEA5D}">
            <x14:iconSet iconSet="3Arrows" custom="1">
              <x14:cfvo type="percent">
                <xm:f>0</xm:f>
              </x14:cfvo>
              <x14:cfvo type="num">
                <xm:f>0</xm:f>
              </x14:cfvo>
              <x14:cfvo type="num" gte="0">
                <xm:f>0</xm:f>
              </x14:cfvo>
              <x14:cfIcon iconSet="3Arrows" iconId="0"/>
              <x14:cfIcon iconSet="NoIcons" iconId="0"/>
              <x14:cfIcon iconSet="3Arrows" iconId="2"/>
            </x14:iconSet>
          </x14:cfRule>
          <xm:sqref>S50</xm:sqref>
        </x14:conditionalFormatting>
        <x14:conditionalFormatting xmlns:xm="http://schemas.microsoft.com/office/excel/2006/main">
          <x14:cfRule type="iconSet" priority="70" id="{83F80FCA-22B5-4DDA-8D0F-999C676B353F}">
            <x14:iconSet iconSet="3Arrows" custom="1">
              <x14:cfvo type="percent">
                <xm:f>0</xm:f>
              </x14:cfvo>
              <x14:cfvo type="num">
                <xm:f>0</xm:f>
              </x14:cfvo>
              <x14:cfvo type="num" gte="0">
                <xm:f>0</xm:f>
              </x14:cfvo>
              <x14:cfIcon iconSet="3Arrows" iconId="0"/>
              <x14:cfIcon iconSet="NoIcons" iconId="0"/>
              <x14:cfIcon iconSet="3Arrows" iconId="2"/>
            </x14:iconSet>
          </x14:cfRule>
          <xm:sqref>S51</xm:sqref>
        </x14:conditionalFormatting>
        <x14:conditionalFormatting xmlns:xm="http://schemas.microsoft.com/office/excel/2006/main">
          <x14:cfRule type="iconSet" priority="109" id="{DBF4B839-564D-45F6-A6AC-5FF4699312C6}">
            <x14:iconSet iconSet="3Arrows" custom="1">
              <x14:cfvo type="percent">
                <xm:f>0</xm:f>
              </x14:cfvo>
              <x14:cfvo type="num">
                <xm:f>0</xm:f>
              </x14:cfvo>
              <x14:cfvo type="num" gte="0">
                <xm:f>0</xm:f>
              </x14:cfvo>
              <x14:cfIcon iconSet="3Arrows" iconId="0"/>
              <x14:cfIcon iconSet="NoIcons" iconId="0"/>
              <x14:cfIcon iconSet="3Arrows" iconId="2"/>
            </x14:iconSet>
          </x14:cfRule>
          <xm:sqref>S52 S35:S49</xm:sqref>
        </x14:conditionalFormatting>
        <x14:conditionalFormatting xmlns:xm="http://schemas.microsoft.com/office/excel/2006/main">
          <x14:cfRule type="iconSet" priority="54" id="{125C9D06-F03B-48BB-BD38-B9A00A250F80}">
            <x14:iconSet iconSet="3Arrows" custom="1">
              <x14:cfvo type="percent">
                <xm:f>0</xm:f>
              </x14:cfvo>
              <x14:cfvo type="num">
                <xm:f>0</xm:f>
              </x14:cfvo>
              <x14:cfvo type="num" gte="0">
                <xm:f>0</xm:f>
              </x14:cfvo>
              <x14:cfIcon iconSet="3Arrows" iconId="0"/>
              <x14:cfIcon iconSet="NoIcons" iconId="0"/>
              <x14:cfIcon iconSet="3Arrows" iconId="2"/>
            </x14:iconSet>
          </x14:cfRule>
          <xm:sqref>S53</xm:sqref>
        </x14:conditionalFormatting>
        <x14:conditionalFormatting xmlns:xm="http://schemas.microsoft.com/office/excel/2006/main">
          <x14:cfRule type="iconSet" priority="111" id="{FB7A9AB6-03DC-4185-9E11-CE0BC937C680}">
            <x14:iconSet iconSet="3Arrows" custom="1">
              <x14:cfvo type="percent">
                <xm:f>0</xm:f>
              </x14:cfvo>
              <x14:cfvo type="num">
                <xm:f>0</xm:f>
              </x14:cfvo>
              <x14:cfvo type="num" gte="0">
                <xm:f>0</xm:f>
              </x14:cfvo>
              <x14:cfIcon iconSet="3Arrows" iconId="0"/>
              <x14:cfIcon iconSet="NoIcons" iconId="0"/>
              <x14:cfIcon iconSet="3Arrows" iconId="2"/>
            </x14:iconSet>
          </x14:cfRule>
          <xm:sqref>S54:S57 S28:S33 S14:S25</xm:sqref>
        </x14:conditionalFormatting>
        <x14:conditionalFormatting xmlns:xm="http://schemas.microsoft.com/office/excel/2006/main">
          <x14:cfRule type="iconSet" priority="26" id="{F355A856-BCF9-4D63-AE98-84302A5F731B}">
            <x14:iconSet iconSet="3Arrows" custom="1">
              <x14:cfvo type="percent">
                <xm:f>0</xm:f>
              </x14:cfvo>
              <x14:cfvo type="num">
                <xm:f>0</xm:f>
              </x14:cfvo>
              <x14:cfvo type="num" gte="0">
                <xm:f>0</xm:f>
              </x14:cfvo>
              <x14:cfIcon iconSet="3Arrows" iconId="0"/>
              <x14:cfIcon iconSet="NoIcons" iconId="0"/>
              <x14:cfIcon iconSet="3Arrows" iconId="2"/>
            </x14:iconSet>
          </x14:cfRule>
          <xm:sqref>S58</xm:sqref>
        </x14:conditionalFormatting>
        <x14:conditionalFormatting xmlns:xm="http://schemas.microsoft.com/office/excel/2006/main">
          <x14:cfRule type="iconSet" priority="107" id="{FC63277D-4CC5-4DAD-BBC2-DEA2E6822765}">
            <x14:iconSet iconSet="3Arrows" custom="1">
              <x14:cfvo type="percent">
                <xm:f>0</xm:f>
              </x14:cfvo>
              <x14:cfvo type="num">
                <xm:f>0</xm:f>
              </x14:cfvo>
              <x14:cfvo type="num" gte="0">
                <xm:f>0</xm:f>
              </x14:cfvo>
              <x14:cfIcon iconSet="3Arrows" iconId="0"/>
              <x14:cfIcon iconSet="NoIcons" iconId="0"/>
              <x14:cfIcon iconSet="3Arrows" iconId="2"/>
            </x14:iconSet>
          </x14:cfRule>
          <xm:sqref>S59:S69</xm:sqref>
        </x14:conditionalFormatting>
        <x14:conditionalFormatting xmlns:xm="http://schemas.microsoft.com/office/excel/2006/main">
          <x14:cfRule type="iconSet" priority="24" id="{F4D8A5E3-0E00-4BE1-99B4-32F671F1D665}">
            <x14:iconSet iconSet="3Arrows" custom="1">
              <x14:cfvo type="percent">
                <xm:f>0</xm:f>
              </x14:cfvo>
              <x14:cfvo type="num">
                <xm:f>0</xm:f>
              </x14:cfvo>
              <x14:cfvo type="num" gte="0">
                <xm:f>0</xm:f>
              </x14:cfvo>
              <x14:cfIcon iconSet="3Arrows" iconId="0"/>
              <x14:cfIcon iconSet="NoIcons" iconId="0"/>
              <x14:cfIcon iconSet="3Arrows" iconId="2"/>
            </x14:iconSet>
          </x14:cfRule>
          <xm:sqref>S70</xm:sqref>
        </x14:conditionalFormatting>
        <x14:conditionalFormatting xmlns:xm="http://schemas.microsoft.com/office/excel/2006/main">
          <x14:cfRule type="iconSet" priority="66" id="{50344732-3BF9-4994-97EE-D8A7EC5E0ACB}">
            <x14:iconSet iconSet="3Arrows" custom="1">
              <x14:cfvo type="percent">
                <xm:f>0</xm:f>
              </x14:cfvo>
              <x14:cfvo type="num">
                <xm:f>0</xm:f>
              </x14:cfvo>
              <x14:cfvo type="num" gte="0">
                <xm:f>0</xm:f>
              </x14:cfvo>
              <x14:cfIcon iconSet="3Arrows" iconId="0"/>
              <x14:cfIcon iconSet="NoIcons" iconId="0"/>
              <x14:cfIcon iconSet="3Arrows" iconId="2"/>
            </x14:iconSet>
          </x14:cfRule>
          <xm:sqref>S71</xm:sqref>
        </x14:conditionalFormatting>
        <x14:conditionalFormatting xmlns:xm="http://schemas.microsoft.com/office/excel/2006/main">
          <x14:cfRule type="iconSet" priority="105" id="{DBB5B18F-BFDA-44ED-A95A-21CE3BADC605}">
            <x14:iconSet iconSet="3Arrows" custom="1">
              <x14:cfvo type="percent">
                <xm:f>0</xm:f>
              </x14:cfvo>
              <x14:cfvo type="num">
                <xm:f>0</xm:f>
              </x14:cfvo>
              <x14:cfvo type="num" gte="0">
                <xm:f>0</xm:f>
              </x14:cfvo>
              <x14:cfIcon iconSet="3Arrows" iconId="0"/>
              <x14:cfIcon iconSet="NoIcons" iconId="0"/>
              <x14:cfIcon iconSet="3Arrows" iconId="2"/>
            </x14:iconSet>
          </x14:cfRule>
          <xm:sqref>S72</xm:sqref>
        </x14:conditionalFormatting>
        <x14:conditionalFormatting xmlns:xm="http://schemas.microsoft.com/office/excel/2006/main">
          <x14:cfRule type="iconSet" priority="52" id="{6E12A0D3-9E27-45C9-A38E-324E3FAD8AD4}">
            <x14:iconSet iconSet="3Arrows" custom="1">
              <x14:cfvo type="percent">
                <xm:f>0</xm:f>
              </x14:cfvo>
              <x14:cfvo type="num">
                <xm:f>0</xm:f>
              </x14:cfvo>
              <x14:cfvo type="num" gte="0">
                <xm:f>0</xm:f>
              </x14:cfvo>
              <x14:cfIcon iconSet="3Arrows" iconId="0"/>
              <x14:cfIcon iconSet="NoIcons" iconId="0"/>
              <x14:cfIcon iconSet="3Arrows" iconId="2"/>
            </x14:iconSet>
          </x14:cfRule>
          <xm:sqref>S73</xm:sqref>
        </x14:conditionalFormatting>
        <x14:conditionalFormatting xmlns:xm="http://schemas.microsoft.com/office/excel/2006/main">
          <x14:cfRule type="iconSet" priority="22" id="{B6BCED1B-376D-4B32-89A4-EF9EE7131047}">
            <x14:iconSet iconSet="3Arrows" custom="1">
              <x14:cfvo type="percent">
                <xm:f>0</xm:f>
              </x14:cfvo>
              <x14:cfvo type="num">
                <xm:f>0</xm:f>
              </x14:cfvo>
              <x14:cfvo type="num" gte="0">
                <xm:f>0</xm:f>
              </x14:cfvo>
              <x14:cfIcon iconSet="3Arrows" iconId="0"/>
              <x14:cfIcon iconSet="NoIcons" iconId="0"/>
              <x14:cfIcon iconSet="3Arrows" iconId="2"/>
            </x14:iconSet>
          </x14:cfRule>
          <xm:sqref>S80</xm:sqref>
        </x14:conditionalFormatting>
        <x14:conditionalFormatting xmlns:xm="http://schemas.microsoft.com/office/excel/2006/main">
          <x14:cfRule type="iconSet" priority="101" id="{E64111BB-F7B0-47AF-8384-16E81F76F245}">
            <x14:iconSet iconSet="3Arrows" custom="1">
              <x14:cfvo type="percent">
                <xm:f>0</xm:f>
              </x14:cfvo>
              <x14:cfvo type="num">
                <xm:f>0</xm:f>
              </x14:cfvo>
              <x14:cfvo type="num" gte="0">
                <xm:f>0</xm:f>
              </x14:cfvo>
              <x14:cfIcon iconSet="3Arrows" iconId="0"/>
              <x14:cfIcon iconSet="NoIcons" iconId="0"/>
              <x14:cfIcon iconSet="3Arrows" iconId="2"/>
            </x14:iconSet>
          </x14:cfRule>
          <xm:sqref>S81:S96</xm:sqref>
        </x14:conditionalFormatting>
        <x14:conditionalFormatting xmlns:xm="http://schemas.microsoft.com/office/excel/2006/main">
          <x14:cfRule type="iconSet" priority="20" id="{A5D3F9A1-4D9C-407E-B1CC-CFDC31E4D934}">
            <x14:iconSet iconSet="3Arrows" custom="1">
              <x14:cfvo type="percent">
                <xm:f>0</xm:f>
              </x14:cfvo>
              <x14:cfvo type="num">
                <xm:f>0</xm:f>
              </x14:cfvo>
              <x14:cfvo type="num" gte="0">
                <xm:f>0</xm:f>
              </x14:cfvo>
              <x14:cfIcon iconSet="3Arrows" iconId="0"/>
              <x14:cfIcon iconSet="NoIcons" iconId="0"/>
              <x14:cfIcon iconSet="3Arrows" iconId="2"/>
            </x14:iconSet>
          </x14:cfRule>
          <xm:sqref>S97</xm:sqref>
        </x14:conditionalFormatting>
        <x14:conditionalFormatting xmlns:xm="http://schemas.microsoft.com/office/excel/2006/main">
          <x14:cfRule type="iconSet" priority="62" id="{E1499071-6840-4D3C-AE8B-5724CFA96EC1}">
            <x14:iconSet iconSet="3Arrows" custom="1">
              <x14:cfvo type="percent">
                <xm:f>0</xm:f>
              </x14:cfvo>
              <x14:cfvo type="num">
                <xm:f>0</xm:f>
              </x14:cfvo>
              <x14:cfvo type="num" gte="0">
                <xm:f>0</xm:f>
              </x14:cfvo>
              <x14:cfIcon iconSet="3Arrows" iconId="0"/>
              <x14:cfIcon iconSet="NoIcons" iconId="0"/>
              <x14:cfIcon iconSet="3Arrows" iconId="2"/>
            </x14:iconSet>
          </x14:cfRule>
          <xm:sqref>S98</xm:sqref>
        </x14:conditionalFormatting>
        <x14:conditionalFormatting xmlns:xm="http://schemas.microsoft.com/office/excel/2006/main">
          <x14:cfRule type="iconSet" priority="99" id="{72278F23-CE51-4398-B628-A3D1369F381D}">
            <x14:iconSet iconSet="3Arrows" custom="1">
              <x14:cfvo type="percent">
                <xm:f>0</xm:f>
              </x14:cfvo>
              <x14:cfvo type="num">
                <xm:f>0</xm:f>
              </x14:cfvo>
              <x14:cfvo type="num" gte="0">
                <xm:f>0</xm:f>
              </x14:cfvo>
              <x14:cfIcon iconSet="3Arrows" iconId="0"/>
              <x14:cfIcon iconSet="NoIcons" iconId="0"/>
              <x14:cfIcon iconSet="3Arrows" iconId="2"/>
            </x14:iconSet>
          </x14:cfRule>
          <xm:sqref>S99</xm:sqref>
        </x14:conditionalFormatting>
        <x14:conditionalFormatting xmlns:xm="http://schemas.microsoft.com/office/excel/2006/main">
          <x14:cfRule type="iconSet" priority="50" id="{7C1916BD-1BE6-4B07-9103-79658732F6F4}">
            <x14:iconSet iconSet="3Arrows" custom="1">
              <x14:cfvo type="percent">
                <xm:f>0</xm:f>
              </x14:cfvo>
              <x14:cfvo type="num">
                <xm:f>0</xm:f>
              </x14:cfvo>
              <x14:cfvo type="num" gte="0">
                <xm:f>0</xm:f>
              </x14:cfvo>
              <x14:cfIcon iconSet="3Arrows" iconId="0"/>
              <x14:cfIcon iconSet="NoIcons" iconId="0"/>
              <x14:cfIcon iconSet="3Arrows" iconId="2"/>
            </x14:iconSet>
          </x14:cfRule>
          <xm:sqref>S100</xm:sqref>
        </x14:conditionalFormatting>
        <x14:conditionalFormatting xmlns:xm="http://schemas.microsoft.com/office/excel/2006/main">
          <x14:cfRule type="iconSet" priority="18" id="{8FAAA9E4-3341-457C-BFAE-EFA1FE2A8E6F}">
            <x14:iconSet iconSet="3Arrows" custom="1">
              <x14:cfvo type="percent">
                <xm:f>0</xm:f>
              </x14:cfvo>
              <x14:cfvo type="num">
                <xm:f>0</xm:f>
              </x14:cfvo>
              <x14:cfvo type="num" gte="0">
                <xm:f>0</xm:f>
              </x14:cfvo>
              <x14:cfIcon iconSet="3Arrows" iconId="0"/>
              <x14:cfIcon iconSet="NoIcons" iconId="0"/>
              <x14:cfIcon iconSet="3Arrows" iconId="2"/>
            </x14:iconSet>
          </x14:cfRule>
          <xm:sqref>S106</xm:sqref>
        </x14:conditionalFormatting>
        <x14:conditionalFormatting xmlns:xm="http://schemas.microsoft.com/office/excel/2006/main">
          <x14:cfRule type="iconSet" priority="95" id="{3A70F333-74C7-4ACB-A477-2E2A29901E88}">
            <x14:iconSet iconSet="3Arrows" custom="1">
              <x14:cfvo type="percent">
                <xm:f>0</xm:f>
              </x14:cfvo>
              <x14:cfvo type="num">
                <xm:f>0</xm:f>
              </x14:cfvo>
              <x14:cfvo type="num" gte="0">
                <xm:f>0</xm:f>
              </x14:cfvo>
              <x14:cfIcon iconSet="3Arrows" iconId="0"/>
              <x14:cfIcon iconSet="NoIcons" iconId="0"/>
              <x14:cfIcon iconSet="3Arrows" iconId="2"/>
            </x14:iconSet>
          </x14:cfRule>
          <xm:sqref>S107:S116</xm:sqref>
        </x14:conditionalFormatting>
        <x14:conditionalFormatting xmlns:xm="http://schemas.microsoft.com/office/excel/2006/main">
          <x14:cfRule type="iconSet" priority="16" id="{D1A953EA-BA8A-476E-9649-C208F71929A0}">
            <x14:iconSet iconSet="3Arrows" custom="1">
              <x14:cfvo type="percent">
                <xm:f>0</xm:f>
              </x14:cfvo>
              <x14:cfvo type="num">
                <xm:f>0</xm:f>
              </x14:cfvo>
              <x14:cfvo type="num" gte="0">
                <xm:f>0</xm:f>
              </x14:cfvo>
              <x14:cfIcon iconSet="3Arrows" iconId="0"/>
              <x14:cfIcon iconSet="NoIcons" iconId="0"/>
              <x14:cfIcon iconSet="3Arrows" iconId="2"/>
            </x14:iconSet>
          </x14:cfRule>
          <xm:sqref>S117</xm:sqref>
        </x14:conditionalFormatting>
        <x14:conditionalFormatting xmlns:xm="http://schemas.microsoft.com/office/excel/2006/main">
          <x14:cfRule type="iconSet" priority="58" id="{8A90D949-C225-4D49-A9EB-42E50F7C5899}">
            <x14:iconSet iconSet="3Arrows" custom="1">
              <x14:cfvo type="percent">
                <xm:f>0</xm:f>
              </x14:cfvo>
              <x14:cfvo type="num">
                <xm:f>0</xm:f>
              </x14:cfvo>
              <x14:cfvo type="num" gte="0">
                <xm:f>0</xm:f>
              </x14:cfvo>
              <x14:cfIcon iconSet="3Arrows" iconId="0"/>
              <x14:cfIcon iconSet="NoIcons" iconId="0"/>
              <x14:cfIcon iconSet="3Arrows" iconId="2"/>
            </x14:iconSet>
          </x14:cfRule>
          <xm:sqref>S118</xm:sqref>
        </x14:conditionalFormatting>
        <x14:conditionalFormatting xmlns:xm="http://schemas.microsoft.com/office/excel/2006/main">
          <x14:cfRule type="iconSet" priority="93" id="{A7A8F762-C713-4989-A2A6-0EE5EFF3BBBA}">
            <x14:iconSet iconSet="3Arrows" custom="1">
              <x14:cfvo type="percent">
                <xm:f>0</xm:f>
              </x14:cfvo>
              <x14:cfvo type="num">
                <xm:f>0</xm:f>
              </x14:cfvo>
              <x14:cfvo type="num" gte="0">
                <xm:f>0</xm:f>
              </x14:cfvo>
              <x14:cfIcon iconSet="3Arrows" iconId="0"/>
              <x14:cfIcon iconSet="NoIcons" iconId="0"/>
              <x14:cfIcon iconSet="3Arrows" iconId="2"/>
            </x14:iconSet>
          </x14:cfRule>
          <xm:sqref>S119</xm:sqref>
        </x14:conditionalFormatting>
        <x14:conditionalFormatting xmlns:xm="http://schemas.microsoft.com/office/excel/2006/main">
          <x14:cfRule type="iconSet" priority="48" id="{4E247EDE-BB52-4BF5-B3F1-6E0CC94400A4}">
            <x14:iconSet iconSet="3Arrows" custom="1">
              <x14:cfvo type="percent">
                <xm:f>0</xm:f>
              </x14:cfvo>
              <x14:cfvo type="num">
                <xm:f>0</xm:f>
              </x14:cfvo>
              <x14:cfvo type="num" gte="0">
                <xm:f>0</xm:f>
              </x14:cfvo>
              <x14:cfIcon iconSet="3Arrows" iconId="0"/>
              <x14:cfIcon iconSet="NoIcons" iconId="0"/>
              <x14:cfIcon iconSet="3Arrows" iconId="2"/>
            </x14:iconSet>
          </x14:cfRule>
          <xm:sqref>S120</xm:sqref>
        </x14:conditionalFormatting>
        <x14:conditionalFormatting xmlns:xm="http://schemas.microsoft.com/office/excel/2006/main">
          <x14:cfRule type="iconSet" priority="75" id="{9E429CE3-06DE-4EE4-8640-3F91B7E3B6E0}">
            <x14:iconSet iconSet="3Arrows" custom="1">
              <x14:cfvo type="percent">
                <xm:f>0</xm:f>
              </x14:cfvo>
              <x14:cfvo type="num">
                <xm:f>0</xm:f>
              </x14:cfvo>
              <x14:cfvo type="num" gte="0">
                <xm:f>0</xm:f>
              </x14:cfvo>
              <x14:cfIcon iconSet="3Arrows" iconId="0"/>
              <x14:cfIcon iconSet="NoIcons" iconId="0"/>
              <x14:cfIcon iconSet="3Arrows" iconId="2"/>
            </x14:iconSet>
          </x14:cfRule>
          <xm:sqref>T27:V27 R27</xm:sqref>
        </x14:conditionalFormatting>
        <x14:conditionalFormatting xmlns:xm="http://schemas.microsoft.com/office/excel/2006/main">
          <x14:cfRule type="iconSet" priority="112" id="{AEC8D8FD-D529-4A8C-9181-3A51A6DC4663}">
            <x14:iconSet iconSet="3Arrows" custom="1">
              <x14:cfvo type="percent">
                <xm:f>0</xm:f>
              </x14:cfvo>
              <x14:cfvo type="num">
                <xm:f>0</xm:f>
              </x14:cfvo>
              <x14:cfvo type="num" gte="0">
                <xm:f>0</xm:f>
              </x14:cfvo>
              <x14:cfIcon iconSet="3Arrows" iconId="0"/>
              <x14:cfIcon iconSet="NoIcons" iconId="0"/>
              <x14:cfIcon iconSet="3Arrows" iconId="2"/>
            </x14:iconSet>
          </x14:cfRule>
          <xm:sqref>T28:V29 R28:R29 R14:R25 T14:V25</xm:sqref>
        </x14:conditionalFormatting>
        <x14:conditionalFormatting xmlns:xm="http://schemas.microsoft.com/office/excel/2006/main">
          <x14:cfRule type="iconSet" priority="71" id="{6351DA08-5FEB-4910-8B22-8E2F9753232F}">
            <x14:iconSet iconSet="3Arrows" custom="1">
              <x14:cfvo type="percent">
                <xm:f>0</xm:f>
              </x14:cfvo>
              <x14:cfvo type="num">
                <xm:f>0</xm:f>
              </x14:cfvo>
              <x14:cfvo type="num" gte="0">
                <xm:f>0</xm:f>
              </x14:cfvo>
              <x14:cfIcon iconSet="3Arrows" iconId="0"/>
              <x14:cfIcon iconSet="NoIcons" iconId="0"/>
              <x14:cfIcon iconSet="3Arrows" iconId="2"/>
            </x14:iconSet>
          </x14:cfRule>
          <xm:sqref>T51:V51 R51</xm:sqref>
        </x14:conditionalFormatting>
        <x14:conditionalFormatting xmlns:xm="http://schemas.microsoft.com/office/excel/2006/main">
          <x14:cfRule type="iconSet" priority="110" id="{67992840-9543-4DD1-B000-41286F186271}">
            <x14:iconSet iconSet="3Arrows" custom="1">
              <x14:cfvo type="percent">
                <xm:f>0</xm:f>
              </x14:cfvo>
              <x14:cfvo type="num">
                <xm:f>0</xm:f>
              </x14:cfvo>
              <x14:cfvo type="num" gte="0">
                <xm:f>0</xm:f>
              </x14:cfvo>
              <x14:cfIcon iconSet="3Arrows" iconId="0"/>
              <x14:cfIcon iconSet="NoIcons" iconId="0"/>
              <x14:cfIcon iconSet="3Arrows" iconId="2"/>
            </x14:iconSet>
          </x14:cfRule>
          <xm:sqref>T52:V52 R52 R35:R49 T35:V49</xm:sqref>
        </x14:conditionalFormatting>
        <x14:conditionalFormatting xmlns:xm="http://schemas.microsoft.com/office/excel/2006/main">
          <x14:cfRule type="iconSet" priority="55" id="{13F2DB0F-EA4D-4A0E-9DFD-94CEB9E8213C}">
            <x14:iconSet iconSet="3Arrows" custom="1">
              <x14:cfvo type="percent">
                <xm:f>0</xm:f>
              </x14:cfvo>
              <x14:cfvo type="num">
                <xm:f>0</xm:f>
              </x14:cfvo>
              <x14:cfvo type="num" gte="0">
                <xm:f>0</xm:f>
              </x14:cfvo>
              <x14:cfIcon iconSet="3Arrows" iconId="0"/>
              <x14:cfIcon iconSet="NoIcons" iconId="0"/>
              <x14:cfIcon iconSet="3Arrows" iconId="2"/>
            </x14:iconSet>
          </x14:cfRule>
          <xm:sqref>T53:V53 R53</xm:sqref>
        </x14:conditionalFormatting>
        <x14:conditionalFormatting xmlns:xm="http://schemas.microsoft.com/office/excel/2006/main">
          <x14:cfRule type="iconSet" priority="67" id="{C3879779-41FB-46A9-9E4B-30FD587A63B3}">
            <x14:iconSet iconSet="3Arrows" custom="1">
              <x14:cfvo type="percent">
                <xm:f>0</xm:f>
              </x14:cfvo>
              <x14:cfvo type="num">
                <xm:f>0</xm:f>
              </x14:cfvo>
              <x14:cfvo type="num" gte="0">
                <xm:f>0</xm:f>
              </x14:cfvo>
              <x14:cfIcon iconSet="3Arrows" iconId="0"/>
              <x14:cfIcon iconSet="NoIcons" iconId="0"/>
              <x14:cfIcon iconSet="3Arrows" iconId="2"/>
            </x14:iconSet>
          </x14:cfRule>
          <xm:sqref>T71:V71 R71</xm:sqref>
        </x14:conditionalFormatting>
        <x14:conditionalFormatting xmlns:xm="http://schemas.microsoft.com/office/excel/2006/main">
          <x14:cfRule type="iconSet" priority="53" id="{5FD48DEB-7693-48B2-BA09-DB884749E2C7}">
            <x14:iconSet iconSet="3Arrows" custom="1">
              <x14:cfvo type="percent">
                <xm:f>0</xm:f>
              </x14:cfvo>
              <x14:cfvo type="num">
                <xm:f>0</xm:f>
              </x14:cfvo>
              <x14:cfvo type="num" gte="0">
                <xm:f>0</xm:f>
              </x14:cfvo>
              <x14:cfIcon iconSet="3Arrows" iconId="0"/>
              <x14:cfIcon iconSet="NoIcons" iconId="0"/>
              <x14:cfIcon iconSet="3Arrows" iconId="2"/>
            </x14:iconSet>
          </x14:cfRule>
          <xm:sqref>T73:V73 R73</xm:sqref>
        </x14:conditionalFormatting>
        <x14:conditionalFormatting xmlns:xm="http://schemas.microsoft.com/office/excel/2006/main">
          <x14:cfRule type="iconSet" priority="63" id="{D805C369-902E-4186-AC96-725BC1628A83}">
            <x14:iconSet iconSet="3Arrows" custom="1">
              <x14:cfvo type="percent">
                <xm:f>0</xm:f>
              </x14:cfvo>
              <x14:cfvo type="num">
                <xm:f>0</xm:f>
              </x14:cfvo>
              <x14:cfvo type="num" gte="0">
                <xm:f>0</xm:f>
              </x14:cfvo>
              <x14:cfIcon iconSet="3Arrows" iconId="0"/>
              <x14:cfIcon iconSet="NoIcons" iconId="0"/>
              <x14:cfIcon iconSet="3Arrows" iconId="2"/>
            </x14:iconSet>
          </x14:cfRule>
          <xm:sqref>T98:V98 R98</xm:sqref>
        </x14:conditionalFormatting>
        <x14:conditionalFormatting xmlns:xm="http://schemas.microsoft.com/office/excel/2006/main">
          <x14:cfRule type="iconSet" priority="51" id="{DA04C743-E9DC-4E06-9824-B33FA3B05B87}">
            <x14:iconSet iconSet="3Arrows" custom="1">
              <x14:cfvo type="percent">
                <xm:f>0</xm:f>
              </x14:cfvo>
              <x14:cfvo type="num">
                <xm:f>0</xm:f>
              </x14:cfvo>
              <x14:cfvo type="num" gte="0">
                <xm:f>0</xm:f>
              </x14:cfvo>
              <x14:cfIcon iconSet="3Arrows" iconId="0"/>
              <x14:cfIcon iconSet="NoIcons" iconId="0"/>
              <x14:cfIcon iconSet="3Arrows" iconId="2"/>
            </x14:iconSet>
          </x14:cfRule>
          <xm:sqref>T100:V100 R100</xm:sqref>
        </x14:conditionalFormatting>
        <x14:conditionalFormatting xmlns:xm="http://schemas.microsoft.com/office/excel/2006/main">
          <x14:cfRule type="iconSet" priority="59" id="{A2DBF0D5-FB22-4886-B5DB-2459ECDB296D}">
            <x14:iconSet iconSet="3Arrows" custom="1">
              <x14:cfvo type="percent">
                <xm:f>0</xm:f>
              </x14:cfvo>
              <x14:cfvo type="num">
                <xm:f>0</xm:f>
              </x14:cfvo>
              <x14:cfvo type="num" gte="0">
                <xm:f>0</xm:f>
              </x14:cfvo>
              <x14:cfIcon iconSet="3Arrows" iconId="0"/>
              <x14:cfIcon iconSet="NoIcons" iconId="0"/>
              <x14:cfIcon iconSet="3Arrows" iconId="2"/>
            </x14:iconSet>
          </x14:cfRule>
          <xm:sqref>T118:V118 R118</xm:sqref>
        </x14:conditionalFormatting>
        <x14:conditionalFormatting xmlns:xm="http://schemas.microsoft.com/office/excel/2006/main">
          <x14:cfRule type="iconSet" priority="49" id="{B559F891-0860-463E-8E80-DDB18A4FED8B}">
            <x14:iconSet iconSet="3Arrows" custom="1">
              <x14:cfvo type="percent">
                <xm:f>0</xm:f>
              </x14:cfvo>
              <x14:cfvo type="num">
                <xm:f>0</xm:f>
              </x14:cfvo>
              <x14:cfvo type="num" gte="0">
                <xm:f>0</xm:f>
              </x14:cfvo>
              <x14:cfIcon iconSet="3Arrows" iconId="0"/>
              <x14:cfIcon iconSet="NoIcons" iconId="0"/>
              <x14:cfIcon iconSet="3Arrows" iconId="2"/>
            </x14:iconSet>
          </x14:cfRule>
          <xm:sqref>T120:V120 R120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9451F-B248-44E5-A949-B2641EA18C03}">
  <sheetPr codeName="Taul20"/>
  <dimension ref="A1:AX117"/>
  <sheetViews>
    <sheetView showGridLines="0" zoomScaleNormal="100" workbookViewId="0">
      <selection activeCell="AY61" sqref="AY61"/>
    </sheetView>
  </sheetViews>
  <sheetFormatPr defaultColWidth="9.140625" defaultRowHeight="15" x14ac:dyDescent="0.25"/>
  <cols>
    <col min="1" max="1" width="21.28515625" customWidth="1"/>
    <col min="2" max="2" width="24.28515625" customWidth="1"/>
    <col min="3" max="6" width="9.85546875" customWidth="1"/>
    <col min="7" max="7" width="10.28515625" customWidth="1"/>
    <col min="14" max="14" width="4.7109375" customWidth="1"/>
    <col min="15" max="22" width="9.140625" hidden="1" customWidth="1"/>
    <col min="23" max="23" width="30.42578125" hidden="1" customWidth="1"/>
    <col min="24" max="24" width="9.140625" hidden="1" customWidth="1"/>
    <col min="25" max="25" width="13.7109375" hidden="1" customWidth="1"/>
    <col min="26" max="34" width="9.140625" hidden="1" customWidth="1"/>
    <col min="35" max="35" width="2.42578125" customWidth="1"/>
    <col min="37" max="38" width="23.42578125" customWidth="1"/>
    <col min="39" max="42" width="9.85546875" customWidth="1"/>
    <col min="50" max="50" width="9.140625" customWidth="1"/>
  </cols>
  <sheetData>
    <row r="1" spans="1:50" x14ac:dyDescent="0.25">
      <c r="A1" s="792" t="s">
        <v>0</v>
      </c>
      <c r="R1" s="92" t="s">
        <v>1</v>
      </c>
      <c r="S1" s="92" t="s">
        <v>1</v>
      </c>
      <c r="T1" s="92" t="s">
        <v>1</v>
      </c>
      <c r="U1" s="92" t="s">
        <v>1</v>
      </c>
      <c r="V1" s="91" t="s">
        <v>1</v>
      </c>
      <c r="W1" s="91" t="s">
        <v>1</v>
      </c>
      <c r="X1" s="91" t="s">
        <v>1</v>
      </c>
      <c r="Y1" s="100" t="str">
        <f>IF(A5="","*",INDEX(AE5:AE58,MATCH(A5,AD5:AD58,0)))</f>
        <v>*</v>
      </c>
      <c r="Z1" s="92" t="s">
        <v>1</v>
      </c>
      <c r="AA1" s="92" t="s">
        <v>1</v>
      </c>
      <c r="AB1" s="92" t="s">
        <v>1</v>
      </c>
      <c r="AC1" s="92" t="s">
        <v>1</v>
      </c>
      <c r="AD1" s="92" t="s">
        <v>1</v>
      </c>
      <c r="AE1" s="92" t="s">
        <v>1</v>
      </c>
    </row>
    <row r="2" spans="1:50" x14ac:dyDescent="0.25">
      <c r="A2" s="780">
        <f>Asiakastilastot!$A$2</f>
        <v>46023</v>
      </c>
      <c r="B2" t="s">
        <v>1205</v>
      </c>
      <c r="R2" t="s">
        <v>1325</v>
      </c>
      <c r="X2" s="95" t="s">
        <v>4</v>
      </c>
      <c r="Y2" s="100" t="str">
        <f>IF(A6=X3,"OK","*")</f>
        <v>*</v>
      </c>
      <c r="Z2" s="409" t="s">
        <v>5</v>
      </c>
      <c r="AA2" s="168" t="s">
        <v>6</v>
      </c>
      <c r="AB2" s="169" t="s">
        <v>7</v>
      </c>
      <c r="AC2" s="168" t="s">
        <v>6</v>
      </c>
      <c r="AD2" s="169" t="s">
        <v>8</v>
      </c>
    </row>
    <row r="3" spans="1:50" x14ac:dyDescent="0.25">
      <c r="A3" s="780">
        <f>Asiakastilastot!$A$3</f>
        <v>46387</v>
      </c>
      <c r="B3" t="s">
        <v>1206</v>
      </c>
      <c r="R3">
        <f>COUNTIFS(TA!AA:AA,$Y$7,TA!AI:AI,Tavoitteet!$W$7,TA!$AJ:$AJ,"OK",TA!$AK:$AK,Tavoitteet!$Y$5)</f>
        <v>0</v>
      </c>
      <c r="W3" t="s">
        <v>4</v>
      </c>
      <c r="X3" s="95" t="s">
        <v>11</v>
      </c>
      <c r="Z3" s="409" t="s">
        <v>12</v>
      </c>
      <c r="AA3" s="168" t="s">
        <v>13</v>
      </c>
      <c r="AB3" s="169" t="e">
        <f>INDEX(Data_Omakoodi!K:K,MATCH($AB$2,Data_Omakoodi!$I:$I,0))</f>
        <v>#N/A</v>
      </c>
      <c r="AC3" s="168" t="s">
        <v>13</v>
      </c>
      <c r="AD3" s="169" t="e">
        <f>INDEX(Data_Omakoodi!K:K,MATCH($AD$2,Data_Omakoodi!$I:$I,0))</f>
        <v>#N/A</v>
      </c>
    </row>
    <row r="4" spans="1:50" x14ac:dyDescent="0.25">
      <c r="R4">
        <f>COUNTIFS(TA!AA:AA,$X$7)</f>
        <v>0</v>
      </c>
      <c r="W4" t="s">
        <v>1326</v>
      </c>
      <c r="X4" s="95" t="s">
        <v>19</v>
      </c>
      <c r="Y4" s="100" t="str">
        <f>IF(A7="","*",IF(A7=X2,"*",IF(A7=X3,X9,"*")))</f>
        <v>*</v>
      </c>
      <c r="AA4" s="168" t="s">
        <v>20</v>
      </c>
      <c r="AB4" s="169" t="str">
        <f>IFERROR(MATCH($AB$2,Data_Omakoodi!$I:$I,0),"")</f>
        <v/>
      </c>
      <c r="AC4" s="168" t="s">
        <v>20</v>
      </c>
      <c r="AD4" s="169" t="str">
        <f>IFERROR(MATCH($AB$2,Data_Omakoodi!$I:$I,0),"")</f>
        <v/>
      </c>
    </row>
    <row r="5" spans="1:50" x14ac:dyDescent="0.25">
      <c r="Y5" s="100" t="str">
        <f>IF(A6="","*",IF(A6=X2,"*",IF(A6=X4,X9,"*")))</f>
        <v>*</v>
      </c>
      <c r="AA5" s="168" t="s">
        <v>26</v>
      </c>
      <c r="AB5" s="169" t="s">
        <v>16</v>
      </c>
      <c r="AC5" s="168" t="s">
        <v>26</v>
      </c>
      <c r="AD5" s="169" t="s">
        <v>22</v>
      </c>
      <c r="AE5" s="168" t="s">
        <v>26</v>
      </c>
    </row>
    <row r="6" spans="1:50" x14ac:dyDescent="0.25">
      <c r="R6" t="s">
        <v>1327</v>
      </c>
      <c r="Y6" s="100" t="str">
        <f>IF(A4="","*",INDEX(AA5:AA58,MATCH(A4,AB5:AB58,0)))</f>
        <v>*</v>
      </c>
      <c r="AA6" s="168" t="s">
        <v>29</v>
      </c>
      <c r="AB6" s="170" t="s">
        <v>30</v>
      </c>
      <c r="AC6" s="168" t="s">
        <v>29</v>
      </c>
      <c r="AD6" s="170" t="s">
        <v>31</v>
      </c>
      <c r="AE6" s="168" t="s">
        <v>29</v>
      </c>
    </row>
    <row r="7" spans="1:50" ht="47.25" customHeight="1" x14ac:dyDescent="0.25">
      <c r="A7" s="829" t="s">
        <v>1328</v>
      </c>
      <c r="B7" s="168"/>
      <c r="C7" s="168"/>
      <c r="D7" s="168"/>
      <c r="E7" s="168"/>
      <c r="F7" s="168"/>
      <c r="G7" s="168"/>
      <c r="H7" s="168"/>
      <c r="I7" s="168"/>
      <c r="J7" s="168"/>
      <c r="K7" s="168"/>
      <c r="L7" s="168"/>
      <c r="M7" s="168"/>
      <c r="N7" s="168"/>
      <c r="R7" t="e">
        <f>R3/F11</f>
        <v>#DIV/0!</v>
      </c>
      <c r="S7" t="s">
        <v>1329</v>
      </c>
      <c r="W7" s="100" t="str">
        <f>IF(A6=Y2,"OK","*")</f>
        <v>*</v>
      </c>
      <c r="X7" s="171" t="s">
        <v>34</v>
      </c>
      <c r="Y7" s="171" t="s">
        <v>35</v>
      </c>
      <c r="AA7" s="168" t="s">
        <v>36</v>
      </c>
      <c r="AB7" s="170" t="s">
        <v>37</v>
      </c>
      <c r="AC7" s="168" t="s">
        <v>36</v>
      </c>
      <c r="AD7" s="170" t="s">
        <v>38</v>
      </c>
      <c r="AE7" s="168" t="s">
        <v>36</v>
      </c>
      <c r="AF7" s="101"/>
      <c r="AG7" s="101"/>
      <c r="AH7" s="101"/>
      <c r="AI7" s="168"/>
      <c r="AJ7" s="830" t="s">
        <v>1330</v>
      </c>
      <c r="AK7" s="814"/>
      <c r="AL7" s="814"/>
      <c r="AM7" s="814"/>
      <c r="AN7" s="814"/>
      <c r="AO7" s="814"/>
      <c r="AP7" s="814"/>
      <c r="AQ7" s="814"/>
      <c r="AR7" s="814"/>
      <c r="AS7" s="814"/>
      <c r="AT7" s="814"/>
      <c r="AU7" s="814"/>
      <c r="AV7" s="814"/>
      <c r="AW7" s="814"/>
      <c r="AX7" s="814"/>
    </row>
    <row r="8" spans="1:50" ht="29.25" customHeight="1" x14ac:dyDescent="0.25">
      <c r="A8" s="168"/>
      <c r="B8" s="1156" t="str">
        <f>"NUORET: "&amp;X13&amp;Y12&amp;X10</f>
        <v xml:space="preserve">NUORET: Kuinka monelle nuorelle on asetettu tavoitteita?  - 01.01.2026-31.12.2026 </v>
      </c>
      <c r="C8" s="1157"/>
      <c r="D8" s="1157"/>
      <c r="E8" s="1157"/>
      <c r="F8" s="1157"/>
      <c r="G8" s="1158"/>
      <c r="H8" s="821"/>
      <c r="I8" s="821"/>
      <c r="J8" s="168"/>
      <c r="K8" s="168"/>
      <c r="L8" s="168"/>
      <c r="M8" s="168"/>
      <c r="N8" s="168"/>
      <c r="R8" t="e">
        <f>R4/F12</f>
        <v>#DIV/0!</v>
      </c>
      <c r="S8" t="s">
        <v>1331</v>
      </c>
      <c r="X8" s="233" t="s">
        <v>40</v>
      </c>
      <c r="AA8" s="176" t="s">
        <v>41</v>
      </c>
      <c r="AB8" s="169" t="str">
        <f>IFERROR(INDEX(Data_Omakoodi!E:E,MATCH(AA8,Data_Omakoodi!A:A,0)),"")</f>
        <v/>
      </c>
      <c r="AC8" t="s">
        <v>42</v>
      </c>
      <c r="AD8" s="169" t="str">
        <f>IFERROR(INDEX(Data_Omakoodi!E:E,MATCH(AC8,Data_Omakoodi!A:A,0)),"")</f>
        <v/>
      </c>
      <c r="AE8" t="s">
        <v>42</v>
      </c>
      <c r="AF8" t="s">
        <v>43</v>
      </c>
      <c r="AI8" s="168"/>
      <c r="AJ8" s="814"/>
      <c r="AK8" s="814"/>
      <c r="AL8" s="1153" t="str">
        <f>"KAIKKI: "&amp;Y13&amp;Y12&amp;X10</f>
        <v xml:space="preserve">KAIKKI: Kuinka monelle valmentautujalle on asetettu tavoitteita?  - 01.01.2026-31.12.2026 </v>
      </c>
      <c r="AM8" s="1154"/>
      <c r="AN8" s="1154"/>
      <c r="AO8" s="1154"/>
      <c r="AP8" s="1154"/>
      <c r="AQ8" s="1155"/>
      <c r="AR8" s="822"/>
      <c r="AS8" s="822"/>
      <c r="AT8" s="814"/>
      <c r="AU8" s="814"/>
      <c r="AV8" s="814"/>
      <c r="AW8" s="814"/>
      <c r="AX8" s="814"/>
    </row>
    <row r="9" spans="1:50" ht="25.5" customHeight="1" x14ac:dyDescent="0.25">
      <c r="A9" s="168"/>
      <c r="B9" s="1142" t="s">
        <v>692</v>
      </c>
      <c r="C9" s="1142"/>
      <c r="D9" s="1143" t="s">
        <v>1332</v>
      </c>
      <c r="E9" s="1143"/>
      <c r="F9" s="1143" t="s">
        <v>1333</v>
      </c>
      <c r="G9" s="1143"/>
      <c r="H9" s="860"/>
      <c r="I9" s="861"/>
      <c r="J9" s="861"/>
      <c r="K9" s="168"/>
      <c r="L9" s="168"/>
      <c r="M9" s="168"/>
      <c r="N9" s="168"/>
      <c r="O9" s="168"/>
      <c r="P9" s="168"/>
      <c r="Q9" s="168"/>
      <c r="R9" s="168"/>
      <c r="S9" s="168"/>
      <c r="T9" s="168"/>
      <c r="U9" s="168"/>
      <c r="V9" s="168"/>
      <c r="W9" s="168"/>
      <c r="X9" s="862" t="s">
        <v>44</v>
      </c>
      <c r="Y9" s="168"/>
      <c r="Z9" s="168"/>
      <c r="AA9" s="176" t="s">
        <v>45</v>
      </c>
      <c r="AB9" s="859" t="str">
        <f>IFERROR(INDEX(Data_Omakoodi!E:E,MATCH(AA9,Data_Omakoodi!A:A,0)),"")</f>
        <v/>
      </c>
      <c r="AC9" s="168" t="s">
        <v>46</v>
      </c>
      <c r="AD9" s="859" t="str">
        <f>IFERROR(INDEX(Data_Omakoodi!E:E,MATCH(AC9,Data_Omakoodi!A:A,0)),"")</f>
        <v/>
      </c>
      <c r="AE9" s="168" t="s">
        <v>46</v>
      </c>
      <c r="AF9" s="168" t="s">
        <v>47</v>
      </c>
      <c r="AG9" s="168"/>
      <c r="AH9" s="168"/>
      <c r="AI9" s="168"/>
      <c r="AJ9" s="814"/>
      <c r="AK9" s="814"/>
      <c r="AL9" s="1142" t="s">
        <v>692</v>
      </c>
      <c r="AM9" s="1142"/>
      <c r="AN9" s="1143" t="s">
        <v>752</v>
      </c>
      <c r="AO9" s="1143"/>
      <c r="AP9" s="1143" t="s">
        <v>1334</v>
      </c>
      <c r="AQ9" s="1143"/>
      <c r="AR9" s="869"/>
      <c r="AS9" s="870"/>
      <c r="AT9" s="870"/>
      <c r="AU9" s="814"/>
      <c r="AV9" s="814"/>
      <c r="AW9" s="814"/>
      <c r="AX9" s="814"/>
    </row>
    <row r="10" spans="1:50" x14ac:dyDescent="0.25">
      <c r="A10" s="168"/>
      <c r="B10" s="1142"/>
      <c r="C10" s="1142"/>
      <c r="D10" s="831" t="s">
        <v>742</v>
      </c>
      <c r="E10" s="831" t="s">
        <v>1211</v>
      </c>
      <c r="F10" s="831" t="s">
        <v>742</v>
      </c>
      <c r="G10" s="831" t="s">
        <v>1211</v>
      </c>
      <c r="H10" s="860"/>
      <c r="I10" s="863"/>
      <c r="J10" s="863"/>
      <c r="K10" s="168"/>
      <c r="L10" s="168"/>
      <c r="M10" s="168"/>
      <c r="N10" s="168"/>
      <c r="O10" s="168"/>
      <c r="P10" s="168"/>
      <c r="Q10" s="168"/>
      <c r="R10" s="168" t="s">
        <v>1335</v>
      </c>
      <c r="S10" s="168"/>
      <c r="T10" s="168"/>
      <c r="U10" s="168"/>
      <c r="V10" s="168"/>
      <c r="W10" s="168" t="str">
        <f>" - "&amp;TEXT($A$2-365,$X$11)&amp;"-"&amp;TEXT($A$2-1,$X$11)&amp;" "</f>
        <v xml:space="preserve"> - 01.01.2025-31.12.2025 </v>
      </c>
      <c r="X10" s="864" t="str">
        <f>" - "&amp;TEXT($A$2,$X$11)&amp;"-"&amp;TEXT($A$3,$X$11)&amp;" "</f>
        <v xml:space="preserve"> - 01.01.2026-31.12.2026 </v>
      </c>
      <c r="Y10" s="865"/>
      <c r="Z10" s="168"/>
      <c r="AA10" s="176" t="s">
        <v>52</v>
      </c>
      <c r="AB10" s="859" t="str">
        <f>IFERROR(INDEX(Data_Omakoodi!E:E,MATCH(AA10,Data_Omakoodi!A:A,0)),"")</f>
        <v/>
      </c>
      <c r="AC10" s="168" t="s">
        <v>53</v>
      </c>
      <c r="AD10" s="859" t="str">
        <f>IFERROR(INDEX(Data_Omakoodi!E:E,MATCH(AC10,Data_Omakoodi!A:A,0)),"")</f>
        <v/>
      </c>
      <c r="AE10" s="168" t="s">
        <v>53</v>
      </c>
      <c r="AF10" s="168" t="s">
        <v>54</v>
      </c>
      <c r="AG10" s="168"/>
      <c r="AH10" s="168"/>
      <c r="AI10" s="168"/>
      <c r="AJ10" s="814"/>
      <c r="AK10" s="814"/>
      <c r="AL10" s="1142"/>
      <c r="AM10" s="1142"/>
      <c r="AN10" s="831" t="s">
        <v>742</v>
      </c>
      <c r="AO10" s="831" t="s">
        <v>1211</v>
      </c>
      <c r="AP10" s="831" t="s">
        <v>742</v>
      </c>
      <c r="AQ10" s="831" t="s">
        <v>1211</v>
      </c>
      <c r="AR10" s="869"/>
      <c r="AS10" s="871"/>
      <c r="AT10" s="871"/>
      <c r="AU10" s="814"/>
      <c r="AV10" s="814"/>
      <c r="AW10" s="814"/>
      <c r="AX10" s="814"/>
    </row>
    <row r="11" spans="1:50" x14ac:dyDescent="0.25">
      <c r="A11" s="168"/>
      <c r="B11" s="1144" t="s">
        <v>1336</v>
      </c>
      <c r="C11" s="1144"/>
      <c r="D11" s="832">
        <f>SUMIFS(AS!$W:$W,AS!$AB:$AB,"OK",AS!$AH:$AH,$X$8,AS!$F:$F,$Y$7,AS!$AW:$AW,$Y$6,AS!$K:$K,$Y$1,AS!$X:$X,$Y$5,AS!$AV:$AV,$Y$2)</f>
        <v>0</v>
      </c>
      <c r="E11" s="833" t="str">
        <f>IFERROR(D11/$D$13,"-")</f>
        <v>-</v>
      </c>
      <c r="F11" s="832">
        <f>COUNTIFS(TA!AD:AD,"ok",TA!AA:AA,Tavoitteet!$Y$7,TA!AI:AI,Tavoitteet!$W$7,TA!$AJ:$AJ,"OK",TA!$AK:$AK,Tavoitteet!$Y$5,TA!$AG:$AG,Tavoitteet!$X$8)</f>
        <v>0</v>
      </c>
      <c r="G11" s="833" t="str">
        <f>IFERROR(F11/$F$13,"-")</f>
        <v>-</v>
      </c>
      <c r="H11" s="866"/>
      <c r="I11" s="168"/>
      <c r="J11" s="168"/>
      <c r="K11" s="168"/>
      <c r="L11" s="168"/>
      <c r="M11" s="168"/>
      <c r="N11" s="168"/>
      <c r="O11" s="168"/>
      <c r="P11" s="168"/>
      <c r="Q11" s="168"/>
      <c r="R11" s="168" t="s">
        <v>1337</v>
      </c>
      <c r="S11" s="168"/>
      <c r="T11" s="168"/>
      <c r="U11" s="168"/>
      <c r="V11" s="168"/>
      <c r="W11" s="168"/>
      <c r="X11" s="864" t="s">
        <v>55</v>
      </c>
      <c r="Y11" s="867" t="s">
        <v>56</v>
      </c>
      <c r="Z11" s="168"/>
      <c r="AA11" s="176" t="s">
        <v>57</v>
      </c>
      <c r="AB11" s="859" t="str">
        <f>IFERROR(INDEX(Data_Omakoodi!E:E,MATCH(AA11,Data_Omakoodi!A:A,0)),"")</f>
        <v/>
      </c>
      <c r="AC11" s="168" t="s">
        <v>58</v>
      </c>
      <c r="AD11" s="859" t="str">
        <f>IFERROR(INDEX(Data_Omakoodi!E:E,MATCH(AC11,Data_Omakoodi!A:A,0)),"")</f>
        <v/>
      </c>
      <c r="AE11" s="168" t="s">
        <v>58</v>
      </c>
      <c r="AF11" s="168" t="s">
        <v>59</v>
      </c>
      <c r="AG11" s="168"/>
      <c r="AH11" s="168"/>
      <c r="AI11" s="168"/>
      <c r="AJ11" s="814"/>
      <c r="AK11" s="814"/>
      <c r="AL11" s="1144" t="s">
        <v>1336</v>
      </c>
      <c r="AM11" s="1144"/>
      <c r="AN11" s="832">
        <f>SUMIFS(AS!$W:$W,AS!$AB:$AB,"OK",AS!$F:$F,$Y$7,AS!$AW:$AW,$Y$6,AS!$K:$K,$Y$1,AS!$X:$X,$Y$5,AS!$AV:$AV,$Y$2)</f>
        <v>0</v>
      </c>
      <c r="AO11" s="833" t="str">
        <f>IFERROR(AN11/$AN$13,"-")</f>
        <v>-</v>
      </c>
      <c r="AP11" s="832">
        <f>COUNTIFS(TA!AD:AD,"ok",TA!AA:AA,Tavoitteet!$Y$7,TA!AI:AI,Tavoitteet!$W$7,TA!$AJ:$AJ,"OK",TA!$AK:$AK,Tavoitteet!$Y$5)</f>
        <v>0</v>
      </c>
      <c r="AQ11" s="833" t="str">
        <f>IFERROR(AP11/$AP$13,"-")</f>
        <v>-</v>
      </c>
      <c r="AR11" s="872"/>
      <c r="AS11" s="814"/>
      <c r="AT11" s="814"/>
      <c r="AU11" s="814"/>
      <c r="AV11" s="814"/>
      <c r="AW11" s="814"/>
      <c r="AX11" s="814"/>
    </row>
    <row r="12" spans="1:50" x14ac:dyDescent="0.25">
      <c r="A12" s="168"/>
      <c r="B12" s="1144" t="s">
        <v>1338</v>
      </c>
      <c r="C12" s="1144"/>
      <c r="D12" s="832">
        <f>SUMIFS(AS!$W:$W,AS!$AB:$AB,"OK",AS!$AH:$AH,$X$8,AS!$F:$F,$X$7,AS!$AW:$AW,$Y$6,AS!$K:$K,$Y$1,AS!$X:$X,$Y$5,AS!$AV:$AV,$Y$2)</f>
        <v>0</v>
      </c>
      <c r="E12" s="833" t="str">
        <f>IFERROR(D12/$D$13,"-")</f>
        <v>-</v>
      </c>
      <c r="F12" s="832">
        <f>COUNTIFS(TA!AD:AD,"ok",TA!AA:AA,Tavoitteet!$X$7,TA!AI:AI,Tavoitteet!$W$7,TA!$AJ:$AJ,"OK",TA!$AK:$AK,Tavoitteet!$Y$5,TA!$AG:$AG,Tavoitteet!$X$8)</f>
        <v>0</v>
      </c>
      <c r="G12" s="833" t="str">
        <f>IFERROR(F12/$F$13,"-")</f>
        <v>-</v>
      </c>
      <c r="H12" s="866"/>
      <c r="I12" s="168"/>
      <c r="J12" s="168"/>
      <c r="K12" s="168"/>
      <c r="L12" s="168"/>
      <c r="M12" s="168"/>
      <c r="N12" s="168"/>
      <c r="O12" s="168"/>
      <c r="P12" s="168"/>
      <c r="Q12" s="168"/>
      <c r="R12" s="168" t="s">
        <v>1339</v>
      </c>
      <c r="S12" s="168"/>
      <c r="T12" s="168"/>
      <c r="U12" s="168"/>
      <c r="V12" s="168"/>
      <c r="W12" s="168"/>
      <c r="X12" s="864"/>
      <c r="Y12" s="865"/>
      <c r="Z12" s="168"/>
      <c r="AA12" s="176" t="s">
        <v>60</v>
      </c>
      <c r="AB12" s="859" t="str">
        <f>IFERROR(INDEX(Data_Omakoodi!E:E,MATCH(AA12,Data_Omakoodi!A:A,0)),"")</f>
        <v/>
      </c>
      <c r="AC12" s="168" t="s">
        <v>61</v>
      </c>
      <c r="AD12" s="859" t="str">
        <f>IFERROR(INDEX(Data_Omakoodi!E:E,MATCH(AC12,Data_Omakoodi!A:A,0)),"")</f>
        <v/>
      </c>
      <c r="AE12" s="168" t="s">
        <v>61</v>
      </c>
      <c r="AF12" s="168" t="s">
        <v>62</v>
      </c>
      <c r="AG12" s="168"/>
      <c r="AH12" s="168"/>
      <c r="AI12" s="168"/>
      <c r="AJ12" s="814"/>
      <c r="AK12" s="814"/>
      <c r="AL12" s="1144" t="s">
        <v>1338</v>
      </c>
      <c r="AM12" s="1144"/>
      <c r="AN12" s="832">
        <f>SUMIFS(AS!$W:$W,AS!$AB:$AB,"OK",AS!$F:$F,$X$7,AS!$AW:$AW,$Y$6,AS!$K:$K,$Y$1,AS!$X:$X,$Y$5,AS!$AV:$AV,$Y$2)</f>
        <v>0</v>
      </c>
      <c r="AO12" s="833" t="str">
        <f>IFERROR(AN12/$AN$13,"-")</f>
        <v>-</v>
      </c>
      <c r="AP12" s="832">
        <f>COUNTIFS(TA!AD:AD,"ok",TA!AA:AA,Tavoitteet!$X$7,TA!AI:AI,Tavoitteet!$W$7,TA!$AJ:$AJ,"OK",TA!$AK:$AK,Tavoitteet!$Y$5)</f>
        <v>0</v>
      </c>
      <c r="AQ12" s="833" t="str">
        <f>IFERROR(AP12/$AP$13,"-")</f>
        <v>-</v>
      </c>
      <c r="AR12" s="872"/>
      <c r="AS12" s="814"/>
      <c r="AT12" s="814"/>
      <c r="AU12" s="814"/>
      <c r="AV12" s="814"/>
      <c r="AW12" s="814"/>
      <c r="AX12" s="814"/>
    </row>
    <row r="13" spans="1:50" x14ac:dyDescent="0.25">
      <c r="A13" s="168"/>
      <c r="B13" s="1145" t="s">
        <v>243</v>
      </c>
      <c r="C13" s="1145"/>
      <c r="D13" s="834">
        <f>SUM(D11:D12)</f>
        <v>0</v>
      </c>
      <c r="E13" s="835" t="str">
        <f>IFERROR(D13/D$13,"-")</f>
        <v>-</v>
      </c>
      <c r="F13" s="834">
        <f>SUM(F11:F12)</f>
        <v>0</v>
      </c>
      <c r="G13" s="835" t="str">
        <f>IFERROR(F13/F$13,"-")</f>
        <v>-</v>
      </c>
      <c r="H13" s="868"/>
      <c r="I13" s="168"/>
      <c r="J13" s="168"/>
      <c r="K13" s="168"/>
      <c r="L13" s="168"/>
      <c r="M13" s="168"/>
      <c r="N13" s="168"/>
      <c r="O13" s="168"/>
      <c r="P13" s="168"/>
      <c r="Q13" s="168"/>
      <c r="R13" s="168"/>
      <c r="S13" s="168"/>
      <c r="T13" s="168"/>
      <c r="U13" s="168"/>
      <c r="V13" s="168"/>
      <c r="W13" s="168"/>
      <c r="X13" s="858" t="s">
        <v>1340</v>
      </c>
      <c r="Y13" s="858" t="s">
        <v>1341</v>
      </c>
      <c r="Z13" s="168"/>
      <c r="AA13" s="176" t="s">
        <v>63</v>
      </c>
      <c r="AB13" s="859" t="str">
        <f>IFERROR(INDEX(Data_Omakoodi!E:E,MATCH(AA13,Data_Omakoodi!A:A,0)),"")</f>
        <v/>
      </c>
      <c r="AC13" s="168" t="s">
        <v>64</v>
      </c>
      <c r="AD13" s="859" t="str">
        <f>IFERROR(INDEX(Data_Omakoodi!E:E,MATCH(AC13,Data_Omakoodi!A:A,0)),"")</f>
        <v/>
      </c>
      <c r="AE13" s="168" t="s">
        <v>64</v>
      </c>
      <c r="AF13" s="168" t="s">
        <v>65</v>
      </c>
      <c r="AG13" s="168"/>
      <c r="AH13" s="168"/>
      <c r="AI13" s="168"/>
      <c r="AJ13" s="814"/>
      <c r="AK13" s="814"/>
      <c r="AL13" s="1145" t="s">
        <v>243</v>
      </c>
      <c r="AM13" s="1145"/>
      <c r="AN13" s="834">
        <f>SUM(AN11:AN12)</f>
        <v>0</v>
      </c>
      <c r="AO13" s="835" t="str">
        <f>IFERROR(AN13/AN$13,"-")</f>
        <v>-</v>
      </c>
      <c r="AP13" s="834">
        <f>SUM(AP11:AP12)</f>
        <v>0</v>
      </c>
      <c r="AQ13" s="835" t="str">
        <f>IFERROR(AP13/AP$13,"-")</f>
        <v>-</v>
      </c>
      <c r="AR13" s="873"/>
      <c r="AS13" s="814"/>
      <c r="AT13" s="814"/>
      <c r="AU13" s="814"/>
      <c r="AV13" s="814"/>
      <c r="AW13" s="814"/>
      <c r="AX13" s="814"/>
    </row>
    <row r="14" spans="1:50" x14ac:dyDescent="0.25">
      <c r="A14" s="168"/>
      <c r="B14" s="168"/>
      <c r="C14" s="168"/>
      <c r="D14" s="168"/>
      <c r="E14" s="168"/>
      <c r="F14" s="168"/>
      <c r="G14" s="168"/>
      <c r="H14" s="168"/>
      <c r="I14" s="168"/>
      <c r="J14" s="168"/>
      <c r="K14" s="168"/>
      <c r="L14" s="168"/>
      <c r="M14" s="168"/>
      <c r="N14" s="168"/>
      <c r="O14" s="168"/>
      <c r="P14" s="168"/>
      <c r="Q14" s="168"/>
      <c r="R14" s="168"/>
      <c r="S14" s="168"/>
      <c r="T14" s="168"/>
      <c r="U14" s="168" t="s">
        <v>1342</v>
      </c>
      <c r="V14" s="168"/>
      <c r="W14" s="168"/>
      <c r="X14" s="858" t="s">
        <v>1343</v>
      </c>
      <c r="Y14" s="168"/>
      <c r="Z14" s="168"/>
      <c r="AA14" s="176" t="s">
        <v>66</v>
      </c>
      <c r="AB14" s="859" t="str">
        <f>IFERROR(INDEX(Data_Omakoodi!E:E,MATCH(AA14,Data_Omakoodi!A:A,0)),"")</f>
        <v/>
      </c>
      <c r="AC14" s="168" t="s">
        <v>67</v>
      </c>
      <c r="AD14" s="859" t="str">
        <f>IFERROR(INDEX(Data_Omakoodi!E:E,MATCH(AC14,Data_Omakoodi!A:A,0)),"")</f>
        <v/>
      </c>
      <c r="AE14" s="168" t="s">
        <v>67</v>
      </c>
      <c r="AF14" s="168" t="s">
        <v>68</v>
      </c>
      <c r="AG14" s="168"/>
      <c r="AH14" s="168"/>
      <c r="AI14" s="168"/>
      <c r="AJ14" s="814"/>
      <c r="AK14" s="814"/>
      <c r="AL14" s="814"/>
      <c r="AM14" s="814"/>
      <c r="AN14" s="814"/>
      <c r="AO14" s="814"/>
      <c r="AP14" s="814"/>
      <c r="AQ14" s="814"/>
      <c r="AR14" s="814"/>
      <c r="AS14" s="814"/>
      <c r="AT14" s="814"/>
      <c r="AU14" s="814"/>
      <c r="AV14" s="814"/>
      <c r="AW14" s="814"/>
      <c r="AX14" s="814"/>
    </row>
    <row r="15" spans="1:50" x14ac:dyDescent="0.25">
      <c r="A15" s="168"/>
      <c r="B15" s="168"/>
      <c r="C15" s="168"/>
      <c r="D15" s="168"/>
      <c r="E15" s="168"/>
      <c r="F15" s="168"/>
      <c r="G15" s="168"/>
      <c r="H15" s="168"/>
      <c r="I15" s="168"/>
      <c r="J15" s="168"/>
      <c r="K15" s="168"/>
      <c r="L15" s="168"/>
      <c r="M15" s="168"/>
      <c r="N15" s="168"/>
      <c r="O15" s="168"/>
      <c r="P15" s="168"/>
      <c r="Q15" s="168"/>
      <c r="R15" s="168"/>
      <c r="S15" s="168"/>
      <c r="T15" s="168"/>
      <c r="U15" s="168" t="s">
        <v>1344</v>
      </c>
      <c r="V15" s="168"/>
      <c r="W15" s="168"/>
      <c r="X15" s="168"/>
      <c r="Y15" s="168"/>
      <c r="Z15" s="168"/>
      <c r="AA15" s="176" t="s">
        <v>73</v>
      </c>
      <c r="AB15" s="859" t="str">
        <f>IFERROR(INDEX(Data_Omakoodi!E:E,MATCH(AA15,Data_Omakoodi!A:A,0)),"")</f>
        <v/>
      </c>
      <c r="AC15" s="168" t="s">
        <v>74</v>
      </c>
      <c r="AD15" s="859" t="str">
        <f>IFERROR(INDEX(Data_Omakoodi!E:E,MATCH(AC15,Data_Omakoodi!A:A,0)),"")</f>
        <v/>
      </c>
      <c r="AE15" s="168" t="s">
        <v>74</v>
      </c>
      <c r="AF15" s="168" t="s">
        <v>75</v>
      </c>
      <c r="AG15" s="168"/>
      <c r="AH15" s="168"/>
      <c r="AI15" s="168"/>
      <c r="AJ15" s="814"/>
      <c r="AK15" s="814"/>
      <c r="AL15" s="814"/>
      <c r="AM15" s="814"/>
      <c r="AN15" s="814"/>
      <c r="AO15" s="814"/>
      <c r="AP15" s="814"/>
      <c r="AQ15" s="814"/>
      <c r="AR15" s="814"/>
      <c r="AS15" s="814"/>
      <c r="AT15" s="814"/>
      <c r="AU15" s="814"/>
      <c r="AV15" s="814"/>
      <c r="AW15" s="814"/>
      <c r="AX15" s="814"/>
    </row>
    <row r="16" spans="1:50" x14ac:dyDescent="0.25">
      <c r="U16" t="s">
        <v>1345</v>
      </c>
      <c r="AA16" s="823" t="s">
        <v>80</v>
      </c>
      <c r="AB16" s="824" t="str">
        <f>IFERROR(INDEX(Data_Omakoodi!E:E,MATCH(AA16,Data_Omakoodi!A:A,0)),"")</f>
        <v/>
      </c>
      <c r="AC16" t="s">
        <v>81</v>
      </c>
      <c r="AD16" s="824" t="str">
        <f>IFERROR(INDEX(Data_Omakoodi!E:E,MATCH(AC16,Data_Omakoodi!A:A,0)),"")</f>
        <v/>
      </c>
      <c r="AE16" t="s">
        <v>81</v>
      </c>
      <c r="AF16" t="s">
        <v>82</v>
      </c>
    </row>
    <row r="17" spans="1:47" x14ac:dyDescent="0.25">
      <c r="U17" t="s">
        <v>1346</v>
      </c>
      <c r="X17" s="826" t="s">
        <v>578</v>
      </c>
      <c r="AA17" s="823" t="s">
        <v>87</v>
      </c>
      <c r="AB17" s="824" t="str">
        <f>IFERROR(INDEX(Data_Omakoodi!E:E,MATCH(AA17,Data_Omakoodi!A:A,0)),"")</f>
        <v/>
      </c>
      <c r="AC17" t="s">
        <v>88</v>
      </c>
      <c r="AD17" s="824" t="str">
        <f>IFERROR(INDEX(Data_Omakoodi!E:E,MATCH(AC17,Data_Omakoodi!A:A,0)),"")</f>
        <v/>
      </c>
      <c r="AE17" t="s">
        <v>88</v>
      </c>
      <c r="AF17" t="s">
        <v>89</v>
      </c>
    </row>
    <row r="18" spans="1:47" ht="15" customHeight="1" x14ac:dyDescent="0.25">
      <c r="A18" s="1138" t="str">
        <f>X18&amp;Y12&amp;X10 &amp;X12&amp;" (N:"&amp;F13&amp;")"</f>
        <v>Alkutilanne, tavoitteen kanssa työskennellään -  - 01.01.2026-31.12.2026  (N:0)</v>
      </c>
      <c r="B18" s="1138"/>
      <c r="C18" s="1138"/>
      <c r="D18" s="1138"/>
      <c r="E18" s="1138"/>
      <c r="F18" s="1138"/>
      <c r="G18" s="1138"/>
      <c r="H18" s="1138"/>
      <c r="I18" s="1138"/>
      <c r="J18" s="1138"/>
      <c r="K18" s="1138"/>
      <c r="U18" t="s">
        <v>1347</v>
      </c>
      <c r="X18" s="825" t="s">
        <v>1348</v>
      </c>
      <c r="AA18" s="823" t="s">
        <v>94</v>
      </c>
      <c r="AB18" s="824" t="str">
        <f>IFERROR(INDEX(Data_Omakoodi!E:E,MATCH(AA18,Data_Omakoodi!A:A,0)),"")</f>
        <v/>
      </c>
      <c r="AC18" t="s">
        <v>95</v>
      </c>
      <c r="AD18" s="824" t="str">
        <f>IFERROR(INDEX(Data_Omakoodi!E:E,MATCH(AC18,Data_Omakoodi!A:A,0)),"")</f>
        <v/>
      </c>
      <c r="AE18" t="s">
        <v>95</v>
      </c>
      <c r="AF18" t="s">
        <v>96</v>
      </c>
      <c r="AK18" s="1138" t="str">
        <f>X18&amp;Y12&amp;X10 &amp;X12&amp;" (N:"&amp;AP13&amp;")"</f>
        <v>Alkutilanne, tavoitteen kanssa työskennellään -  - 01.01.2026-31.12.2026  (N:0)</v>
      </c>
      <c r="AL18" s="1138"/>
      <c r="AM18" s="1138"/>
      <c r="AN18" s="1138"/>
      <c r="AO18" s="1138"/>
      <c r="AP18" s="1138"/>
      <c r="AQ18" s="1138"/>
      <c r="AR18" s="1138"/>
      <c r="AS18" s="1138"/>
      <c r="AT18" s="1138"/>
      <c r="AU18" s="1138"/>
    </row>
    <row r="19" spans="1:47" ht="15" customHeight="1" x14ac:dyDescent="0.25">
      <c r="A19" s="1132" t="s">
        <v>1349</v>
      </c>
      <c r="B19" s="1133"/>
      <c r="C19" s="1126" t="s">
        <v>716</v>
      </c>
      <c r="D19" s="1146"/>
      <c r="E19" s="633" t="s">
        <v>961</v>
      </c>
      <c r="F19" s="634" t="s">
        <v>962</v>
      </c>
      <c r="G19" s="1147"/>
      <c r="H19" s="1148"/>
      <c r="I19" s="1148"/>
      <c r="J19" s="1148"/>
      <c r="K19" s="1149"/>
      <c r="X19" s="825" t="s">
        <v>1350</v>
      </c>
      <c r="AA19" s="823" t="s">
        <v>101</v>
      </c>
      <c r="AB19" s="824" t="str">
        <f>IFERROR(INDEX(Data_Omakoodi!E:E,MATCH(AA19,Data_Omakoodi!A:A,0)),"")</f>
        <v/>
      </c>
      <c r="AC19" t="s">
        <v>102</v>
      </c>
      <c r="AD19" s="824" t="str">
        <f>IFERROR(INDEX(Data_Omakoodi!E:E,MATCH(AC19,Data_Omakoodi!A:A,0)),"")</f>
        <v/>
      </c>
      <c r="AE19" t="s">
        <v>102</v>
      </c>
      <c r="AF19" t="s">
        <v>103</v>
      </c>
      <c r="AK19" s="1132" t="s">
        <v>1349</v>
      </c>
      <c r="AL19" s="1133"/>
      <c r="AM19" s="1126" t="s">
        <v>744</v>
      </c>
      <c r="AN19" s="1146"/>
      <c r="AO19" s="633" t="s">
        <v>961</v>
      </c>
      <c r="AP19" s="634" t="s">
        <v>962</v>
      </c>
      <c r="AQ19" s="1147"/>
      <c r="AR19" s="1148"/>
      <c r="AS19" s="1148"/>
      <c r="AT19" s="1148"/>
      <c r="AU19" s="1149"/>
    </row>
    <row r="20" spans="1:47" x14ac:dyDescent="0.25">
      <c r="A20" s="1136"/>
      <c r="B20" s="1137"/>
      <c r="C20" s="599" t="s">
        <v>742</v>
      </c>
      <c r="D20" s="108" t="s">
        <v>1211</v>
      </c>
      <c r="E20" s="182" t="s">
        <v>742</v>
      </c>
      <c r="F20" s="635" t="s">
        <v>742</v>
      </c>
      <c r="G20" s="1150"/>
      <c r="H20" s="1151"/>
      <c r="I20" s="1151"/>
      <c r="J20" s="1151"/>
      <c r="K20" s="1152"/>
      <c r="T20" t="s">
        <v>1351</v>
      </c>
      <c r="U20" t="s">
        <v>1352</v>
      </c>
      <c r="X20" s="827" t="s">
        <v>1353</v>
      </c>
      <c r="AA20" s="823" t="s">
        <v>107</v>
      </c>
      <c r="AB20" s="824" t="str">
        <f>IFERROR(INDEX(Data_Omakoodi!E:E,MATCH(AA20,Data_Omakoodi!A:A,0)),"")</f>
        <v/>
      </c>
      <c r="AC20" t="s">
        <v>108</v>
      </c>
      <c r="AD20" s="824" t="str">
        <f>IFERROR(INDEX(Data_Omakoodi!E:E,MATCH(AC20,Data_Omakoodi!A:A,0)),"")</f>
        <v/>
      </c>
      <c r="AE20" t="s">
        <v>108</v>
      </c>
      <c r="AF20" t="s">
        <v>109</v>
      </c>
      <c r="AK20" s="1136"/>
      <c r="AL20" s="1137"/>
      <c r="AM20" s="599" t="s">
        <v>742</v>
      </c>
      <c r="AN20" s="108" t="s">
        <v>1211</v>
      </c>
      <c r="AO20" s="182" t="s">
        <v>742</v>
      </c>
      <c r="AP20" s="635" t="s">
        <v>742</v>
      </c>
      <c r="AQ20" s="1150"/>
      <c r="AR20" s="1151"/>
      <c r="AS20" s="1151"/>
      <c r="AT20" s="1151"/>
      <c r="AU20" s="1152"/>
    </row>
    <row r="21" spans="1:47" x14ac:dyDescent="0.25">
      <c r="A21" s="1124" t="s">
        <v>1354</v>
      </c>
      <c r="B21" s="1125"/>
      <c r="C21" s="202">
        <f>COUNTIFS(TA!$AD:$AD,"ok",TA!$F:$F,Tavoitteet!$X$19,TA!$AI:$AI,Tavoitteet!$W$7,TA!$AJ:$AJ,"OK",TA!$AK:$AK,Tavoitteet!$Y$5,TA!$AG:$AG,Tavoitteet!$X$8)</f>
        <v>0</v>
      </c>
      <c r="D21" s="632" t="str">
        <f t="shared" ref="D21:D30" si="0">IFERROR(C21/$F$13,"-")</f>
        <v>-</v>
      </c>
      <c r="E21" s="202">
        <f>COUNTIFS(TA!$AD:$AD,"ok",TA!$F:$F,Tavoitteet!$X$19,TA!$AI:$AI,Tavoitteet!$W$7,TA!$AJ:$AJ,"OK",TA!$AK:$AK,Tavoitteet!$Y$5,TA!$AG:$AG,Tavoitteet!$X$8,TA!$AA:$AA,Tavoitteet!$X$7)</f>
        <v>0</v>
      </c>
      <c r="F21" s="202">
        <f>COUNTIFS(TA!$AD:$AD,"ok",TA!$F:$F,Tavoitteet!$X$19,TA!$AI:$AI,Tavoitteet!$W$7,TA!$AJ:$AJ,"OK",TA!$AK:$AK,Tavoitteet!$Y$5,TA!$AG:$AG,Tavoitteet!$X$8,TA!$AA:$AA,Tavoitteet!$Y$7)</f>
        <v>0</v>
      </c>
      <c r="G21" s="580"/>
      <c r="H21" s="581"/>
      <c r="I21" s="581"/>
      <c r="J21" s="581"/>
      <c r="K21" s="636"/>
      <c r="T21" t="s">
        <v>1355</v>
      </c>
      <c r="U21" t="s">
        <v>1356</v>
      </c>
      <c r="AA21" s="823" t="s">
        <v>112</v>
      </c>
      <c r="AB21" s="824" t="str">
        <f>IFERROR(INDEX(Data_Omakoodi!E:E,MATCH(AA21,Data_Omakoodi!A:A,0)),"")</f>
        <v/>
      </c>
      <c r="AC21" t="s">
        <v>113</v>
      </c>
      <c r="AD21" s="824" t="str">
        <f>IFERROR(INDEX(Data_Omakoodi!E:E,MATCH(AC21,Data_Omakoodi!A:A,0)),"")</f>
        <v/>
      </c>
      <c r="AE21" t="s">
        <v>113</v>
      </c>
      <c r="AF21" t="s">
        <v>114</v>
      </c>
      <c r="AK21" s="1124" t="s">
        <v>1354</v>
      </c>
      <c r="AL21" s="1125"/>
      <c r="AM21" s="202">
        <f>COUNTIFS(TA!$AD:$AD,"ok",TA!$F:$F,Tavoitteet!$X$19,TA!$AI:$AI,Tavoitteet!$W$7,TA!$AJ:$AJ,"OK",TA!$AK:$AK,Tavoitteet!$Y$5)</f>
        <v>0</v>
      </c>
      <c r="AN21" s="632" t="str">
        <f t="shared" ref="AN21:AN30" si="1">IFERROR(AM21/$AP$13,"-")</f>
        <v>-</v>
      </c>
      <c r="AO21" s="202">
        <f>COUNTIFS(TA!$AD:$AD,"ok",TA!$F:$F,Tavoitteet!$X$19,TA!$AI:$AI,Tavoitteet!$W$7,TA!$AJ:$AJ,"OK",TA!$AK:$AK,Tavoitteet!$Y$5,TA!$AA:$AA,Tavoitteet!$X$7)</f>
        <v>0</v>
      </c>
      <c r="AP21" s="202">
        <f>COUNTIFS(TA!$AD:$AD,"ok",TA!$F:$F,Tavoitteet!$X$19,TA!$AI:$AI,Tavoitteet!$W$7,TA!$AJ:$AJ,"OK",TA!$AK:$AK,Tavoitteet!$Y$5,TA!$AA:$AA,Tavoitteet!$Y$7)</f>
        <v>0</v>
      </c>
      <c r="AQ21" s="580"/>
      <c r="AR21" s="581"/>
      <c r="AS21" s="581"/>
      <c r="AT21" s="581"/>
      <c r="AU21" s="636"/>
    </row>
    <row r="22" spans="1:47" x14ac:dyDescent="0.25">
      <c r="A22" s="1130" t="s">
        <v>1357</v>
      </c>
      <c r="B22" s="1131"/>
      <c r="C22" s="202">
        <f>COUNTIFS(TA!$AD:$AD,"ok",TA!$H:$H,Tavoitteet!$X$19,TA!$AI:$AI,Tavoitteet!$W$7,TA!$AJ:$AJ,"OK",TA!$AK:$AK,Tavoitteet!$Y$5,TA!$AG:$AG,Tavoitteet!$X$8)</f>
        <v>0</v>
      </c>
      <c r="D22" s="632" t="str">
        <f t="shared" si="0"/>
        <v>-</v>
      </c>
      <c r="E22" s="202">
        <f>COUNTIFS(TA!$AD:$AD,"ok",TA!$H:$H,Tavoitteet!$X$19,TA!$AI:$AI,Tavoitteet!$W$7,TA!$AJ:$AJ,"OK",TA!$AK:$AK,Tavoitteet!$Y$5,TA!$AG:$AG,Tavoitteet!$X$8,TA!$AA:$AA,Tavoitteet!$X$7)</f>
        <v>0</v>
      </c>
      <c r="F22" s="202">
        <f>COUNTIFS(TA!$AD:$AD,"ok",TA!$H:$H,Tavoitteet!$X$19,TA!$AI:$AI,Tavoitteet!$W$7,TA!$AJ:$AJ,"OK",TA!$AK:$AK,Tavoitteet!$Y$5,TA!$AG:$AG,Tavoitteet!$X$8,TA!$AA:$AA,Tavoitteet!$Y$7)</f>
        <v>0</v>
      </c>
      <c r="G22" s="637"/>
      <c r="H22" s="638"/>
      <c r="I22" s="638"/>
      <c r="J22" s="638"/>
      <c r="K22" s="639"/>
      <c r="T22" t="s">
        <v>1358</v>
      </c>
      <c r="U22" t="s">
        <v>1359</v>
      </c>
      <c r="AA22" s="823" t="s">
        <v>117</v>
      </c>
      <c r="AB22" s="824" t="str">
        <f>IFERROR(INDEX(Data_Omakoodi!E:E,MATCH(AA22,Data_Omakoodi!A:A,0)),"")</f>
        <v/>
      </c>
      <c r="AC22" t="s">
        <v>118</v>
      </c>
      <c r="AD22" s="824" t="str">
        <f>IFERROR(INDEX(Data_Omakoodi!E:E,MATCH(AC22,Data_Omakoodi!A:A,0)),"")</f>
        <v/>
      </c>
      <c r="AE22" t="s">
        <v>118</v>
      </c>
      <c r="AF22" t="s">
        <v>119</v>
      </c>
      <c r="AK22" s="1130" t="s">
        <v>1357</v>
      </c>
      <c r="AL22" s="1131"/>
      <c r="AM22" s="202">
        <f>COUNTIFS(TA!$AD:$AD,"ok",TA!$H:$H,Tavoitteet!$X$19,TA!$AI:$AI,Tavoitteet!$W$7,TA!$AJ:$AJ,"OK",TA!$AK:$AK,Tavoitteet!$Y$5)</f>
        <v>0</v>
      </c>
      <c r="AN22" s="632" t="str">
        <f t="shared" si="1"/>
        <v>-</v>
      </c>
      <c r="AO22" s="202">
        <f>COUNTIFS(TA!$AD:$AD,"ok",TA!$H:$H,Tavoitteet!$X$19,TA!$AI:$AI,Tavoitteet!$W$7,TA!$AJ:$AJ,"OK",TA!$AK:$AK,Tavoitteet!$Y$5,TA!$AA:$AA,Tavoitteet!$X$7)</f>
        <v>0</v>
      </c>
      <c r="AP22" s="202">
        <f>COUNTIFS(TA!$AD:$AD,"ok",TA!$H:$H,Tavoitteet!$X$19,TA!$AI:$AI,Tavoitteet!$W$7,TA!$AJ:$AJ,"OK",TA!$AK:$AK,Tavoitteet!$Y$5,TA!$AA:$AA,Tavoitteet!$Y$7)</f>
        <v>0</v>
      </c>
      <c r="AQ22" s="637"/>
      <c r="AR22" s="638"/>
      <c r="AS22" s="638"/>
      <c r="AT22" s="638"/>
      <c r="AU22" s="639"/>
    </row>
    <row r="23" spans="1:47" x14ac:dyDescent="0.25">
      <c r="A23" s="1130" t="s">
        <v>1360</v>
      </c>
      <c r="B23" s="1131"/>
      <c r="C23" s="202">
        <f>COUNTIFS(TA!$AD:$AD,"ok",TA!$J:$J,Tavoitteet!$X$19,TA!$AI:$AI,Tavoitteet!$W$7,TA!$AJ:$AJ,"OK",TA!$AK:$AK,Tavoitteet!$Y$5,TA!$AG:$AG,Tavoitteet!$X$8)</f>
        <v>0</v>
      </c>
      <c r="D23" s="632" t="str">
        <f t="shared" si="0"/>
        <v>-</v>
      </c>
      <c r="E23" s="202">
        <f>COUNTIFS(TA!$AD:$AD,"ok",TA!$J:$J,Tavoitteet!$X$19,TA!$AI:$AI,Tavoitteet!$W$7,TA!$AJ:$AJ,"OK",TA!$AK:$AK,Tavoitteet!$Y$5,TA!$AG:$AG,Tavoitteet!$X$8,TA!$AA:$AA,Tavoitteet!$X$7)</f>
        <v>0</v>
      </c>
      <c r="F23" s="202">
        <f>COUNTIFS(TA!$AD:$AD,"ok",TA!$J:$J,Tavoitteet!$X$19,TA!$AI:$AI,Tavoitteet!$W$7,TA!$AJ:$AJ,"OK",TA!$AK:$AK,Tavoitteet!$Y$5,TA!$AG:$AG,Tavoitteet!$X$8,TA!$AA:$AA,Tavoitteet!$Y$7)</f>
        <v>0</v>
      </c>
      <c r="G23" s="637"/>
      <c r="H23" s="638"/>
      <c r="I23" s="638"/>
      <c r="J23" s="638"/>
      <c r="K23" s="639"/>
      <c r="T23" t="s">
        <v>1361</v>
      </c>
      <c r="U23" t="s">
        <v>1362</v>
      </c>
      <c r="AA23" s="823" t="s">
        <v>124</v>
      </c>
      <c r="AB23" s="824" t="str">
        <f>IFERROR(INDEX(Data_Omakoodi!E:E,MATCH(AA23,Data_Omakoodi!A:A,0)),"")</f>
        <v/>
      </c>
      <c r="AC23" t="s">
        <v>125</v>
      </c>
      <c r="AD23" s="824" t="str">
        <f>IFERROR(INDEX(Data_Omakoodi!E:E,MATCH(AC23,Data_Omakoodi!A:A,0)),"")</f>
        <v/>
      </c>
      <c r="AE23" t="s">
        <v>125</v>
      </c>
      <c r="AF23" t="s">
        <v>126</v>
      </c>
      <c r="AK23" s="1130" t="s">
        <v>1360</v>
      </c>
      <c r="AL23" s="1131"/>
      <c r="AM23" s="202">
        <f>COUNTIFS(TA!$AD:$AD,"ok",TA!$J:$J,Tavoitteet!$X$19,TA!$AI:$AI,Tavoitteet!$W$7,TA!$AJ:$AJ,"OK",TA!$AK:$AK,Tavoitteet!$Y$5)</f>
        <v>0</v>
      </c>
      <c r="AN23" s="632" t="str">
        <f t="shared" si="1"/>
        <v>-</v>
      </c>
      <c r="AO23" s="202">
        <f>COUNTIFS(TA!$AD:$AD,"ok",TA!$J:$J,Tavoitteet!$X$19,TA!$AI:$AI,Tavoitteet!$W$7,TA!$AJ:$AJ,"OK",TA!$AK:$AK,Tavoitteet!$Y$5,TA!$AA:$AA,Tavoitteet!$X$7)</f>
        <v>0</v>
      </c>
      <c r="AP23" s="202">
        <f>COUNTIFS(TA!$AD:$AD,"ok",TA!$J:$J,Tavoitteet!$X$19,TA!$AI:$AI,Tavoitteet!$W$7,TA!$AJ:$AJ,"OK",TA!$AK:$AK,Tavoitteet!$Y$5,TA!$AA:$AA,Tavoitteet!$Y$7)</f>
        <v>0</v>
      </c>
      <c r="AQ23" s="637"/>
      <c r="AR23" s="638"/>
      <c r="AS23" s="638"/>
      <c r="AT23" s="638"/>
      <c r="AU23" s="639"/>
    </row>
    <row r="24" spans="1:47" x14ac:dyDescent="0.25">
      <c r="A24" s="652" t="s">
        <v>1363</v>
      </c>
      <c r="B24" s="653"/>
      <c r="C24" s="202">
        <f>COUNTIFS(TA!$AD:$AD,"ok",TA!$Y:$Y,Tavoitteet!$X$19,TA!$AI:$AI,Tavoitteet!$W$7,TA!$AJ:$AJ,"OK",TA!$AK:$AK,Tavoitteet!$Y$5,TA!$AG:$AG,Tavoitteet!$X$8)</f>
        <v>0</v>
      </c>
      <c r="D24" s="632" t="str">
        <f>IFERROR(C24/$F$13,"-")</f>
        <v>-</v>
      </c>
      <c r="E24" s="202">
        <f>COUNTIFS(TA!$AD:$AD,"ok",TA!$Y:$Y,Tavoitteet!$X$19,TA!$AI:$AI,Tavoitteet!$W$7,TA!$AJ:$AJ,"OK",TA!$AK:$AK,Tavoitteet!$Y$5,TA!$AG:$AG,Tavoitteet!$X$8,TA!$AA:$AA,Tavoitteet!$X$7)</f>
        <v>0</v>
      </c>
      <c r="F24" s="202">
        <f>COUNTIFS(TA!$AD:$AD,"ok",TA!$Y:$Y,Tavoitteet!$X$19,TA!$AI:$AI,Tavoitteet!$W$7,TA!$AJ:$AJ,"OK",TA!$AK:$AK,Tavoitteet!$Y$5,TA!$AG:$AG,Tavoitteet!$X$8,TA!$AA:$AA,Tavoitteet!$Y$7)</f>
        <v>0</v>
      </c>
      <c r="G24" s="637"/>
      <c r="H24" s="638"/>
      <c r="I24" s="638"/>
      <c r="J24" s="638"/>
      <c r="K24" s="639"/>
      <c r="T24" t="s">
        <v>1364</v>
      </c>
      <c r="U24" t="s">
        <v>1365</v>
      </c>
      <c r="AA24" s="823" t="s">
        <v>131</v>
      </c>
      <c r="AB24" s="824" t="str">
        <f>IFERROR(INDEX(Data_Omakoodi!E:E,MATCH(AA24,Data_Omakoodi!A:A,0)),"")</f>
        <v/>
      </c>
      <c r="AC24" t="s">
        <v>132</v>
      </c>
      <c r="AD24" s="824" t="str">
        <f>IFERROR(INDEX(Data_Omakoodi!E:E,MATCH(AC24,Data_Omakoodi!A:A,0)),"")</f>
        <v/>
      </c>
      <c r="AE24" t="s">
        <v>132</v>
      </c>
      <c r="AF24" t="s">
        <v>133</v>
      </c>
      <c r="AK24" s="652" t="s">
        <v>1363</v>
      </c>
      <c r="AL24" s="653"/>
      <c r="AM24" s="202">
        <f>COUNTIFS(TA!$AD:$AD,"ok",TA!$Y:$Y,Tavoitteet!$X$19,TA!$AI:$AI,Tavoitteet!$W$7,TA!$AJ:$AJ,"OK",TA!$AK:$AK,Tavoitteet!$Y$5)</f>
        <v>0</v>
      </c>
      <c r="AN24" s="632" t="str">
        <f t="shared" si="1"/>
        <v>-</v>
      </c>
      <c r="AO24" s="202">
        <f>COUNTIFS(TA!$AD:$AD,"ok",TA!$Y:$Y,Tavoitteet!$X$19,TA!$AI:$AI,Tavoitteet!$W$7,TA!$AJ:$AJ,"OK",TA!$AK:$AK,Tavoitteet!$Y$5,TA!$AA:$AA,Tavoitteet!$X$7)</f>
        <v>0</v>
      </c>
      <c r="AP24" s="202">
        <f>COUNTIFS(TA!$AD:$AD,"ok",TA!$Y:$Y,Tavoitteet!$X$19,TA!$AI:$AI,Tavoitteet!$W$7,TA!$AJ:$AJ,"OK",TA!$AK:$AK,Tavoitteet!$Y$5,TA!$AA:$AA,Tavoitteet!$Y$7)</f>
        <v>0</v>
      </c>
      <c r="AQ24" s="637"/>
      <c r="AR24" s="638"/>
      <c r="AS24" s="638"/>
      <c r="AT24" s="638"/>
      <c r="AU24" s="639"/>
    </row>
    <row r="25" spans="1:47" x14ac:dyDescent="0.25">
      <c r="A25" s="1130" t="s">
        <v>1366</v>
      </c>
      <c r="B25" s="1131"/>
      <c r="C25" s="202">
        <f>COUNTIFS(TA!$AD:$AD,"ok",TA!$L:$L,Tavoitteet!$X$19,TA!$AI:$AI,Tavoitteet!$W$7,TA!$AJ:$AJ,"OK",TA!$AK:$AK,Tavoitteet!$Y$5,TA!$AG:$AG,Tavoitteet!$X$8)</f>
        <v>0</v>
      </c>
      <c r="D25" s="632" t="str">
        <f t="shared" si="0"/>
        <v>-</v>
      </c>
      <c r="E25" s="202">
        <f>COUNTIFS(TA!$AD:$AD,"ok",TA!$L:$L,Tavoitteet!$X$19,TA!$AI:$AI,Tavoitteet!$W$7,TA!$AJ:$AJ,"OK",TA!$AK:$AK,Tavoitteet!$Y$5,TA!$AG:$AG,Tavoitteet!$X$8,TA!$AA:$AA,Tavoitteet!$X$7)</f>
        <v>0</v>
      </c>
      <c r="F25" s="202">
        <f>COUNTIFS(TA!$AD:$AD,"ok",TA!$L:$L,Tavoitteet!$X$19,TA!$AI:$AI,Tavoitteet!$W$7,TA!$AJ:$AJ,"OK",TA!$AK:$AK,Tavoitteet!$Y$5,TA!$AG:$AG,Tavoitteet!$X$8,TA!$AA:$AA,Tavoitteet!$Y$7)</f>
        <v>0</v>
      </c>
      <c r="G25" s="637"/>
      <c r="H25" s="638"/>
      <c r="I25" s="638"/>
      <c r="J25" s="638"/>
      <c r="K25" s="639"/>
      <c r="T25" t="s">
        <v>1367</v>
      </c>
      <c r="U25" t="s">
        <v>1368</v>
      </c>
      <c r="AA25" s="823" t="s">
        <v>136</v>
      </c>
      <c r="AB25" s="824" t="str">
        <f>IFERROR(INDEX(Data_Omakoodi!E:E,MATCH(AA25,Data_Omakoodi!A:A,0)),"")</f>
        <v/>
      </c>
      <c r="AC25" t="s">
        <v>137</v>
      </c>
      <c r="AD25" s="824" t="str">
        <f>IFERROR(INDEX(Data_Omakoodi!E:E,MATCH(AC25,Data_Omakoodi!A:A,0)),"")</f>
        <v/>
      </c>
      <c r="AE25" t="s">
        <v>137</v>
      </c>
      <c r="AF25" t="s">
        <v>138</v>
      </c>
      <c r="AK25" s="1130" t="s">
        <v>1366</v>
      </c>
      <c r="AL25" s="1131"/>
      <c r="AM25" s="202">
        <f>COUNTIFS(TA!$AD:$AD,"ok",TA!$L:$L,Tavoitteet!$X$19,TA!$AI:$AI,Tavoitteet!$W$7,TA!$AJ:$AJ,"OK",TA!$AK:$AK,Tavoitteet!$Y$5)</f>
        <v>0</v>
      </c>
      <c r="AN25" s="632" t="str">
        <f t="shared" si="1"/>
        <v>-</v>
      </c>
      <c r="AO25" s="202">
        <f>COUNTIFS(TA!$AD:$AD,"ok",TA!$L:$L,Tavoitteet!$X$19,TA!$AI:$AI,Tavoitteet!$W$7,TA!$AJ:$AJ,"OK",TA!$AK:$AK,Tavoitteet!$Y$5,TA!$AA:$AA,Tavoitteet!$X$7)</f>
        <v>0</v>
      </c>
      <c r="AP25" s="202">
        <f>COUNTIFS(TA!$AD:$AD,"ok",TA!$L:$L,Tavoitteet!$X$19,TA!$AI:$AI,Tavoitteet!$W$7,TA!$AJ:$AJ,"OK",TA!$AK:$AK,Tavoitteet!$Y$5,TA!$AA:$AA,Tavoitteet!$Y$7)</f>
        <v>0</v>
      </c>
      <c r="AQ25" s="637"/>
      <c r="AR25" s="638"/>
      <c r="AS25" s="638"/>
      <c r="AT25" s="638"/>
      <c r="AU25" s="639"/>
    </row>
    <row r="26" spans="1:47" x14ac:dyDescent="0.25">
      <c r="A26" s="1130" t="s">
        <v>1369</v>
      </c>
      <c r="B26" s="1131"/>
      <c r="C26" s="202">
        <f>COUNTIFS(TA!$AD:$AD,"ok",TA!$N:$N,Tavoitteet!$X$19,TA!$AI:$AI,Tavoitteet!$W$7,TA!$AJ:$AJ,"OK",TA!$AK:$AK,Tavoitteet!$Y$5,TA!$AG:$AG,Tavoitteet!$X$8)</f>
        <v>0</v>
      </c>
      <c r="D26" s="632" t="str">
        <f t="shared" si="0"/>
        <v>-</v>
      </c>
      <c r="E26" s="202">
        <f>COUNTIFS(TA!$AD:$AD,"ok",TA!$N:$N,Tavoitteet!$X$19,TA!$AI:$AI,Tavoitteet!$W$7,TA!$AJ:$AJ,"OK",TA!$AK:$AK,Tavoitteet!$Y$5,TA!$AG:$AG,Tavoitteet!$X$8,TA!$AA:$AA,Tavoitteet!$X$7)</f>
        <v>0</v>
      </c>
      <c r="F26" s="202">
        <f>COUNTIFS(TA!$AD:$AD,"ok",TA!$N:$N,Tavoitteet!$X$19,TA!$AI:$AI,Tavoitteet!$W$7,TA!$AJ:$AJ,"OK",TA!$AK:$AK,Tavoitteet!$Y$5,TA!$AG:$AG,Tavoitteet!$X$8,TA!$AA:$AA,Tavoitteet!$Y$7)</f>
        <v>0</v>
      </c>
      <c r="G26" s="637"/>
      <c r="H26" s="638"/>
      <c r="I26" s="638"/>
      <c r="J26" s="638"/>
      <c r="K26" s="639"/>
      <c r="T26" t="s">
        <v>1370</v>
      </c>
      <c r="U26" t="s">
        <v>1371</v>
      </c>
      <c r="AA26" s="823" t="s">
        <v>140</v>
      </c>
      <c r="AB26" s="824" t="str">
        <f>IFERROR(INDEX(Data_Omakoodi!E:E,MATCH(AA26,Data_Omakoodi!A:A,0)),"")</f>
        <v/>
      </c>
      <c r="AC26" t="s">
        <v>141</v>
      </c>
      <c r="AD26" s="824" t="str">
        <f>IFERROR(INDEX(Data_Omakoodi!E:E,MATCH(AC26,Data_Omakoodi!A:A,0)),"")</f>
        <v/>
      </c>
      <c r="AE26" t="s">
        <v>141</v>
      </c>
      <c r="AF26" t="s">
        <v>142</v>
      </c>
      <c r="AK26" s="1130" t="s">
        <v>1369</v>
      </c>
      <c r="AL26" s="1131"/>
      <c r="AM26" s="202">
        <f>COUNTIFS(TA!$AD:$AD,"ok",TA!$N:$N,Tavoitteet!$X$19,TA!$AI:$AI,Tavoitteet!$W$7,TA!$AJ:$AJ,"OK",TA!$AK:$AK,Tavoitteet!$Y$5)</f>
        <v>0</v>
      </c>
      <c r="AN26" s="632" t="str">
        <f t="shared" si="1"/>
        <v>-</v>
      </c>
      <c r="AO26" s="202">
        <f>COUNTIFS(TA!$AD:$AD,"ok",TA!$N:$N,Tavoitteet!$X$19,TA!$AI:$AI,Tavoitteet!$W$7,TA!$AJ:$AJ,"OK",TA!$AK:$AK,Tavoitteet!$Y$5,TA!$AA:$AA,Tavoitteet!$X$7)</f>
        <v>0</v>
      </c>
      <c r="AP26" s="202">
        <f>COUNTIFS(TA!$AD:$AD,"ok",TA!$N:$N,Tavoitteet!$X$19,TA!$AI:$AI,Tavoitteet!$W$7,TA!$AJ:$AJ,"OK",TA!$AK:$AK,Tavoitteet!$Y$5,TA!$AA:$AA,Tavoitteet!$Y$7)</f>
        <v>0</v>
      </c>
      <c r="AQ26" s="637"/>
      <c r="AR26" s="638"/>
      <c r="AS26" s="638"/>
      <c r="AT26" s="638"/>
      <c r="AU26" s="639"/>
    </row>
    <row r="27" spans="1:47" x14ac:dyDescent="0.25">
      <c r="A27" s="1130" t="s">
        <v>1372</v>
      </c>
      <c r="B27" s="1131"/>
      <c r="C27" s="202">
        <f>COUNTIFS(TA!$AD:$AD,"ok",TA!$P:$P,Tavoitteet!$X$19,TA!$AI:$AI,Tavoitteet!$W$7,TA!$AJ:$AJ,"OK",TA!$AK:$AK,Tavoitteet!$Y$5,TA!$AG:$AG,Tavoitteet!$X$8)</f>
        <v>0</v>
      </c>
      <c r="D27" s="632" t="str">
        <f t="shared" si="0"/>
        <v>-</v>
      </c>
      <c r="E27" s="202">
        <f>COUNTIFS(TA!$AD:$AD,"ok",TA!$P:$P,Tavoitteet!$X$19,TA!$AI:$AI,Tavoitteet!$W$7,TA!$AJ:$AJ,"OK",TA!$AK:$AK,Tavoitteet!$Y$5,TA!$AG:$AG,Tavoitteet!$X$8,TA!$AA:$AA,Tavoitteet!$X$7)</f>
        <v>0</v>
      </c>
      <c r="F27" s="202">
        <f>COUNTIFS(TA!$AD:$AD,"ok",TA!$P:$P,Tavoitteet!$X$19,TA!$AI:$AI,Tavoitteet!$W$7,TA!$AJ:$AJ,"OK",TA!$AK:$AK,Tavoitteet!$Y$5,TA!$AG:$AG,Tavoitteet!$X$8,TA!$AA:$AA,Tavoitteet!$Y$7)</f>
        <v>0</v>
      </c>
      <c r="G27" s="637"/>
      <c r="H27" s="638"/>
      <c r="I27" s="638"/>
      <c r="J27" s="638"/>
      <c r="K27" s="639"/>
      <c r="T27" t="s">
        <v>1373</v>
      </c>
      <c r="U27" t="s">
        <v>1374</v>
      </c>
      <c r="AA27" s="823" t="s">
        <v>145</v>
      </c>
      <c r="AB27" s="824" t="str">
        <f>IFERROR(INDEX(Data_Omakoodi!E:E,MATCH(AA27,Data_Omakoodi!A:A,0)),"")</f>
        <v/>
      </c>
      <c r="AC27" t="s">
        <v>146</v>
      </c>
      <c r="AD27" s="824" t="str">
        <f>IFERROR(INDEX(Data_Omakoodi!E:E,MATCH(AC27,Data_Omakoodi!A:A,0)),"")</f>
        <v/>
      </c>
      <c r="AE27" t="s">
        <v>146</v>
      </c>
      <c r="AF27" t="s">
        <v>147</v>
      </c>
      <c r="AK27" s="1130" t="s">
        <v>1372</v>
      </c>
      <c r="AL27" s="1131"/>
      <c r="AM27" s="202">
        <f>COUNTIFS(TA!$AD:$AD,"ok",TA!$P:$P,Tavoitteet!$X$19,TA!$AI:$AI,Tavoitteet!$W$7,TA!$AJ:$AJ,"OK",TA!$AK:$AK,Tavoitteet!$Y$5)</f>
        <v>0</v>
      </c>
      <c r="AN27" s="632" t="str">
        <f t="shared" si="1"/>
        <v>-</v>
      </c>
      <c r="AO27" s="202">
        <f>COUNTIFS(TA!$AD:$AD,"ok",TA!$P:$P,Tavoitteet!$X$19,TA!$AI:$AI,Tavoitteet!$W$7,TA!$AJ:$AJ,"OK",TA!$AK:$AK,Tavoitteet!$Y$5,TA!$AA:$AA,Tavoitteet!$X$7)</f>
        <v>0</v>
      </c>
      <c r="AP27" s="202">
        <f>COUNTIFS(TA!$AD:$AD,"ok",TA!$P:$P,Tavoitteet!$X$19,TA!$AI:$AI,Tavoitteet!$W$7,TA!$AJ:$AJ,"OK",TA!$AK:$AK,Tavoitteet!$Y$5,TA!$AA:$AA,Tavoitteet!$Y$7)</f>
        <v>0</v>
      </c>
      <c r="AQ27" s="637"/>
      <c r="AR27" s="638"/>
      <c r="AS27" s="638"/>
      <c r="AT27" s="638"/>
      <c r="AU27" s="639"/>
    </row>
    <row r="28" spans="1:47" x14ac:dyDescent="0.25">
      <c r="A28" s="1130" t="s">
        <v>1375</v>
      </c>
      <c r="B28" s="1131"/>
      <c r="C28" s="202">
        <f>COUNTIFS(TA!$AD:$AD,"ok",TA!$S:$S,Tavoitteet!$X$19,TA!$AI:$AI,Tavoitteet!$W$7,TA!$AJ:$AJ,"OK",TA!$AK:$AK,Tavoitteet!$Y$5,TA!$AG:$AG,Tavoitteet!$X$8)</f>
        <v>0</v>
      </c>
      <c r="D28" s="632" t="str">
        <f t="shared" si="0"/>
        <v>-</v>
      </c>
      <c r="E28" s="202">
        <f>COUNTIFS(TA!$AD:$AD,"ok",TA!$S:$S,Tavoitteet!$X$19,TA!$AI:$AI,Tavoitteet!$W$7,TA!$AJ:$AJ,"OK",TA!$AK:$AK,Tavoitteet!$Y$5,TA!$AG:$AG,Tavoitteet!$X$8,TA!$AA:$AA,Tavoitteet!$X$7)</f>
        <v>0</v>
      </c>
      <c r="F28" s="202">
        <f>COUNTIFS(TA!$AD:$AD,"ok",TA!$S:$S,Tavoitteet!$X$19,TA!$AI:$AI,Tavoitteet!$W$7,TA!$AJ:$AJ,"OK",TA!$AK:$AK,Tavoitteet!$Y$5,TA!$AG:$AG,Tavoitteet!$X$8,TA!$AA:$AA,Tavoitteet!$Y$7)</f>
        <v>0</v>
      </c>
      <c r="G28" s="637"/>
      <c r="H28" s="638"/>
      <c r="I28" s="638"/>
      <c r="J28" s="638"/>
      <c r="K28" s="639"/>
      <c r="T28" t="s">
        <v>1376</v>
      </c>
      <c r="U28" t="s">
        <v>1377</v>
      </c>
      <c r="X28" s="119"/>
      <c r="AA28" s="823" t="s">
        <v>150</v>
      </c>
      <c r="AB28" s="824" t="str">
        <f>IFERROR(INDEX(Data_Omakoodi!E:E,MATCH(AA28,Data_Omakoodi!A:A,0)),"")</f>
        <v/>
      </c>
      <c r="AC28" t="s">
        <v>151</v>
      </c>
      <c r="AD28" s="824" t="str">
        <f>IFERROR(INDEX(Data_Omakoodi!E:E,MATCH(AC28,Data_Omakoodi!A:A,0)),"")</f>
        <v/>
      </c>
      <c r="AE28" t="s">
        <v>151</v>
      </c>
      <c r="AF28" t="s">
        <v>152</v>
      </c>
      <c r="AK28" s="1130" t="s">
        <v>1375</v>
      </c>
      <c r="AL28" s="1131"/>
      <c r="AM28" s="202">
        <f>COUNTIFS(TA!$AD:$AD,"ok",TA!$S:$S,Tavoitteet!$X$19,TA!$AI:$AI,Tavoitteet!$W$7,TA!$AJ:$AJ,"OK",TA!$AK:$AK,Tavoitteet!$Y$5)</f>
        <v>0</v>
      </c>
      <c r="AN28" s="632" t="str">
        <f t="shared" si="1"/>
        <v>-</v>
      </c>
      <c r="AO28" s="202">
        <f>COUNTIFS(TA!$AD:$AD,"ok",TA!$S:$S,Tavoitteet!$X$19,TA!$AI:$AI,Tavoitteet!$W$7,TA!$AJ:$AJ,"OK",TA!$AK:$AK,Tavoitteet!$Y$5,TA!$AA:$AA,Tavoitteet!$X$7)</f>
        <v>0</v>
      </c>
      <c r="AP28" s="202">
        <f>COUNTIFS(TA!$AD:$AD,"ok",TA!$S:$S,Tavoitteet!$X$19,TA!$AI:$AI,Tavoitteet!$W$7,TA!$AJ:$AJ,"OK",TA!$AK:$AK,Tavoitteet!$Y$5,TA!$AA:$AA,Tavoitteet!$Y$7)</f>
        <v>0</v>
      </c>
      <c r="AQ28" s="637"/>
      <c r="AR28" s="638"/>
      <c r="AS28" s="638"/>
      <c r="AT28" s="638"/>
      <c r="AU28" s="639"/>
    </row>
    <row r="29" spans="1:47" x14ac:dyDescent="0.25">
      <c r="A29" s="1130" t="s">
        <v>1378</v>
      </c>
      <c r="B29" s="1131"/>
      <c r="C29" s="202">
        <f>COUNTIFS(TA!$AD:$AD,"ok",TA!$T:$T,Tavoitteet!$X$19,TA!$AI:$AI,Tavoitteet!$W$7,TA!$AJ:$AJ,"OK",TA!$AK:$AK,Tavoitteet!$Y$5,TA!$AG:$AG,Tavoitteet!$X$8)</f>
        <v>0</v>
      </c>
      <c r="D29" s="632" t="str">
        <f t="shared" si="0"/>
        <v>-</v>
      </c>
      <c r="E29" s="202">
        <f>COUNTIFS(TA!$AD:$AD,"ok",TA!$T:$T,Tavoitteet!$X$19,TA!$AI:$AI,Tavoitteet!$W$7,TA!$AJ:$AJ,"OK",TA!$AK:$AK,Tavoitteet!$Y$5,TA!$AG:$AG,Tavoitteet!$X$8,TA!$AA:$AA,Tavoitteet!$X$7)</f>
        <v>0</v>
      </c>
      <c r="F29" s="202">
        <f>COUNTIFS(TA!$AD:$AD,"ok",TA!$T:$T,Tavoitteet!$X$19,TA!$AI:$AI,Tavoitteet!$W$7,TA!$AJ:$AJ,"OK",TA!$AK:$AK,Tavoitteet!$Y$5,TA!$AG:$AG,Tavoitteet!$X$8,TA!$AA:$AA,Tavoitteet!$Y$7)</f>
        <v>0</v>
      </c>
      <c r="G29" s="637"/>
      <c r="H29" s="638"/>
      <c r="I29" s="638"/>
      <c r="J29" s="638"/>
      <c r="K29" s="639"/>
      <c r="T29" t="s">
        <v>1379</v>
      </c>
      <c r="U29" t="s">
        <v>1380</v>
      </c>
      <c r="X29" s="177"/>
      <c r="AA29" s="823" t="s">
        <v>157</v>
      </c>
      <c r="AB29" s="824" t="str">
        <f>IFERROR(INDEX(Data_Omakoodi!E:E,MATCH(AA29,Data_Omakoodi!A:A,0)),"")</f>
        <v/>
      </c>
      <c r="AC29" t="s">
        <v>158</v>
      </c>
      <c r="AD29" s="824" t="str">
        <f>IFERROR(INDEX(Data_Omakoodi!E:E,MATCH(AC29,Data_Omakoodi!A:A,0)),"")</f>
        <v/>
      </c>
      <c r="AE29" t="s">
        <v>158</v>
      </c>
      <c r="AF29" t="s">
        <v>159</v>
      </c>
      <c r="AK29" s="1130" t="s">
        <v>1378</v>
      </c>
      <c r="AL29" s="1131"/>
      <c r="AM29" s="202">
        <f>COUNTIFS(TA!$AD:$AD,"ok",TA!$T:$T,Tavoitteet!$X$19,TA!$AI:$AI,Tavoitteet!$W$7,TA!$AJ:$AJ,"OK",TA!$AK:$AK,Tavoitteet!$Y$5)</f>
        <v>0</v>
      </c>
      <c r="AN29" s="632" t="str">
        <f t="shared" si="1"/>
        <v>-</v>
      </c>
      <c r="AO29" s="202">
        <f>COUNTIFS(TA!$AD:$AD,"ok",TA!$T:$T,Tavoitteet!$X$19,TA!$AI:$AI,Tavoitteet!$W$7,TA!$AJ:$AJ,"OK",TA!$AK:$AK,Tavoitteet!$Y$5,TA!$AA:$AA,Tavoitteet!$X$7)</f>
        <v>0</v>
      </c>
      <c r="AP29" s="202">
        <f>COUNTIFS(TA!$AD:$AD,"ok",TA!$T:$T,Tavoitteet!$X$19,TA!$AI:$AI,Tavoitteet!$W$7,TA!$AJ:$AJ,"OK",TA!$AK:$AK,Tavoitteet!$Y$5,TA!$AA:$AA,Tavoitteet!$Y$7)</f>
        <v>0</v>
      </c>
      <c r="AQ29" s="637"/>
      <c r="AR29" s="638"/>
      <c r="AS29" s="638"/>
      <c r="AT29" s="638"/>
      <c r="AU29" s="639"/>
    </row>
    <row r="30" spans="1:47" x14ac:dyDescent="0.25">
      <c r="A30" s="1130" t="s">
        <v>1381</v>
      </c>
      <c r="B30" s="1131"/>
      <c r="C30" s="202">
        <f>COUNTIFS(TA!$AD:$AD,"ok",TA!$U:$U,Tavoitteet!$X$19,TA!$AI:$AI,Tavoitteet!$W$7,TA!$AJ:$AJ,"OK",TA!$AK:$AK,Tavoitteet!$Y$5,TA!$AG:$AG,Tavoitteet!$X$8)</f>
        <v>0</v>
      </c>
      <c r="D30" s="632" t="str">
        <f t="shared" si="0"/>
        <v>-</v>
      </c>
      <c r="E30" s="202">
        <f>COUNTIFS(TA!$AD:$AD,"ok",TA!$U:$U,Tavoitteet!$X$19,TA!$AI:$AI,Tavoitteet!$W$7,TA!$AJ:$AJ,"OK",TA!$AK:$AK,Tavoitteet!$Y$5,TA!$AG:$AG,Tavoitteet!$X$8,TA!$AA:$AA,Tavoitteet!$X$7)</f>
        <v>0</v>
      </c>
      <c r="F30" s="202">
        <f>COUNTIFS(TA!$AD:$AD,"ok",TA!$U:$U,Tavoitteet!$X$19,TA!$AI:$AI,Tavoitteet!$W$7,TA!$AJ:$AJ,"OK",TA!$AK:$AK,Tavoitteet!$Y$5,TA!$AG:$AG,Tavoitteet!$X$8,TA!$AA:$AA,Tavoitteet!$Y$7)</f>
        <v>0</v>
      </c>
      <c r="G30" s="637"/>
      <c r="H30" s="638"/>
      <c r="I30" s="638"/>
      <c r="J30" s="638"/>
      <c r="K30" s="639"/>
      <c r="X30" s="177"/>
      <c r="AA30" s="823" t="s">
        <v>164</v>
      </c>
      <c r="AB30" s="824" t="str">
        <f>IFERROR(INDEX(Data_Omakoodi!E:E,MATCH(AA30,Data_Omakoodi!A:A,0)),"")</f>
        <v/>
      </c>
      <c r="AC30" t="s">
        <v>165</v>
      </c>
      <c r="AD30" s="824" t="str">
        <f>IFERROR(INDEX(Data_Omakoodi!E:E,MATCH(AC30,Data_Omakoodi!A:A,0)),"")</f>
        <v/>
      </c>
      <c r="AE30" t="s">
        <v>165</v>
      </c>
      <c r="AF30" t="s">
        <v>166</v>
      </c>
      <c r="AK30" s="1130" t="s">
        <v>1381</v>
      </c>
      <c r="AL30" s="1131"/>
      <c r="AM30" s="202">
        <f>COUNTIFS(TA!$AD:$AD,"ok",TA!$U:$U,Tavoitteet!$X$19,TA!$AI:$AI,Tavoitteet!$W$7,TA!$AJ:$AJ,"OK",TA!$AK:$AK,Tavoitteet!$Y$5)</f>
        <v>0</v>
      </c>
      <c r="AN30" s="632" t="str">
        <f t="shared" si="1"/>
        <v>-</v>
      </c>
      <c r="AO30" s="202">
        <f>COUNTIFS(TA!$AD:$AD,"ok",TA!$U:$U,Tavoitteet!$X$19,TA!$AI:$AI,Tavoitteet!$W$7,TA!$AJ:$AJ,"OK",TA!$AK:$AK,Tavoitteet!$Y$5,TA!$AA:$AA,Tavoitteet!$X$7)</f>
        <v>0</v>
      </c>
      <c r="AP30" s="202">
        <f>COUNTIFS(TA!$AD:$AD,"ok",TA!$U:$U,Tavoitteet!$X$19,TA!$AI:$AI,Tavoitteet!$W$7,TA!$AJ:$AJ,"OK",TA!$AK:$AK,Tavoitteet!$Y$5,TA!$AA:$AA,Tavoitteet!$Y$7)</f>
        <v>0</v>
      </c>
      <c r="AQ30" s="637"/>
      <c r="AR30" s="638"/>
      <c r="AS30" s="638"/>
      <c r="AT30" s="638"/>
      <c r="AU30" s="639"/>
    </row>
    <row r="31" spans="1:47" x14ac:dyDescent="0.25">
      <c r="A31" s="1117" t="s">
        <v>1382</v>
      </c>
      <c r="B31" s="1118"/>
      <c r="C31" s="880">
        <f>AVERAGE(C21:C30)</f>
        <v>0</v>
      </c>
      <c r="D31" s="881" t="str">
        <f>IFERROR(AVERAGE(D21:D30),"")</f>
        <v/>
      </c>
      <c r="E31" s="880">
        <f t="shared" ref="E31:F31" si="2">AVERAGE(E21:E30)</f>
        <v>0</v>
      </c>
      <c r="F31" s="880">
        <f t="shared" si="2"/>
        <v>0</v>
      </c>
      <c r="G31" s="640" t="s">
        <v>1383</v>
      </c>
      <c r="H31" s="641"/>
      <c r="X31" s="177"/>
      <c r="AA31" s="823" t="s">
        <v>169</v>
      </c>
      <c r="AB31" s="824" t="str">
        <f>IFERROR(INDEX(Data_Omakoodi!E:E,MATCH(AA31,Data_Omakoodi!A:A,0)),"")</f>
        <v/>
      </c>
      <c r="AC31" t="s">
        <v>170</v>
      </c>
      <c r="AD31" s="824" t="str">
        <f>IFERROR(INDEX(Data_Omakoodi!E:E,MATCH(AC31,Data_Omakoodi!A:A,0)),"")</f>
        <v/>
      </c>
      <c r="AE31" t="s">
        <v>170</v>
      </c>
      <c r="AF31" t="s">
        <v>171</v>
      </c>
      <c r="AK31" s="1117" t="s">
        <v>1382</v>
      </c>
      <c r="AL31" s="1118"/>
      <c r="AM31" s="880">
        <f>AVERAGE(AM21:AM30)</f>
        <v>0</v>
      </c>
      <c r="AN31" s="881" t="str">
        <f>IFERROR(AVERAGE(AN21:AN30),"")</f>
        <v/>
      </c>
      <c r="AO31" s="880">
        <f t="shared" ref="AO31" si="3">AVERAGE(AO21:AO30)</f>
        <v>0</v>
      </c>
      <c r="AP31" s="880">
        <f t="shared" ref="AP31" si="4">AVERAGE(AP21:AP30)</f>
        <v>0</v>
      </c>
      <c r="AQ31" s="640" t="s">
        <v>1384</v>
      </c>
      <c r="AR31" s="641"/>
    </row>
    <row r="32" spans="1:47" x14ac:dyDescent="0.25">
      <c r="A32" s="1117" t="s">
        <v>1385</v>
      </c>
      <c r="B32" s="1118"/>
      <c r="C32" s="880">
        <f>SUM(C21:C30)</f>
        <v>0</v>
      </c>
      <c r="E32" s="880">
        <f t="shared" ref="E32" si="5">SUM(E21:E30)</f>
        <v>0</v>
      </c>
      <c r="F32" s="880">
        <f>SUM(F21:F30)</f>
        <v>0</v>
      </c>
      <c r="X32" s="177"/>
      <c r="AA32" s="823" t="s">
        <v>174</v>
      </c>
      <c r="AB32" s="824" t="str">
        <f>IFERROR(INDEX(Data_Omakoodi!E:E,MATCH(AA32,Data_Omakoodi!A:A,0)),"")</f>
        <v/>
      </c>
      <c r="AC32" t="s">
        <v>175</v>
      </c>
      <c r="AD32" s="824" t="str">
        <f>IFERROR(INDEX(Data_Omakoodi!E:E,MATCH(AC32,Data_Omakoodi!A:A,0)),"")</f>
        <v/>
      </c>
      <c r="AE32" t="s">
        <v>175</v>
      </c>
      <c r="AF32" t="s">
        <v>176</v>
      </c>
      <c r="AK32" s="1117" t="s">
        <v>1385</v>
      </c>
      <c r="AL32" s="1118"/>
      <c r="AM32" s="880">
        <f>SUM(AM21:AM30)</f>
        <v>0</v>
      </c>
      <c r="AO32" s="880">
        <f t="shared" ref="AO32" si="6">SUM(AO21:AO30)</f>
        <v>0</v>
      </c>
      <c r="AP32" s="880">
        <f>SUM(AP21:AP30)</f>
        <v>0</v>
      </c>
    </row>
    <row r="33" spans="1:49" x14ac:dyDescent="0.25">
      <c r="S33" s="827" t="s">
        <v>1350</v>
      </c>
      <c r="T33" s="827" t="s">
        <v>1353</v>
      </c>
      <c r="U33" s="827" t="s">
        <v>1350</v>
      </c>
      <c r="X33" s="825" t="s">
        <v>1386</v>
      </c>
      <c r="AA33" s="823" t="s">
        <v>179</v>
      </c>
      <c r="AB33" s="824" t="str">
        <f>IFERROR(INDEX(Data_Omakoodi!E:E,MATCH(AA33,Data_Omakoodi!A:A,0)),"")</f>
        <v/>
      </c>
      <c r="AC33" t="s">
        <v>180</v>
      </c>
      <c r="AD33" s="824" t="str">
        <f>IFERROR(INDEX(Data_Omakoodi!E:E,MATCH(AC33,Data_Omakoodi!A:A,0)),"")</f>
        <v/>
      </c>
      <c r="AE33" t="s">
        <v>180</v>
      </c>
      <c r="AF33" t="s">
        <v>181</v>
      </c>
    </row>
    <row r="34" spans="1:49" x14ac:dyDescent="0.25">
      <c r="A34" s="1138" t="str">
        <f>X33&amp;X10 &amp;Y12&amp;X12&amp;" (N:"&amp;F13&amp;")"</f>
        <v>Viimeisin tilanne, tavoiteen kanssa työskennellään tai tavoite saavutettu -  - 01.01.2026-31.12.2026  (N:0)</v>
      </c>
      <c r="B34" s="1138"/>
      <c r="C34" s="1138"/>
      <c r="D34" s="1138"/>
      <c r="E34" s="1138"/>
      <c r="F34" s="1138"/>
      <c r="G34" s="1138"/>
      <c r="H34" s="1138"/>
      <c r="I34" s="1138"/>
      <c r="J34" s="1138"/>
      <c r="K34" s="1138"/>
      <c r="AA34" s="823" t="s">
        <v>183</v>
      </c>
      <c r="AB34" s="824" t="str">
        <f>IFERROR(INDEX(Data_Omakoodi!E:E,MATCH(AA34,Data_Omakoodi!A:A,0)),"")</f>
        <v/>
      </c>
      <c r="AC34" t="s">
        <v>184</v>
      </c>
      <c r="AD34" s="824" t="str">
        <f>IFERROR(INDEX(Data_Omakoodi!E:E,MATCH(AC34,Data_Omakoodi!A:A,0)),"")</f>
        <v/>
      </c>
      <c r="AE34" t="s">
        <v>184</v>
      </c>
      <c r="AF34" t="s">
        <v>185</v>
      </c>
      <c r="AK34" s="1138" t="str">
        <f>X33&amp;X10 &amp;Y12&amp;X12&amp;" (N:"&amp;AP13&amp;")"</f>
        <v>Viimeisin tilanne, tavoiteen kanssa työskennellään tai tavoite saavutettu -  - 01.01.2026-31.12.2026  (N:0)</v>
      </c>
      <c r="AL34" s="1138"/>
      <c r="AM34" s="1138"/>
      <c r="AN34" s="1138"/>
      <c r="AO34" s="1138"/>
      <c r="AP34" s="1138"/>
      <c r="AQ34" s="1138"/>
      <c r="AR34" s="1138"/>
      <c r="AS34" s="1138"/>
      <c r="AT34" s="1138"/>
      <c r="AU34" s="1138"/>
    </row>
    <row r="35" spans="1:49" ht="30" customHeight="1" x14ac:dyDescent="0.25">
      <c r="A35" s="1132" t="s">
        <v>1349</v>
      </c>
      <c r="B35" s="1133"/>
      <c r="C35" s="1126" t="s">
        <v>1387</v>
      </c>
      <c r="D35" s="1127"/>
      <c r="E35" s="1128" t="s">
        <v>1388</v>
      </c>
      <c r="F35" s="1129"/>
      <c r="G35" s="1119" t="s">
        <v>1389</v>
      </c>
      <c r="H35" s="1120"/>
      <c r="I35" s="642"/>
      <c r="J35" s="642"/>
      <c r="K35" s="642"/>
      <c r="L35" s="642"/>
      <c r="M35" s="643"/>
      <c r="AA35" s="823" t="s">
        <v>187</v>
      </c>
      <c r="AB35" s="824" t="str">
        <f>IFERROR(INDEX(Data_Omakoodi!E:E,MATCH(AA35,Data_Omakoodi!A:A,0)),"")</f>
        <v/>
      </c>
      <c r="AC35" t="s">
        <v>188</v>
      </c>
      <c r="AD35" s="824" t="str">
        <f>IFERROR(INDEX(Data_Omakoodi!E:E,MATCH(AC35,Data_Omakoodi!A:A,0)),"")</f>
        <v/>
      </c>
      <c r="AE35" t="s">
        <v>188</v>
      </c>
      <c r="AF35" t="s">
        <v>189</v>
      </c>
      <c r="AK35" s="1132" t="s">
        <v>1349</v>
      </c>
      <c r="AL35" s="1133"/>
      <c r="AM35" s="1126" t="s">
        <v>1387</v>
      </c>
      <c r="AN35" s="1127"/>
      <c r="AO35" s="1128" t="s">
        <v>1388</v>
      </c>
      <c r="AP35" s="1129"/>
      <c r="AQ35" s="1119" t="s">
        <v>1389</v>
      </c>
      <c r="AR35" s="1120"/>
      <c r="AS35" s="642"/>
      <c r="AT35" s="642"/>
      <c r="AU35" s="642"/>
      <c r="AV35" s="642"/>
      <c r="AW35" s="643"/>
    </row>
    <row r="36" spans="1:49" ht="29.45" customHeight="1" x14ac:dyDescent="0.25">
      <c r="A36" s="1134"/>
      <c r="B36" s="1135"/>
      <c r="C36" s="1113" t="s">
        <v>716</v>
      </c>
      <c r="D36" s="1123"/>
      <c r="E36" s="1121" t="s">
        <v>716</v>
      </c>
      <c r="F36" s="1122"/>
      <c r="G36" s="1121" t="s">
        <v>716</v>
      </c>
      <c r="H36" s="1122"/>
      <c r="I36" s="644"/>
      <c r="J36" s="644"/>
      <c r="K36" s="644"/>
      <c r="L36" s="644"/>
      <c r="M36" s="645"/>
      <c r="U36" t="s">
        <v>1390</v>
      </c>
      <c r="AA36" s="823" t="s">
        <v>190</v>
      </c>
      <c r="AB36" s="824" t="str">
        <f>IFERROR(INDEX(Data_Omakoodi!E:E,MATCH(AA36,Data_Omakoodi!A:A,0)),"")</f>
        <v/>
      </c>
      <c r="AC36" t="s">
        <v>191</v>
      </c>
      <c r="AD36" s="824" t="str">
        <f>IFERROR(INDEX(Data_Omakoodi!E:E,MATCH(AC36,Data_Omakoodi!A:A,0)),"")</f>
        <v/>
      </c>
      <c r="AE36" t="s">
        <v>191</v>
      </c>
      <c r="AF36" t="s">
        <v>192</v>
      </c>
      <c r="AK36" s="1134"/>
      <c r="AL36" s="1135"/>
      <c r="AM36" s="1113" t="s">
        <v>744</v>
      </c>
      <c r="AN36" s="1123"/>
      <c r="AO36" s="1113" t="s">
        <v>744</v>
      </c>
      <c r="AP36" s="1123"/>
      <c r="AQ36" s="1113" t="s">
        <v>744</v>
      </c>
      <c r="AR36" s="1123"/>
      <c r="AS36" s="644"/>
      <c r="AT36" s="644"/>
      <c r="AU36" s="644"/>
      <c r="AV36" s="644"/>
      <c r="AW36" s="645"/>
    </row>
    <row r="37" spans="1:49" x14ac:dyDescent="0.25">
      <c r="A37" s="1136"/>
      <c r="B37" s="1137"/>
      <c r="C37" s="599" t="s">
        <v>742</v>
      </c>
      <c r="D37" s="646" t="s">
        <v>1211</v>
      </c>
      <c r="E37" s="647" t="s">
        <v>742</v>
      </c>
      <c r="F37" s="556" t="s">
        <v>1211</v>
      </c>
      <c r="G37" s="647" t="s">
        <v>1391</v>
      </c>
      <c r="H37" s="556" t="s">
        <v>1211</v>
      </c>
      <c r="I37" s="638"/>
      <c r="J37" s="638"/>
      <c r="K37" s="638"/>
      <c r="L37" s="638"/>
      <c r="M37" s="639"/>
      <c r="U37" t="s">
        <v>1392</v>
      </c>
      <c r="AA37" s="823" t="s">
        <v>193</v>
      </c>
      <c r="AB37" s="824" t="str">
        <f>IFERROR(INDEX(Data_Omakoodi!E:E,MATCH(AA37,Data_Omakoodi!A:A,0)),"")</f>
        <v/>
      </c>
      <c r="AC37" t="s">
        <v>194</v>
      </c>
      <c r="AD37" s="824" t="str">
        <f>IFERROR(INDEX(Data_Omakoodi!E:E,MATCH(AC37,Data_Omakoodi!A:A,0)),"")</f>
        <v/>
      </c>
      <c r="AE37" t="s">
        <v>194</v>
      </c>
      <c r="AF37" t="s">
        <v>195</v>
      </c>
      <c r="AK37" s="1136"/>
      <c r="AL37" s="1137"/>
      <c r="AM37" s="599" t="s">
        <v>742</v>
      </c>
      <c r="AN37" s="646" t="s">
        <v>1211</v>
      </c>
      <c r="AO37" s="647" t="s">
        <v>742</v>
      </c>
      <c r="AP37" s="556" t="s">
        <v>1211</v>
      </c>
      <c r="AQ37" s="647" t="s">
        <v>1391</v>
      </c>
      <c r="AR37" s="556" t="s">
        <v>1211</v>
      </c>
      <c r="AS37" s="638"/>
      <c r="AT37" s="638"/>
      <c r="AU37" s="638"/>
      <c r="AV37" s="638"/>
      <c r="AW37" s="639"/>
    </row>
    <row r="38" spans="1:49" x14ac:dyDescent="0.25">
      <c r="A38" s="1124" t="s">
        <v>1354</v>
      </c>
      <c r="B38" s="1125"/>
      <c r="C38" s="202">
        <f>COUNTIFS(TA!$AF:$AF,"ok",TA!$F:$F,Tavoitteet!$X$19,TA!$AI:$AI,Tavoitteet!$W$7,TA!$AJ:$AJ,"OK",TA!$AK:$AK,Tavoitteet!$Y$5,TA!$AG:$AG,Tavoitteet!$X$8)</f>
        <v>0</v>
      </c>
      <c r="D38" s="632" t="str">
        <f t="shared" ref="D38:D47" si="7">IFERROR(C38/$F$13,"-")</f>
        <v>-</v>
      </c>
      <c r="E38" s="202">
        <f>COUNTIFS(TA!$AF:$AF,"ok",TA!$F:$F,Tavoitteet!$X$20,TA!$AI:$AI,Tavoitteet!$W$7,TA!$AJ:$AJ,"OK",TA!$AK:$AK,Tavoitteet!$Y$5,TA!$AG:$AG,Tavoitteet!$X$8)</f>
        <v>0</v>
      </c>
      <c r="F38" s="632" t="str">
        <f t="shared" ref="F38:F47" si="8">IFERROR(E38/$F$13,"-")</f>
        <v>-</v>
      </c>
      <c r="G38" s="648">
        <f>C38+E38</f>
        <v>0</v>
      </c>
      <c r="H38" s="649" t="str">
        <f>IFERROR(G38/$F$13,"-")</f>
        <v>-</v>
      </c>
      <c r="I38" s="638"/>
      <c r="J38" s="638"/>
      <c r="K38" s="638"/>
      <c r="L38" s="638"/>
      <c r="M38" s="639"/>
      <c r="U38" t="s">
        <v>1393</v>
      </c>
      <c r="AK38" s="1124" t="s">
        <v>1354</v>
      </c>
      <c r="AL38" s="1125"/>
      <c r="AM38" s="202">
        <f>COUNTIFS(TA!$AF:$AF,"ok",TA!$F:$F,Tavoitteet!$X$19,TA!$AI:$AI,Tavoitteet!$W$7,TA!$AJ:$AJ,"OK",TA!$AK:$AK,Tavoitteet!$Y$5)</f>
        <v>0</v>
      </c>
      <c r="AN38" s="632" t="str">
        <f t="shared" ref="AN38:AN47" si="9">IFERROR(AM38/$AP$13,"-")</f>
        <v>-</v>
      </c>
      <c r="AO38" s="202">
        <f>COUNTIFS(TA!$AF:$AF,"ok",TA!$F:$F,Tavoitteet!$X$20,TA!$AI:$AI,Tavoitteet!$W$7,TA!$AJ:$AJ,"OK",TA!$AK:$AK,Tavoitteet!$Y$5)</f>
        <v>0</v>
      </c>
      <c r="AP38" s="632" t="str">
        <f t="shared" ref="AP38:AP47" si="10">IFERROR(AO38/$AP$13,"-")</f>
        <v>-</v>
      </c>
      <c r="AQ38" s="648">
        <f>AM38+AO38</f>
        <v>0</v>
      </c>
      <c r="AR38" s="649" t="str">
        <f t="shared" ref="AR38:AR47" si="11">IFERROR(AQ38/$AP$13,"-")</f>
        <v>-</v>
      </c>
      <c r="AS38" s="638"/>
      <c r="AT38" s="638"/>
      <c r="AU38" s="638"/>
      <c r="AV38" s="638"/>
      <c r="AW38" s="639"/>
    </row>
    <row r="39" spans="1:49" x14ac:dyDescent="0.25">
      <c r="A39" s="1124" t="s">
        <v>1357</v>
      </c>
      <c r="B39" s="1125"/>
      <c r="C39" s="202">
        <f>COUNTIFS(TA!$AF:$AF,"ok",TA!$H:$H,Tavoitteet!$X$19,TA!$AI:$AI,Tavoitteet!$W$7,TA!$AJ:$AJ,"OK",TA!$AK:$AK,Tavoitteet!$Y$5,TA!$AG:$AG,Tavoitteet!$X$8)</f>
        <v>0</v>
      </c>
      <c r="D39" s="632" t="str">
        <f t="shared" si="7"/>
        <v>-</v>
      </c>
      <c r="E39" s="202">
        <f>COUNTIFS(TA!$AF:$AF,"ok",TA!$H:$H,Tavoitteet!$X$20,TA!$AI:$AI,Tavoitteet!$W$7,TA!$AJ:$AJ,"OK",TA!$AK:$AK,Tavoitteet!$Y$5,TA!$AG:$AG,Tavoitteet!$X$8)</f>
        <v>0</v>
      </c>
      <c r="F39" s="632" t="str">
        <f t="shared" si="8"/>
        <v>-</v>
      </c>
      <c r="G39" s="648">
        <f t="shared" ref="G39:G47" si="12">C39+E39</f>
        <v>0</v>
      </c>
      <c r="H39" s="649" t="str">
        <f t="shared" ref="H39:H47" si="13">IFERROR(G39/$F$13,"-")</f>
        <v>-</v>
      </c>
      <c r="I39" s="638"/>
      <c r="J39" s="638"/>
      <c r="K39" s="638"/>
      <c r="L39" s="638"/>
      <c r="M39" s="639"/>
      <c r="U39" t="s">
        <v>1394</v>
      </c>
      <c r="AK39" s="1124" t="s">
        <v>1357</v>
      </c>
      <c r="AL39" s="1125"/>
      <c r="AM39" s="202">
        <f>COUNTIFS(TA!$AF:$AF,"ok",TA!$H:$H,Tavoitteet!$X$19,TA!$AI:$AI,Tavoitteet!$W$7,TA!$AJ:$AJ,"OK",TA!$AK:$AK,Tavoitteet!$Y$5)</f>
        <v>0</v>
      </c>
      <c r="AN39" s="632" t="str">
        <f t="shared" si="9"/>
        <v>-</v>
      </c>
      <c r="AO39" s="202">
        <f>COUNTIFS(TA!$AF:$AF,"ok",TA!$H:$H,Tavoitteet!$X$20,TA!$AI:$AI,Tavoitteet!$W$7,TA!$AJ:$AJ,"OK",TA!$AK:$AK,Tavoitteet!$Y$5)</f>
        <v>0</v>
      </c>
      <c r="AP39" s="632" t="str">
        <f t="shared" si="10"/>
        <v>-</v>
      </c>
      <c r="AQ39" s="648">
        <f>AM39+AO39</f>
        <v>0</v>
      </c>
      <c r="AR39" s="649" t="str">
        <f t="shared" si="11"/>
        <v>-</v>
      </c>
      <c r="AS39" s="638"/>
      <c r="AT39" s="638"/>
      <c r="AU39" s="638"/>
      <c r="AV39" s="638"/>
      <c r="AW39" s="639"/>
    </row>
    <row r="40" spans="1:49" x14ac:dyDescent="0.25">
      <c r="A40" s="1124" t="s">
        <v>1360</v>
      </c>
      <c r="B40" s="1125"/>
      <c r="C40" s="202">
        <f>COUNTIFS(TA!$AF:$AF,"ok",TA!$J:$J,Tavoitteet!$X$19,TA!$AI:$AI,Tavoitteet!$W$7,TA!$AJ:$AJ,"OK",TA!$AK:$AK,Tavoitteet!$Y$5,TA!$AG:$AG,Tavoitteet!$X$8)</f>
        <v>0</v>
      </c>
      <c r="D40" s="632" t="str">
        <f t="shared" si="7"/>
        <v>-</v>
      </c>
      <c r="E40" s="202">
        <f>COUNTIFS(TA!$AF:$AF,"ok",TA!$J:$J,Tavoitteet!$X$20,TA!$AI:$AI,Tavoitteet!$W$7,TA!$AJ:$AJ,"OK",TA!$AK:$AK,Tavoitteet!$Y$5,TA!$AG:$AG,Tavoitteet!$X$8)</f>
        <v>0</v>
      </c>
      <c r="F40" s="632" t="str">
        <f t="shared" si="8"/>
        <v>-</v>
      </c>
      <c r="G40" s="648">
        <f t="shared" si="12"/>
        <v>0</v>
      </c>
      <c r="H40" s="649" t="str">
        <f t="shared" si="13"/>
        <v>-</v>
      </c>
      <c r="I40" s="638"/>
      <c r="J40" s="638"/>
      <c r="K40" s="638"/>
      <c r="L40" s="638"/>
      <c r="M40" s="639"/>
      <c r="U40" t="s">
        <v>1395</v>
      </c>
      <c r="AK40" s="1124" t="s">
        <v>1360</v>
      </c>
      <c r="AL40" s="1125"/>
      <c r="AM40" s="202">
        <f>COUNTIFS(TA!$AF:$AF,"ok",TA!$J:$J,Tavoitteet!$X$19,TA!$AI:$AI,Tavoitteet!$W$7,TA!$AJ:$AJ,"OK",TA!$AK:$AK,Tavoitteet!$Y$5)</f>
        <v>0</v>
      </c>
      <c r="AN40" s="632" t="str">
        <f t="shared" si="9"/>
        <v>-</v>
      </c>
      <c r="AO40" s="202">
        <f>COUNTIFS(TA!$AF:$AF,"ok",TA!$J:$J,Tavoitteet!$X$20,TA!$AI:$AI,Tavoitteet!$W$7,TA!$AJ:$AJ,"OK",TA!$AK:$AK,Tavoitteet!$Y$5)</f>
        <v>0</v>
      </c>
      <c r="AP40" s="632" t="str">
        <f t="shared" si="10"/>
        <v>-</v>
      </c>
      <c r="AQ40" s="648">
        <f>AM40+AO40</f>
        <v>0</v>
      </c>
      <c r="AR40" s="649" t="str">
        <f t="shared" si="11"/>
        <v>-</v>
      </c>
      <c r="AS40" s="638"/>
      <c r="AT40" s="638"/>
      <c r="AU40" s="638"/>
      <c r="AV40" s="638"/>
      <c r="AW40" s="639"/>
    </row>
    <row r="41" spans="1:49" x14ac:dyDescent="0.25">
      <c r="A41" s="652" t="s">
        <v>1363</v>
      </c>
      <c r="B41" s="654"/>
      <c r="C41" s="202">
        <f>COUNTIFS(TA!$AF:$AF,"ok",TA!$Y:$Y,Tavoitteet!$X$19,TA!$AI:$AI,Tavoitteet!$W$7,TA!$AJ:$AJ,"OK",TA!$AK:$AK,Tavoitteet!$Y$5,TA!$AG:$AG,Tavoitteet!$X$8)</f>
        <v>0</v>
      </c>
      <c r="D41" s="632" t="str">
        <f t="shared" si="7"/>
        <v>-</v>
      </c>
      <c r="E41" s="202">
        <f>COUNTIFS(TA!$AF:$AF,"ok",TA!$Y:$Y,Tavoitteet!$X$20,TA!$AI:$AI,Tavoitteet!$W$7,TA!$AJ:$AJ,"OK",TA!$AK:$AK,Tavoitteet!$Y$5,TA!$AG:$AG,Tavoitteet!$X$8)</f>
        <v>0</v>
      </c>
      <c r="F41" s="632" t="str">
        <f t="shared" si="8"/>
        <v>-</v>
      </c>
      <c r="G41" s="648">
        <f>C41+E41</f>
        <v>0</v>
      </c>
      <c r="H41" s="649" t="str">
        <f>IFERROR(G41/$F$13,"-")</f>
        <v>-</v>
      </c>
      <c r="I41" s="638"/>
      <c r="J41" s="638"/>
      <c r="K41" s="638"/>
      <c r="L41" s="638"/>
      <c r="M41" s="639"/>
      <c r="U41" t="s">
        <v>1396</v>
      </c>
      <c r="AK41" s="652" t="s">
        <v>1363</v>
      </c>
      <c r="AL41" s="654"/>
      <c r="AM41" s="202">
        <f>COUNTIFS(TA!$AF:$AF,"ok",TA!$Y:$Y,Tavoitteet!$X$19,TA!$AI:$AI,Tavoitteet!$W$7,TA!$AJ:$AJ,"OK",TA!$AK:$AK,Tavoitteet!$Y$5)</f>
        <v>0</v>
      </c>
      <c r="AN41" s="632" t="str">
        <f t="shared" si="9"/>
        <v>-</v>
      </c>
      <c r="AO41" s="202">
        <f>COUNTIFS(TA!$AF:$AF,"ok",TA!$Y:$Y,Tavoitteet!$X$20,TA!$AI:$AI,Tavoitteet!$W$7,TA!$AJ:$AJ,"OK",TA!$AK:$AK,Tavoitteet!$Y$5)</f>
        <v>0</v>
      </c>
      <c r="AP41" s="632" t="str">
        <f t="shared" si="10"/>
        <v>-</v>
      </c>
      <c r="AQ41" s="648">
        <f>AM41+AO41</f>
        <v>0</v>
      </c>
      <c r="AR41" s="649" t="str">
        <f t="shared" si="11"/>
        <v>-</v>
      </c>
      <c r="AS41" s="638"/>
      <c r="AT41" s="638"/>
      <c r="AU41" s="638"/>
      <c r="AV41" s="638"/>
      <c r="AW41" s="639"/>
    </row>
    <row r="42" spans="1:49" x14ac:dyDescent="0.25">
      <c r="A42" s="1124" t="s">
        <v>1366</v>
      </c>
      <c r="B42" s="1125"/>
      <c r="C42" s="202">
        <f>COUNTIFS(TA!$AF:$AF,"ok",TA!$L:$L,Tavoitteet!$X$19,TA!$AI:$AI,Tavoitteet!$W$7,TA!$AJ:$AJ,"OK",TA!$AK:$AK,Tavoitteet!$Y$5,TA!$AG:$AG,Tavoitteet!$X$8)</f>
        <v>0</v>
      </c>
      <c r="D42" s="632" t="str">
        <f t="shared" si="7"/>
        <v>-</v>
      </c>
      <c r="E42" s="202">
        <f>COUNTIFS(TA!$AF:$AF,"ok",TA!$L:$L,Tavoitteet!$X$20,TA!$AI:$AI,Tavoitteet!$W$7,TA!$AJ:$AJ,"OK",TA!$AK:$AK,Tavoitteet!$Y$5,TA!$AG:$AG,Tavoitteet!$X$8)</f>
        <v>0</v>
      </c>
      <c r="F42" s="632" t="str">
        <f t="shared" si="8"/>
        <v>-</v>
      </c>
      <c r="G42" s="648">
        <f t="shared" si="12"/>
        <v>0</v>
      </c>
      <c r="H42" s="649" t="str">
        <f t="shared" si="13"/>
        <v>-</v>
      </c>
      <c r="I42" s="638"/>
      <c r="J42" s="638"/>
      <c r="K42" s="638"/>
      <c r="L42" s="638"/>
      <c r="M42" s="639"/>
      <c r="AK42" s="1124" t="s">
        <v>1366</v>
      </c>
      <c r="AL42" s="1125"/>
      <c r="AM42" s="202">
        <f>COUNTIFS(TA!$AF:$AF,"ok",TA!$L:$L,Tavoitteet!$X$19,TA!$AI:$AI,Tavoitteet!$W$7,TA!$AJ:$AJ,"OK",TA!$AK:$AK,Tavoitteet!$Y$5)</f>
        <v>0</v>
      </c>
      <c r="AN42" s="632" t="str">
        <f t="shared" si="9"/>
        <v>-</v>
      </c>
      <c r="AO42" s="202">
        <f>COUNTIFS(TA!$AF:$AF,"ok",TA!$L:$L,Tavoitteet!$X$20,TA!$AI:$AI,Tavoitteet!$W$7,TA!$AJ:$AJ,"OK",TA!$AK:$AK,Tavoitteet!$Y$5)</f>
        <v>0</v>
      </c>
      <c r="AP42" s="632" t="str">
        <f t="shared" si="10"/>
        <v>-</v>
      </c>
      <c r="AQ42" s="648">
        <f t="shared" ref="AQ42:AQ47" si="14">AM42+AO42</f>
        <v>0</v>
      </c>
      <c r="AR42" s="649" t="str">
        <f t="shared" si="11"/>
        <v>-</v>
      </c>
      <c r="AS42" s="638"/>
      <c r="AT42" s="638"/>
      <c r="AU42" s="638"/>
      <c r="AV42" s="638"/>
      <c r="AW42" s="639"/>
    </row>
    <row r="43" spans="1:49" x14ac:dyDescent="0.25">
      <c r="A43" s="1124" t="s">
        <v>1369</v>
      </c>
      <c r="B43" s="1125"/>
      <c r="C43" s="202">
        <f>COUNTIFS(TA!$AF:$AF,"ok",TA!$N:$N,Tavoitteet!$X$19,TA!$AI:$AI,Tavoitteet!$W$7,TA!$AJ:$AJ,"OK",TA!$AK:$AK,Tavoitteet!$Y$5,TA!$AG:$AG,Tavoitteet!$X$8)</f>
        <v>0</v>
      </c>
      <c r="D43" s="632" t="str">
        <f t="shared" si="7"/>
        <v>-</v>
      </c>
      <c r="E43" s="202">
        <f>COUNTIFS(TA!$AF:$AF,"ok",TA!$N:$N,Tavoitteet!$X$20,TA!$AI:$AI,Tavoitteet!$W$7,TA!$AJ:$AJ,"OK",TA!$AK:$AK,Tavoitteet!$Y$5,TA!$AG:$AG,Tavoitteet!$X$8)</f>
        <v>0</v>
      </c>
      <c r="F43" s="632" t="str">
        <f t="shared" si="8"/>
        <v>-</v>
      </c>
      <c r="G43" s="648">
        <f t="shared" si="12"/>
        <v>0</v>
      </c>
      <c r="H43" s="649" t="str">
        <f t="shared" si="13"/>
        <v>-</v>
      </c>
      <c r="I43" s="638"/>
      <c r="J43" s="638"/>
      <c r="K43" s="638"/>
      <c r="L43" s="638"/>
      <c r="M43" s="639"/>
      <c r="U43" t="s">
        <v>1397</v>
      </c>
      <c r="AK43" s="1124" t="s">
        <v>1369</v>
      </c>
      <c r="AL43" s="1125"/>
      <c r="AM43" s="202">
        <f>COUNTIFS(TA!$AF:$AF,"ok",TA!$N:$N,Tavoitteet!$X$19,TA!$AI:$AI,Tavoitteet!$W$7,TA!$AJ:$AJ,"OK",TA!$AK:$AK,Tavoitteet!$Y$5)</f>
        <v>0</v>
      </c>
      <c r="AN43" s="632" t="str">
        <f t="shared" si="9"/>
        <v>-</v>
      </c>
      <c r="AO43" s="202">
        <f>COUNTIFS(TA!$AF:$AF,"ok",TA!$N:$N,Tavoitteet!$X$20,TA!$AI:$AI,Tavoitteet!$W$7,TA!$AJ:$AJ,"OK",TA!$AK:$AK,Tavoitteet!$Y$5)</f>
        <v>0</v>
      </c>
      <c r="AP43" s="632" t="str">
        <f t="shared" si="10"/>
        <v>-</v>
      </c>
      <c r="AQ43" s="648">
        <f t="shared" si="14"/>
        <v>0</v>
      </c>
      <c r="AR43" s="649" t="str">
        <f t="shared" si="11"/>
        <v>-</v>
      </c>
      <c r="AS43" s="638"/>
      <c r="AT43" s="638"/>
      <c r="AU43" s="638"/>
      <c r="AV43" s="638"/>
      <c r="AW43" s="639"/>
    </row>
    <row r="44" spans="1:49" x14ac:dyDescent="0.25">
      <c r="A44" s="1130" t="s">
        <v>1372</v>
      </c>
      <c r="B44" s="1131"/>
      <c r="C44" s="202">
        <f>COUNTIFS(TA!$AF:$AF,"ok",TA!$P:$P,Tavoitteet!$X$19,TA!$AI:$AI,Tavoitteet!$W$7,TA!$AJ:$AJ,"OK",TA!$AK:$AK,Tavoitteet!$Y$5,TA!$AG:$AG,Tavoitteet!$X$8)</f>
        <v>0</v>
      </c>
      <c r="D44" s="632" t="str">
        <f t="shared" si="7"/>
        <v>-</v>
      </c>
      <c r="E44" s="202">
        <f>COUNTIFS(TA!$AF:$AF,"ok",TA!$P:$P,Tavoitteet!$X$20,TA!$AI:$AI,Tavoitteet!$W$7,TA!$AJ:$AJ,"OK",TA!$AK:$AK,Tavoitteet!$Y$5,TA!$AG:$AG,Tavoitteet!$X$8)</f>
        <v>0</v>
      </c>
      <c r="F44" s="632" t="str">
        <f t="shared" si="8"/>
        <v>-</v>
      </c>
      <c r="G44" s="648">
        <f t="shared" si="12"/>
        <v>0</v>
      </c>
      <c r="H44" s="649" t="str">
        <f t="shared" si="13"/>
        <v>-</v>
      </c>
      <c r="I44" s="638"/>
      <c r="J44" s="638"/>
      <c r="K44" s="638"/>
      <c r="L44" s="638"/>
      <c r="M44" s="639"/>
      <c r="U44" t="s">
        <v>1398</v>
      </c>
      <c r="AK44" s="1130" t="s">
        <v>1372</v>
      </c>
      <c r="AL44" s="1131"/>
      <c r="AM44" s="202">
        <f>COUNTIFS(TA!$AF:$AF,"ok",TA!$P:$P,Tavoitteet!$X$19,TA!$AI:$AI,Tavoitteet!$W$7,TA!$AJ:$AJ,"OK",TA!$AK:$AK,Tavoitteet!$Y$5)</f>
        <v>0</v>
      </c>
      <c r="AN44" s="632" t="str">
        <f t="shared" si="9"/>
        <v>-</v>
      </c>
      <c r="AO44" s="202">
        <f>COUNTIFS(TA!$AF:$AF,"ok",TA!$P:$P,Tavoitteet!$X$20,TA!$AI:$AI,Tavoitteet!$W$7,TA!$AJ:$AJ,"OK",TA!$AK:$AK,Tavoitteet!$Y$5)</f>
        <v>0</v>
      </c>
      <c r="AP44" s="632" t="str">
        <f t="shared" si="10"/>
        <v>-</v>
      </c>
      <c r="AQ44" s="648">
        <f t="shared" si="14"/>
        <v>0</v>
      </c>
      <c r="AR44" s="649" t="str">
        <f t="shared" si="11"/>
        <v>-</v>
      </c>
      <c r="AS44" s="638"/>
      <c r="AT44" s="638"/>
      <c r="AU44" s="638"/>
      <c r="AV44" s="638"/>
      <c r="AW44" s="639"/>
    </row>
    <row r="45" spans="1:49" x14ac:dyDescent="0.25">
      <c r="A45" s="1124" t="s">
        <v>1375</v>
      </c>
      <c r="B45" s="1125"/>
      <c r="C45" s="202">
        <f>COUNTIFS(TA!$AF:$AF,"ok",TA!$S:$S,Tavoitteet!$X$19,TA!$AI:$AI,Tavoitteet!$W$7,TA!$AJ:$AJ,"OK",TA!$AK:$AK,Tavoitteet!$Y$5,TA!$AG:$AG,Tavoitteet!$X$8)</f>
        <v>0</v>
      </c>
      <c r="D45" s="632" t="str">
        <f t="shared" si="7"/>
        <v>-</v>
      </c>
      <c r="E45" s="202">
        <f>COUNTIFS(TA!$AF:$AF,"ok",TA!$S:$S,Tavoitteet!$X$20,TA!$AI:$AI,Tavoitteet!$W$7,TA!$AJ:$AJ,"OK",TA!$AK:$AK,Tavoitteet!$Y$5,TA!$AG:$AG,Tavoitteet!$X$8)</f>
        <v>0</v>
      </c>
      <c r="F45" s="632" t="str">
        <f t="shared" si="8"/>
        <v>-</v>
      </c>
      <c r="G45" s="648">
        <f t="shared" si="12"/>
        <v>0</v>
      </c>
      <c r="H45" s="649" t="str">
        <f t="shared" si="13"/>
        <v>-</v>
      </c>
      <c r="I45" s="638"/>
      <c r="J45" s="638"/>
      <c r="K45" s="638"/>
      <c r="L45" s="638"/>
      <c r="M45" s="639"/>
      <c r="AK45" s="1124" t="s">
        <v>1375</v>
      </c>
      <c r="AL45" s="1125"/>
      <c r="AM45" s="202">
        <f>COUNTIFS(TA!$AF:$AF,"ok",TA!$S:$S,Tavoitteet!$X$19,TA!$AI:$AI,Tavoitteet!$W$7,TA!$AJ:$AJ,"OK",TA!$AK:$AK,Tavoitteet!$Y$5)</f>
        <v>0</v>
      </c>
      <c r="AN45" s="632" t="str">
        <f t="shared" si="9"/>
        <v>-</v>
      </c>
      <c r="AO45" s="202">
        <f>COUNTIFS(TA!$AF:$AF,"ok",TA!$S:$S,Tavoitteet!$X$20,TA!$AI:$AI,Tavoitteet!$W$7,TA!$AJ:$AJ,"OK",TA!$AK:$AK,Tavoitteet!$Y$5)</f>
        <v>0</v>
      </c>
      <c r="AP45" s="632" t="str">
        <f t="shared" si="10"/>
        <v>-</v>
      </c>
      <c r="AQ45" s="648">
        <f t="shared" si="14"/>
        <v>0</v>
      </c>
      <c r="AR45" s="649" t="str">
        <f t="shared" si="11"/>
        <v>-</v>
      </c>
      <c r="AS45" s="638"/>
      <c r="AT45" s="638"/>
      <c r="AU45" s="638"/>
      <c r="AV45" s="638"/>
      <c r="AW45" s="639"/>
    </row>
    <row r="46" spans="1:49" x14ac:dyDescent="0.25">
      <c r="A46" s="1124" t="s">
        <v>1378</v>
      </c>
      <c r="B46" s="1125"/>
      <c r="C46" s="202">
        <f>COUNTIFS(TA!$AF:$AF,"ok",TA!$T:$T,Tavoitteet!$X$19,TA!$AI:$AI,Tavoitteet!$W$7,TA!$AJ:$AJ,"OK",TA!$AK:$AK,Tavoitteet!$Y$5,TA!$AG:$AG,Tavoitteet!$X$8)</f>
        <v>0</v>
      </c>
      <c r="D46" s="632" t="str">
        <f t="shared" si="7"/>
        <v>-</v>
      </c>
      <c r="E46" s="202">
        <f>COUNTIFS(TA!$AF:$AF,"ok",TA!$T:$T,Tavoitteet!$X$20,TA!$AI:$AI,Tavoitteet!$W$7,TA!$AJ:$AJ,"OK",TA!$AK:$AK,Tavoitteet!$Y$5,TA!$AG:$AG,Tavoitteet!$X$8)</f>
        <v>0</v>
      </c>
      <c r="F46" s="632" t="str">
        <f t="shared" si="8"/>
        <v>-</v>
      </c>
      <c r="G46" s="648">
        <f t="shared" si="12"/>
        <v>0</v>
      </c>
      <c r="H46" s="649" t="str">
        <f t="shared" si="13"/>
        <v>-</v>
      </c>
      <c r="I46" s="638"/>
      <c r="J46" s="638"/>
      <c r="K46" s="638"/>
      <c r="L46" s="638"/>
      <c r="M46" s="639"/>
      <c r="AK46" s="1124" t="s">
        <v>1378</v>
      </c>
      <c r="AL46" s="1125"/>
      <c r="AM46" s="202">
        <f>COUNTIFS(TA!$AF:$AF,"ok",TA!$T:$T,Tavoitteet!$X$19,TA!$AI:$AI,Tavoitteet!$W$7,TA!$AJ:$AJ,"OK",TA!$AK:$AK,Tavoitteet!$Y$5)</f>
        <v>0</v>
      </c>
      <c r="AN46" s="632" t="str">
        <f t="shared" si="9"/>
        <v>-</v>
      </c>
      <c r="AO46" s="202">
        <f>COUNTIFS(TA!$AF:$AF,"ok",TA!$T:$T,Tavoitteet!$X$20,TA!$AI:$AI,Tavoitteet!$W$7,TA!$AJ:$AJ,"OK",TA!$AK:$AK,Tavoitteet!$Y$5)</f>
        <v>0</v>
      </c>
      <c r="AP46" s="632" t="str">
        <f t="shared" si="10"/>
        <v>-</v>
      </c>
      <c r="AQ46" s="648">
        <f t="shared" si="14"/>
        <v>0</v>
      </c>
      <c r="AR46" s="649" t="str">
        <f t="shared" si="11"/>
        <v>-</v>
      </c>
      <c r="AS46" s="638"/>
      <c r="AT46" s="638"/>
      <c r="AU46" s="638"/>
      <c r="AV46" s="638"/>
      <c r="AW46" s="639"/>
    </row>
    <row r="47" spans="1:49" x14ac:dyDescent="0.25">
      <c r="A47" s="1124" t="s">
        <v>1381</v>
      </c>
      <c r="B47" s="1125"/>
      <c r="C47" s="202">
        <f>COUNTIFS(TA!$AF:$AF,"ok",TA!$U:$U,Tavoitteet!$X$19,TA!$AI:$AI,Tavoitteet!$W$7,TA!$AJ:$AJ,"OK",TA!$AK:$AK,Tavoitteet!$Y$5,TA!$AG:$AG,Tavoitteet!$X$8)</f>
        <v>0</v>
      </c>
      <c r="D47" s="632" t="str">
        <f t="shared" si="7"/>
        <v>-</v>
      </c>
      <c r="E47" s="202">
        <f>COUNTIFS(TA!$AF:$AF,"ok",TA!$U:$U,Tavoitteet!$X$20,TA!$AI:$AI,Tavoitteet!$W$7,TA!$AJ:$AJ,"OK",TA!$AK:$AK,Tavoitteet!$Y$5,TA!$AG:$AG,Tavoitteet!$X$8)</f>
        <v>0</v>
      </c>
      <c r="F47" s="632" t="str">
        <f t="shared" si="8"/>
        <v>-</v>
      </c>
      <c r="G47" s="648">
        <f t="shared" si="12"/>
        <v>0</v>
      </c>
      <c r="H47" s="649" t="str">
        <f t="shared" si="13"/>
        <v>-</v>
      </c>
      <c r="I47" s="638"/>
      <c r="J47" s="638"/>
      <c r="K47" s="638"/>
      <c r="L47" s="638"/>
      <c r="M47" s="639"/>
      <c r="AK47" s="1124" t="s">
        <v>1381</v>
      </c>
      <c r="AL47" s="1125"/>
      <c r="AM47" s="202">
        <f>COUNTIFS(TA!$AF:$AF,"ok",TA!$U:$U,Tavoitteet!$X$19,TA!$AI:$AI,Tavoitteet!$W$7,TA!$AJ:$AJ,"OK",TA!$AK:$AK,Tavoitteet!$Y$5)</f>
        <v>0</v>
      </c>
      <c r="AN47" s="632" t="str">
        <f t="shared" si="9"/>
        <v>-</v>
      </c>
      <c r="AO47" s="202">
        <f>COUNTIFS(TA!$AF:$AF,"ok",TA!$U:$U,Tavoitteet!$X$20,TA!$AI:$AI,Tavoitteet!$W$7,TA!$AJ:$AJ,"OK",TA!$AK:$AK,Tavoitteet!$Y$5)</f>
        <v>0</v>
      </c>
      <c r="AP47" s="632" t="str">
        <f t="shared" si="10"/>
        <v>-</v>
      </c>
      <c r="AQ47" s="648">
        <f t="shared" si="14"/>
        <v>0</v>
      </c>
      <c r="AR47" s="649" t="str">
        <f t="shared" si="11"/>
        <v>-</v>
      </c>
      <c r="AS47" s="638"/>
      <c r="AT47" s="638"/>
      <c r="AU47" s="638"/>
      <c r="AV47" s="638"/>
      <c r="AW47" s="639"/>
    </row>
    <row r="48" spans="1:49" x14ac:dyDescent="0.25">
      <c r="A48" s="1117" t="s">
        <v>1382</v>
      </c>
      <c r="B48" s="1118"/>
      <c r="C48" s="880">
        <f>AVERAGE(C38:C47)</f>
        <v>0</v>
      </c>
      <c r="D48" s="881" t="str">
        <f>IFERROR(AVERAGE(D38:D47),"")</f>
        <v/>
      </c>
      <c r="E48" s="882">
        <f>AVERAGE(E38:E47)</f>
        <v>0</v>
      </c>
      <c r="F48" s="883" t="str">
        <f>IFERROR(AVERAGE(F38:F47),"")</f>
        <v/>
      </c>
      <c r="G48" s="884">
        <f>AVERAGE(G38:G47)</f>
        <v>0</v>
      </c>
      <c r="H48" s="885" t="str">
        <f>IFERROR(AVERAGE(H38:H47),"")</f>
        <v/>
      </c>
      <c r="I48" s="640" t="s">
        <v>1383</v>
      </c>
      <c r="AK48" s="1117" t="s">
        <v>1382</v>
      </c>
      <c r="AL48" s="1118"/>
      <c r="AM48" s="880">
        <f>AVERAGE(AM38:AM47)</f>
        <v>0</v>
      </c>
      <c r="AN48" s="881" t="str">
        <f>IFERROR(AVERAGE(AN38:AN47),"")</f>
        <v/>
      </c>
      <c r="AO48" s="882">
        <f>AVERAGE(AO38:AO47)</f>
        <v>0</v>
      </c>
      <c r="AP48" s="883" t="str">
        <f>IFERROR(AVERAGE(AP38:AP47),"")</f>
        <v/>
      </c>
      <c r="AQ48" s="884">
        <f>AVERAGE(AQ38:AQ47)</f>
        <v>0</v>
      </c>
      <c r="AR48" s="885" t="str">
        <f>IFERROR(AVERAGE(AR38:AR47),"")</f>
        <v/>
      </c>
      <c r="AS48" s="640" t="s">
        <v>1384</v>
      </c>
    </row>
    <row r="49" spans="1:49" x14ac:dyDescent="0.25">
      <c r="A49" s="1117" t="s">
        <v>1385</v>
      </c>
      <c r="B49" s="1118"/>
      <c r="C49" s="880">
        <f>SUM(C38:C47)</f>
        <v>0</v>
      </c>
      <c r="E49" s="882">
        <f>SUM(E38:E47)</f>
        <v>0</v>
      </c>
      <c r="G49" s="884">
        <f>SUM(G38:G47)</f>
        <v>0</v>
      </c>
      <c r="I49" s="640" t="s">
        <v>1399</v>
      </c>
      <c r="AK49" s="1117" t="s">
        <v>1385</v>
      </c>
      <c r="AL49" s="1118"/>
      <c r="AM49" s="880">
        <f>SUM(AM38:AM47)</f>
        <v>0</v>
      </c>
      <c r="AO49" s="882">
        <f>SUM(AO38:AO47)</f>
        <v>0</v>
      </c>
      <c r="AQ49" s="884">
        <f>SUM(AQ38:AQ47)</f>
        <v>0</v>
      </c>
      <c r="AS49" s="640" t="s">
        <v>1399</v>
      </c>
    </row>
    <row r="52" spans="1:49" x14ac:dyDescent="0.25">
      <c r="A52" s="1138" t="str">
        <f>X55&amp;Y12&amp;X10 &amp;X12&amp;" (N:"&amp;X57&amp;")"</f>
        <v>Loppuarviointi, tavoiteen kanssa työskennellään tai tavoite saavutettu -  - 01.01.2026-31.12.2026  (N:0)</v>
      </c>
      <c r="B52" s="1138"/>
      <c r="C52" s="1138"/>
      <c r="D52" s="1138"/>
      <c r="E52" s="1138"/>
      <c r="F52" s="1138"/>
      <c r="G52" s="1138"/>
      <c r="H52" s="1138"/>
      <c r="I52" s="1138"/>
      <c r="J52" s="1138"/>
      <c r="K52" s="1138"/>
      <c r="AK52" s="1138" t="str">
        <f>X55&amp;Y12&amp;X10 &amp;X12&amp;" (N:"&amp;Y57&amp;")"</f>
        <v>Loppuarviointi, tavoiteen kanssa työskennellään tai tavoite saavutettu -  - 01.01.2026-31.12.2026  (N:0)</v>
      </c>
      <c r="AL52" s="1138"/>
      <c r="AM52" s="1138"/>
      <c r="AN52" s="1138"/>
      <c r="AO52" s="1138"/>
      <c r="AP52" s="1138"/>
      <c r="AQ52" s="1138"/>
      <c r="AR52" s="1138"/>
      <c r="AS52" s="1138"/>
      <c r="AT52" s="1138"/>
      <c r="AU52" s="1138"/>
    </row>
    <row r="53" spans="1:49" ht="29.25" customHeight="1" x14ac:dyDescent="0.25">
      <c r="A53" s="1132" t="s">
        <v>1349</v>
      </c>
      <c r="B53" s="1133"/>
      <c r="C53" s="1126" t="s">
        <v>1387</v>
      </c>
      <c r="D53" s="1127"/>
      <c r="E53" s="1128" t="s">
        <v>1388</v>
      </c>
      <c r="F53" s="1129"/>
      <c r="G53" s="1119" t="s">
        <v>1389</v>
      </c>
      <c r="H53" s="1120"/>
      <c r="I53" s="650"/>
      <c r="J53" s="642"/>
      <c r="K53" s="642"/>
      <c r="L53" s="642"/>
      <c r="M53" s="643"/>
      <c r="AK53" s="1132" t="s">
        <v>1349</v>
      </c>
      <c r="AL53" s="1133"/>
      <c r="AM53" s="1126" t="s">
        <v>1387</v>
      </c>
      <c r="AN53" s="1127"/>
      <c r="AO53" s="1128" t="s">
        <v>1388</v>
      </c>
      <c r="AP53" s="1129"/>
      <c r="AQ53" s="1119" t="s">
        <v>1389</v>
      </c>
      <c r="AR53" s="1120"/>
      <c r="AS53" s="650"/>
      <c r="AT53" s="642"/>
      <c r="AU53" s="642"/>
      <c r="AV53" s="642"/>
      <c r="AW53" s="643"/>
    </row>
    <row r="54" spans="1:49" ht="15" customHeight="1" x14ac:dyDescent="0.25">
      <c r="A54" s="1134"/>
      <c r="B54" s="1135"/>
      <c r="C54" s="1113" t="s">
        <v>716</v>
      </c>
      <c r="D54" s="1123"/>
      <c r="E54" s="1121" t="s">
        <v>716</v>
      </c>
      <c r="F54" s="1122"/>
      <c r="G54" s="1121" t="s">
        <v>716</v>
      </c>
      <c r="H54" s="1122"/>
      <c r="I54" s="1139"/>
      <c r="J54" s="1140"/>
      <c r="K54" s="1140"/>
      <c r="L54" s="1140"/>
      <c r="M54" s="1141"/>
      <c r="U54" t="s">
        <v>1400</v>
      </c>
      <c r="AK54" s="1134"/>
      <c r="AL54" s="1135"/>
      <c r="AM54" s="1113" t="s">
        <v>744</v>
      </c>
      <c r="AN54" s="1123"/>
      <c r="AO54" s="1113" t="s">
        <v>744</v>
      </c>
      <c r="AP54" s="1123"/>
      <c r="AQ54" s="1113" t="s">
        <v>744</v>
      </c>
      <c r="AR54" s="1123"/>
      <c r="AS54" s="1139"/>
      <c r="AT54" s="1140"/>
      <c r="AU54" s="1140"/>
      <c r="AV54" s="1140"/>
      <c r="AW54" s="1141"/>
    </row>
    <row r="55" spans="1:49" x14ac:dyDescent="0.25">
      <c r="A55" s="1136"/>
      <c r="B55" s="1137"/>
      <c r="C55" s="599" t="s">
        <v>742</v>
      </c>
      <c r="D55" s="646" t="s">
        <v>1211</v>
      </c>
      <c r="E55" s="647" t="s">
        <v>742</v>
      </c>
      <c r="F55" s="556" t="s">
        <v>1211</v>
      </c>
      <c r="G55" s="647" t="s">
        <v>1391</v>
      </c>
      <c r="H55" s="556" t="s">
        <v>1211</v>
      </c>
      <c r="I55" s="637"/>
      <c r="J55" s="638"/>
      <c r="K55" s="638"/>
      <c r="L55" s="638"/>
      <c r="M55" s="639"/>
      <c r="X55" s="825" t="s">
        <v>1401</v>
      </c>
      <c r="AK55" s="1136"/>
      <c r="AL55" s="1137"/>
      <c r="AM55" s="599" t="s">
        <v>742</v>
      </c>
      <c r="AN55" s="646" t="s">
        <v>1211</v>
      </c>
      <c r="AO55" s="647" t="s">
        <v>742</v>
      </c>
      <c r="AP55" s="556" t="s">
        <v>1211</v>
      </c>
      <c r="AQ55" s="647" t="s">
        <v>1391</v>
      </c>
      <c r="AR55" s="556" t="s">
        <v>1211</v>
      </c>
      <c r="AS55" s="637"/>
      <c r="AT55" s="638"/>
      <c r="AU55" s="638"/>
      <c r="AV55" s="638"/>
      <c r="AW55" s="639"/>
    </row>
    <row r="56" spans="1:49" ht="15" customHeight="1" x14ac:dyDescent="0.25">
      <c r="A56" s="1124" t="s">
        <v>1354</v>
      </c>
      <c r="B56" s="1125"/>
      <c r="C56" s="202">
        <f>COUNTIFS(TA!$AF:$AF,"ok",TA!$F:$F,Tavoitteet!$X$19,TA!$AI:$AI,Tavoitteet!$W$7,TA!$AJ:$AJ,"OK",TA!$AK:$AK,Tavoitteet!$Y$5,TA!$AG:$AG,Tavoitteet!$X$8,TA!E:E,"-1")</f>
        <v>0</v>
      </c>
      <c r="D56" s="651" t="str">
        <f>IFERROR(C56/$X$57,"-")</f>
        <v>-</v>
      </c>
      <c r="E56" s="202">
        <f>COUNTIFS(TA!$AF:$AF,"ok",TA!$F:$F,Tavoitteet!$X$20,TA!$AI:$AI,Tavoitteet!$W$7,TA!$AJ:$AJ,"OK",TA!$AK:$AK,Tavoitteet!$Y$5,TA!$AG:$AG,Tavoitteet!$X$8,TA!E:E,"-1")</f>
        <v>0</v>
      </c>
      <c r="F56" s="651" t="str">
        <f>IFERROR(E56/$X$57,"-")</f>
        <v>-</v>
      </c>
      <c r="G56" s="648">
        <f>C56+E56</f>
        <v>0</v>
      </c>
      <c r="H56" s="649" t="str">
        <f t="shared" ref="H56:H65" si="15">IFERROR(G56/$X$57,"-")</f>
        <v>-</v>
      </c>
      <c r="I56" s="637"/>
      <c r="J56" s="638"/>
      <c r="K56" s="638"/>
      <c r="L56" s="638"/>
      <c r="M56" s="639"/>
      <c r="U56" s="78" t="s">
        <v>1350</v>
      </c>
      <c r="X56" s="78" t="s">
        <v>1353</v>
      </c>
      <c r="AK56" s="1124" t="s">
        <v>1354</v>
      </c>
      <c r="AL56" s="1125"/>
      <c r="AM56" s="202">
        <f>COUNTIFS(TA!$AF:$AF,"ok",TA!$F:$F,Tavoitteet!$X$19,TA!$AI:$AI,Tavoitteet!$W$7,TA!$AJ:$AJ,"OK",TA!$AK:$AK,Tavoitteet!$Y$5,TA!E:E,"-1")</f>
        <v>0</v>
      </c>
      <c r="AN56" s="651" t="str">
        <f>IFERROR(AM56/$Y$57,"-")</f>
        <v>-</v>
      </c>
      <c r="AO56" s="202">
        <f>COUNTIFS(TA!$AF:$AF,"ok",TA!$F:$F,Tavoitteet!$X$20,TA!$AI:$AI,Tavoitteet!$W$7,TA!$AJ:$AJ,"OK",TA!$AK:$AK,Tavoitteet!$Y$5,TA!E:E,"-1")</f>
        <v>0</v>
      </c>
      <c r="AP56" s="651" t="str">
        <f>IFERROR(AO56/$Y$57,"-")</f>
        <v>-</v>
      </c>
      <c r="AQ56" s="648">
        <f>AM56+AO56</f>
        <v>0</v>
      </c>
      <c r="AR56" s="649" t="str">
        <f t="shared" ref="AR56:AR65" si="16">IFERROR(AQ56/$Y$57,"-")</f>
        <v>-</v>
      </c>
      <c r="AS56" s="637"/>
      <c r="AT56" s="638"/>
      <c r="AU56" s="638"/>
      <c r="AV56" s="638"/>
      <c r="AW56" s="639"/>
    </row>
    <row r="57" spans="1:49" ht="15" customHeight="1" x14ac:dyDescent="0.25">
      <c r="A57" s="1124" t="s">
        <v>1357</v>
      </c>
      <c r="B57" s="1125"/>
      <c r="C57" s="202">
        <f>COUNTIFS(TA!$AF:$AF,"ok",TA!$H:$H,Tavoitteet!$X$19,TA!$AI:$AI,Tavoitteet!$W$7,TA!$AJ:$AJ,"OK",TA!$AK:$AK,Tavoitteet!$Y$5,TA!$AG:$AG,Tavoitteet!$X$8,TA!E:E,"-1")</f>
        <v>0</v>
      </c>
      <c r="D57" s="651" t="str">
        <f t="shared" ref="D57:D64" si="17">IFERROR(C57/$X$57,"-")</f>
        <v>-</v>
      </c>
      <c r="E57" s="202">
        <f>COUNTIFS(TA!$AF:$AF,"ok",TA!$H:$H,Tavoitteet!$X$20,TA!$AI:$AI,Tavoitteet!$W$7,TA!$AJ:$AJ,"OK",TA!$AK:$AK,Tavoitteet!$Y$5,TA!$AG:$AG,Tavoitteet!$X$8,TA!E:E,"-1")</f>
        <v>0</v>
      </c>
      <c r="F57" s="651" t="str">
        <f t="shared" ref="F57:F65" si="18">IFERROR(E57/$X$57,"-")</f>
        <v>-</v>
      </c>
      <c r="G57" s="648">
        <f t="shared" ref="G57:G58" si="19">C57+E57</f>
        <v>0</v>
      </c>
      <c r="H57" s="649" t="str">
        <f t="shared" si="15"/>
        <v>-</v>
      </c>
      <c r="I57" s="637"/>
      <c r="J57" s="638"/>
      <c r="K57" s="638"/>
      <c r="L57" s="638"/>
      <c r="M57" s="639"/>
      <c r="X57" s="828">
        <f>COUNTIFS(TA!AF:AF,"ok",TA!E:E,"-1",TA!AI:AI,Tavoitteet!$W$7,TA!$AJ:$AJ,"OK",TA!$AK:$AK,Tavoitteet!$Y$5,TA!$AG:$AG,Tavoitteet!$X$8)</f>
        <v>0</v>
      </c>
      <c r="Y57" s="828">
        <f>COUNTIFS(TA!AF:AF,"ok",TA!E:E,"-1",TA!AI:AI,Tavoitteet!$W$7,TA!$AJ:$AJ,"OK",TA!$AK:$AK,Tavoitteet!$Y$5)</f>
        <v>0</v>
      </c>
      <c r="AK57" s="1124" t="s">
        <v>1357</v>
      </c>
      <c r="AL57" s="1125"/>
      <c r="AM57" s="202">
        <f>COUNTIFS(TA!$AF:$AF,"ok",TA!$H:$H,Tavoitteet!$X$19,TA!$AI:$AI,Tavoitteet!$W$7,TA!$AJ:$AJ,"OK",TA!$AK:$AK,Tavoitteet!$Y$5,TA!E:E,"-1")</f>
        <v>0</v>
      </c>
      <c r="AN57" s="651" t="str">
        <f t="shared" ref="AN57:AN65" si="20">IFERROR(AM57/$Y$57,"-")</f>
        <v>-</v>
      </c>
      <c r="AO57" s="202">
        <f>COUNTIFS(TA!$AF:$AF,"ok",TA!$H:$H,Tavoitteet!$X$20,TA!$AI:$AI,Tavoitteet!$W$7,TA!$AJ:$AJ,"OK",TA!$AK:$AK,Tavoitteet!$Y$5,TA!E:E,"-1")</f>
        <v>0</v>
      </c>
      <c r="AP57" s="651" t="str">
        <f t="shared" ref="AP57:AP65" si="21">IFERROR(AO57/$Y$57,"-")</f>
        <v>-</v>
      </c>
      <c r="AQ57" s="648">
        <f>AM57+AO57</f>
        <v>0</v>
      </c>
      <c r="AR57" s="649" t="str">
        <f t="shared" si="16"/>
        <v>-</v>
      </c>
      <c r="AS57" s="637"/>
      <c r="AT57" s="638"/>
      <c r="AU57" s="638"/>
      <c r="AV57" s="638"/>
      <c r="AW57" s="639"/>
    </row>
    <row r="58" spans="1:49" x14ac:dyDescent="0.25">
      <c r="A58" s="1124" t="s">
        <v>1360</v>
      </c>
      <c r="B58" s="1125"/>
      <c r="C58" s="202">
        <f>COUNTIFS(TA!$AF:$AF,"ok",TA!$J:$J,Tavoitteet!$X$19,TA!$AI:$AI,Tavoitteet!$W$7,TA!$AJ:$AJ,"OK",TA!$AK:$AK,Tavoitteet!$Y$5,TA!$AG:$AG,Tavoitteet!$X$8,TA!E:E,"-1")</f>
        <v>0</v>
      </c>
      <c r="D58" s="651" t="str">
        <f t="shared" si="17"/>
        <v>-</v>
      </c>
      <c r="E58" s="202">
        <f>COUNTIFS(TA!$AF:$AF,"ok",TA!$J:$J,Tavoitteet!$X$20,TA!$AI:$AI,Tavoitteet!$W$7,TA!$AJ:$AJ,"OK",TA!$AK:$AK,Tavoitteet!$Y$5,TA!$AG:$AG,Tavoitteet!$X$8,TA!E:E,"-1")</f>
        <v>0</v>
      </c>
      <c r="F58" s="651" t="str">
        <f t="shared" si="18"/>
        <v>-</v>
      </c>
      <c r="G58" s="648">
        <f t="shared" si="19"/>
        <v>0</v>
      </c>
      <c r="H58" s="649" t="str">
        <f t="shared" si="15"/>
        <v>-</v>
      </c>
      <c r="I58" s="637"/>
      <c r="J58" s="638"/>
      <c r="K58" s="638"/>
      <c r="L58" s="638"/>
      <c r="M58" s="639"/>
      <c r="X58" t="s">
        <v>1402</v>
      </c>
      <c r="Y58" t="s">
        <v>69</v>
      </c>
      <c r="AK58" s="1124" t="s">
        <v>1360</v>
      </c>
      <c r="AL58" s="1125"/>
      <c r="AM58" s="202">
        <f>COUNTIFS(TA!$AF:$AF,"ok",TA!$J:$J,Tavoitteet!$X$19,TA!$AI:$AI,Tavoitteet!$W$7,TA!$AJ:$AJ,"OK",TA!$AK:$AK,Tavoitteet!$Y$5,TA!E:E,"-1")</f>
        <v>0</v>
      </c>
      <c r="AN58" s="651" t="str">
        <f t="shared" si="20"/>
        <v>-</v>
      </c>
      <c r="AO58" s="202">
        <f>COUNTIFS(TA!$AF:$AF,"ok",TA!$J:$J,Tavoitteet!$X$20,TA!$AI:$AI,Tavoitteet!$W$7,TA!$AJ:$AJ,"OK",TA!$AK:$AK,Tavoitteet!$Y$5,TA!E:E,"-1")</f>
        <v>0</v>
      </c>
      <c r="AP58" s="651" t="str">
        <f t="shared" si="21"/>
        <v>-</v>
      </c>
      <c r="AQ58" s="648">
        <f>AM58+AO58</f>
        <v>0</v>
      </c>
      <c r="AR58" s="649" t="str">
        <f t="shared" si="16"/>
        <v>-</v>
      </c>
      <c r="AS58" s="637"/>
      <c r="AT58" s="638"/>
      <c r="AU58" s="638"/>
      <c r="AV58" s="638"/>
      <c r="AW58" s="639"/>
    </row>
    <row r="59" spans="1:49" x14ac:dyDescent="0.25">
      <c r="A59" s="652" t="s">
        <v>1363</v>
      </c>
      <c r="B59" s="654"/>
      <c r="C59" s="202">
        <f>COUNTIFS(TA!$AF:$AF,"ok",TA!$Y:$Y,Tavoitteet!$X$19,TA!$AI:$AI,Tavoitteet!$W$7,TA!$AJ:$AJ,"OK",TA!$AK:$AK,Tavoitteet!$Y$5,TA!$AG:$AG,Tavoitteet!$X$8,TA!E:E,"-1")</f>
        <v>0</v>
      </c>
      <c r="D59" s="651" t="str">
        <f t="shared" si="17"/>
        <v>-</v>
      </c>
      <c r="E59" s="202">
        <f>COUNTIFS(TA!$AF:$AF,"ok",TA!$Y:$Y,Tavoitteet!$X$20,TA!$AI:$AI,Tavoitteet!$W$7,TA!$AJ:$AJ,"OK",TA!$AK:$AK,Tavoitteet!$Y$5,TA!$AG:$AG,Tavoitteet!$X$8,TA!E:E,"-1")</f>
        <v>0</v>
      </c>
      <c r="F59" s="651" t="str">
        <f t="shared" si="18"/>
        <v>-</v>
      </c>
      <c r="G59" s="648">
        <f>C59+E59</f>
        <v>0</v>
      </c>
      <c r="H59" s="649" t="str">
        <f t="shared" si="15"/>
        <v>-</v>
      </c>
      <c r="I59" s="637"/>
      <c r="J59" s="638"/>
      <c r="K59" s="638"/>
      <c r="L59" s="638"/>
      <c r="M59" s="639"/>
      <c r="AK59" s="652" t="s">
        <v>1363</v>
      </c>
      <c r="AL59" s="654"/>
      <c r="AM59" s="202">
        <f>COUNTIFS(TA!$AF:$AF,"ok",TA!$Y:$Y,Tavoitteet!$X$19,TA!$AI:$AI,Tavoitteet!$W$7,TA!$AJ:$AJ,"OK",TA!$AK:$AK,Tavoitteet!$Y$5,TA!E:E,"-1")</f>
        <v>0</v>
      </c>
      <c r="AN59" s="651" t="str">
        <f t="shared" si="20"/>
        <v>-</v>
      </c>
      <c r="AO59" s="202">
        <f>COUNTIFS(TA!$AF:$AF,"ok",TA!$Y:$Y,Tavoitteet!$X$20,TA!$AI:$AI,Tavoitteet!$W$7,TA!$AJ:$AJ,"OK",TA!$AK:$AK,Tavoitteet!$Y$5,TA!E:E,"-1")</f>
        <v>0</v>
      </c>
      <c r="AP59" s="651" t="str">
        <f t="shared" si="21"/>
        <v>-</v>
      </c>
      <c r="AQ59" s="648">
        <f>AM59+AO59</f>
        <v>0</v>
      </c>
      <c r="AR59" s="649" t="str">
        <f t="shared" si="16"/>
        <v>-</v>
      </c>
      <c r="AS59" s="637"/>
      <c r="AT59" s="638"/>
      <c r="AU59" s="638"/>
      <c r="AV59" s="638"/>
      <c r="AW59" s="639"/>
    </row>
    <row r="60" spans="1:49" x14ac:dyDescent="0.25">
      <c r="A60" s="1124" t="s">
        <v>1366</v>
      </c>
      <c r="B60" s="1125"/>
      <c r="C60" s="202">
        <f>COUNTIFS(TA!$AF:$AF,"ok",TA!$L:$L,Tavoitteet!$X$19,TA!$AI:$AI,Tavoitteet!$W$7,TA!$AJ:$AJ,"OK",TA!$AK:$AK,Tavoitteet!$Y$5,TA!$AG:$AG,Tavoitteet!$X$8,TA!E:E,"-1")</f>
        <v>0</v>
      </c>
      <c r="D60" s="651" t="str">
        <f t="shared" si="17"/>
        <v>-</v>
      </c>
      <c r="E60" s="202">
        <f>COUNTIFS(TA!$AF:$AF,"ok",TA!$L:$L,Tavoitteet!$X$20,TA!$AI:$AI,Tavoitteet!$W$7,TA!$AJ:$AJ,"OK",TA!$AK:$AK,Tavoitteet!$Y$5,TA!$AG:$AG,Tavoitteet!$X$8,TA!E:E,"-1")</f>
        <v>0</v>
      </c>
      <c r="F60" s="651" t="str">
        <f t="shared" si="18"/>
        <v>-</v>
      </c>
      <c r="G60" s="648">
        <f t="shared" ref="G60:G65" si="22">C60+E60</f>
        <v>0</v>
      </c>
      <c r="H60" s="649" t="str">
        <f t="shared" si="15"/>
        <v>-</v>
      </c>
      <c r="I60" s="637"/>
      <c r="J60" s="638"/>
      <c r="K60" s="638"/>
      <c r="L60" s="638"/>
      <c r="M60" s="639"/>
      <c r="AK60" s="1124" t="s">
        <v>1366</v>
      </c>
      <c r="AL60" s="1125"/>
      <c r="AM60" s="202">
        <f>COUNTIFS(TA!$AF:$AF,"ok",TA!$L:$L,Tavoitteet!$X$19,TA!$AI:$AI,Tavoitteet!$W$7,TA!$AJ:$AJ,"OK",TA!$AK:$AK,Tavoitteet!$Y$5,TA!E:E,"-1")</f>
        <v>0</v>
      </c>
      <c r="AN60" s="651" t="str">
        <f t="shared" si="20"/>
        <v>-</v>
      </c>
      <c r="AO60" s="202">
        <f>COUNTIFS(TA!$AF:$AF,"ok",TA!$L:$L,Tavoitteet!$X$20,TA!$AI:$AI,Tavoitteet!$W$7,TA!$AJ:$AJ,"OK",TA!$AK:$AK,Tavoitteet!$Y$5,TA!E:E,"-1")</f>
        <v>0</v>
      </c>
      <c r="AP60" s="651" t="str">
        <f t="shared" si="21"/>
        <v>-</v>
      </c>
      <c r="AQ60" s="648">
        <f t="shared" ref="AQ60:AQ65" si="23">AM60+AO60</f>
        <v>0</v>
      </c>
      <c r="AR60" s="649" t="str">
        <f t="shared" si="16"/>
        <v>-</v>
      </c>
      <c r="AS60" s="637"/>
      <c r="AT60" s="638"/>
      <c r="AU60" s="638"/>
      <c r="AV60" s="638"/>
      <c r="AW60" s="639"/>
    </row>
    <row r="61" spans="1:49" x14ac:dyDescent="0.25">
      <c r="A61" s="1124" t="s">
        <v>1369</v>
      </c>
      <c r="B61" s="1125"/>
      <c r="C61" s="202">
        <f>COUNTIFS(TA!$AF:$AF,"ok",TA!$N:$N,Tavoitteet!$X$19,TA!$AI:$AI,Tavoitteet!$W$7,TA!$AJ:$AJ,"OK",TA!$AK:$AK,Tavoitteet!$Y$5,TA!$AG:$AG,Tavoitteet!$X$8,TA!E:E,"-1")</f>
        <v>0</v>
      </c>
      <c r="D61" s="651" t="str">
        <f t="shared" si="17"/>
        <v>-</v>
      </c>
      <c r="E61" s="202">
        <f>COUNTIFS(TA!$AF:$AF,"ok",TA!$N:$N,Tavoitteet!$X$20,TA!$AI:$AI,Tavoitteet!$W$7,TA!$AJ:$AJ,"OK",TA!$AK:$AK,Tavoitteet!$Y$5,TA!$AG:$AG,Tavoitteet!$X$8,TA!E:E,"-1")</f>
        <v>0</v>
      </c>
      <c r="F61" s="651" t="str">
        <f t="shared" si="18"/>
        <v>-</v>
      </c>
      <c r="G61" s="648">
        <f t="shared" si="22"/>
        <v>0</v>
      </c>
      <c r="H61" s="649" t="str">
        <f t="shared" si="15"/>
        <v>-</v>
      </c>
      <c r="I61" s="637"/>
      <c r="J61" s="638"/>
      <c r="K61" s="638"/>
      <c r="L61" s="638"/>
      <c r="M61" s="639"/>
      <c r="AK61" s="1124" t="s">
        <v>1369</v>
      </c>
      <c r="AL61" s="1125"/>
      <c r="AM61" s="202">
        <f>COUNTIFS(TA!$AF:$AF,"ok",TA!$N:$N,Tavoitteet!$X$19,TA!$AI:$AI,Tavoitteet!$W$7,TA!$AJ:$AJ,"OK",TA!$AK:$AK,Tavoitteet!$Y$5,TA!E:E,"-1")</f>
        <v>0</v>
      </c>
      <c r="AN61" s="651" t="str">
        <f t="shared" si="20"/>
        <v>-</v>
      </c>
      <c r="AO61" s="202">
        <f>COUNTIFS(TA!$AF:$AF,"ok",TA!$N:$N,Tavoitteet!$X$20,TA!$AI:$AI,Tavoitteet!$W$7,TA!$AJ:$AJ,"OK",TA!$AK:$AK,Tavoitteet!$Y$5,TA!E:E,"-1")</f>
        <v>0</v>
      </c>
      <c r="AP61" s="651" t="str">
        <f t="shared" si="21"/>
        <v>-</v>
      </c>
      <c r="AQ61" s="648">
        <f t="shared" si="23"/>
        <v>0</v>
      </c>
      <c r="AR61" s="649" t="str">
        <f t="shared" si="16"/>
        <v>-</v>
      </c>
      <c r="AS61" s="637"/>
      <c r="AT61" s="638"/>
      <c r="AU61" s="638"/>
      <c r="AV61" s="638"/>
      <c r="AW61" s="639"/>
    </row>
    <row r="62" spans="1:49" x14ac:dyDescent="0.25">
      <c r="A62" s="1130" t="s">
        <v>1372</v>
      </c>
      <c r="B62" s="1131"/>
      <c r="C62" s="202">
        <f>COUNTIFS(TA!$AF:$AF,"ok",TA!$P:$P,Tavoitteet!$X$19,TA!$AI:$AI,Tavoitteet!$W$7,TA!$AJ:$AJ,"OK",TA!$AK:$AK,Tavoitteet!$Y$5,TA!$AG:$AG,Tavoitteet!$X$8,TA!E:E,"-1")</f>
        <v>0</v>
      </c>
      <c r="D62" s="651" t="str">
        <f t="shared" si="17"/>
        <v>-</v>
      </c>
      <c r="E62" s="202">
        <f>COUNTIFS(TA!$AF:$AF,"ok",TA!$P:$P,Tavoitteet!$X$20,TA!$AI:$AI,Tavoitteet!$W$7,TA!$AJ:$AJ,"OK",TA!$AK:$AK,Tavoitteet!$Y$5,TA!$AG:$AG,Tavoitteet!$X$8,TA!E:E,"-1")</f>
        <v>0</v>
      </c>
      <c r="F62" s="651" t="str">
        <f t="shared" si="18"/>
        <v>-</v>
      </c>
      <c r="G62" s="648">
        <f t="shared" si="22"/>
        <v>0</v>
      </c>
      <c r="H62" s="649" t="str">
        <f t="shared" si="15"/>
        <v>-</v>
      </c>
      <c r="I62" s="637"/>
      <c r="J62" s="638"/>
      <c r="K62" s="638"/>
      <c r="L62" s="638"/>
      <c r="M62" s="639"/>
      <c r="AK62" s="1130" t="s">
        <v>1372</v>
      </c>
      <c r="AL62" s="1131"/>
      <c r="AM62" s="202">
        <f>COUNTIFS(TA!$AF:$AF,"ok",TA!$P:$P,Tavoitteet!$X$19,TA!$AI:$AI,Tavoitteet!$W$7,TA!$AJ:$AJ,"OK",TA!$AK:$AK,Tavoitteet!$Y$5,TA!E:E,"-1")</f>
        <v>0</v>
      </c>
      <c r="AN62" s="651" t="str">
        <f t="shared" si="20"/>
        <v>-</v>
      </c>
      <c r="AO62" s="202">
        <f>COUNTIFS(TA!$AF:$AF,"ok",TA!$P:$P,Tavoitteet!$X$20,TA!$AI:$AI,Tavoitteet!$W$7,TA!$AJ:$AJ,"OK",TA!$AK:$AK,Tavoitteet!$Y$5,TA!E:E,"-1")</f>
        <v>0</v>
      </c>
      <c r="AP62" s="651" t="str">
        <f t="shared" si="21"/>
        <v>-</v>
      </c>
      <c r="AQ62" s="648">
        <f t="shared" si="23"/>
        <v>0</v>
      </c>
      <c r="AR62" s="649" t="str">
        <f t="shared" si="16"/>
        <v>-</v>
      </c>
      <c r="AS62" s="637"/>
      <c r="AT62" s="638"/>
      <c r="AU62" s="638"/>
      <c r="AV62" s="638"/>
      <c r="AW62" s="639"/>
    </row>
    <row r="63" spans="1:49" x14ac:dyDescent="0.25">
      <c r="A63" s="1124" t="s">
        <v>1375</v>
      </c>
      <c r="B63" s="1125"/>
      <c r="C63" s="202">
        <f>COUNTIFS(TA!$AF:$AF,"ok",TA!$S:$S,Tavoitteet!$X$19,TA!$AI:$AI,Tavoitteet!$W$7,TA!$AJ:$AJ,"OK",TA!$AK:$AK,Tavoitteet!$Y$5,TA!$AG:$AG,Tavoitteet!$X$8,TA!E:E,"-1")</f>
        <v>0</v>
      </c>
      <c r="D63" s="651" t="str">
        <f t="shared" si="17"/>
        <v>-</v>
      </c>
      <c r="E63" s="202">
        <f>COUNTIFS(TA!$AF:$AF,"ok",TA!$S:$S,Tavoitteet!$X$20,TA!$AI:$AI,Tavoitteet!$W$7,TA!$AJ:$AJ,"OK",TA!$AK:$AK,Tavoitteet!$Y$5,TA!$AG:$AG,Tavoitteet!$X$8,TA!E:E,"-1")</f>
        <v>0</v>
      </c>
      <c r="F63" s="651" t="str">
        <f t="shared" si="18"/>
        <v>-</v>
      </c>
      <c r="G63" s="648">
        <f t="shared" si="22"/>
        <v>0</v>
      </c>
      <c r="H63" s="649" t="str">
        <f t="shared" si="15"/>
        <v>-</v>
      </c>
      <c r="I63" s="637"/>
      <c r="J63" s="638"/>
      <c r="K63" s="638"/>
      <c r="L63" s="638"/>
      <c r="M63" s="639"/>
      <c r="AK63" s="1124" t="s">
        <v>1375</v>
      </c>
      <c r="AL63" s="1125"/>
      <c r="AM63" s="202">
        <f>COUNTIFS(TA!$AF:$AF,"ok",TA!$S:$S,Tavoitteet!$X$19,TA!$AI:$AI,Tavoitteet!$W$7,TA!$AJ:$AJ,"OK",TA!$AK:$AK,Tavoitteet!$Y$5,TA!E:E,"-1")</f>
        <v>0</v>
      </c>
      <c r="AN63" s="651" t="str">
        <f t="shared" si="20"/>
        <v>-</v>
      </c>
      <c r="AO63" s="202">
        <f>COUNTIFS(TA!$AF:$AF,"ok",TA!$S:$S,Tavoitteet!$X$20,TA!$AI:$AI,Tavoitteet!$W$7,TA!$AJ:$AJ,"OK",TA!$AK:$AK,Tavoitteet!$Y$5,TA!E:E,"-1")</f>
        <v>0</v>
      </c>
      <c r="AP63" s="651" t="str">
        <f t="shared" si="21"/>
        <v>-</v>
      </c>
      <c r="AQ63" s="648">
        <f t="shared" si="23"/>
        <v>0</v>
      </c>
      <c r="AR63" s="649" t="str">
        <f t="shared" si="16"/>
        <v>-</v>
      </c>
      <c r="AS63" s="637"/>
      <c r="AT63" s="638"/>
      <c r="AU63" s="638"/>
      <c r="AV63" s="638"/>
      <c r="AW63" s="639"/>
    </row>
    <row r="64" spans="1:49" x14ac:dyDescent="0.25">
      <c r="A64" s="1124" t="s">
        <v>1378</v>
      </c>
      <c r="B64" s="1125"/>
      <c r="C64" s="202">
        <f>COUNTIFS(TA!$AF:$AF,"ok",TA!$T:$T,Tavoitteet!$X$19,TA!$AI:$AI,Tavoitteet!$W$7,TA!$AJ:$AJ,"OK",TA!$AK:$AK,Tavoitteet!$Y$5,TA!$AG:$AG,Tavoitteet!$X$8,TA!E:E,"-1")</f>
        <v>0</v>
      </c>
      <c r="D64" s="651" t="str">
        <f t="shared" si="17"/>
        <v>-</v>
      </c>
      <c r="E64" s="202">
        <f>COUNTIFS(TA!$AF:$AF,"ok",TA!$T:$T,Tavoitteet!$X$20,TA!$AI:$AI,Tavoitteet!$W$7,TA!$AJ:$AJ,"OK",TA!$AK:$AK,Tavoitteet!$Y$5,TA!$AG:$AG,Tavoitteet!$X$8,TA!E:E,"-1")</f>
        <v>0</v>
      </c>
      <c r="F64" s="651" t="str">
        <f t="shared" si="18"/>
        <v>-</v>
      </c>
      <c r="G64" s="648">
        <f t="shared" si="22"/>
        <v>0</v>
      </c>
      <c r="H64" s="649" t="str">
        <f t="shared" si="15"/>
        <v>-</v>
      </c>
      <c r="I64" s="637"/>
      <c r="J64" s="638"/>
      <c r="K64" s="638"/>
      <c r="L64" s="638"/>
      <c r="M64" s="639"/>
      <c r="AK64" s="1124" t="s">
        <v>1378</v>
      </c>
      <c r="AL64" s="1125"/>
      <c r="AM64" s="202">
        <f>COUNTIFS(TA!$AF:$AF,"ok",TA!$T:$T,Tavoitteet!$X$19,TA!$AI:$AI,Tavoitteet!$W$7,TA!$AJ:$AJ,"OK",TA!$AK:$AK,Tavoitteet!$Y$5,TA!E:E,"-1")</f>
        <v>0</v>
      </c>
      <c r="AN64" s="651" t="str">
        <f t="shared" si="20"/>
        <v>-</v>
      </c>
      <c r="AO64" s="202">
        <f>COUNTIFS(TA!$AF:$AF,"ok",TA!$T:$T,Tavoitteet!$X$20,TA!$AI:$AI,Tavoitteet!$W$7,TA!$AJ:$AJ,"OK",TA!$AK:$AK,Tavoitteet!$Y$5,TA!E:E,"-1")</f>
        <v>0</v>
      </c>
      <c r="AP64" s="651" t="str">
        <f t="shared" si="21"/>
        <v>-</v>
      </c>
      <c r="AQ64" s="648">
        <f t="shared" si="23"/>
        <v>0</v>
      </c>
      <c r="AR64" s="649" t="str">
        <f t="shared" si="16"/>
        <v>-</v>
      </c>
      <c r="AS64" s="637"/>
      <c r="AT64" s="638"/>
      <c r="AU64" s="638"/>
      <c r="AV64" s="638"/>
      <c r="AW64" s="639"/>
    </row>
    <row r="65" spans="1:50" x14ac:dyDescent="0.25">
      <c r="A65" s="1124" t="s">
        <v>1381</v>
      </c>
      <c r="B65" s="1125"/>
      <c r="C65" s="202">
        <f>COUNTIFS(TA!$AF:$AF,"ok",TA!$U:$U,Tavoitteet!$X$19,TA!$AI:$AI,Tavoitteet!$W$7,TA!$AJ:$AJ,"OK",TA!$AK:$AK,Tavoitteet!$Y$5,TA!$AG:$AG,Tavoitteet!$X$8,TA!E:E,"-1")</f>
        <v>0</v>
      </c>
      <c r="D65" s="651" t="str">
        <f>IFERROR(C65/$X$57,"-")</f>
        <v>-</v>
      </c>
      <c r="E65" s="202">
        <f>COUNTIFS(TA!$AF:$AF,"ok",TA!$U:$U,Tavoitteet!$X$20,TA!$AI:$AI,Tavoitteet!$W$7,TA!$AJ:$AJ,"OK",TA!$AK:$AK,Tavoitteet!$Y$5,TA!$AG:$AG,Tavoitteet!$X$8,TA!E:E,"-1")</f>
        <v>0</v>
      </c>
      <c r="F65" s="651" t="str">
        <f t="shared" si="18"/>
        <v>-</v>
      </c>
      <c r="G65" s="648">
        <f t="shared" si="22"/>
        <v>0</v>
      </c>
      <c r="H65" s="649" t="str">
        <f t="shared" si="15"/>
        <v>-</v>
      </c>
      <c r="I65" s="637"/>
      <c r="J65" s="638"/>
      <c r="K65" s="638"/>
      <c r="L65" s="638"/>
      <c r="M65" s="639"/>
      <c r="AK65" s="1124" t="s">
        <v>1381</v>
      </c>
      <c r="AL65" s="1125"/>
      <c r="AM65" s="202">
        <f>COUNTIFS(TA!$AF:$AF,"ok",TA!$U:$U,Tavoitteet!$X$19,TA!$AI:$AI,Tavoitteet!$W$7,TA!$AJ:$AJ,"OK",TA!$AK:$AK,Tavoitteet!$Y$5,TA!E:E,"-1")</f>
        <v>0</v>
      </c>
      <c r="AN65" s="651" t="str">
        <f t="shared" si="20"/>
        <v>-</v>
      </c>
      <c r="AO65" s="202">
        <f>COUNTIFS(TA!$AF:$AF,"ok",TA!$U:$U,Tavoitteet!$X$20,TA!$AI:$AI,Tavoitteet!$W$7,TA!$AJ:$AJ,"OK",TA!$AK:$AK,Tavoitteet!$Y$5,TA!E:E,"-1")</f>
        <v>0</v>
      </c>
      <c r="AP65" s="651" t="str">
        <f t="shared" si="21"/>
        <v>-</v>
      </c>
      <c r="AQ65" s="648">
        <f t="shared" si="23"/>
        <v>0</v>
      </c>
      <c r="AR65" s="649" t="str">
        <f t="shared" si="16"/>
        <v>-</v>
      </c>
      <c r="AS65" s="637"/>
      <c r="AT65" s="638"/>
      <c r="AU65" s="638"/>
      <c r="AV65" s="638"/>
      <c r="AW65" s="639"/>
    </row>
    <row r="66" spans="1:50" x14ac:dyDescent="0.25">
      <c r="A66" s="1117" t="s">
        <v>1382</v>
      </c>
      <c r="B66" s="1118"/>
      <c r="C66" s="880">
        <f>AVERAGE(C56:C65)</f>
        <v>0</v>
      </c>
      <c r="D66" s="881" t="str">
        <f>IFERROR(AVERAGE(D56:D65),"")</f>
        <v/>
      </c>
      <c r="E66" s="882">
        <f>AVERAGE(E56:E65)</f>
        <v>0</v>
      </c>
      <c r="F66" s="883" t="str">
        <f>IFERROR(AVERAGE(F56:F65),"")</f>
        <v/>
      </c>
      <c r="G66" s="884">
        <f>AVERAGE(G56:G65)</f>
        <v>0</v>
      </c>
      <c r="H66" s="885" t="str">
        <f>IFERROR(AVERAGE(H56:H65),"")</f>
        <v/>
      </c>
      <c r="I66" s="640" t="s">
        <v>1383</v>
      </c>
      <c r="AK66" s="1117" t="s">
        <v>1382</v>
      </c>
      <c r="AL66" s="1118"/>
      <c r="AM66" s="880">
        <f>AVERAGE(AM56:AM65)</f>
        <v>0</v>
      </c>
      <c r="AN66" s="881" t="str">
        <f>IFERROR(AVERAGE(AN56:AN65),"")</f>
        <v/>
      </c>
      <c r="AO66" s="882">
        <f>AVERAGE(AO56:AO65)</f>
        <v>0</v>
      </c>
      <c r="AP66" s="883" t="str">
        <f>IFERROR(AVERAGE(AP56:AP65),"")</f>
        <v/>
      </c>
      <c r="AQ66" s="884">
        <f>AVERAGE(AQ56:AQ65)</f>
        <v>0</v>
      </c>
      <c r="AR66" s="885" t="str">
        <f>IFERROR(AVERAGE(AR56:AR65),"")</f>
        <v/>
      </c>
      <c r="AS66" s="640" t="s">
        <v>1384</v>
      </c>
    </row>
    <row r="67" spans="1:50" x14ac:dyDescent="0.25">
      <c r="A67" s="1117" t="s">
        <v>1385</v>
      </c>
      <c r="B67" s="1118"/>
      <c r="C67" s="880">
        <f>SUM(C56:C65)</f>
        <v>0</v>
      </c>
      <c r="E67" s="882">
        <f>SUM(E56:E65)</f>
        <v>0</v>
      </c>
      <c r="G67" s="884">
        <f>SUM(G56:G65)</f>
        <v>0</v>
      </c>
      <c r="I67" s="640" t="s">
        <v>1399</v>
      </c>
      <c r="AK67" s="1117" t="s">
        <v>1385</v>
      </c>
      <c r="AL67" s="1118"/>
      <c r="AM67" s="880">
        <f>SUM(AM56:AM65)</f>
        <v>0</v>
      </c>
      <c r="AO67" s="882">
        <f>SUM(AO56:AO65)</f>
        <v>0</v>
      </c>
      <c r="AQ67" s="884">
        <f>SUM(AQ56:AQ65)</f>
        <v>0</v>
      </c>
      <c r="AS67" s="640" t="s">
        <v>1399</v>
      </c>
    </row>
    <row r="69" spans="1:50" x14ac:dyDescent="0.25">
      <c r="A69" s="168"/>
      <c r="B69" s="168"/>
      <c r="C69" s="168"/>
      <c r="D69" s="168"/>
      <c r="E69" s="168"/>
      <c r="F69" s="168"/>
      <c r="G69" s="168"/>
      <c r="H69" s="168"/>
      <c r="I69" s="168"/>
      <c r="J69" s="168"/>
      <c r="K69" s="168"/>
      <c r="L69" s="168"/>
      <c r="M69" s="168"/>
      <c r="N69" s="168"/>
      <c r="AI69" s="168"/>
      <c r="AJ69" s="814"/>
      <c r="AK69" s="814"/>
      <c r="AL69" s="814"/>
      <c r="AM69" s="814"/>
      <c r="AN69" s="814"/>
      <c r="AO69" s="814"/>
      <c r="AP69" s="814"/>
      <c r="AQ69" s="814"/>
      <c r="AR69" s="814"/>
      <c r="AS69" s="814"/>
      <c r="AT69" s="814"/>
      <c r="AU69" s="814"/>
      <c r="AV69" s="814"/>
      <c r="AW69" s="814"/>
      <c r="AX69" s="814"/>
    </row>
    <row r="70" spans="1:50" ht="12.75" customHeight="1" x14ac:dyDescent="0.25">
      <c r="A70" s="168"/>
      <c r="B70" s="168"/>
      <c r="C70" s="168"/>
      <c r="D70" s="168"/>
      <c r="E70" s="168"/>
      <c r="F70" s="168"/>
      <c r="G70" s="168"/>
      <c r="H70" s="168"/>
      <c r="I70" s="168"/>
      <c r="J70" s="168"/>
      <c r="K70" s="168"/>
      <c r="L70" s="168"/>
      <c r="M70" s="168"/>
      <c r="N70" s="168"/>
      <c r="AI70" s="168"/>
      <c r="AJ70" s="814"/>
      <c r="AK70" s="814"/>
      <c r="AL70" s="814"/>
      <c r="AM70" s="814"/>
      <c r="AN70" s="814"/>
      <c r="AO70" s="814"/>
      <c r="AP70" s="814"/>
      <c r="AQ70" s="814"/>
      <c r="AR70" s="814"/>
      <c r="AS70" s="814"/>
      <c r="AT70" s="814"/>
      <c r="AU70" s="814"/>
      <c r="AV70" s="814"/>
      <c r="AW70" s="814"/>
      <c r="AX70" s="814"/>
    </row>
    <row r="71" spans="1:50" ht="15" customHeight="1" x14ac:dyDescent="0.25"/>
    <row r="72" spans="1:50" ht="13.5" customHeight="1" x14ac:dyDescent="0.25"/>
    <row r="73" spans="1:50" x14ac:dyDescent="0.25">
      <c r="V73" s="228"/>
    </row>
    <row r="74" spans="1:50" x14ac:dyDescent="0.25">
      <c r="V74" s="428"/>
    </row>
    <row r="98" ht="30.75" customHeight="1" x14ac:dyDescent="0.25"/>
    <row r="99" ht="15" customHeight="1" x14ac:dyDescent="0.25"/>
    <row r="117" ht="15" customHeight="1" x14ac:dyDescent="0.25"/>
  </sheetData>
  <sheetProtection sheet="1" objects="1" scenarios="1"/>
  <mergeCells count="122">
    <mergeCell ref="B8:G8"/>
    <mergeCell ref="B12:C12"/>
    <mergeCell ref="B9:C10"/>
    <mergeCell ref="D9:E9"/>
    <mergeCell ref="F9:G9"/>
    <mergeCell ref="B11:C11"/>
    <mergeCell ref="B13:C13"/>
    <mergeCell ref="A18:K18"/>
    <mergeCell ref="A19:B20"/>
    <mergeCell ref="C19:D19"/>
    <mergeCell ref="G19:K20"/>
    <mergeCell ref="A25:B25"/>
    <mergeCell ref="A26:B26"/>
    <mergeCell ref="A27:B27"/>
    <mergeCell ref="A43:B43"/>
    <mergeCell ref="A28:B28"/>
    <mergeCell ref="A29:B29"/>
    <mergeCell ref="A30:B30"/>
    <mergeCell ref="A34:K34"/>
    <mergeCell ref="A35:B37"/>
    <mergeCell ref="C35:D35"/>
    <mergeCell ref="E35:F35"/>
    <mergeCell ref="G35:H35"/>
    <mergeCell ref="C36:D36"/>
    <mergeCell ref="E36:F36"/>
    <mergeCell ref="G36:H36"/>
    <mergeCell ref="A38:B38"/>
    <mergeCell ref="A39:B39"/>
    <mergeCell ref="A40:B40"/>
    <mergeCell ref="A42:B42"/>
    <mergeCell ref="A31:B31"/>
    <mergeCell ref="A32:B32"/>
    <mergeCell ref="AL8:AQ8"/>
    <mergeCell ref="A63:B63"/>
    <mergeCell ref="A64:B64"/>
    <mergeCell ref="A65:B65"/>
    <mergeCell ref="A56:B56"/>
    <mergeCell ref="A57:B57"/>
    <mergeCell ref="A58:B58"/>
    <mergeCell ref="A60:B60"/>
    <mergeCell ref="A61:B61"/>
    <mergeCell ref="A62:B62"/>
    <mergeCell ref="I54:M54"/>
    <mergeCell ref="A44:B44"/>
    <mergeCell ref="A45:B45"/>
    <mergeCell ref="A46:B46"/>
    <mergeCell ref="A47:B47"/>
    <mergeCell ref="A52:K52"/>
    <mergeCell ref="A53:B55"/>
    <mergeCell ref="C53:D53"/>
    <mergeCell ref="E53:F53"/>
    <mergeCell ref="C54:D54"/>
    <mergeCell ref="E54:F54"/>
    <mergeCell ref="A21:B21"/>
    <mergeCell ref="A22:B22"/>
    <mergeCell ref="A23:B23"/>
    <mergeCell ref="AK31:AL31"/>
    <mergeCell ref="AK32:AL32"/>
    <mergeCell ref="AL9:AM10"/>
    <mergeCell ref="AN9:AO9"/>
    <mergeCell ref="AP9:AQ9"/>
    <mergeCell ref="AL11:AM11"/>
    <mergeCell ref="AL12:AM12"/>
    <mergeCell ref="AL13:AM13"/>
    <mergeCell ref="AK18:AU18"/>
    <mergeCell ref="AK19:AL20"/>
    <mergeCell ref="AM19:AN19"/>
    <mergeCell ref="AQ19:AU20"/>
    <mergeCell ref="AK21:AL21"/>
    <mergeCell ref="AK22:AL22"/>
    <mergeCell ref="AK23:AL23"/>
    <mergeCell ref="AK25:AL25"/>
    <mergeCell ref="AK26:AL26"/>
    <mergeCell ref="AK27:AL27"/>
    <mergeCell ref="AK28:AL28"/>
    <mergeCell ref="AK29:AL29"/>
    <mergeCell ref="AK30:AL30"/>
    <mergeCell ref="AS54:AW54"/>
    <mergeCell ref="AK56:AL56"/>
    <mergeCell ref="AK57:AL57"/>
    <mergeCell ref="AK58:AL58"/>
    <mergeCell ref="AK39:AL39"/>
    <mergeCell ref="AK40:AL40"/>
    <mergeCell ref="AK42:AL42"/>
    <mergeCell ref="AK43:AL43"/>
    <mergeCell ref="AK44:AL44"/>
    <mergeCell ref="AK45:AL45"/>
    <mergeCell ref="AK46:AL46"/>
    <mergeCell ref="AK47:AL47"/>
    <mergeCell ref="AK52:AU52"/>
    <mergeCell ref="AK34:AU34"/>
    <mergeCell ref="AK35:AL37"/>
    <mergeCell ref="AM35:AN35"/>
    <mergeCell ref="AO35:AP35"/>
    <mergeCell ref="AQ35:AR35"/>
    <mergeCell ref="AM36:AN36"/>
    <mergeCell ref="AO36:AP36"/>
    <mergeCell ref="AQ36:AR36"/>
    <mergeCell ref="AK38:AL38"/>
    <mergeCell ref="A66:B66"/>
    <mergeCell ref="A67:B67"/>
    <mergeCell ref="AK66:AL66"/>
    <mergeCell ref="AK67:AL67"/>
    <mergeCell ref="AK48:AL48"/>
    <mergeCell ref="AK49:AL49"/>
    <mergeCell ref="G53:H53"/>
    <mergeCell ref="G54:H54"/>
    <mergeCell ref="AQ53:AR53"/>
    <mergeCell ref="AQ54:AR54"/>
    <mergeCell ref="AK63:AL63"/>
    <mergeCell ref="AK64:AL64"/>
    <mergeCell ref="AK65:AL65"/>
    <mergeCell ref="AM53:AN53"/>
    <mergeCell ref="AO53:AP53"/>
    <mergeCell ref="AM54:AN54"/>
    <mergeCell ref="AO54:AP54"/>
    <mergeCell ref="A48:B48"/>
    <mergeCell ref="A49:B49"/>
    <mergeCell ref="AK60:AL60"/>
    <mergeCell ref="AK61:AL61"/>
    <mergeCell ref="AK62:AL62"/>
    <mergeCell ref="AK53:AL55"/>
  </mergeCells>
  <dataValidations count="1">
    <dataValidation type="date" allowBlank="1" showInputMessage="1" showErrorMessage="1" error="Kirjoita päivämäärä muodossa _x000a_pp.kk.vvvv_x000a__x000a_Päivämäärän on oltava _x000a_suurempi kuin 01.01.2008 ja _x000a_pienempi kuin 31.12.2020" sqref="A1:A3" xr:uid="{64FF9014-4DDD-47BA-8DD8-5811A3A739C4}">
      <formula1>36526</formula1>
      <formula2>55153</formula2>
    </dataValidation>
  </dataValidations>
  <pageMargins left="0.70866141732283472" right="0.70866141732283472" top="0.74803149606299213" bottom="0.83333333333333337" header="0" footer="0"/>
  <pageSetup paperSize="9" scale="80" orientation="landscape" horizontalDpi="300" r:id="rId1"/>
  <headerFooter>
    <oddFooter>&amp;L 
PAR työpaja
osoitettie
0100, paikka&amp;C&amp;G&amp;R&amp;P/&amp;N</oddFooter>
  </headerFooter>
  <rowBreaks count="1" manualBreakCount="1">
    <brk id="32"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ul1"/>
  <dimension ref="A1:A17"/>
  <sheetViews>
    <sheetView showGridLines="0" workbookViewId="0">
      <selection activeCell="A5" sqref="A5"/>
    </sheetView>
  </sheetViews>
  <sheetFormatPr defaultRowHeight="15" x14ac:dyDescent="0.25"/>
  <cols>
    <col min="1" max="1" width="94" customWidth="1"/>
  </cols>
  <sheetData>
    <row r="1" spans="1:1" x14ac:dyDescent="0.25">
      <c r="A1" t="s">
        <v>1873</v>
      </c>
    </row>
    <row r="7" spans="1:1" x14ac:dyDescent="0.25">
      <c r="A7" s="66" t="s">
        <v>1403</v>
      </c>
    </row>
    <row r="8" spans="1:1" ht="45" x14ac:dyDescent="0.25">
      <c r="A8" s="71" t="s">
        <v>1404</v>
      </c>
    </row>
    <row r="10" spans="1:1" x14ac:dyDescent="0.25">
      <c r="A10" s="66" t="s">
        <v>1405</v>
      </c>
    </row>
    <row r="11" spans="1:1" x14ac:dyDescent="0.25">
      <c r="A11" s="71" t="s">
        <v>1406</v>
      </c>
    </row>
    <row r="13" spans="1:1" x14ac:dyDescent="0.25">
      <c r="A13" s="66" t="s">
        <v>1407</v>
      </c>
    </row>
    <row r="14" spans="1:1" ht="90" x14ac:dyDescent="0.25">
      <c r="A14" s="71" t="s">
        <v>1408</v>
      </c>
    </row>
    <row r="16" spans="1:1" x14ac:dyDescent="0.25">
      <c r="A16" s="66" t="s">
        <v>1409</v>
      </c>
    </row>
    <row r="17" spans="1:1" ht="75" x14ac:dyDescent="0.25">
      <c r="A17" s="71" t="s">
        <v>1410</v>
      </c>
    </row>
  </sheetData>
  <sheetProtection sheet="1" objects="1" scenarios="1"/>
  <pageMargins left="0.7" right="0.7" top="0.75" bottom="0.83333333333333337" header="0" footer="0"/>
  <pageSetup paperSize="9" orientation="portrait" r:id="rId1"/>
  <headerFooter>
    <oddFooter>&amp;L 
PAR työpaja
osoitettie
0100, paikka&amp;C&amp;G&amp;R&amp;P/&amp;N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F5E94-09AC-40C0-85D3-84EAAA890743}">
  <sheetPr codeName="Taul18"/>
  <dimension ref="A1:U2"/>
  <sheetViews>
    <sheetView workbookViewId="0">
      <selection activeCell="E26" sqref="E26"/>
    </sheetView>
  </sheetViews>
  <sheetFormatPr defaultRowHeight="15" x14ac:dyDescent="0.25"/>
  <sheetData>
    <row r="1" spans="1:21" x14ac:dyDescent="0.25">
      <c r="A1" s="78" t="s">
        <v>1411</v>
      </c>
      <c r="B1" s="78" t="s">
        <v>1411</v>
      </c>
      <c r="C1" s="78" t="s">
        <v>1411</v>
      </c>
      <c r="D1" s="78" t="s">
        <v>1411</v>
      </c>
      <c r="E1" s="78" t="s">
        <v>1412</v>
      </c>
      <c r="F1" s="78" t="s">
        <v>1412</v>
      </c>
      <c r="G1" s="78" t="s">
        <v>1413</v>
      </c>
      <c r="H1" s="78" t="s">
        <v>1413</v>
      </c>
      <c r="I1" s="78" t="s">
        <v>1413</v>
      </c>
      <c r="J1" s="78" t="s">
        <v>1413</v>
      </c>
      <c r="K1" s="78" t="s">
        <v>1413</v>
      </c>
      <c r="L1" s="78" t="s">
        <v>1414</v>
      </c>
      <c r="M1" s="78" t="s">
        <v>1414</v>
      </c>
      <c r="N1" s="78" t="s">
        <v>1414</v>
      </c>
      <c r="O1" s="78" t="s">
        <v>1414</v>
      </c>
      <c r="P1" s="78" t="s">
        <v>1414</v>
      </c>
      <c r="Q1" s="78" t="s">
        <v>1414</v>
      </c>
      <c r="R1" s="78" t="s">
        <v>1414</v>
      </c>
      <c r="S1" s="78" t="s">
        <v>1414</v>
      </c>
      <c r="T1" s="78" t="s">
        <v>1415</v>
      </c>
      <c r="U1" s="78" t="s">
        <v>1415</v>
      </c>
    </row>
    <row r="2" spans="1:21" x14ac:dyDescent="0.25">
      <c r="A2" s="79" t="s">
        <v>1416</v>
      </c>
      <c r="B2" s="79" t="s">
        <v>1417</v>
      </c>
      <c r="C2" s="79" t="s">
        <v>1418</v>
      </c>
      <c r="D2" s="79" t="s">
        <v>1419</v>
      </c>
      <c r="E2" s="79" t="s">
        <v>1420</v>
      </c>
      <c r="F2" s="79" t="s">
        <v>1421</v>
      </c>
      <c r="G2" s="79" t="s">
        <v>1422</v>
      </c>
      <c r="H2" s="79" t="s">
        <v>1423</v>
      </c>
      <c r="I2" s="79" t="s">
        <v>1424</v>
      </c>
      <c r="J2" s="79" t="s">
        <v>1425</v>
      </c>
      <c r="K2" s="79" t="s">
        <v>1426</v>
      </c>
      <c r="L2" s="79" t="s">
        <v>1427</v>
      </c>
      <c r="M2" s="79" t="s">
        <v>1428</v>
      </c>
      <c r="N2" s="79" t="s">
        <v>1429</v>
      </c>
      <c r="O2" s="79" t="s">
        <v>1430</v>
      </c>
      <c r="P2" s="79" t="s">
        <v>1431</v>
      </c>
      <c r="Q2" s="79" t="s">
        <v>1432</v>
      </c>
      <c r="R2" s="79" t="s">
        <v>1433</v>
      </c>
      <c r="S2" s="79" t="s">
        <v>1434</v>
      </c>
      <c r="T2" s="79" t="s">
        <v>1435</v>
      </c>
      <c r="U2" s="79" t="s">
        <v>1436</v>
      </c>
    </row>
  </sheetData>
  <pageMargins left="0.7" right="0.7" top="0.75" bottom="0.75" header="0.3" footer="0.3"/>
  <pageSetup paperSize="9" orientation="portrait" horizontalDpi="300" verticalDpi="0"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ul8">
    <tabColor rgb="FFFFC000"/>
  </sheetPr>
  <dimension ref="A1:CZ5"/>
  <sheetViews>
    <sheetView zoomScale="105" zoomScaleNormal="80" workbookViewId="0">
      <pane ySplit="2" topLeftCell="A3" activePane="bottomLeft" state="frozen"/>
      <selection activeCell="A6" sqref="A6:XFD197"/>
      <selection pane="bottomLeft" activeCell="A6" sqref="A6:XFD197"/>
    </sheetView>
  </sheetViews>
  <sheetFormatPr defaultRowHeight="15" x14ac:dyDescent="0.25"/>
  <cols>
    <col min="1" max="1" width="26.85546875" customWidth="1"/>
    <col min="2" max="2" width="16.140625" customWidth="1"/>
    <col min="3" max="3" width="36" bestFit="1" customWidth="1"/>
    <col min="4" max="4" width="11.140625" style="84" customWidth="1"/>
    <col min="5" max="5" width="8.5703125" customWidth="1"/>
    <col min="6" max="6" width="35.5703125" customWidth="1"/>
    <col min="7" max="7" width="28.7109375" bestFit="1" customWidth="1"/>
    <col min="8" max="9" width="12.140625" style="84" customWidth="1"/>
    <col min="10" max="10" width="40" bestFit="1" customWidth="1"/>
    <col min="11" max="11" width="36.5703125" style="228" bestFit="1" customWidth="1"/>
    <col min="12" max="12" width="8.5703125" customWidth="1"/>
    <col min="13" max="13" width="55.85546875" bestFit="1" customWidth="1"/>
    <col min="14" max="14" width="56" bestFit="1" customWidth="1"/>
    <col min="15" max="15" width="11.28515625" style="84" customWidth="1"/>
    <col min="16" max="17" width="10.85546875" style="84" customWidth="1"/>
    <col min="18" max="18" width="6.7109375" customWidth="1"/>
    <col min="19" max="19" width="88.42578125" bestFit="1" customWidth="1"/>
    <col min="20" max="20" width="13.5703125" customWidth="1"/>
    <col min="21" max="23" width="8.5703125" customWidth="1"/>
    <col min="24" max="24" width="8.5703125" style="177" customWidth="1"/>
    <col min="25" max="25" width="8.5703125" style="385" customWidth="1"/>
    <col min="26" max="26" width="8.5703125" style="177" customWidth="1"/>
    <col min="27" max="27" width="8.5703125" style="385" customWidth="1"/>
    <col min="28" max="28" width="8.5703125" customWidth="1"/>
    <col min="29" max="29" width="10.85546875" style="84" bestFit="1" customWidth="1"/>
    <col min="30" max="30" width="10.85546875" style="84" customWidth="1"/>
    <col min="31" max="31" width="10.85546875" bestFit="1" customWidth="1"/>
    <col min="32" max="32" width="10.7109375" customWidth="1"/>
    <col min="33" max="34" width="8.5703125" customWidth="1"/>
    <col min="35" max="35" width="27.28515625" customWidth="1"/>
    <col min="36" max="45" width="10" customWidth="1"/>
    <col min="46" max="46" width="21" customWidth="1"/>
    <col min="47" max="48" width="11.42578125" customWidth="1"/>
    <col min="49" max="49" width="36" style="228" bestFit="1" customWidth="1"/>
    <col min="50" max="50" width="20.85546875" style="177" customWidth="1"/>
    <col min="51" max="51" width="66.28515625" style="177" bestFit="1" customWidth="1"/>
    <col min="53" max="53" width="55.85546875" bestFit="1" customWidth="1"/>
    <col min="54" max="54" width="36.28515625" bestFit="1" customWidth="1"/>
    <col min="55" max="55" width="11.28515625" customWidth="1"/>
    <col min="56" max="56" width="12" bestFit="1" customWidth="1"/>
    <col min="57" max="57" width="44.5703125" bestFit="1" customWidth="1"/>
    <col min="59" max="59" width="9.140625" style="385"/>
    <col min="60" max="60" width="11.28515625" style="385" customWidth="1"/>
    <col min="64" max="64" width="12.28515625" style="80" customWidth="1"/>
    <col min="65" max="65" width="11.5703125" style="80" customWidth="1"/>
    <col min="66" max="66" width="14.140625" customWidth="1"/>
    <col min="67" max="67" width="12" style="80" bestFit="1" customWidth="1"/>
    <col min="68" max="68" width="12.140625" customWidth="1"/>
    <col min="77" max="80" width="12" bestFit="1" customWidth="1"/>
    <col min="81" max="85" width="12.7109375" customWidth="1"/>
    <col min="86" max="86" width="13" bestFit="1" customWidth="1"/>
    <col min="87" max="87" width="12" bestFit="1" customWidth="1"/>
    <col min="88" max="88" width="12" style="499" bestFit="1" customWidth="1"/>
    <col min="89" max="89" width="12.140625" customWidth="1"/>
    <col min="98" max="100" width="12" bestFit="1" customWidth="1"/>
    <col min="101" max="101" width="11.85546875" customWidth="1"/>
    <col min="102" max="102" width="15.140625" customWidth="1"/>
    <col min="103" max="103" width="13.42578125" customWidth="1"/>
  </cols>
  <sheetData>
    <row r="1" spans="1:104" x14ac:dyDescent="0.25">
      <c r="D1" s="214" t="s">
        <v>1437</v>
      </c>
      <c r="F1" s="86" t="s">
        <v>35</v>
      </c>
      <c r="G1" s="86" t="s">
        <v>1438</v>
      </c>
      <c r="H1" s="214" t="s">
        <v>1437</v>
      </c>
      <c r="I1" s="214" t="s">
        <v>1437</v>
      </c>
      <c r="K1" s="228" t="s">
        <v>1439</v>
      </c>
      <c r="L1" s="85" t="s">
        <v>1440</v>
      </c>
      <c r="N1" t="s">
        <v>1441</v>
      </c>
      <c r="O1" s="214" t="s">
        <v>1437</v>
      </c>
      <c r="P1" s="214" t="s">
        <v>1437</v>
      </c>
      <c r="Q1" s="214" t="s">
        <v>1437</v>
      </c>
      <c r="V1" s="86"/>
      <c r="W1" s="302">
        <v>1</v>
      </c>
      <c r="AA1" s="387" t="s">
        <v>44</v>
      </c>
      <c r="AC1" s="120">
        <f>Asiakastilastot!$A$2</f>
        <v>46023</v>
      </c>
      <c r="AD1" s="120">
        <f>Asiakastilastot!$A$3</f>
        <v>46387</v>
      </c>
      <c r="AE1" s="301">
        <f>AC1-365</f>
        <v>45658</v>
      </c>
      <c r="AF1" s="301">
        <f>AC1-1</f>
        <v>46022</v>
      </c>
      <c r="AI1" s="81" t="s">
        <v>238</v>
      </c>
      <c r="AJ1" s="217" t="s">
        <v>1442</v>
      </c>
      <c r="AK1" s="217" t="s">
        <v>1442</v>
      </c>
      <c r="AL1" s="217" t="s">
        <v>1442</v>
      </c>
      <c r="AM1" s="217" t="s">
        <v>1442</v>
      </c>
      <c r="AN1" s="217" t="s">
        <v>1442</v>
      </c>
      <c r="AO1" s="217" t="s">
        <v>1443</v>
      </c>
      <c r="AP1" s="217" t="s">
        <v>1443</v>
      </c>
      <c r="AQ1" s="217" t="s">
        <v>1443</v>
      </c>
      <c r="AR1" s="217" t="s">
        <v>1443</v>
      </c>
      <c r="AS1" s="217" t="s">
        <v>1443</v>
      </c>
      <c r="AT1" s="102"/>
      <c r="AU1" s="122" t="s">
        <v>572</v>
      </c>
      <c r="AV1" s="86"/>
      <c r="AW1" s="769"/>
      <c r="AX1" s="112"/>
      <c r="AY1" s="495" t="s">
        <v>1444</v>
      </c>
      <c r="AZ1" s="217"/>
      <c r="BA1" s="232" t="s">
        <v>1445</v>
      </c>
      <c r="BB1" s="217"/>
      <c r="BC1" s="122"/>
      <c r="BD1" s="122"/>
      <c r="BE1" s="122"/>
      <c r="BF1" s="122"/>
      <c r="BG1" s="391"/>
      <c r="BH1" s="391"/>
      <c r="BI1" s="122"/>
      <c r="BJ1" s="86" t="s">
        <v>1446</v>
      </c>
      <c r="BK1" s="86"/>
      <c r="BL1" s="414"/>
      <c r="BM1" s="414"/>
      <c r="BN1" s="86"/>
      <c r="BP1" t="str">
        <f>TEXT($AC$1,"vvvv")</f>
        <v>2026</v>
      </c>
      <c r="BQ1" t="s">
        <v>1447</v>
      </c>
      <c r="BZ1">
        <f>BP1+1</f>
        <v>2027</v>
      </c>
      <c r="CA1" s="418">
        <f>VALUE("1.1."&amp;$BZ$1)</f>
        <v>46388</v>
      </c>
      <c r="CC1" s="86" t="s">
        <v>1448</v>
      </c>
      <c r="CD1" s="86"/>
      <c r="CE1" s="414"/>
      <c r="CF1" s="414"/>
      <c r="CG1" s="86"/>
      <c r="CK1" s="492" t="str">
        <f>TEXT($AC$1,"vvvv")</f>
        <v>2026</v>
      </c>
      <c r="CL1" s="492" t="s">
        <v>1449</v>
      </c>
      <c r="CM1" s="492"/>
      <c r="CN1" s="492"/>
      <c r="CO1" s="492"/>
      <c r="CP1" s="492"/>
      <c r="CQ1" s="492"/>
      <c r="CR1" s="492"/>
      <c r="CS1" s="492"/>
      <c r="CT1" s="492"/>
      <c r="CU1" s="492">
        <f>CK1+1</f>
        <v>2027</v>
      </c>
      <c r="CV1" s="418">
        <f>VALUE("1.1."&amp;$BZ$1)</f>
        <v>46388</v>
      </c>
      <c r="CW1" t="s">
        <v>1444</v>
      </c>
      <c r="CX1" t="s">
        <v>1444</v>
      </c>
      <c r="CY1" s="655" t="s">
        <v>1450</v>
      </c>
    </row>
    <row r="2" spans="1:104" ht="60" x14ac:dyDescent="0.25">
      <c r="A2" s="154" t="s">
        <v>1451</v>
      </c>
      <c r="B2" s="154" t="s">
        <v>1452</v>
      </c>
      <c r="C2" s="154" t="s">
        <v>1453</v>
      </c>
      <c r="D2" s="215" t="s">
        <v>1454</v>
      </c>
      <c r="E2" s="154" t="s">
        <v>1455</v>
      </c>
      <c r="F2" s="154" t="s">
        <v>1456</v>
      </c>
      <c r="G2" s="154" t="s">
        <v>1457</v>
      </c>
      <c r="H2" s="215" t="s">
        <v>1458</v>
      </c>
      <c r="I2" s="215" t="s">
        <v>1459</v>
      </c>
      <c r="J2" s="154" t="s">
        <v>1460</v>
      </c>
      <c r="K2" s="660" t="s">
        <v>1461</v>
      </c>
      <c r="L2" s="154" t="s">
        <v>1462</v>
      </c>
      <c r="M2" s="154" t="s">
        <v>1463</v>
      </c>
      <c r="N2" s="154" t="s">
        <v>1416</v>
      </c>
      <c r="O2" s="215" t="s">
        <v>1464</v>
      </c>
      <c r="P2" s="215" t="s">
        <v>1465</v>
      </c>
      <c r="Q2" s="215" t="s">
        <v>1466</v>
      </c>
      <c r="R2" s="154" t="s">
        <v>1417</v>
      </c>
      <c r="S2" s="154" t="s">
        <v>1418</v>
      </c>
      <c r="T2" s="154" t="s">
        <v>1419</v>
      </c>
      <c r="U2" s="154" t="s">
        <v>1462</v>
      </c>
      <c r="V2" s="86" t="s">
        <v>1467</v>
      </c>
      <c r="W2" s="216" t="s">
        <v>1468</v>
      </c>
      <c r="X2" s="410" t="s">
        <v>1469</v>
      </c>
      <c r="Y2" s="386" t="s">
        <v>1470</v>
      </c>
      <c r="Z2" s="227" t="s">
        <v>1470</v>
      </c>
      <c r="AA2" s="386" t="s">
        <v>1471</v>
      </c>
      <c r="AB2" s="410" t="s">
        <v>1472</v>
      </c>
      <c r="AC2" s="229" t="s">
        <v>1473</v>
      </c>
      <c r="AD2" s="230" t="s">
        <v>1474</v>
      </c>
      <c r="AE2" s="216" t="s">
        <v>1475</v>
      </c>
      <c r="AF2" s="216" t="s">
        <v>1476</v>
      </c>
      <c r="AG2" s="88" t="s">
        <v>1477</v>
      </c>
      <c r="AH2" s="85" t="s">
        <v>1478</v>
      </c>
      <c r="AI2" s="85" t="s">
        <v>1479</v>
      </c>
      <c r="AJ2" s="216" t="s">
        <v>1480</v>
      </c>
      <c r="AK2" s="216" t="s">
        <v>1481</v>
      </c>
      <c r="AL2" s="216" t="s">
        <v>1482</v>
      </c>
      <c r="AM2" s="216" t="s">
        <v>1483</v>
      </c>
      <c r="AN2" s="216" t="s">
        <v>1484</v>
      </c>
      <c r="AO2" s="216" t="s">
        <v>1480</v>
      </c>
      <c r="AP2" s="216" t="s">
        <v>1481</v>
      </c>
      <c r="AQ2" s="216" t="s">
        <v>1482</v>
      </c>
      <c r="AR2" s="216" t="s">
        <v>1483</v>
      </c>
      <c r="AS2" s="216" t="s">
        <v>1484</v>
      </c>
      <c r="AT2" s="88" t="s">
        <v>1485</v>
      </c>
      <c r="AU2" s="88" t="s">
        <v>1486</v>
      </c>
      <c r="AV2" s="87" t="s">
        <v>98</v>
      </c>
      <c r="AW2" s="770" t="s">
        <v>1487</v>
      </c>
      <c r="AX2" s="493" t="s">
        <v>1488</v>
      </c>
      <c r="AY2" s="493" t="s">
        <v>1489</v>
      </c>
      <c r="AZ2" s="88"/>
      <c r="BA2" s="88" t="s">
        <v>1490</v>
      </c>
      <c r="BB2" s="88" t="s">
        <v>1491</v>
      </c>
      <c r="BC2" s="88" t="s">
        <v>1492</v>
      </c>
      <c r="BD2" s="88"/>
      <c r="BE2" s="493" t="s">
        <v>1493</v>
      </c>
      <c r="BF2" s="88" t="s">
        <v>1494</v>
      </c>
      <c r="BG2" s="392" t="s">
        <v>1495</v>
      </c>
      <c r="BH2" s="392" t="s">
        <v>1477</v>
      </c>
      <c r="BI2" s="85" t="s">
        <v>1478</v>
      </c>
      <c r="BJ2" s="413" t="s">
        <v>1496</v>
      </c>
      <c r="BK2" s="413" t="s">
        <v>1497</v>
      </c>
      <c r="BL2" s="415" t="s">
        <v>1498</v>
      </c>
      <c r="BM2" s="415" t="s">
        <v>1499</v>
      </c>
      <c r="BN2" s="413" t="s">
        <v>1500</v>
      </c>
      <c r="BP2" s="418">
        <f>VALUE("1.1."&amp;$BP$1)</f>
        <v>46023</v>
      </c>
      <c r="BQ2" s="418">
        <f>VALUE("1.2."&amp;$BP$1)</f>
        <v>46054</v>
      </c>
      <c r="BR2" s="418">
        <f>VALUE("1.3."&amp;$BP$1)</f>
        <v>46082</v>
      </c>
      <c r="BS2" s="418">
        <f>VALUE("1.4."&amp;$BP$1)</f>
        <v>46113</v>
      </c>
      <c r="BT2" s="418">
        <f>VALUE("1.5."&amp;$BP$1)</f>
        <v>46143</v>
      </c>
      <c r="BU2" s="418">
        <f>VALUE("1.6."&amp;$BP$1)</f>
        <v>46174</v>
      </c>
      <c r="BV2" s="418">
        <f>VALUE("1.7."&amp;$BP$1)</f>
        <v>46204</v>
      </c>
      <c r="BW2" s="418">
        <f>VALUE("1.8."&amp;$BP$1)</f>
        <v>46235</v>
      </c>
      <c r="BX2" s="418">
        <f>VALUE("1.9."&amp;$BP$1)</f>
        <v>46266</v>
      </c>
      <c r="BY2" s="418">
        <f>VALUE("1.10."&amp;$BP$1)</f>
        <v>46296</v>
      </c>
      <c r="BZ2" s="418">
        <f>VALUE("1.11."&amp;$BP$1)</f>
        <v>46327</v>
      </c>
      <c r="CA2" s="418">
        <f>VALUE("1.12."&amp;$BP$1)</f>
        <v>46357</v>
      </c>
      <c r="CB2" t="s">
        <v>1501</v>
      </c>
      <c r="CC2" s="413" t="s">
        <v>1496</v>
      </c>
      <c r="CD2" s="413" t="s">
        <v>1502</v>
      </c>
      <c r="CE2" s="415" t="s">
        <v>1498</v>
      </c>
      <c r="CF2" s="415" t="s">
        <v>1503</v>
      </c>
      <c r="CG2" s="413" t="s">
        <v>1500</v>
      </c>
      <c r="CH2" s="453" t="s">
        <v>1504</v>
      </c>
      <c r="CI2" s="453" t="s">
        <v>1505</v>
      </c>
      <c r="CJ2" s="500" t="s">
        <v>1506</v>
      </c>
      <c r="CK2" s="418">
        <f>VALUE("1.1."&amp;$BP$1)</f>
        <v>46023</v>
      </c>
      <c r="CL2" s="418">
        <f>VALUE("1.2."&amp;$BP$1)</f>
        <v>46054</v>
      </c>
      <c r="CM2" s="418">
        <f>VALUE("1.3."&amp;$BP$1)</f>
        <v>46082</v>
      </c>
      <c r="CN2" s="418">
        <f>VALUE("1.4."&amp;$BP$1)</f>
        <v>46113</v>
      </c>
      <c r="CO2" s="418">
        <f>VALUE("1.5."&amp;$BP$1)</f>
        <v>46143</v>
      </c>
      <c r="CP2" s="418">
        <f>VALUE("1.6."&amp;$BP$1)</f>
        <v>46174</v>
      </c>
      <c r="CQ2" s="418">
        <f>VALUE("1.7."&amp;$BP$1)</f>
        <v>46204</v>
      </c>
      <c r="CR2" s="418">
        <f>VALUE("1.8."&amp;$BP$1)</f>
        <v>46235</v>
      </c>
      <c r="CS2" s="418">
        <f>VALUE("1.9."&amp;$BP$1)</f>
        <v>46266</v>
      </c>
      <c r="CT2" s="418">
        <f>VALUE("1.10."&amp;$BP$1)</f>
        <v>46296</v>
      </c>
      <c r="CU2" s="418">
        <f>VALUE("1.11."&amp;$BP$1)</f>
        <v>46327</v>
      </c>
      <c r="CV2" s="418">
        <f>VALUE("1.12."&amp;$BP$1)</f>
        <v>46357</v>
      </c>
      <c r="CW2" t="s">
        <v>1507</v>
      </c>
      <c r="CY2" s="655" t="s">
        <v>1508</v>
      </c>
      <c r="CZ2" s="655" t="s">
        <v>1509</v>
      </c>
    </row>
    <row r="3" spans="1:104" ht="15.75" x14ac:dyDescent="0.25">
      <c r="A3" t="str">
        <f>IF(Data_TYasiakas!A2="0","",IF(Data_TYasiakas!A2="","",Data_TYasiakas!A2))</f>
        <v/>
      </c>
      <c r="B3" t="str">
        <f>IF(Data_TYasiakas!B2="0","",IF(Data_TYasiakas!B2="","",Data_TYasiakas!B2))</f>
        <v/>
      </c>
      <c r="C3" t="str">
        <f>IF(Data_TYasiakas!C2="0","",IF(Data_TYasiakas!C2="","",Data_TYasiakas!C2))</f>
        <v/>
      </c>
      <c r="D3" s="84" t="str">
        <f>IFERROR(IF(VALUE(Data_TYasiakas!D2)=0,"",VALUE(Data_TYasiakas!D2)),"")</f>
        <v/>
      </c>
      <c r="E3" t="str">
        <f>IF(Data_TYasiakas!E2="0","",IF(Data_TYasiakas!E2="","",Data_TYasiakas!E2))</f>
        <v/>
      </c>
      <c r="F3" t="str">
        <f>IF(Data_TYasiakas!F2="0",$F$1,IF(Data_TYasiakas!F2="",$F$1,IF(Data_TYasiakas!F2=$G$1,F1,Data_TYasiakas!F2)))</f>
        <v>OptionButton_EtMies</v>
      </c>
      <c r="G3" t="str">
        <f>IF(Data_TYasiakas!G2="0","",IF(Data_TYasiakas!G2="","",Data_TYasiakas!G2))</f>
        <v/>
      </c>
      <c r="H3" s="84" t="str">
        <f>IFERROR(IF(VALUE(Data_TYasiakas!H2)=0,"",VALUE(Data_TYasiakas!H2)),"")</f>
        <v/>
      </c>
      <c r="I3" s="84" t="str">
        <f>IFERROR(IF(VALUE(Data_TYasiakas!I2)=0,"",VALUE(Data_TYasiakas!I2)),"")</f>
        <v/>
      </c>
      <c r="J3" t="str">
        <f>IF(Data_TYasiakas!F2="0","",IF(Data_TYasiakas!F2="","",Data_TYasiakas!F2))</f>
        <v/>
      </c>
      <c r="K3" s="228" t="str">
        <f>IF(Data_TYasiakas!K2="0","tyhja",IF(Data_TYasiakas!K2="","tyhja",IF(LEFT(Data_TYasiakas!K2,5)&lt;&gt;"Combo","muut",Data_TYasiakas!K2)))</f>
        <v>tyhja</v>
      </c>
      <c r="L3" s="78">
        <f>Data_TYasiakas!L2</f>
        <v>0</v>
      </c>
      <c r="M3" t="str">
        <f>IF(Data_TYasiakas!M2="0","",IF(Data_TYasiakas!M2="","",Data_TYasiakas!M2))</f>
        <v/>
      </c>
      <c r="N3" t="str">
        <f>IF(Data_TYasiakas!N2="0","",IF(Data_TYasiakas!N2="","",Data_TYasiakas!N2))</f>
        <v/>
      </c>
      <c r="O3" s="84" t="str">
        <f>IFERROR(IF(VALUE(Data_TYasiakas!O2)=0,"",VALUE(Data_TYasiakas!O2)),"")</f>
        <v/>
      </c>
      <c r="P3" s="84" t="str">
        <f>IFERROR(IF(VALUE(Data_TYasiakas!P2)=0,"",VALUE(Data_TYasiakas!P2)),"")</f>
        <v/>
      </c>
      <c r="Q3" s="84" t="str">
        <f>IFERROR(IF(VALUE(Data_TYasiakas!Q2)=0,"",VALUE(Data_TYasiakas!Q2)),"")</f>
        <v/>
      </c>
      <c r="R3" t="str">
        <f>IF(Data_TYasiakas!R2="0","",IF(Data_TYasiakas!R2="","",Data_TYasiakas!R2))</f>
        <v/>
      </c>
      <c r="S3" t="str">
        <f>IF(Data_TYasiakas!S2="0","",IF(Data_TYasiakas!S2="","",Data_TYasiakas!S2))</f>
        <v/>
      </c>
      <c r="T3" t="str">
        <f>IF(Data_TYasiakas!T2="0","",IF(Data_TYasiakas!T2="","",Data_TYasiakas!T2))</f>
        <v/>
      </c>
      <c r="U3" t="str">
        <f>IF(Data_TYasiakas!U2="0","",IF(Data_TYasiakas!U2="","",Data_TYasiakas!U2))</f>
        <v/>
      </c>
      <c r="V3" s="86" t="str">
        <f>IF(U3="E","EI","OK")</f>
        <v>OK</v>
      </c>
      <c r="W3">
        <f>$W$1</f>
        <v>1</v>
      </c>
      <c r="X3" s="177" t="str">
        <f ca="1">IFERROR(BN3,AB3)</f>
        <v>EI</v>
      </c>
      <c r="Y3" s="385" t="str">
        <f>IFERROR(INDEX(JA!AH:AH,MATCH(A3,JA!C:C,0)),0)</f>
        <v>EI</v>
      </c>
      <c r="Z3" s="177" t="str">
        <f>IF(Y3=0,IF(V3="OK",IF(AC3&gt;=$AE$1,IF(AC3&lt;=$AF$1,$AA$1,"EI"),"EI"),"EI"),Y3)</f>
        <v>EI</v>
      </c>
      <c r="AA3" s="385" t="str">
        <f>IF(V3&lt;&gt;"OK","EI",IFERROR(INDEX(JA!AF:AF,MATCH(A3,JA!C:C,0)),0))</f>
        <v>EI</v>
      </c>
      <c r="AB3" t="str">
        <f>IF(AA3=0,IF(V3="OK",IF(AC3&gt;=$AC$1,IF(AC3&lt;=$AD$1,$AA$1,"EI"),"EI"),"EI"),AA3)</f>
        <v>EI</v>
      </c>
      <c r="AC3" s="84" t="str">
        <f ca="1">IFERROR(IF(BM3&lt;&gt;"",VALUE(BM3),IF(P3&lt;&gt;"",VALUE(P3),IF(O3&lt;&gt;"",VALUE(O3),VALUE(H3)))),"")</f>
        <v/>
      </c>
      <c r="AD3" s="84" t="str">
        <f>IFERROR(IF(VALUE(D3)=0,"",VALUE(D3)),"")</f>
        <v/>
      </c>
      <c r="AE3" s="231" t="str">
        <f ca="1">IFERROR(DATEDIF(AD3,AC3,"y"),"EI")</f>
        <v>EI</v>
      </c>
      <c r="AF3" s="231" t="str">
        <f ca="1">IFERROR(IF(DATEDIF(AD3,$AC$1,"y") &gt; DATEDIF(AD3,AC3,"y"),DATEDIF(AD3,$AC$1,"y"),DATEDIF(AD3,AC3,"y")),"EI")</f>
        <v>EI</v>
      </c>
      <c r="AG3" t="str">
        <f ca="1">IF(AF3="EI",AF3,IF(AF3&lt;17,"alle 17",IF(AF3&lt;21,"17-20",IF(AF3&lt;25,"21-24",IF(AF3&lt;29,"25-28",IF(AF3&lt;50,"29-49","yli 50"))))))</f>
        <v>EI</v>
      </c>
      <c r="AH3" t="str">
        <f ca="1">IF(AF3="EI","vanha",IF(AF3&lt;29,"nuori","vanha"))</f>
        <v>vanha</v>
      </c>
      <c r="AI3" t="str">
        <f>IF(LEFT(G3,5)="Combo",G3,IF(G3="","ei kirjattu",$AI$1))</f>
        <v>ei kirjattu</v>
      </c>
      <c r="AJ3" t="str">
        <f ca="1">IFERROR(INDEX(TI!$Z:$Z,MATCH($A3,TI!$C:$C,0)),"")</f>
        <v/>
      </c>
      <c r="AK3" t="str">
        <f ca="1">IFERROR(INDEX(TI!AA:AA,MATCH($A3,TI!$C:$C,0)),"")</f>
        <v/>
      </c>
      <c r="AL3" t="str">
        <f ca="1">IFERROR(INDEX(TI!AB:AB,MATCH($A3,TI!$C:$C,0)),"")</f>
        <v/>
      </c>
      <c r="AM3" t="str">
        <f ca="1">IFERROR(INDEX(TI!AC:AC,MATCH($A3,TI!$C:$C,0)),"")</f>
        <v/>
      </c>
      <c r="AN3" t="str">
        <f ca="1">IFERROR(INDEX(TI!AD:AD,MATCH($A3,TI!$C:$C,0)),"")</f>
        <v/>
      </c>
      <c r="AO3" t="str">
        <f ca="1">IFERROR(INDEX(TI!AE:AE,MATCH($A3,TI!$C:$C,0)),"")</f>
        <v/>
      </c>
      <c r="AP3" t="str">
        <f ca="1">IFERROR(INDEX(TI!AF:AF,MATCH($A3,TI!$C:$C,0)),"")</f>
        <v/>
      </c>
      <c r="AQ3" t="str">
        <f ca="1">IFERROR(INDEX(TI!AG:AG,MATCH($A3,TI!$C:$C,0)),"")</f>
        <v/>
      </c>
      <c r="AR3" t="str">
        <f ca="1">IFERROR(INDEX(TI!AH:AH,MATCH($A3,TI!$C:$C,0)),"")</f>
        <v/>
      </c>
      <c r="AS3" t="str">
        <f ca="1">IFERROR(INDEX(TI!AI:AI,MATCH($A3,TI!$C:$C,0)),"")</f>
        <v/>
      </c>
      <c r="AU3">
        <f>IFERROR(MATCH(A3,TP!C:C,0),"")</f>
        <v>3</v>
      </c>
      <c r="AV3" s="86" t="str">
        <f>IFERROR(INDEX(JA!$AJ:$AJ,MATCH(A3,JA!C:C,0)),"")</f>
        <v>EI</v>
      </c>
      <c r="AW3" s="228" t="str">
        <f>IF(LEFT(C3,5)="Combo",C3,IF(C3="","tyhja","muut"))</f>
        <v>tyhja</v>
      </c>
      <c r="AX3" s="177" t="str">
        <f>IFERROR(TRIM(INDEX(JA!CR:CR,MATCH(A3&amp;"OK",JA!D:D,0))),"")</f>
        <v/>
      </c>
      <c r="AY3" s="177" t="str">
        <f ca="1">IFERROR(INDEX(JA!AS:AS,CD3),"ComboBox_TySijoittuminen#ei tietoa")</f>
        <v>ComboBox_TySijoittuminen#ei tietoa</v>
      </c>
      <c r="AZ3">
        <f ca="1">IF(AY3=AX3,0,1)</f>
        <v>1</v>
      </c>
      <c r="BA3" t="str">
        <f>IF(L3="D",$BA$1,M3)</f>
        <v/>
      </c>
      <c r="BB3" t="str">
        <f>IF(BA3=$BA$1,BA3,IF(AX3&lt;&gt;$AW$1,$BA$1,BA3))</f>
        <v/>
      </c>
      <c r="BC3">
        <f>IFERROR(INDEX(JA!AM:AM,MATCH($A3,JA!$C:$C,0)),"EI")</f>
        <v>0</v>
      </c>
      <c r="BD3" t="str">
        <f>IFERROR(INDEX(JA!AN:AN,MATCH($A3,JA!$C:$C,0)),"EI")</f>
        <v>EI</v>
      </c>
      <c r="BE3" t="str">
        <f ca="1">IFERROR(TRIM(INDEX(JA!AW:AW,CD3)),"EI")</f>
        <v>EI</v>
      </c>
      <c r="BF3">
        <f>IFERROR(MATCH(A3,JA!C:C,0),"EI")</f>
        <v>3</v>
      </c>
      <c r="BG3" s="385" t="str">
        <f ca="1">IFERROR(AF3-1,"EI")</f>
        <v>EI</v>
      </c>
      <c r="BH3" s="385" t="str">
        <f ca="1">IF(BG3="EI",BG3,IF(BG3&lt;17,"alle 17",IF(BG3&lt;21,"17-20",IF(BG3&lt;25,"21-24",IF(BG3&lt;29,"25-28",IF(BG3&lt;50,"29-49","yli 50"))))))</f>
        <v>EI</v>
      </c>
      <c r="BI3" t="str">
        <f ca="1">IF(BG3="EI","vanha",IF(BG3&lt;29,"nuori","vanha"))</f>
        <v>vanha</v>
      </c>
      <c r="BJ3">
        <f>MATCH($A3,JA!$C:$C,0)</f>
        <v>3</v>
      </c>
      <c r="BK3" t="e">
        <f ca="1">INDEX(JA!BB:BB,AS!BJ3)</f>
        <v>#VALUE!</v>
      </c>
      <c r="BL3" s="80" t="e">
        <f ca="1">INDEX(JA!AY:AY,AS!BK3)</f>
        <v>#VALUE!</v>
      </c>
      <c r="BM3" s="80" t="str">
        <f ca="1">IFERROR(INDEX(JA!BA:BA,AS!BJ3),"")</f>
        <v/>
      </c>
      <c r="BN3" t="str">
        <f ca="1">IF(BM3&gt;=$AC$1,IF(BM3&lt;=$AD$1,$AA$1,"EI"),"EI")</f>
        <v>EI</v>
      </c>
      <c r="BO3" s="80">
        <f ca="1">IF(BM3=AC3,0,AC3)</f>
        <v>0</v>
      </c>
      <c r="BP3" t="str">
        <f ca="1">IFERROR(IF($BM3&gt;=BP$2,IF($BM3&lt;BQ$2,"OK","EI"),"EI"),IF($AC3&gt;=BP$2,IF($AC3&lt;BQ$2,"OK","EI"),"EI"))</f>
        <v>EI</v>
      </c>
      <c r="BQ3" t="str">
        <f t="shared" ref="BQ3:BZ3" ca="1" si="0">IFERROR(IF($BM3&gt;=BQ$2,IF($BM3&lt;BR$2,"OK","EI"),"EI"),IF($AC3&gt;=BQ$2,IF($AC3&lt;BR$2,"OK","EI"),"EI"))</f>
        <v>EI</v>
      </c>
      <c r="BR3" t="str">
        <f t="shared" ca="1" si="0"/>
        <v>EI</v>
      </c>
      <c r="BS3" t="str">
        <f t="shared" ca="1" si="0"/>
        <v>EI</v>
      </c>
      <c r="BT3" t="str">
        <f t="shared" ca="1" si="0"/>
        <v>EI</v>
      </c>
      <c r="BU3" t="str">
        <f t="shared" ca="1" si="0"/>
        <v>EI</v>
      </c>
      <c r="BV3" t="str">
        <f t="shared" ca="1" si="0"/>
        <v>EI</v>
      </c>
      <c r="BW3" t="str">
        <f t="shared" ca="1" si="0"/>
        <v>EI</v>
      </c>
      <c r="BX3" t="str">
        <f t="shared" ca="1" si="0"/>
        <v>EI</v>
      </c>
      <c r="BY3" t="str">
        <f t="shared" ca="1" si="0"/>
        <v>EI</v>
      </c>
      <c r="BZ3" t="str">
        <f t="shared" ca="1" si="0"/>
        <v>EI</v>
      </c>
      <c r="CA3" t="str">
        <f ca="1">IFERROR(IF($BM3&gt;=CA$2,IF($BM3&lt;CA$1,"OK","EI"),"EI"),IF($AC3&gt;=CA$2,IF($AC3&lt;CA$1,"OK","EI"),"EI"))</f>
        <v>EI</v>
      </c>
      <c r="CB3" t="str">
        <f>INDEX(TP!AF:AF,MATCH(A3,TP!C:C,0))</f>
        <v>EI</v>
      </c>
      <c r="CC3">
        <f>MATCH($A3,JA!$C:$C,0)</f>
        <v>3</v>
      </c>
      <c r="CD3" t="e">
        <f ca="1">INDEX(JA!BH:BH,AS!BJ3)</f>
        <v>#VALUE!</v>
      </c>
      <c r="CE3" s="80" t="e">
        <f ca="1">INDEX(JA!BF:BF,AS!CD3)</f>
        <v>#VALUE!</v>
      </c>
      <c r="CF3" s="80" t="e">
        <f ca="1">INDEX(JA!BG:BG,AS!CC3)</f>
        <v>#VALUE!</v>
      </c>
      <c r="CG3" t="e">
        <f ca="1">IF(CE3=CF3,0,1)</f>
        <v>#VALUE!</v>
      </c>
      <c r="CH3" t="str">
        <f>INDEX(JA!$CL:$CL,MATCH($A3,JA!$C:$C,0))</f>
        <v>EI</v>
      </c>
      <c r="CI3" t="str">
        <f>INDEX(JA!CN:CN,MATCH($A3,JA!$C:$C,0))</f>
        <v>EI</v>
      </c>
      <c r="CJ3" s="499" t="str">
        <f>IFERROR(IF(CI3="OK",INDEX(JA!CP:CP,MATCH(A3,JA!C:C,0)),""),0)</f>
        <v/>
      </c>
      <c r="CK3" t="str">
        <f>IFERROR(IF($CJ3&gt;=CK$2,IF($CJ3&lt;CL$2,"OK","EI"),"EI"),IF($AC3&gt;=CK$2,IF($AC3&lt;CL$2,"OK","EI"),"EI"))</f>
        <v>EI</v>
      </c>
      <c r="CL3" t="str">
        <f t="shared" ref="CL3:CU3" si="1">IFERROR(IF($CJ3&gt;=CL$2,IF($CJ3&lt;CM$2,"OK","EI"),"EI"),IF($AC3&gt;=CL$2,IF($AC3&lt;CM$2,"OK","EI"),"EI"))</f>
        <v>EI</v>
      </c>
      <c r="CM3" t="str">
        <f>IFERROR(IF($CJ3&gt;=CM$2,IF($CJ3&lt;CN$2,"OK","EI"),"EI"),IF($AC3&gt;=CM$2,IF($AC3&lt;CN$2,"OK","EI"),"EI"))</f>
        <v>EI</v>
      </c>
      <c r="CN3" t="str">
        <f t="shared" si="1"/>
        <v>EI</v>
      </c>
      <c r="CO3" t="str">
        <f t="shared" si="1"/>
        <v>EI</v>
      </c>
      <c r="CP3" t="str">
        <f t="shared" si="1"/>
        <v>EI</v>
      </c>
      <c r="CQ3" t="str">
        <f t="shared" si="1"/>
        <v>EI</v>
      </c>
      <c r="CR3" t="str">
        <f t="shared" si="1"/>
        <v>EI</v>
      </c>
      <c r="CS3" t="str">
        <f t="shared" si="1"/>
        <v>EI</v>
      </c>
      <c r="CT3" t="str">
        <f t="shared" si="1"/>
        <v>EI</v>
      </c>
      <c r="CU3" t="str">
        <f t="shared" si="1"/>
        <v>EI</v>
      </c>
      <c r="CV3" t="str">
        <f>IFERROR(IF($CJ3&gt;=CV$2,IF($CJ3&lt;CV$1,"OK","EI"),"EI"),IF($AC3&gt;=CV$2,IF($AC3&lt;CV$1,"OK","EI"),"EI"))</f>
        <v>EI</v>
      </c>
      <c r="CW3" t="str">
        <f ca="1">IFERROR(IF(DATEDIF(AD3,$AC$1,"y") &gt; DATEDIF(AD3,CJ3,"y"),DATEDIF(AD3,$AC$1,"y"),DATEDIF(AD3,CJ3,"y")),AF3)</f>
        <v>EI</v>
      </c>
      <c r="CX3" t="str">
        <f ca="1">IF(CW3="EI",CW3,IF(CW3&lt;17,"alle 17",IF(CW3&lt;21,"17-20",IF(CW3&lt;25,"21-24",IF(CW3&lt;29,"25-28",IF(CW3&lt;50,"29-49","yli 50"))))))</f>
        <v>EI</v>
      </c>
      <c r="CY3" t="str">
        <f>IF(COUNTIFS(JA!$D:$D,AS!$A3&amp;"OK",JA!$Y:$Y,Parkki!$W$6)&gt;0,"OK","EI")</f>
        <v>EI</v>
      </c>
      <c r="CZ3" s="228" t="str">
        <f>IF(COUNTIFS(JA!$D:$D,AS!$A3&amp;"OK",JA!$X:$X,Parkki!$W$5)&gt;0,"OK","EI")</f>
        <v>EI</v>
      </c>
    </row>
    <row r="4" spans="1:104" ht="15.75" x14ac:dyDescent="0.25">
      <c r="A4" t="str">
        <f>IF(Data_TYasiakas!A3="0","",IF(Data_TYasiakas!A3="","",Data_TYasiakas!A3))</f>
        <v/>
      </c>
      <c r="B4" t="str">
        <f>IF(Data_TYasiakas!B3="0","",IF(Data_TYasiakas!B3="","",Data_TYasiakas!B3))</f>
        <v/>
      </c>
      <c r="C4" t="str">
        <f>IF(Data_TYasiakas!C3="0","",IF(Data_TYasiakas!C3="","",Data_TYasiakas!C3))</f>
        <v/>
      </c>
      <c r="D4" s="84" t="str">
        <f>IFERROR(IF(VALUE(Data_TYasiakas!D3)=0,"",VALUE(Data_TYasiakas!D3)),"")</f>
        <v/>
      </c>
      <c r="E4" t="str">
        <f>IF(Data_TYasiakas!E3="0","",IF(Data_TYasiakas!E3="","",Data_TYasiakas!E3))</f>
        <v/>
      </c>
      <c r="F4" t="str">
        <f>IF(Data_TYasiakas!F3="0",$F$1,IF(Data_TYasiakas!F3="",$F$1,IF(Data_TYasiakas!F3=$G$1,F2,Data_TYasiakas!F3)))</f>
        <v>OptionButton_EtMies</v>
      </c>
      <c r="G4" t="str">
        <f>IF(Data_TYasiakas!G3="0","",IF(Data_TYasiakas!G3="","",Data_TYasiakas!G3))</f>
        <v/>
      </c>
      <c r="H4" s="84" t="str">
        <f>IFERROR(IF(VALUE(Data_TYasiakas!H3)=0,"",VALUE(Data_TYasiakas!H3)),"")</f>
        <v/>
      </c>
      <c r="I4" s="84" t="str">
        <f>IFERROR(IF(VALUE(Data_TYasiakas!I3)=0,"",VALUE(Data_TYasiakas!I3)),"")</f>
        <v/>
      </c>
      <c r="J4" t="str">
        <f>IF(Data_TYasiakas!F3="0","",IF(Data_TYasiakas!F3="","",Data_TYasiakas!F3))</f>
        <v/>
      </c>
      <c r="K4" s="228" t="str">
        <f>IF(Data_TYasiakas!K3="0","tyhja",IF(Data_TYasiakas!K3="","tyhja",IF(LEFT(Data_TYasiakas!K3,5)&lt;&gt;"Combo","muut",Data_TYasiakas!K3)))</f>
        <v>tyhja</v>
      </c>
      <c r="L4" s="78">
        <f>Data_TYasiakas!L3</f>
        <v>0</v>
      </c>
      <c r="M4" t="str">
        <f>IF(Data_TYasiakas!M3="0","",IF(Data_TYasiakas!M3="","",Data_TYasiakas!M3))</f>
        <v/>
      </c>
      <c r="N4" t="str">
        <f>IF(Data_TYasiakas!N3="0","",IF(Data_TYasiakas!N3="","",Data_TYasiakas!N3))</f>
        <v/>
      </c>
      <c r="O4" s="84" t="str">
        <f>IFERROR(IF(VALUE(Data_TYasiakas!O3)=0,"",VALUE(Data_TYasiakas!O3)),"")</f>
        <v/>
      </c>
      <c r="P4" s="84" t="str">
        <f>IFERROR(IF(VALUE(Data_TYasiakas!P3)=0,"",VALUE(Data_TYasiakas!P3)),"")</f>
        <v/>
      </c>
      <c r="Q4" s="84" t="str">
        <f>IFERROR(IF(VALUE(Data_TYasiakas!Q3)=0,"",VALUE(Data_TYasiakas!Q3)),"")</f>
        <v/>
      </c>
      <c r="R4" t="str">
        <f>IF(Data_TYasiakas!R3="0","",IF(Data_TYasiakas!R3="","",Data_TYasiakas!R3))</f>
        <v/>
      </c>
      <c r="S4" t="str">
        <f>IF(Data_TYasiakas!S3="0","",IF(Data_TYasiakas!S3="","",Data_TYasiakas!S3))</f>
        <v/>
      </c>
      <c r="T4" t="str">
        <f>IF(Data_TYasiakas!T3="0","",IF(Data_TYasiakas!T3="","",Data_TYasiakas!T3))</f>
        <v/>
      </c>
      <c r="U4" t="str">
        <f>IF(Data_TYasiakas!U3="0","",IF(Data_TYasiakas!U3="","",Data_TYasiakas!U3))</f>
        <v/>
      </c>
      <c r="V4" s="86" t="str">
        <f t="shared" ref="V4:V5" si="2">IF(U4="E","EI","OK")</f>
        <v>OK</v>
      </c>
      <c r="W4">
        <f t="shared" ref="W4:W5" si="3">$W$1</f>
        <v>1</v>
      </c>
      <c r="X4" s="177" t="str">
        <f t="shared" ref="X4:X5" ca="1" si="4">IFERROR(BN4,AB4)</f>
        <v>EI</v>
      </c>
      <c r="Y4" s="385" t="str">
        <f>IFERROR(INDEX(JA!AH:AH,MATCH(A4,JA!C:C,0)),0)</f>
        <v>EI</v>
      </c>
      <c r="Z4" s="177" t="str">
        <f t="shared" ref="Z4:Z5" si="5">IF(Y4=0,IF(V4="OK",IF(AC4&gt;=$AE$1,IF(AC4&lt;=$AF$1,$AA$1,"EI"),"EI"),"EI"),Y4)</f>
        <v>EI</v>
      </c>
      <c r="AA4" s="385" t="str">
        <f>IF(V4&lt;&gt;"OK","EI",IFERROR(INDEX(JA!AF:AF,MATCH(A4,JA!C:C,0)),0))</f>
        <v>EI</v>
      </c>
      <c r="AB4" t="str">
        <f t="shared" ref="AB4:AB5" si="6">IF(AA4=0,IF(V4="OK",IF(AC4&gt;=$AC$1,IF(AC4&lt;=$AD$1,$AA$1,"EI"),"EI"),"EI"),AA4)</f>
        <v>EI</v>
      </c>
      <c r="AC4" s="84" t="str">
        <f t="shared" ref="AC4:AC5" ca="1" si="7">IFERROR(IF(BM4&lt;&gt;"",VALUE(BM4),IF(P4&lt;&gt;"",VALUE(P4),IF(O4&lt;&gt;"",VALUE(O4),VALUE(H4)))),"")</f>
        <v/>
      </c>
      <c r="AD4" s="84" t="str">
        <f t="shared" ref="AD4:AD5" si="8">IFERROR(IF(VALUE(D4)=0,"",VALUE(D4)),"")</f>
        <v/>
      </c>
      <c r="AE4" s="231" t="str">
        <f t="shared" ref="AE4:AE5" ca="1" si="9">IFERROR(DATEDIF(AD4,AC4,"y"),"EI")</f>
        <v>EI</v>
      </c>
      <c r="AF4" s="231" t="str">
        <f t="shared" ref="AF4:AF5" ca="1" si="10">IFERROR(IF(DATEDIF(AD4,$AC$1,"y") &gt; DATEDIF(AD4,AC4,"y"),DATEDIF(AD4,$AC$1,"y"),DATEDIF(AD4,AC4,"y")),"EI")</f>
        <v>EI</v>
      </c>
      <c r="AG4" t="str">
        <f t="shared" ref="AG4:AG5" ca="1" si="11">IF(AF4="EI",AF4,IF(AF4&lt;17,"alle 17",IF(AF4&lt;21,"17-20",IF(AF4&lt;25,"21-24",IF(AF4&lt;29,"25-28",IF(AF4&lt;50,"29-49","yli 50"))))))</f>
        <v>EI</v>
      </c>
      <c r="AH4" t="str">
        <f t="shared" ref="AH4:AH5" ca="1" si="12">IF(AF4="EI","vanha",IF(AF4&lt;29,"nuori","vanha"))</f>
        <v>vanha</v>
      </c>
      <c r="AI4" t="str">
        <f t="shared" ref="AI4:AI5" si="13">IF(LEFT(G4,5)="Combo",G4,IF(G4="","ei kirjattu",$AI$1))</f>
        <v>ei kirjattu</v>
      </c>
      <c r="AJ4" t="str">
        <f ca="1">IFERROR(INDEX(TI!$Z:$Z,MATCH($A4,TI!$C:$C,0)),"")</f>
        <v/>
      </c>
      <c r="AK4" t="str">
        <f ca="1">IFERROR(INDEX(TI!AA:AA,MATCH($A4,TI!$C:$C,0)),"")</f>
        <v/>
      </c>
      <c r="AL4" t="str">
        <f ca="1">IFERROR(INDEX(TI!AB:AB,MATCH($A4,TI!$C:$C,0)),"")</f>
        <v/>
      </c>
      <c r="AM4" t="str">
        <f ca="1">IFERROR(INDEX(TI!AC:AC,MATCH($A4,TI!$C:$C,0)),"")</f>
        <v/>
      </c>
      <c r="AN4" t="str">
        <f ca="1">IFERROR(INDEX(TI!AD:AD,MATCH($A4,TI!$C:$C,0)),"")</f>
        <v/>
      </c>
      <c r="AO4" t="str">
        <f ca="1">IFERROR(INDEX(TI!AE:AE,MATCH($A4,TI!$C:$C,0)),"")</f>
        <v/>
      </c>
      <c r="AP4" t="str">
        <f ca="1">IFERROR(INDEX(TI!AF:AF,MATCH($A4,TI!$C:$C,0)),"")</f>
        <v/>
      </c>
      <c r="AQ4" t="str">
        <f ca="1">IFERROR(INDEX(TI!AG:AG,MATCH($A4,TI!$C:$C,0)),"")</f>
        <v/>
      </c>
      <c r="AR4" t="str">
        <f ca="1">IFERROR(INDEX(TI!AH:AH,MATCH($A4,TI!$C:$C,0)),"")</f>
        <v/>
      </c>
      <c r="AS4" t="str">
        <f ca="1">IFERROR(INDEX(TI!AI:AI,MATCH($A4,TI!$C:$C,0)),"")</f>
        <v/>
      </c>
      <c r="AU4">
        <f>IFERROR(MATCH(A4,TP!C:C,0),"")</f>
        <v>3</v>
      </c>
      <c r="AV4" s="86" t="str">
        <f>IFERROR(INDEX(JA!$AJ:$AJ,MATCH(A4,JA!C:C,0)),"")</f>
        <v>EI</v>
      </c>
      <c r="AW4" s="228" t="str">
        <f t="shared" ref="AW4:AW5" si="14">IF(LEFT(C4,5)="Combo",C4,IF(C4="","tyhja","muut"))</f>
        <v>tyhja</v>
      </c>
      <c r="AX4" s="177" t="str">
        <f>IFERROR(TRIM(INDEX(JA!CR:CR,MATCH(A4&amp;"OK",JA!D:D,0))),"")</f>
        <v/>
      </c>
      <c r="AY4" s="177" t="str">
        <f ca="1">IFERROR(INDEX(JA!AS:AS,CD4),"ComboBox_TySijoittuminen#ei tietoa")</f>
        <v>ComboBox_TySijoittuminen#ei tietoa</v>
      </c>
      <c r="AZ4">
        <f t="shared" ref="AZ4:AZ5" ca="1" si="15">IF(AY4=AX4,0,1)</f>
        <v>1</v>
      </c>
      <c r="BA4" t="str">
        <f t="shared" ref="BA4:BA5" si="16">IF(L4="D",$BA$1,M4)</f>
        <v/>
      </c>
      <c r="BB4" t="str">
        <f t="shared" ref="BB4:BB5" si="17">IF(BA4=$BA$1,BA4,IF(AX4&lt;&gt;$AW$1,$BA$1,BA4))</f>
        <v/>
      </c>
      <c r="BC4">
        <f>IFERROR(INDEX(JA!AM:AM,MATCH($A4,JA!$C:$C,0)),"EI")</f>
        <v>0</v>
      </c>
      <c r="BD4" t="str">
        <f>IFERROR(INDEX(JA!AN:AN,MATCH($A4,JA!$C:$C,0)),"EI")</f>
        <v>EI</v>
      </c>
      <c r="BE4" t="str">
        <f ca="1">IFERROR(TRIM(INDEX(JA!AW:AW,CD4)),"EI")</f>
        <v>EI</v>
      </c>
      <c r="BF4">
        <f>IFERROR(MATCH(A4,JA!C:C,0),"EI")</f>
        <v>3</v>
      </c>
      <c r="BG4" s="385" t="str">
        <f t="shared" ref="BG4:BG5" ca="1" si="18">IFERROR(AF4-1,"EI")</f>
        <v>EI</v>
      </c>
      <c r="BH4" s="385" t="str">
        <f t="shared" ref="BH4:BH5" ca="1" si="19">IF(BG4="EI",BG4,IF(BG4&lt;17,"alle 17",IF(BG4&lt;21,"17-20",IF(BG4&lt;25,"21-24",IF(BG4&lt;29,"25-28",IF(BG4&lt;50,"29-49","yli 50"))))))</f>
        <v>EI</v>
      </c>
      <c r="BI4" t="str">
        <f t="shared" ref="BI4:BI5" ca="1" si="20">IF(BG4="EI","vanha",IF(BG4&lt;29,"nuori","vanha"))</f>
        <v>vanha</v>
      </c>
      <c r="BJ4">
        <f>MATCH($A4,JA!$C:$C,0)</f>
        <v>3</v>
      </c>
      <c r="BK4" t="e">
        <f ca="1">INDEX(JA!BB:BB,AS!BJ4)</f>
        <v>#VALUE!</v>
      </c>
      <c r="BL4" s="80" t="e">
        <f ca="1">INDEX(JA!AY:AY,AS!BK4)</f>
        <v>#VALUE!</v>
      </c>
      <c r="BM4" s="80" t="str">
        <f ca="1">IFERROR(INDEX(JA!BA:BA,AS!BJ4),"")</f>
        <v/>
      </c>
      <c r="BN4" t="str">
        <f t="shared" ref="BN4:BN5" ca="1" si="21">IF(BM4&gt;=$AC$1,IF(BM4&lt;=$AD$1,$AA$1,"EI"),"EI")</f>
        <v>EI</v>
      </c>
      <c r="BO4" s="80">
        <f t="shared" ref="BO4:BO5" ca="1" si="22">IF(BM4=AC4,0,AC4)</f>
        <v>0</v>
      </c>
      <c r="BP4" t="str">
        <f t="shared" ref="BP4:BP5" ca="1" si="23">IFERROR(IF($BM4&gt;=BP$2,IF($BM4&lt;BQ$2,"OK","EI"),"EI"),IF($AC4&gt;=BP$2,IF($AC4&lt;BQ$2,"OK","EI"),"EI"))</f>
        <v>EI</v>
      </c>
      <c r="BQ4" t="str">
        <f t="shared" ref="BQ4:BQ5" ca="1" si="24">IFERROR(IF($BM4&gt;=BQ$2,IF($BM4&lt;BR$2,"OK","EI"),"EI"),IF($AC4&gt;=BQ$2,IF($AC4&lt;BR$2,"OK","EI"),"EI"))</f>
        <v>EI</v>
      </c>
      <c r="BR4" t="str">
        <f t="shared" ref="BR4:BR5" ca="1" si="25">IFERROR(IF($BM4&gt;=BR$2,IF($BM4&lt;BS$2,"OK","EI"),"EI"),IF($AC4&gt;=BR$2,IF($AC4&lt;BS$2,"OK","EI"),"EI"))</f>
        <v>EI</v>
      </c>
      <c r="BS4" t="str">
        <f t="shared" ref="BS4:BS5" ca="1" si="26">IFERROR(IF($BM4&gt;=BS$2,IF($BM4&lt;BT$2,"OK","EI"),"EI"),IF($AC4&gt;=BS$2,IF($AC4&lt;BT$2,"OK","EI"),"EI"))</f>
        <v>EI</v>
      </c>
      <c r="BT4" t="str">
        <f t="shared" ref="BT4:BT5" ca="1" si="27">IFERROR(IF($BM4&gt;=BT$2,IF($BM4&lt;BU$2,"OK","EI"),"EI"),IF($AC4&gt;=BT$2,IF($AC4&lt;BU$2,"OK","EI"),"EI"))</f>
        <v>EI</v>
      </c>
      <c r="BU4" t="str">
        <f t="shared" ref="BU4:BU5" ca="1" si="28">IFERROR(IF($BM4&gt;=BU$2,IF($BM4&lt;BV$2,"OK","EI"),"EI"),IF($AC4&gt;=BU$2,IF($AC4&lt;BV$2,"OK","EI"),"EI"))</f>
        <v>EI</v>
      </c>
      <c r="BV4" t="str">
        <f t="shared" ref="BV4:BV5" ca="1" si="29">IFERROR(IF($BM4&gt;=BV$2,IF($BM4&lt;BW$2,"OK","EI"),"EI"),IF($AC4&gt;=BV$2,IF($AC4&lt;BW$2,"OK","EI"),"EI"))</f>
        <v>EI</v>
      </c>
      <c r="BW4" t="str">
        <f t="shared" ref="BW4:BW5" ca="1" si="30">IFERROR(IF($BM4&gt;=BW$2,IF($BM4&lt;BX$2,"OK","EI"),"EI"),IF($AC4&gt;=BW$2,IF($AC4&lt;BX$2,"OK","EI"),"EI"))</f>
        <v>EI</v>
      </c>
      <c r="BX4" t="str">
        <f t="shared" ref="BX4:BX5" ca="1" si="31">IFERROR(IF($BM4&gt;=BX$2,IF($BM4&lt;BY$2,"OK","EI"),"EI"),IF($AC4&gt;=BX$2,IF($AC4&lt;BY$2,"OK","EI"),"EI"))</f>
        <v>EI</v>
      </c>
      <c r="BY4" t="str">
        <f t="shared" ref="BY4:BY5" ca="1" si="32">IFERROR(IF($BM4&gt;=BY$2,IF($BM4&lt;BZ$2,"OK","EI"),"EI"),IF($AC4&gt;=BY$2,IF($AC4&lt;BZ$2,"OK","EI"),"EI"))</f>
        <v>EI</v>
      </c>
      <c r="BZ4" t="str">
        <f t="shared" ref="BZ4:BZ5" ca="1" si="33">IFERROR(IF($BM4&gt;=BZ$2,IF($BM4&lt;CA$2,"OK","EI"),"EI"),IF($AC4&gt;=BZ$2,IF($AC4&lt;CA$2,"OK","EI"),"EI"))</f>
        <v>EI</v>
      </c>
      <c r="CA4" t="str">
        <f t="shared" ref="CA4:CA5" ca="1" si="34">IFERROR(IF($BM4&gt;=CA$2,IF($BM4&lt;CA$1,"OK","EI"),"EI"),IF($AC4&gt;=CA$2,IF($AC4&lt;CA$1,"OK","EI"),"EI"))</f>
        <v>EI</v>
      </c>
      <c r="CB4" t="str">
        <f>INDEX(TP!AF:AF,MATCH(A4,TP!C:C,0))</f>
        <v>EI</v>
      </c>
      <c r="CC4">
        <f>MATCH($A4,JA!$C:$C,0)</f>
        <v>3</v>
      </c>
      <c r="CD4" t="e">
        <f ca="1">INDEX(JA!BH:BH,AS!BJ4)</f>
        <v>#VALUE!</v>
      </c>
      <c r="CE4" s="80" t="e">
        <f ca="1">INDEX(JA!BF:BF,AS!CD4)</f>
        <v>#VALUE!</v>
      </c>
      <c r="CF4" s="80" t="e">
        <f ca="1">INDEX(JA!BG:BG,AS!CC4)</f>
        <v>#VALUE!</v>
      </c>
      <c r="CG4" t="e">
        <f t="shared" ref="CG4:CG5" ca="1" si="35">IF(CE4=CF4,0,1)</f>
        <v>#VALUE!</v>
      </c>
      <c r="CH4" t="str">
        <f>INDEX(JA!$CL:$CL,MATCH($A4,JA!$C:$C,0))</f>
        <v>EI</v>
      </c>
      <c r="CI4" t="str">
        <f>INDEX(JA!CN:CN,MATCH($A4,JA!$C:$C,0))</f>
        <v>EI</v>
      </c>
      <c r="CJ4" s="499" t="str">
        <f>IFERROR(IF(CI4="OK",INDEX(JA!CP:CP,MATCH(A4,JA!C:C,0)),""),0)</f>
        <v/>
      </c>
      <c r="CK4" t="str">
        <f t="shared" ref="CK4:CK5" si="36">IFERROR(IF($CJ4&gt;=CK$2,IF($CJ4&lt;CL$2,"OK","EI"),"EI"),IF($AC4&gt;=CK$2,IF($AC4&lt;CL$2,"OK","EI"),"EI"))</f>
        <v>EI</v>
      </c>
      <c r="CL4" t="str">
        <f t="shared" ref="CL4:CL5" si="37">IFERROR(IF($CJ4&gt;=CL$2,IF($CJ4&lt;CM$2,"OK","EI"),"EI"),IF($AC4&gt;=CL$2,IF($AC4&lt;CM$2,"OK","EI"),"EI"))</f>
        <v>EI</v>
      </c>
      <c r="CM4" t="str">
        <f t="shared" ref="CM4:CM5" si="38">IFERROR(IF($CJ4&gt;=CM$2,IF($CJ4&lt;CN$2,"OK","EI"),"EI"),IF($AC4&gt;=CM$2,IF($AC4&lt;CN$2,"OK","EI"),"EI"))</f>
        <v>EI</v>
      </c>
      <c r="CN4" t="str">
        <f t="shared" ref="CN4:CN5" si="39">IFERROR(IF($CJ4&gt;=CN$2,IF($CJ4&lt;CO$2,"OK","EI"),"EI"),IF($AC4&gt;=CN$2,IF($AC4&lt;CO$2,"OK","EI"),"EI"))</f>
        <v>EI</v>
      </c>
      <c r="CO4" t="str">
        <f t="shared" ref="CO4:CO5" si="40">IFERROR(IF($CJ4&gt;=CO$2,IF($CJ4&lt;CP$2,"OK","EI"),"EI"),IF($AC4&gt;=CO$2,IF($AC4&lt;CP$2,"OK","EI"),"EI"))</f>
        <v>EI</v>
      </c>
      <c r="CP4" t="str">
        <f t="shared" ref="CP4:CP5" si="41">IFERROR(IF($CJ4&gt;=CP$2,IF($CJ4&lt;CQ$2,"OK","EI"),"EI"),IF($AC4&gt;=CP$2,IF($AC4&lt;CQ$2,"OK","EI"),"EI"))</f>
        <v>EI</v>
      </c>
      <c r="CQ4" t="str">
        <f t="shared" ref="CQ4:CQ5" si="42">IFERROR(IF($CJ4&gt;=CQ$2,IF($CJ4&lt;CR$2,"OK","EI"),"EI"),IF($AC4&gt;=CQ$2,IF($AC4&lt;CR$2,"OK","EI"),"EI"))</f>
        <v>EI</v>
      </c>
      <c r="CR4" t="str">
        <f t="shared" ref="CR4:CR5" si="43">IFERROR(IF($CJ4&gt;=CR$2,IF($CJ4&lt;CS$2,"OK","EI"),"EI"),IF($AC4&gt;=CR$2,IF($AC4&lt;CS$2,"OK","EI"),"EI"))</f>
        <v>EI</v>
      </c>
      <c r="CS4" t="str">
        <f t="shared" ref="CS4:CS5" si="44">IFERROR(IF($CJ4&gt;=CS$2,IF($CJ4&lt;CT$2,"OK","EI"),"EI"),IF($AC4&gt;=CS$2,IF($AC4&lt;CT$2,"OK","EI"),"EI"))</f>
        <v>EI</v>
      </c>
      <c r="CT4" t="str">
        <f t="shared" ref="CT4:CT5" si="45">IFERROR(IF($CJ4&gt;=CT$2,IF($CJ4&lt;CU$2,"OK","EI"),"EI"),IF($AC4&gt;=CT$2,IF($AC4&lt;CU$2,"OK","EI"),"EI"))</f>
        <v>EI</v>
      </c>
      <c r="CU4" t="str">
        <f t="shared" ref="CU4:CU5" si="46">IFERROR(IF($CJ4&gt;=CU$2,IF($CJ4&lt;CV$2,"OK","EI"),"EI"),IF($AC4&gt;=CU$2,IF($AC4&lt;CV$2,"OK","EI"),"EI"))</f>
        <v>EI</v>
      </c>
      <c r="CV4" t="str">
        <f t="shared" ref="CV4:CV5" si="47">IFERROR(IF($CJ4&gt;=CV$2,IF($CJ4&lt;CV$1,"OK","EI"),"EI"),IF($AC4&gt;=CV$2,IF($AC4&lt;CV$1,"OK","EI"),"EI"))</f>
        <v>EI</v>
      </c>
      <c r="CW4" t="str">
        <f t="shared" ref="CW4:CW5" ca="1" si="48">IFERROR(IF(DATEDIF(AD4,$AC$1,"y") &gt; DATEDIF(AD4,CJ4,"y"),DATEDIF(AD4,$AC$1,"y"),DATEDIF(AD4,CJ4,"y")),AF4)</f>
        <v>EI</v>
      </c>
      <c r="CX4" t="str">
        <f t="shared" ref="CX4:CX5" ca="1" si="49">IF(CW4="EI",CW4,IF(CW4&lt;17,"alle 17",IF(CW4&lt;21,"17-20",IF(CW4&lt;25,"21-24",IF(CW4&lt;29,"25-28",IF(CW4&lt;50,"29-49","yli 50"))))))</f>
        <v>EI</v>
      </c>
      <c r="CY4" t="str">
        <f>IF(COUNTIFS(JA!$D:$D,AS!$A4&amp;"OK",JA!$Y:$Y,Parkki!$W$6)&gt;0,"OK","EI")</f>
        <v>EI</v>
      </c>
      <c r="CZ4" s="228" t="str">
        <f>IF(COUNTIFS(JA!$D:$D,AS!$A4&amp;"OK",JA!$X:$X,Parkki!$W$5)&gt;0,"OK","EI")</f>
        <v>EI</v>
      </c>
    </row>
    <row r="5" spans="1:104" ht="15.75" x14ac:dyDescent="0.25">
      <c r="A5" t="str">
        <f>IF(Data_TYasiakas!A4="0","",IF(Data_TYasiakas!A4="","",Data_TYasiakas!A4))</f>
        <v/>
      </c>
      <c r="B5" t="str">
        <f>IF(Data_TYasiakas!B4="0","",IF(Data_TYasiakas!B4="","",Data_TYasiakas!B4))</f>
        <v/>
      </c>
      <c r="C5" t="str">
        <f>IF(Data_TYasiakas!C4="0","",IF(Data_TYasiakas!C4="","",Data_TYasiakas!C4))</f>
        <v/>
      </c>
      <c r="D5" s="84" t="str">
        <f>IFERROR(IF(VALUE(Data_TYasiakas!D4)=0,"",VALUE(Data_TYasiakas!D4)),"")</f>
        <v/>
      </c>
      <c r="E5" t="str">
        <f>IF(Data_TYasiakas!E4="0","",IF(Data_TYasiakas!E4="","",Data_TYasiakas!E4))</f>
        <v/>
      </c>
      <c r="F5" t="str">
        <f>IF(Data_TYasiakas!F4="0",$F$1,IF(Data_TYasiakas!F4="",$F$1,IF(Data_TYasiakas!F4=$G$1,F3,Data_TYasiakas!F4)))</f>
        <v>OptionButton_EtMies</v>
      </c>
      <c r="G5" t="str">
        <f>IF(Data_TYasiakas!G4="0","",IF(Data_TYasiakas!G4="","",Data_TYasiakas!G4))</f>
        <v/>
      </c>
      <c r="H5" s="84" t="str">
        <f>IFERROR(IF(VALUE(Data_TYasiakas!H4)=0,"",VALUE(Data_TYasiakas!H4)),"")</f>
        <v/>
      </c>
      <c r="I5" s="84" t="str">
        <f>IFERROR(IF(VALUE(Data_TYasiakas!I4)=0,"",VALUE(Data_TYasiakas!I4)),"")</f>
        <v/>
      </c>
      <c r="J5" t="str">
        <f>IF(Data_TYasiakas!F4="0","",IF(Data_TYasiakas!F4="","",Data_TYasiakas!F4))</f>
        <v/>
      </c>
      <c r="K5" s="228" t="str">
        <f>IF(Data_TYasiakas!K4="0","tyhja",IF(Data_TYasiakas!K4="","tyhja",IF(LEFT(Data_TYasiakas!K4,5)&lt;&gt;"Combo","muut",Data_TYasiakas!K4)))</f>
        <v>tyhja</v>
      </c>
      <c r="L5" s="78">
        <f>Data_TYasiakas!L4</f>
        <v>0</v>
      </c>
      <c r="M5" t="str">
        <f>IF(Data_TYasiakas!M4="0","",IF(Data_TYasiakas!M4="","",Data_TYasiakas!M4))</f>
        <v/>
      </c>
      <c r="N5" t="str">
        <f>IF(Data_TYasiakas!N4="0","",IF(Data_TYasiakas!N4="","",Data_TYasiakas!N4))</f>
        <v/>
      </c>
      <c r="O5" s="84" t="str">
        <f>IFERROR(IF(VALUE(Data_TYasiakas!O4)=0,"",VALUE(Data_TYasiakas!O4)),"")</f>
        <v/>
      </c>
      <c r="P5" s="84" t="str">
        <f>IFERROR(IF(VALUE(Data_TYasiakas!P4)=0,"",VALUE(Data_TYasiakas!P4)),"")</f>
        <v/>
      </c>
      <c r="Q5" s="84" t="str">
        <f>IFERROR(IF(VALUE(Data_TYasiakas!Q4)=0,"",VALUE(Data_TYasiakas!Q4)),"")</f>
        <v/>
      </c>
      <c r="R5" t="str">
        <f>IF(Data_TYasiakas!R4="0","",IF(Data_TYasiakas!R4="","",Data_TYasiakas!R4))</f>
        <v/>
      </c>
      <c r="S5" t="str">
        <f>IF(Data_TYasiakas!S4="0","",IF(Data_TYasiakas!S4="","",Data_TYasiakas!S4))</f>
        <v/>
      </c>
      <c r="T5" t="str">
        <f>IF(Data_TYasiakas!T4="0","",IF(Data_TYasiakas!T4="","",Data_TYasiakas!T4))</f>
        <v/>
      </c>
      <c r="U5" t="str">
        <f>IF(Data_TYasiakas!U4="0","",IF(Data_TYasiakas!U4="","",Data_TYasiakas!U4))</f>
        <v/>
      </c>
      <c r="V5" s="86" t="str">
        <f t="shared" si="2"/>
        <v>OK</v>
      </c>
      <c r="W5">
        <f t="shared" si="3"/>
        <v>1</v>
      </c>
      <c r="X5" s="177" t="str">
        <f t="shared" ca="1" si="4"/>
        <v>EI</v>
      </c>
      <c r="Y5" s="385" t="str">
        <f>IFERROR(INDEX(JA!AH:AH,MATCH(A5,JA!C:C,0)),0)</f>
        <v>EI</v>
      </c>
      <c r="Z5" s="177" t="str">
        <f t="shared" si="5"/>
        <v>EI</v>
      </c>
      <c r="AA5" s="385" t="str">
        <f>IF(V5&lt;&gt;"OK","EI",IFERROR(INDEX(JA!AF:AF,MATCH(A5,JA!C:C,0)),0))</f>
        <v>EI</v>
      </c>
      <c r="AB5" t="str">
        <f t="shared" si="6"/>
        <v>EI</v>
      </c>
      <c r="AC5" s="84" t="str">
        <f t="shared" ca="1" si="7"/>
        <v/>
      </c>
      <c r="AD5" s="84" t="str">
        <f t="shared" si="8"/>
        <v/>
      </c>
      <c r="AE5" s="231" t="str">
        <f t="shared" ca="1" si="9"/>
        <v>EI</v>
      </c>
      <c r="AF5" s="231" t="str">
        <f t="shared" ca="1" si="10"/>
        <v>EI</v>
      </c>
      <c r="AG5" t="str">
        <f t="shared" ca="1" si="11"/>
        <v>EI</v>
      </c>
      <c r="AH5" t="str">
        <f t="shared" ca="1" si="12"/>
        <v>vanha</v>
      </c>
      <c r="AI5" t="str">
        <f t="shared" si="13"/>
        <v>ei kirjattu</v>
      </c>
      <c r="AJ5" t="str">
        <f ca="1">IFERROR(INDEX(TI!$Z:$Z,MATCH($A5,TI!$C:$C,0)),"")</f>
        <v/>
      </c>
      <c r="AK5" t="str">
        <f ca="1">IFERROR(INDEX(TI!AA:AA,MATCH($A5,TI!$C:$C,0)),"")</f>
        <v/>
      </c>
      <c r="AL5" t="str">
        <f ca="1">IFERROR(INDEX(TI!AB:AB,MATCH($A5,TI!$C:$C,0)),"")</f>
        <v/>
      </c>
      <c r="AM5" t="str">
        <f ca="1">IFERROR(INDEX(TI!AC:AC,MATCH($A5,TI!$C:$C,0)),"")</f>
        <v/>
      </c>
      <c r="AN5" t="str">
        <f ca="1">IFERROR(INDEX(TI!AD:AD,MATCH($A5,TI!$C:$C,0)),"")</f>
        <v/>
      </c>
      <c r="AO5" t="str">
        <f ca="1">IFERROR(INDEX(TI!AE:AE,MATCH($A5,TI!$C:$C,0)),"")</f>
        <v/>
      </c>
      <c r="AP5" t="str">
        <f ca="1">IFERROR(INDEX(TI!AF:AF,MATCH($A5,TI!$C:$C,0)),"")</f>
        <v/>
      </c>
      <c r="AQ5" t="str">
        <f ca="1">IFERROR(INDEX(TI!AG:AG,MATCH($A5,TI!$C:$C,0)),"")</f>
        <v/>
      </c>
      <c r="AR5" t="str">
        <f ca="1">IFERROR(INDEX(TI!AH:AH,MATCH($A5,TI!$C:$C,0)),"")</f>
        <v/>
      </c>
      <c r="AS5" t="str">
        <f ca="1">IFERROR(INDEX(TI!AI:AI,MATCH($A5,TI!$C:$C,0)),"")</f>
        <v/>
      </c>
      <c r="AU5">
        <f>IFERROR(MATCH(A5,TP!C:C,0),"")</f>
        <v>3</v>
      </c>
      <c r="AV5" s="86" t="str">
        <f>IFERROR(INDEX(JA!$AJ:$AJ,MATCH(A5,JA!C:C,0)),"")</f>
        <v>EI</v>
      </c>
      <c r="AW5" s="228" t="str">
        <f t="shared" si="14"/>
        <v>tyhja</v>
      </c>
      <c r="AX5" s="177" t="str">
        <f>IFERROR(TRIM(INDEX(JA!CR:CR,MATCH(A5&amp;"OK",JA!D:D,0))),"")</f>
        <v/>
      </c>
      <c r="AY5" s="177" t="str">
        <f ca="1">IFERROR(INDEX(JA!AS:AS,CD5),"ComboBox_TySijoittuminen#ei tietoa")</f>
        <v>ComboBox_TySijoittuminen#ei tietoa</v>
      </c>
      <c r="AZ5">
        <f t="shared" ca="1" si="15"/>
        <v>1</v>
      </c>
      <c r="BA5" t="str">
        <f t="shared" si="16"/>
        <v/>
      </c>
      <c r="BB5" t="str">
        <f t="shared" si="17"/>
        <v/>
      </c>
      <c r="BC5">
        <f>IFERROR(INDEX(JA!AM:AM,MATCH($A5,JA!$C:$C,0)),"EI")</f>
        <v>0</v>
      </c>
      <c r="BD5" t="str">
        <f>IFERROR(INDEX(JA!AN:AN,MATCH($A5,JA!$C:$C,0)),"EI")</f>
        <v>EI</v>
      </c>
      <c r="BE5" t="str">
        <f ca="1">IFERROR(TRIM(INDEX(JA!AW:AW,CD5)),"EI")</f>
        <v>EI</v>
      </c>
      <c r="BF5">
        <f>IFERROR(MATCH(A5,JA!C:C,0),"EI")</f>
        <v>3</v>
      </c>
      <c r="BG5" s="385" t="str">
        <f t="shared" ca="1" si="18"/>
        <v>EI</v>
      </c>
      <c r="BH5" s="385" t="str">
        <f t="shared" ca="1" si="19"/>
        <v>EI</v>
      </c>
      <c r="BI5" t="str">
        <f t="shared" ca="1" si="20"/>
        <v>vanha</v>
      </c>
      <c r="BJ5">
        <f>MATCH($A5,JA!$C:$C,0)</f>
        <v>3</v>
      </c>
      <c r="BK5" t="e">
        <f ca="1">INDEX(JA!BB:BB,AS!BJ5)</f>
        <v>#VALUE!</v>
      </c>
      <c r="BL5" s="80" t="e">
        <f ca="1">INDEX(JA!AY:AY,AS!BK5)</f>
        <v>#VALUE!</v>
      </c>
      <c r="BM5" s="80" t="str">
        <f ca="1">IFERROR(INDEX(JA!BA:BA,AS!BJ5),"")</f>
        <v/>
      </c>
      <c r="BN5" t="str">
        <f t="shared" ca="1" si="21"/>
        <v>EI</v>
      </c>
      <c r="BO5" s="80">
        <f t="shared" ca="1" si="22"/>
        <v>0</v>
      </c>
      <c r="BP5" t="str">
        <f t="shared" ca="1" si="23"/>
        <v>EI</v>
      </c>
      <c r="BQ5" t="str">
        <f t="shared" ca="1" si="24"/>
        <v>EI</v>
      </c>
      <c r="BR5" t="str">
        <f t="shared" ca="1" si="25"/>
        <v>EI</v>
      </c>
      <c r="BS5" t="str">
        <f t="shared" ca="1" si="26"/>
        <v>EI</v>
      </c>
      <c r="BT5" t="str">
        <f t="shared" ca="1" si="27"/>
        <v>EI</v>
      </c>
      <c r="BU5" t="str">
        <f t="shared" ca="1" si="28"/>
        <v>EI</v>
      </c>
      <c r="BV5" t="str">
        <f t="shared" ca="1" si="29"/>
        <v>EI</v>
      </c>
      <c r="BW5" t="str">
        <f t="shared" ca="1" si="30"/>
        <v>EI</v>
      </c>
      <c r="BX5" t="str">
        <f t="shared" ca="1" si="31"/>
        <v>EI</v>
      </c>
      <c r="BY5" t="str">
        <f t="shared" ca="1" si="32"/>
        <v>EI</v>
      </c>
      <c r="BZ5" t="str">
        <f t="shared" ca="1" si="33"/>
        <v>EI</v>
      </c>
      <c r="CA5" t="str">
        <f t="shared" ca="1" si="34"/>
        <v>EI</v>
      </c>
      <c r="CB5" t="str">
        <f>INDEX(TP!AF:AF,MATCH(A5,TP!C:C,0))</f>
        <v>EI</v>
      </c>
      <c r="CC5">
        <f>MATCH($A5,JA!$C:$C,0)</f>
        <v>3</v>
      </c>
      <c r="CD5" t="e">
        <f ca="1">INDEX(JA!BH:BH,AS!BJ5)</f>
        <v>#VALUE!</v>
      </c>
      <c r="CE5" s="80" t="e">
        <f ca="1">INDEX(JA!BF:BF,AS!CD5)</f>
        <v>#VALUE!</v>
      </c>
      <c r="CF5" s="80" t="e">
        <f ca="1">INDEX(JA!BG:BG,AS!CC5)</f>
        <v>#VALUE!</v>
      </c>
      <c r="CG5" t="e">
        <f t="shared" ca="1" si="35"/>
        <v>#VALUE!</v>
      </c>
      <c r="CH5" t="str">
        <f>INDEX(JA!$CL:$CL,MATCH($A5,JA!$C:$C,0))</f>
        <v>EI</v>
      </c>
      <c r="CI5" t="str">
        <f>INDEX(JA!CN:CN,MATCH($A5,JA!$C:$C,0))</f>
        <v>EI</v>
      </c>
      <c r="CJ5" s="499" t="str">
        <f>IFERROR(IF(CI5="OK",INDEX(JA!CP:CP,MATCH(A5,JA!C:C,0)),""),0)</f>
        <v/>
      </c>
      <c r="CK5" t="str">
        <f t="shared" si="36"/>
        <v>EI</v>
      </c>
      <c r="CL5" t="str">
        <f t="shared" si="37"/>
        <v>EI</v>
      </c>
      <c r="CM5" t="str">
        <f t="shared" si="38"/>
        <v>EI</v>
      </c>
      <c r="CN5" t="str">
        <f t="shared" si="39"/>
        <v>EI</v>
      </c>
      <c r="CO5" t="str">
        <f t="shared" si="40"/>
        <v>EI</v>
      </c>
      <c r="CP5" t="str">
        <f t="shared" si="41"/>
        <v>EI</v>
      </c>
      <c r="CQ5" t="str">
        <f t="shared" si="42"/>
        <v>EI</v>
      </c>
      <c r="CR5" t="str">
        <f t="shared" si="43"/>
        <v>EI</v>
      </c>
      <c r="CS5" t="str">
        <f t="shared" si="44"/>
        <v>EI</v>
      </c>
      <c r="CT5" t="str">
        <f t="shared" si="45"/>
        <v>EI</v>
      </c>
      <c r="CU5" t="str">
        <f t="shared" si="46"/>
        <v>EI</v>
      </c>
      <c r="CV5" t="str">
        <f t="shared" si="47"/>
        <v>EI</v>
      </c>
      <c r="CW5" t="str">
        <f t="shared" ca="1" si="48"/>
        <v>EI</v>
      </c>
      <c r="CX5" t="str">
        <f t="shared" ca="1" si="49"/>
        <v>EI</v>
      </c>
      <c r="CY5" t="str">
        <f>IF(COUNTIFS(JA!$D:$D,AS!$A5&amp;"OK",JA!$Y:$Y,Parkki!$W$6)&gt;0,"OK","EI")</f>
        <v>EI</v>
      </c>
      <c r="CZ5" s="228" t="str">
        <f>IF(COUNTIFS(JA!$D:$D,AS!$A5&amp;"OK",JA!$X:$X,Parkki!$W$5)&gt;0,"OK","EI")</f>
        <v>EI</v>
      </c>
    </row>
  </sheetData>
  <autoFilter ref="A2:CZ1506" xr:uid="{00000000-0001-0000-0800-000000000000}"/>
  <conditionalFormatting sqref="AE1">
    <cfRule type="containsText" dxfId="17" priority="1" operator="containsText" text="E">
      <formula>NOT(ISERROR(SEARCH("E",AE1)))</formula>
    </cfRule>
  </conditionalFormatting>
  <conditionalFormatting sqref="AF1">
    <cfRule type="containsText" dxfId="16" priority="2" operator="containsText" text="E">
      <formula>NOT(ISERROR(SEARCH("E",AF1)))</formula>
    </cfRule>
  </conditionalFormatting>
  <pageMargins left="0.7" right="0.7" top="0.75" bottom="0.83333333333333337" header="0" footer="0"/>
  <pageSetup paperSize="9" orientation="portrait" r:id="rId1"/>
  <headerFooter>
    <oddFooter>&amp;L 
PAR työpaja
osoitettie
0100, paikka&amp;C&amp;G&amp;R&amp;P/&amp;N</oddFooter>
  </headerFooter>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ul11">
    <tabColor rgb="FFFFC000"/>
  </sheetPr>
  <dimension ref="A1:AV5"/>
  <sheetViews>
    <sheetView zoomScaleNormal="100" workbookViewId="0">
      <selection activeCell="A6" sqref="A6:XFD197"/>
    </sheetView>
  </sheetViews>
  <sheetFormatPr defaultColWidth="9.140625" defaultRowHeight="15" x14ac:dyDescent="0.25"/>
  <cols>
    <col min="1" max="2" width="10.42578125" style="78" customWidth="1"/>
    <col min="3" max="3" width="19.42578125" style="78" customWidth="1"/>
    <col min="4" max="5" width="19.5703125" style="805" customWidth="1"/>
    <col min="6" max="6" width="10.42578125" style="78" customWidth="1"/>
    <col min="7" max="7" width="10.42578125" style="797" customWidth="1"/>
    <col min="8" max="10" width="19.5703125" style="805" customWidth="1"/>
    <col min="11" max="12" width="22.140625" style="78" bestFit="1" customWidth="1"/>
    <col min="13" max="13" width="20.7109375" style="631" customWidth="1"/>
    <col min="14" max="14" width="24.7109375" bestFit="1" customWidth="1"/>
    <col min="15" max="15" width="9.5703125" customWidth="1"/>
    <col min="16" max="16" width="10.85546875" bestFit="1" customWidth="1"/>
    <col min="17" max="17" width="18.42578125" customWidth="1"/>
    <col min="18" max="18" width="9.5703125" customWidth="1"/>
    <col min="19" max="20" width="5.85546875" customWidth="1"/>
    <col min="21" max="21" width="21" customWidth="1"/>
    <col min="22" max="22" width="22.140625" customWidth="1"/>
    <col min="23" max="25" width="7.7109375" customWidth="1"/>
    <col min="26" max="30" width="16.140625" style="804" customWidth="1"/>
    <col min="31" max="34" width="21.42578125" style="804" customWidth="1"/>
    <col min="35" max="35" width="21.42578125" style="805" customWidth="1"/>
    <col min="36" max="46" width="9.140625" style="78"/>
    <col min="47" max="47" width="12.5703125" style="78" customWidth="1"/>
    <col min="49" max="16384" width="9.140625" style="78"/>
  </cols>
  <sheetData>
    <row r="1" spans="1:47" s="79" customFormat="1" x14ac:dyDescent="0.25">
      <c r="A1" s="66"/>
      <c r="B1" s="66"/>
      <c r="C1" s="811"/>
      <c r="D1" s="811" t="s">
        <v>1510</v>
      </c>
      <c r="E1" s="808"/>
      <c r="H1" s="808"/>
      <c r="I1" s="808"/>
      <c r="J1" s="808"/>
      <c r="O1" s="302">
        <v>1</v>
      </c>
      <c r="P1" s="120">
        <f>Asiakastilastot!$A$2</f>
        <v>46023</v>
      </c>
      <c r="Q1" s="120">
        <f>Asiakastilastot!$A$3</f>
        <v>46387</v>
      </c>
      <c r="R1" s="80"/>
      <c r="S1"/>
      <c r="T1"/>
      <c r="U1" s="78"/>
      <c r="V1" s="78"/>
      <c r="W1" s="78"/>
      <c r="X1" s="78"/>
      <c r="Y1" s="78"/>
      <c r="Z1" s="800" t="s">
        <v>356</v>
      </c>
      <c r="AA1" s="801" t="s">
        <v>1320</v>
      </c>
      <c r="AB1" s="800" t="s">
        <v>1236</v>
      </c>
      <c r="AC1" s="800" t="s">
        <v>1268</v>
      </c>
      <c r="AD1" s="800" t="s">
        <v>1292</v>
      </c>
      <c r="AE1" s="800" t="s">
        <v>356</v>
      </c>
      <c r="AF1" s="801" t="s">
        <v>1320</v>
      </c>
      <c r="AG1" s="800" t="s">
        <v>1236</v>
      </c>
      <c r="AH1" s="800" t="s">
        <v>1268</v>
      </c>
      <c r="AI1" s="800" t="s">
        <v>1292</v>
      </c>
      <c r="AJ1" s="226">
        <f ca="1">SUMIF(AK:AK,1)</f>
        <v>0</v>
      </c>
      <c r="AK1" s="226">
        <f ca="1">SUMIF(AL:AL,1)</f>
        <v>0</v>
      </c>
      <c r="AL1" s="226">
        <f ca="1">SUMIF(AM:AM,1)</f>
        <v>0</v>
      </c>
      <c r="AM1" s="226">
        <f ca="1">SUMIF(AN:AN,1)</f>
        <v>0</v>
      </c>
      <c r="AN1" s="225"/>
      <c r="AO1" s="87" t="s">
        <v>1422</v>
      </c>
      <c r="AP1" s="86"/>
      <c r="AQ1" s="86"/>
      <c r="AR1" s="85"/>
      <c r="AS1" s="85"/>
      <c r="AT1" s="85"/>
    </row>
    <row r="2" spans="1:47" s="79" customFormat="1" x14ac:dyDescent="0.25">
      <c r="A2" s="224" t="s">
        <v>1511</v>
      </c>
      <c r="B2" s="224" t="s">
        <v>1512</v>
      </c>
      <c r="C2" s="224" t="s">
        <v>1513</v>
      </c>
      <c r="D2" s="809" t="s">
        <v>1422</v>
      </c>
      <c r="E2" s="809" t="s">
        <v>1423</v>
      </c>
      <c r="F2" s="798" t="s">
        <v>1514</v>
      </c>
      <c r="G2" s="799" t="s">
        <v>1515</v>
      </c>
      <c r="H2" s="809" t="s">
        <v>1424</v>
      </c>
      <c r="I2" s="809" t="s">
        <v>1425</v>
      </c>
      <c r="J2" s="809" t="s">
        <v>1426</v>
      </c>
      <c r="K2" s="807" t="s">
        <v>1516</v>
      </c>
      <c r="L2" s="79" t="s">
        <v>1517</v>
      </c>
      <c r="M2" s="670" t="s">
        <v>1518</v>
      </c>
      <c r="N2" s="795" t="s">
        <v>1519</v>
      </c>
      <c r="O2" s="216" t="s">
        <v>1520</v>
      </c>
      <c r="P2" s="216" t="s">
        <v>1521</v>
      </c>
      <c r="Q2" s="216" t="s">
        <v>1522</v>
      </c>
      <c r="R2" s="216" t="s">
        <v>1523</v>
      </c>
      <c r="S2" s="216" t="s">
        <v>1524</v>
      </c>
      <c r="T2" s="216" t="s">
        <v>1525</v>
      </c>
      <c r="U2" s="302" t="s">
        <v>1526</v>
      </c>
      <c r="V2" s="224" t="s">
        <v>1527</v>
      </c>
      <c r="W2" s="796" t="s">
        <v>1528</v>
      </c>
      <c r="X2" s="224" t="s">
        <v>1529</v>
      </c>
      <c r="Y2" s="224" t="s">
        <v>1530</v>
      </c>
      <c r="Z2" s="802" t="s">
        <v>1480</v>
      </c>
      <c r="AA2" s="802" t="s">
        <v>1481</v>
      </c>
      <c r="AB2" s="802" t="s">
        <v>1482</v>
      </c>
      <c r="AC2" s="802" t="s">
        <v>1483</v>
      </c>
      <c r="AD2" s="802" t="s">
        <v>1484</v>
      </c>
      <c r="AE2" s="806" t="s">
        <v>1531</v>
      </c>
      <c r="AF2" s="806" t="s">
        <v>1532</v>
      </c>
      <c r="AG2" s="806" t="s">
        <v>1533</v>
      </c>
      <c r="AH2" s="806" t="s">
        <v>1534</v>
      </c>
      <c r="AI2" s="806" t="s">
        <v>1535</v>
      </c>
      <c r="AJ2" s="216" t="s">
        <v>1480</v>
      </c>
      <c r="AK2" s="216" t="s">
        <v>1481</v>
      </c>
      <c r="AL2" s="216" t="s">
        <v>1482</v>
      </c>
      <c r="AM2" s="216" t="s">
        <v>1483</v>
      </c>
      <c r="AN2" s="216" t="s">
        <v>1484</v>
      </c>
      <c r="AO2" s="88" t="s">
        <v>1536</v>
      </c>
      <c r="AP2" s="88" t="s">
        <v>1537</v>
      </c>
      <c r="AQ2" s="88" t="s">
        <v>1538</v>
      </c>
      <c r="AR2" s="88" t="s">
        <v>1539</v>
      </c>
      <c r="AS2" s="88" t="s">
        <v>1540</v>
      </c>
      <c r="AT2" s="88" t="s">
        <v>1538</v>
      </c>
      <c r="AU2" s="87" t="s">
        <v>349</v>
      </c>
    </row>
    <row r="3" spans="1:47" x14ac:dyDescent="0.25">
      <c r="A3" t="str">
        <f>IF(Data_TYtilanne!A2="0","",IF(Data_TYtilanne!A2="","",Data_TYtilanne!A2))</f>
        <v/>
      </c>
      <c r="B3" t="str">
        <f>IF(Data_TYtilanne!B2="0","",IF(Data_TYtilanne!B2="","",Data_TYtilanne!B2))</f>
        <v/>
      </c>
      <c r="C3" t="str">
        <f>IF(Data_TYtilanne!C2="0","",IF(Data_TYtilanne!C2="","",Data_TYtilanne!C2))</f>
        <v/>
      </c>
      <c r="D3" s="803" t="str">
        <f>IF(Data_TYtilanne!$C1&lt;&gt;Data_TYtilanne!$C2,IF(Data_TYtilanne!D2="","",Data_TYtilanne!D2),IF(Data_TYtilanne!D2="",IF(D2="","",D2),Data_TYtilanne!D2))</f>
        <v/>
      </c>
      <c r="E3" s="803" t="str">
        <f>IF(Data_TYtilanne!$C1&lt;&gt;Data_TYtilanne!$C2,IF(Data_TYtilanne!E2="","",Data_TYtilanne!E2),IF(Data_TYtilanne!E2="",IF(E2="","",E2),Data_TYtilanne!E2))</f>
        <v/>
      </c>
      <c r="F3" s="797" t="e">
        <f>IF(_xlfn.DAYS($P$1,K3)&lt;0,_xlfn.DAYS($P$1,K3)*-1,_xlfn.DAYS($P$1,K3))</f>
        <v>#VALUE!</v>
      </c>
      <c r="G3" t="str">
        <f ca="1">IFERROR(MIN(INDIRECT("F"&amp;S3&amp;":F"&amp;T3)),"")</f>
        <v/>
      </c>
      <c r="H3" s="803" t="str">
        <f>IF(Data_TYtilanne!$C1&lt;&gt;Data_TYtilanne!$C2,IF(Data_TYtilanne!H2="","",Data_TYtilanne!H2),IF(Data_TYtilanne!H2="",IF(H2="","",H2),Data_TYtilanne!H2))</f>
        <v/>
      </c>
      <c r="I3" s="803" t="str">
        <f>IF(Data_TYtilanne!$C1&lt;&gt;Data_TYtilanne!$C2,IF(Data_TYtilanne!I2="","",Data_TYtilanne!I2),IF(Data_TYtilanne!I2="",IF(I2="","",I2),Data_TYtilanne!I2))</f>
        <v/>
      </c>
      <c r="J3" s="803" t="str">
        <f>IF(Data_TYtilanne!$C1&lt;&gt;Data_TYtilanne!$C2,IF(Data_TYtilanne!J2="","",Data_TYtilanne!J2),IF(Data_TYtilanne!J2="",IF(J2="","",J2),Data_TYtilanne!J2))</f>
        <v/>
      </c>
      <c r="K3" s="631" t="str">
        <f>IF(L3="",M3,L3)</f>
        <v/>
      </c>
      <c r="L3" s="631" t="str">
        <f>IFERROR(VALUE(IF(Data_TYtilanne!O2="0","",IF(Data_TYtilanne!O2="","",Data_TYtilanne!O2))),"")</f>
        <v/>
      </c>
      <c r="M3" s="631" t="str">
        <f>IFERROR(VALUE(IF(Data_TYtilanne!M2="0","",IF(Data_TYtilanne!M2="","",Data_TYtilanne!M2))),"")</f>
        <v/>
      </c>
      <c r="N3" s="631" t="str">
        <f>IFERROR(VALUE(IF(Data_TYtilanne!N2="0","",IF(Data_TYtilanne!N2="","",Data_TYtilanne!N2))),"")</f>
        <v/>
      </c>
      <c r="O3">
        <f>$O$1</f>
        <v>1</v>
      </c>
      <c r="P3">
        <f>ROW()</f>
        <v>3</v>
      </c>
      <c r="Q3">
        <f>COUNTIF($C$2:C3,C3)</f>
        <v>1</v>
      </c>
      <c r="R3">
        <f>COUNTIFS(C:C,C3)</f>
        <v>1048575</v>
      </c>
      <c r="S3">
        <f>SUMIFS(P:P,C:C,C3,Q:Q,1)</f>
        <v>3</v>
      </c>
      <c r="T3">
        <f>SUMIFS(P:P,C:C,C3,Q:Q,R3)</f>
        <v>0</v>
      </c>
      <c r="U3" t="str">
        <f ca="1">IFERROR(INDEX(INDIRECT(CONCATENATE("P",S3,":","P",T3)),MATCH(G3,INDIRECT(CONCATENATE("F",S3,":","F",T3)),0)),"")</f>
        <v/>
      </c>
      <c r="V3" t="str">
        <f>IF(Data_TYtilanne!F2="0","",IF(Data_TYtilanne!F2="","",Data_TYtilanne!F2))</f>
        <v/>
      </c>
      <c r="W3" t="str">
        <f>IF(Data_TYtilanne!G2="0","",IF(Data_TYtilanne!G2="","",Data_TYtilanne!G2))</f>
        <v/>
      </c>
      <c r="X3" t="str">
        <f>IF(Data_TYtilanne!K2="0","",IF(Data_TYtilanne!K2="","",Data_TYtilanne!K2))</f>
        <v/>
      </c>
      <c r="Y3" t="str">
        <f>IF(Data_TYtilanne!L2="0","",IF(Data_TYtilanne!L2="","",Data_TYtilanne!L2))</f>
        <v/>
      </c>
      <c r="Z3" s="803" t="e" cm="1">
        <f t="array" aca="1" ref="Z3" ca="1">IF(LEFT(INDEX(D:D,$U3),5)="Combo",INDEX(D:D,$U3),IF(INDEX(D:D,$U3)="","",Z$1))</f>
        <v>#VALUE!</v>
      </c>
      <c r="AA3" s="803" t="e" cm="1">
        <f t="array" aca="1" ref="AA3" ca="1">IF(LEFT(INDEX(E:E,$U3),5)="Combo",INDEX(E:E,$U3),IF(INDEX(E:E,$U3)="","",AA$1))</f>
        <v>#VALUE!</v>
      </c>
      <c r="AB3" s="803" t="e" cm="1">
        <f t="array" aca="1" ref="AB3" ca="1">IF(LEFT(INDEX(H:H,$U3),5)="Combo",INDEX(H:H,$U3),IF(INDEX(H:H,$U3)="","",AB$1))</f>
        <v>#VALUE!</v>
      </c>
      <c r="AC3" s="803" t="e" cm="1">
        <f t="array" aca="1" ref="AC3" ca="1">IF(LEFT(INDEX(I:I,$U3),5)="Combo",INDEX(I:I,$U3),IF(INDEX(I:I,$U3)="","",AC$1))</f>
        <v>#VALUE!</v>
      </c>
      <c r="AD3" s="803" t="e" cm="1">
        <f t="array" aca="1" ref="AD3" ca="1">IF(LEFT(INDEX(J:J,$U3),5)="Combo",INDEX(J:J,$U3),IF(INDEX(J:J,$U3)="","",AD$1))</f>
        <v>#VALUE!</v>
      </c>
      <c r="AE3" s="803" t="e" cm="1" vm="1">
        <f t="array" aca="1" ref="AE3" ca="1">IF(LEFT(INDEX(D:D,$T3),5)="Combo",INDEX(D:D,$T3),IF(INDEX(D:D,$T3)="","",AE$1))</f>
        <v>#VALUE!</v>
      </c>
      <c r="AF3" s="803" t="e" cm="1" vm="1">
        <f t="array" aca="1" ref="AF3" ca="1">IF(LEFT(INDEX(E:E,$T3),5)="Combo",INDEX(E:E,$T3),IF(INDEX(E:E,$T3)="","",AF$1))</f>
        <v>#VALUE!</v>
      </c>
      <c r="AG3" s="803" t="e" cm="1" vm="1">
        <f t="array" aca="1" ref="AG3" ca="1">IF(LEFT(INDEX(H:H,$T3),5)="Combo",INDEX(H:H,$T3),IF(INDEX(H:H,$T3)="","",AG$1))</f>
        <v>#VALUE!</v>
      </c>
      <c r="AH3" s="803" t="e" cm="1" vm="1">
        <f t="array" aca="1" ref="AH3" ca="1">IF(LEFT(INDEX(I:I,$T3),5)="Combo",INDEX(I:I,$T3),IF(INDEX(I:I,$T3)="","",AH$1))</f>
        <v>#VALUE!</v>
      </c>
      <c r="AI3" s="803" t="e" cm="1" vm="1">
        <f t="array" aca="1" ref="AI3" ca="1">IF(LEFT(INDEX(J:J,$T3),5)="Combo",INDEX(J:J,$T3),IF(INDEX(J:J,$T3)="","",AI$1))</f>
        <v>#VALUE!</v>
      </c>
      <c r="AJ3" t="e">
        <f ca="1">IF(Z3=AE3,0,1)</f>
        <v>#VALUE!</v>
      </c>
      <c r="AK3" t="e">
        <f ca="1">IF(AA3=AF3,0,1)</f>
        <v>#VALUE!</v>
      </c>
      <c r="AL3" t="e">
        <f ca="1">IF(AB3=AG3,0,1)</f>
        <v>#VALUE!</v>
      </c>
      <c r="AM3" t="e">
        <f ca="1">IF(AC3=AH3,0,1)</f>
        <v>#VALUE!</v>
      </c>
      <c r="AN3" t="e">
        <f ca="1">IF(AD3=AI3,0,1)</f>
        <v>#VALUE!</v>
      </c>
      <c r="AO3" t="str">
        <f>INDEX($D:$D,S3)</f>
        <v/>
      </c>
      <c r="AP3" t="str">
        <f>INDEX($D:$D,T3)</f>
        <v/>
      </c>
      <c r="AQ3">
        <f>IF(AO3=AP3,0,1)</f>
        <v>0</v>
      </c>
      <c r="AR3" t="str">
        <f>INDEX($E:$E,S3)</f>
        <v/>
      </c>
      <c r="AS3" t="str">
        <f>INDEX($E:$E,T3)</f>
        <v/>
      </c>
      <c r="AT3">
        <f>IF(AR3=AS3,0,1)</f>
        <v>0</v>
      </c>
      <c r="AU3" t="str">
        <f>INDEX(AS!$K:$K,MATCH($C3,AS!$A:$A,0))</f>
        <v>tyhja</v>
      </c>
    </row>
    <row r="4" spans="1:47" x14ac:dyDescent="0.25">
      <c r="A4" t="str">
        <f>IF(Data_TYtilanne!A3="0","",IF(Data_TYtilanne!A3="","",Data_TYtilanne!A3))</f>
        <v/>
      </c>
      <c r="B4" t="str">
        <f>IF(Data_TYtilanne!B3="0","",IF(Data_TYtilanne!B3="","",Data_TYtilanne!B3))</f>
        <v/>
      </c>
      <c r="C4" t="str">
        <f>IF(Data_TYtilanne!C3="0","",IF(Data_TYtilanne!C3="","",Data_TYtilanne!C3))</f>
        <v/>
      </c>
      <c r="D4" s="803" t="str">
        <f>IF(Data_TYtilanne!$C2&lt;&gt;Data_TYtilanne!$C3,IF(Data_TYtilanne!D3="","",Data_TYtilanne!D3),IF(Data_TYtilanne!D3="",IF(D3="","",D3),Data_TYtilanne!D3))</f>
        <v/>
      </c>
      <c r="E4" s="803" t="str">
        <f>IF(Data_TYtilanne!$C2&lt;&gt;Data_TYtilanne!$C3,IF(Data_TYtilanne!E3="","",Data_TYtilanne!E3),IF(Data_TYtilanne!E3="",IF(E3="","",E3),Data_TYtilanne!E3))</f>
        <v/>
      </c>
      <c r="F4" s="797" t="e">
        <f t="shared" ref="F4:F5" si="0">IF(_xlfn.DAYS($P$1,K4)&lt;0,_xlfn.DAYS($P$1,K4)*-1,_xlfn.DAYS($P$1,K4))</f>
        <v>#VALUE!</v>
      </c>
      <c r="G4" t="str">
        <f t="shared" ref="G4:G5" ca="1" si="1">IFERROR(MIN(INDIRECT("F"&amp;S4&amp;":F"&amp;T4)),"")</f>
        <v/>
      </c>
      <c r="H4" s="803" t="str">
        <f>IF(Data_TYtilanne!$C2&lt;&gt;Data_TYtilanne!$C3,IF(Data_TYtilanne!H3="","",Data_TYtilanne!H3),IF(Data_TYtilanne!H3="",IF(H3="","",H3),Data_TYtilanne!H3))</f>
        <v/>
      </c>
      <c r="I4" s="803" t="str">
        <f>IF(Data_TYtilanne!$C2&lt;&gt;Data_TYtilanne!$C3,IF(Data_TYtilanne!I3="","",Data_TYtilanne!I3),IF(Data_TYtilanne!I3="",IF(I3="","",I3),Data_TYtilanne!I3))</f>
        <v/>
      </c>
      <c r="J4" s="803" t="str">
        <f>IF(Data_TYtilanne!$C2&lt;&gt;Data_TYtilanne!$C3,IF(Data_TYtilanne!J3="","",Data_TYtilanne!J3),IF(Data_TYtilanne!J3="",IF(J3="","",J3),Data_TYtilanne!J3))</f>
        <v/>
      </c>
      <c r="K4" s="631" t="str">
        <f t="shared" ref="K4:K5" si="2">IF(L4="",M4,L4)</f>
        <v/>
      </c>
      <c r="L4" s="631" t="str">
        <f>IFERROR(VALUE(IF(Data_TYtilanne!O3="0","",IF(Data_TYtilanne!O3="","",Data_TYtilanne!O3))),"")</f>
        <v/>
      </c>
      <c r="M4" s="631" t="str">
        <f>IFERROR(VALUE(IF(Data_TYtilanne!M3="0","",IF(Data_TYtilanne!M3="","",Data_TYtilanne!M3))),"")</f>
        <v/>
      </c>
      <c r="N4" s="631" t="str">
        <f>IFERROR(VALUE(IF(Data_TYtilanne!N3="0","",IF(Data_TYtilanne!N3="","",Data_TYtilanne!N3))),"")</f>
        <v/>
      </c>
      <c r="O4">
        <f t="shared" ref="O4:O5" si="3">$O$1</f>
        <v>1</v>
      </c>
      <c r="P4">
        <f>ROW()</f>
        <v>4</v>
      </c>
      <c r="Q4">
        <f>COUNTIF($C$2:C4,C4)</f>
        <v>2</v>
      </c>
      <c r="R4">
        <f t="shared" ref="R4:R5" si="4">COUNTIFS(C:C,C4)</f>
        <v>1048575</v>
      </c>
      <c r="S4">
        <f t="shared" ref="S4:S5" si="5">SUMIFS(P:P,C:C,C4,Q:Q,1)</f>
        <v>3</v>
      </c>
      <c r="T4">
        <f t="shared" ref="T4:T5" si="6">SUMIFS(P:P,C:C,C4,Q:Q,R4)</f>
        <v>0</v>
      </c>
      <c r="U4" t="str">
        <f t="shared" ref="U4:U5" ca="1" si="7">IFERROR(INDEX(INDIRECT(CONCATENATE("P",S4,":","P",T4)),MATCH(G4,INDIRECT(CONCATENATE("F",S4,":","F",T4)),0)),"")</f>
        <v/>
      </c>
      <c r="V4" t="str">
        <f>IF(Data_TYtilanne!F3="0","",IF(Data_TYtilanne!F3="","",Data_TYtilanne!F3))</f>
        <v/>
      </c>
      <c r="W4" t="str">
        <f>IF(Data_TYtilanne!G3="0","",IF(Data_TYtilanne!G3="","",Data_TYtilanne!G3))</f>
        <v/>
      </c>
      <c r="X4" t="str">
        <f>IF(Data_TYtilanne!K3="0","",IF(Data_TYtilanne!K3="","",Data_TYtilanne!K3))</f>
        <v/>
      </c>
      <c r="Y4" t="str">
        <f>IF(Data_TYtilanne!L3="0","",IF(Data_TYtilanne!L3="","",Data_TYtilanne!L3))</f>
        <v/>
      </c>
      <c r="Z4" s="803" t="e" cm="1">
        <f t="array" aca="1" ref="Z4" ca="1">IF(LEFT(INDEX(D:D,$U4),5)="Combo",INDEX(D:D,$U4),IF(INDEX(D:D,$U4)="","",Z$1))</f>
        <v>#VALUE!</v>
      </c>
      <c r="AA4" s="803" t="e" cm="1">
        <f t="array" aca="1" ref="AA4" ca="1">IF(LEFT(INDEX(E:E,$U4),5)="Combo",INDEX(E:E,$U4),IF(INDEX(E:E,$U4)="","",AA$1))</f>
        <v>#VALUE!</v>
      </c>
      <c r="AB4" s="803" t="e" cm="1">
        <f t="array" aca="1" ref="AB4" ca="1">IF(LEFT(INDEX(H:H,$U4),5)="Combo",INDEX(H:H,$U4),IF(INDEX(H:H,$U4)="","",AB$1))</f>
        <v>#VALUE!</v>
      </c>
      <c r="AC4" s="803" t="e" cm="1">
        <f t="array" aca="1" ref="AC4" ca="1">IF(LEFT(INDEX(I:I,$U4),5)="Combo",INDEX(I:I,$U4),IF(INDEX(I:I,$U4)="","",AC$1))</f>
        <v>#VALUE!</v>
      </c>
      <c r="AD4" s="803" t="e" cm="1">
        <f t="array" aca="1" ref="AD4" ca="1">IF(LEFT(INDEX(J:J,$U4),5)="Combo",INDEX(J:J,$U4),IF(INDEX(J:J,$U4)="","",AD$1))</f>
        <v>#VALUE!</v>
      </c>
      <c r="AE4" s="803" t="e" cm="1" vm="1">
        <f t="array" aca="1" ref="AE4" ca="1">IF(LEFT(INDEX(D:D,$T4),5)="Combo",INDEX(D:D,$T4),IF(INDEX(D:D,$T4)="","",AE$1))</f>
        <v>#VALUE!</v>
      </c>
      <c r="AF4" s="803" t="e" cm="1" vm="1">
        <f t="array" aca="1" ref="AF4" ca="1">IF(LEFT(INDEX(E:E,$T4),5)="Combo",INDEX(E:E,$T4),IF(INDEX(E:E,$T4)="","",AF$1))</f>
        <v>#VALUE!</v>
      </c>
      <c r="AG4" s="803" t="e" cm="1" vm="1">
        <f t="array" aca="1" ref="AG4" ca="1">IF(LEFT(INDEX(H:H,$T4),5)="Combo",INDEX(H:H,$T4),IF(INDEX(H:H,$T4)="","",AG$1))</f>
        <v>#VALUE!</v>
      </c>
      <c r="AH4" s="803" t="e" cm="1" vm="1">
        <f t="array" aca="1" ref="AH4" ca="1">IF(LEFT(INDEX(I:I,$T4),5)="Combo",INDEX(I:I,$T4),IF(INDEX(I:I,$T4)="","",AH$1))</f>
        <v>#VALUE!</v>
      </c>
      <c r="AI4" s="803" t="e" cm="1" vm="1">
        <f t="array" aca="1" ref="AI4" ca="1">IF(LEFT(INDEX(J:J,$T4),5)="Combo",INDEX(J:J,$T4),IF(INDEX(J:J,$T4)="","",AI$1))</f>
        <v>#VALUE!</v>
      </c>
      <c r="AJ4" t="e">
        <f t="shared" ref="AJ4:AJ5" ca="1" si="8">IF(Z4=AE4,0,1)</f>
        <v>#VALUE!</v>
      </c>
      <c r="AK4" t="e">
        <f t="shared" ref="AK4:AK5" ca="1" si="9">IF(AA4=AF4,0,1)</f>
        <v>#VALUE!</v>
      </c>
      <c r="AL4" t="e">
        <f t="shared" ref="AL4:AL5" ca="1" si="10">IF(AB4=AG4,0,1)</f>
        <v>#VALUE!</v>
      </c>
      <c r="AM4" t="e">
        <f t="shared" ref="AM4:AM5" ca="1" si="11">IF(AC4=AH4,0,1)</f>
        <v>#VALUE!</v>
      </c>
      <c r="AN4" t="e">
        <f t="shared" ref="AN4:AN5" ca="1" si="12">IF(AD4=AI4,0,1)</f>
        <v>#VALUE!</v>
      </c>
      <c r="AO4" t="str">
        <f t="shared" ref="AO4:AO5" si="13">INDEX($D:$D,S4)</f>
        <v/>
      </c>
      <c r="AP4" t="str">
        <f t="shared" ref="AP4:AP5" si="14">INDEX($D:$D,T4)</f>
        <v/>
      </c>
      <c r="AQ4">
        <f t="shared" ref="AQ4:AQ5" si="15">IF(AO4=AP4,0,1)</f>
        <v>0</v>
      </c>
      <c r="AR4" t="str">
        <f t="shared" ref="AR4:AR5" si="16">INDEX($E:$E,S4)</f>
        <v/>
      </c>
      <c r="AS4" t="str">
        <f t="shared" ref="AS4:AS5" si="17">INDEX($E:$E,T4)</f>
        <v/>
      </c>
      <c r="AT4">
        <f t="shared" ref="AT4:AT5" si="18">IF(AR4=AS4,0,1)</f>
        <v>0</v>
      </c>
      <c r="AU4" t="str">
        <f>INDEX(AS!$K:$K,MATCH($C4,AS!$A:$A,0))</f>
        <v>tyhja</v>
      </c>
    </row>
    <row r="5" spans="1:47" x14ac:dyDescent="0.25">
      <c r="A5" t="str">
        <f>IF(Data_TYtilanne!A4="0","",IF(Data_TYtilanne!A4="","",Data_TYtilanne!A4))</f>
        <v/>
      </c>
      <c r="B5" t="str">
        <f>IF(Data_TYtilanne!B4="0","",IF(Data_TYtilanne!B4="","",Data_TYtilanne!B4))</f>
        <v/>
      </c>
      <c r="C5" t="str">
        <f>IF(Data_TYtilanne!C4="0","",IF(Data_TYtilanne!C4="","",Data_TYtilanne!C4))</f>
        <v/>
      </c>
      <c r="D5" s="803" t="str">
        <f>IF(Data_TYtilanne!$C3&lt;&gt;Data_TYtilanne!$C4,IF(Data_TYtilanne!D4="","",Data_TYtilanne!D4),IF(Data_TYtilanne!D4="",IF(D4="","",D4),Data_TYtilanne!D4))</f>
        <v/>
      </c>
      <c r="E5" s="803" t="str">
        <f>IF(Data_TYtilanne!$C3&lt;&gt;Data_TYtilanne!$C4,IF(Data_TYtilanne!E4="","",Data_TYtilanne!E4),IF(Data_TYtilanne!E4="",IF(E4="","",E4),Data_TYtilanne!E4))</f>
        <v/>
      </c>
      <c r="F5" s="797" t="e">
        <f t="shared" si="0"/>
        <v>#VALUE!</v>
      </c>
      <c r="G5" t="str">
        <f t="shared" ca="1" si="1"/>
        <v/>
      </c>
      <c r="H5" s="803" t="str">
        <f>IF(Data_TYtilanne!$C3&lt;&gt;Data_TYtilanne!$C4,IF(Data_TYtilanne!H4="","",Data_TYtilanne!H4),IF(Data_TYtilanne!H4="",IF(H4="","",H4),Data_TYtilanne!H4))</f>
        <v/>
      </c>
      <c r="I5" s="803" t="str">
        <f>IF(Data_TYtilanne!$C3&lt;&gt;Data_TYtilanne!$C4,IF(Data_TYtilanne!I4="","",Data_TYtilanne!I4),IF(Data_TYtilanne!I4="",IF(I4="","",I4),Data_TYtilanne!I4))</f>
        <v/>
      </c>
      <c r="J5" s="803" t="str">
        <f>IF(Data_TYtilanne!$C3&lt;&gt;Data_TYtilanne!$C4,IF(Data_TYtilanne!J4="","",Data_TYtilanne!J4),IF(Data_TYtilanne!J4="",IF(J4="","",J4),Data_TYtilanne!J4))</f>
        <v/>
      </c>
      <c r="K5" s="631" t="str">
        <f t="shared" si="2"/>
        <v/>
      </c>
      <c r="L5" s="631" t="str">
        <f>IFERROR(VALUE(IF(Data_TYtilanne!O4="0","",IF(Data_TYtilanne!O4="","",Data_TYtilanne!O4))),"")</f>
        <v/>
      </c>
      <c r="M5" s="631" t="str">
        <f>IFERROR(VALUE(IF(Data_TYtilanne!M4="0","",IF(Data_TYtilanne!M4="","",Data_TYtilanne!M4))),"")</f>
        <v/>
      </c>
      <c r="N5" s="631" t="str">
        <f>IFERROR(VALUE(IF(Data_TYtilanne!N4="0","",IF(Data_TYtilanne!N4="","",Data_TYtilanne!N4))),"")</f>
        <v/>
      </c>
      <c r="O5">
        <f t="shared" si="3"/>
        <v>1</v>
      </c>
      <c r="P5">
        <f>ROW()</f>
        <v>5</v>
      </c>
      <c r="Q5">
        <f>COUNTIF($C$2:C5,C5)</f>
        <v>3</v>
      </c>
      <c r="R5">
        <f t="shared" si="4"/>
        <v>1048575</v>
      </c>
      <c r="S5">
        <f t="shared" si="5"/>
        <v>3</v>
      </c>
      <c r="T5">
        <f t="shared" si="6"/>
        <v>0</v>
      </c>
      <c r="U5" t="str">
        <f t="shared" ca="1" si="7"/>
        <v/>
      </c>
      <c r="V5" t="str">
        <f>IF(Data_TYtilanne!F4="0","",IF(Data_TYtilanne!F4="","",Data_TYtilanne!F4))</f>
        <v/>
      </c>
      <c r="W5" t="str">
        <f>IF(Data_TYtilanne!G4="0","",IF(Data_TYtilanne!G4="","",Data_TYtilanne!G4))</f>
        <v/>
      </c>
      <c r="X5" t="str">
        <f>IF(Data_TYtilanne!K4="0","",IF(Data_TYtilanne!K4="","",Data_TYtilanne!K4))</f>
        <v/>
      </c>
      <c r="Y5" t="str">
        <f>IF(Data_TYtilanne!L4="0","",IF(Data_TYtilanne!L4="","",Data_TYtilanne!L4))</f>
        <v/>
      </c>
      <c r="Z5" s="803" t="e" cm="1">
        <f t="array" aca="1" ref="Z5" ca="1">IF(LEFT(INDEX(D:D,$U5),5)="Combo",INDEX(D:D,$U5),IF(INDEX(D:D,$U5)="","",Z$1))</f>
        <v>#VALUE!</v>
      </c>
      <c r="AA5" s="803" t="e" cm="1">
        <f t="array" aca="1" ref="AA5" ca="1">IF(LEFT(INDEX(E:E,$U5),5)="Combo",INDEX(E:E,$U5),IF(INDEX(E:E,$U5)="","",AA$1))</f>
        <v>#VALUE!</v>
      </c>
      <c r="AB5" s="803" t="e" cm="1">
        <f t="array" aca="1" ref="AB5" ca="1">IF(LEFT(INDEX(H:H,$U5),5)="Combo",INDEX(H:H,$U5),IF(INDEX(H:H,$U5)="","",AB$1))</f>
        <v>#VALUE!</v>
      </c>
      <c r="AC5" s="803" t="e" cm="1">
        <f t="array" aca="1" ref="AC5" ca="1">IF(LEFT(INDEX(I:I,$U5),5)="Combo",INDEX(I:I,$U5),IF(INDEX(I:I,$U5)="","",AC$1))</f>
        <v>#VALUE!</v>
      </c>
      <c r="AD5" s="803" t="e" cm="1">
        <f t="array" aca="1" ref="AD5" ca="1">IF(LEFT(INDEX(J:J,$U5),5)="Combo",INDEX(J:J,$U5),IF(INDEX(J:J,$U5)="","",AD$1))</f>
        <v>#VALUE!</v>
      </c>
      <c r="AE5" s="803" t="e" cm="1" vm="1">
        <f t="array" aca="1" ref="AE5" ca="1">IF(LEFT(INDEX(D:D,$T5),5)="Combo",INDEX(D:D,$T5),IF(INDEX(D:D,$T5)="","",AE$1))</f>
        <v>#VALUE!</v>
      </c>
      <c r="AF5" s="803" t="e" cm="1" vm="1">
        <f t="array" aca="1" ref="AF5" ca="1">IF(LEFT(INDEX(E:E,$T5),5)="Combo",INDEX(E:E,$T5),IF(INDEX(E:E,$T5)="","",AF$1))</f>
        <v>#VALUE!</v>
      </c>
      <c r="AG5" s="803" t="e" cm="1" vm="1">
        <f t="array" aca="1" ref="AG5" ca="1">IF(LEFT(INDEX(H:H,$T5),5)="Combo",INDEX(H:H,$T5),IF(INDEX(H:H,$T5)="","",AG$1))</f>
        <v>#VALUE!</v>
      </c>
      <c r="AH5" s="803" t="e" cm="1" vm="1">
        <f t="array" aca="1" ref="AH5" ca="1">IF(LEFT(INDEX(I:I,$T5),5)="Combo",INDEX(I:I,$T5),IF(INDEX(I:I,$T5)="","",AH$1))</f>
        <v>#VALUE!</v>
      </c>
      <c r="AI5" s="803" t="e" cm="1" vm="1">
        <f t="array" aca="1" ref="AI5" ca="1">IF(LEFT(INDEX(J:J,$T5),5)="Combo",INDEX(J:J,$T5),IF(INDEX(J:J,$T5)="","",AI$1))</f>
        <v>#VALUE!</v>
      </c>
      <c r="AJ5" t="e">
        <f t="shared" ca="1" si="8"/>
        <v>#VALUE!</v>
      </c>
      <c r="AK5" t="e">
        <f t="shared" ca="1" si="9"/>
        <v>#VALUE!</v>
      </c>
      <c r="AL5" t="e">
        <f t="shared" ca="1" si="10"/>
        <v>#VALUE!</v>
      </c>
      <c r="AM5" t="e">
        <f t="shared" ca="1" si="11"/>
        <v>#VALUE!</v>
      </c>
      <c r="AN5" t="e">
        <f t="shared" ca="1" si="12"/>
        <v>#VALUE!</v>
      </c>
      <c r="AO5" t="str">
        <f t="shared" si="13"/>
        <v/>
      </c>
      <c r="AP5" t="str">
        <f t="shared" si="14"/>
        <v/>
      </c>
      <c r="AQ5">
        <f t="shared" si="15"/>
        <v>0</v>
      </c>
      <c r="AR5" t="str">
        <f t="shared" si="16"/>
        <v/>
      </c>
      <c r="AS5" t="str">
        <f t="shared" si="17"/>
        <v/>
      </c>
      <c r="AT5">
        <f t="shared" si="18"/>
        <v>0</v>
      </c>
      <c r="AU5" t="str">
        <f>INDEX(AS!$K:$K,MATCH($C5,AS!$A:$A,0))</f>
        <v>tyhja</v>
      </c>
    </row>
  </sheetData>
  <autoFilter ref="A2:AU240" xr:uid="{00000000-0009-0000-0000-000009000000}"/>
  <conditionalFormatting sqref="O1 S1:T1 Z1:AA1">
    <cfRule type="containsText" dxfId="15" priority="4" operator="containsText" text="E">
      <formula>NOT(ISERROR(SEARCH("E",O1)))</formula>
    </cfRule>
  </conditionalFormatting>
  <conditionalFormatting sqref="R1">
    <cfRule type="containsText" dxfId="14" priority="3" operator="containsText" text="E">
      <formula>NOT(ISERROR(SEARCH("E",R1)))</formula>
    </cfRule>
  </conditionalFormatting>
  <conditionalFormatting sqref="AE1:AF1">
    <cfRule type="containsText" dxfId="13" priority="1" operator="containsText" text="E">
      <formula>NOT(ISERROR(SEARCH("E",AE1)))</formula>
    </cfRule>
  </conditionalFormatting>
  <conditionalFormatting sqref="AP1:AT1">
    <cfRule type="containsText" dxfId="12" priority="2" operator="containsText" text="E">
      <formula>NOT(ISERROR(SEARCH("E",AP1)))</formula>
    </cfRule>
  </conditionalFormatting>
  <pageMargins left="0.7" right="0.7" top="0.75" bottom="0.83333333333333337" header="0" footer="0"/>
  <pageSetup paperSize="9" orientation="portrait" horizontalDpi="300" verticalDpi="0" r:id="rId1"/>
  <headerFooter>
    <oddFooter>&amp;L 
PAR työpaja
osoitettie
0100, paikka&amp;C&amp;G&amp;R&amp;P/&amp;N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9">
    <tabColor rgb="FFFFC000"/>
  </sheetPr>
  <dimension ref="A1:DA5"/>
  <sheetViews>
    <sheetView topLeftCell="AT1" zoomScale="99" zoomScaleNormal="80" workbookViewId="0">
      <selection activeCell="AT9" sqref="AT9"/>
    </sheetView>
  </sheetViews>
  <sheetFormatPr defaultColWidth="10.140625" defaultRowHeight="15" x14ac:dyDescent="0.25"/>
  <cols>
    <col min="1" max="2" width="6.7109375" customWidth="1"/>
    <col min="3" max="3" width="26" bestFit="1" customWidth="1"/>
    <col min="4" max="4" width="14.85546875" bestFit="1" customWidth="1"/>
    <col min="5" max="7" width="10.42578125" customWidth="1"/>
    <col min="8" max="8" width="14.28515625" customWidth="1"/>
    <col min="9" max="9" width="37.28515625" bestFit="1" customWidth="1"/>
    <col min="10" max="10" width="90.140625" bestFit="1" customWidth="1"/>
    <col min="11" max="11" width="42.28515625" bestFit="1" customWidth="1"/>
    <col min="12" max="12" width="56.28515625" bestFit="1" customWidth="1"/>
    <col min="13" max="13" width="44.5703125" bestFit="1" customWidth="1"/>
    <col min="14" max="14" width="6.7109375" customWidth="1"/>
    <col min="15" max="15" width="66.28515625" bestFit="1" customWidth="1"/>
    <col min="16" max="16" width="14.42578125" customWidth="1"/>
    <col min="17" max="17" width="11.85546875" customWidth="1"/>
    <col min="18" max="18" width="17.28515625" customWidth="1"/>
    <col min="19" max="19" width="15.140625" customWidth="1"/>
    <col min="20" max="20" width="17.28515625" customWidth="1"/>
    <col min="21" max="21" width="16.85546875" customWidth="1"/>
    <col min="22" max="22" width="6.7109375" customWidth="1"/>
    <col min="23" max="23" width="17.140625" customWidth="1"/>
    <col min="24" max="24" width="50.85546875" bestFit="1" customWidth="1"/>
    <col min="25" max="25" width="46.42578125" style="228" bestFit="1" customWidth="1"/>
    <col min="26" max="27" width="10.140625" customWidth="1"/>
    <col min="28" max="29" width="13.85546875" customWidth="1"/>
    <col min="30" max="30" width="11.5703125" style="223" customWidth="1"/>
    <col min="31" max="31" width="14.42578125" style="407" customWidth="1"/>
    <col min="32" max="34" width="10.140625" customWidth="1"/>
    <col min="35" max="35" width="10.140625" style="177" customWidth="1"/>
    <col min="36" max="36" width="10.140625" style="228" customWidth="1"/>
    <col min="37" max="39" width="10.140625" customWidth="1"/>
    <col min="40" max="40" width="12" customWidth="1"/>
    <col min="41" max="41" width="25" customWidth="1"/>
    <col min="42" max="42" width="10.140625" customWidth="1"/>
    <col min="43" max="43" width="50.85546875" customWidth="1"/>
    <col min="44" max="44" width="44.85546875" customWidth="1"/>
    <col min="45" max="45" width="66.28515625" customWidth="1"/>
    <col min="46" max="46" width="73.85546875" customWidth="1"/>
    <col min="47" max="47" width="10.85546875" customWidth="1"/>
    <col min="48" max="48" width="49.28515625" customWidth="1"/>
    <col min="49" max="49" width="36" customWidth="1"/>
    <col min="50" max="50" width="34.28515625" style="228" customWidth="1"/>
    <col min="51" max="51" width="13.5703125" style="80" customWidth="1"/>
    <col min="52" max="52" width="12" customWidth="1"/>
    <col min="53" max="53" width="14.42578125" style="80" customWidth="1"/>
    <col min="54" max="55" width="10.140625" customWidth="1"/>
    <col min="56" max="56" width="11.42578125" style="80" customWidth="1"/>
    <col min="57" max="57" width="10.140625" customWidth="1"/>
    <col min="58" max="59" width="11.42578125" style="80" customWidth="1"/>
    <col min="60" max="61" width="10.140625" customWidth="1"/>
    <col min="62" max="62" width="9.42578125" customWidth="1"/>
    <col min="63" max="63" width="13.5703125" customWidth="1"/>
    <col min="64" max="74" width="9.42578125" customWidth="1"/>
    <col min="75" max="75" width="13.42578125" customWidth="1"/>
    <col min="76" max="85" width="9.42578125" customWidth="1"/>
    <col min="86" max="86" width="10.140625" customWidth="1"/>
    <col min="87" max="87" width="36.5703125" bestFit="1" customWidth="1"/>
    <col min="88" max="88" width="10.140625" customWidth="1"/>
    <col min="89" max="89" width="13.42578125" style="407" customWidth="1"/>
    <col min="90" max="90" width="13.5703125" customWidth="1"/>
    <col min="91" max="92" width="10.140625" style="228"/>
    <col min="93" max="93" width="14.5703125" style="80" customWidth="1"/>
    <col min="94" max="94" width="12.28515625" customWidth="1"/>
    <col min="96" max="96" width="32.42578125" style="407" customWidth="1"/>
    <col min="99" max="99" width="27.140625" customWidth="1"/>
    <col min="100" max="102" width="10.140625" style="228"/>
  </cols>
  <sheetData>
    <row r="1" spans="1:105" s="79" customFormat="1" x14ac:dyDescent="0.25">
      <c r="A1" s="78"/>
      <c r="I1" s="79" t="s">
        <v>1541</v>
      </c>
      <c r="M1" t="s">
        <v>553</v>
      </c>
      <c r="S1" s="79" t="s">
        <v>1209</v>
      </c>
      <c r="T1" s="79" t="s">
        <v>1542</v>
      </c>
      <c r="X1" s="657">
        <v>1</v>
      </c>
      <c r="Y1" s="657">
        <v>1</v>
      </c>
      <c r="Z1" s="217" t="s">
        <v>1543</v>
      </c>
      <c r="AA1" s="87" t="s">
        <v>1544</v>
      </c>
      <c r="AB1" s="120">
        <f>Asiakastilastot!$A$2</f>
        <v>46023</v>
      </c>
      <c r="AC1" s="120">
        <f>Asiakastilastot!$A$3</f>
        <v>46387</v>
      </c>
      <c r="AD1" s="301">
        <f>AB1-365</f>
        <v>45658</v>
      </c>
      <c r="AE1" s="405">
        <f>AB1-1</f>
        <v>46022</v>
      </c>
      <c r="AF1" s="217" t="s">
        <v>44</v>
      </c>
      <c r="AG1" s="308" t="s">
        <v>1545</v>
      </c>
      <c r="AH1" s="308"/>
      <c r="AI1" s="416" t="s">
        <v>44</v>
      </c>
      <c r="AJ1" s="416" t="s">
        <v>44</v>
      </c>
      <c r="AL1" s="80"/>
      <c r="AM1" s="220"/>
      <c r="AN1"/>
      <c r="AO1" s="220"/>
      <c r="AP1"/>
      <c r="AQ1" s="102" t="s">
        <v>304</v>
      </c>
      <c r="AR1" s="102" t="s">
        <v>554</v>
      </c>
      <c r="AS1" s="102" t="s">
        <v>546</v>
      </c>
      <c r="AT1" s="102" t="s">
        <v>492</v>
      </c>
      <c r="AU1" s="102" t="s">
        <v>486</v>
      </c>
      <c r="AV1" s="496" t="s">
        <v>554</v>
      </c>
      <c r="AW1" s="492" t="s">
        <v>546</v>
      </c>
      <c r="AX1" s="775" t="s">
        <v>498</v>
      </c>
      <c r="AY1" s="489" t="s">
        <v>1546</v>
      </c>
      <c r="AZ1" s="490"/>
      <c r="BA1" s="489"/>
      <c r="BB1" s="490"/>
      <c r="BC1" s="490" t="s">
        <v>1547</v>
      </c>
      <c r="BD1" s="489"/>
      <c r="BE1" s="90" t="s">
        <v>1548</v>
      </c>
      <c r="BF1" s="444" t="s">
        <v>1549</v>
      </c>
      <c r="BG1" s="444"/>
      <c r="BH1" s="443"/>
      <c r="BI1" s="443"/>
      <c r="BJ1" t="str">
        <f>TEXT($AC$1,"vvvv")</f>
        <v>2026</v>
      </c>
      <c r="BK1" t="s">
        <v>1550</v>
      </c>
      <c r="BL1"/>
      <c r="BM1"/>
      <c r="BN1"/>
      <c r="BO1"/>
      <c r="BP1"/>
      <c r="BQ1"/>
      <c r="BR1"/>
      <c r="BS1"/>
      <c r="BT1">
        <f>BJ1+1</f>
        <v>2027</v>
      </c>
      <c r="BU1" s="418">
        <f>VALUE("1.1."&amp;$BT$1)</f>
        <v>46388</v>
      </c>
      <c r="BV1" t="str">
        <f>TEXT($AC$1,"vvvv")</f>
        <v>2026</v>
      </c>
      <c r="BW1" t="s">
        <v>1551</v>
      </c>
      <c r="BX1"/>
      <c r="BY1"/>
      <c r="BZ1"/>
      <c r="CA1"/>
      <c r="CB1"/>
      <c r="CC1"/>
      <c r="CD1"/>
      <c r="CE1"/>
      <c r="CF1">
        <f>BV1+1</f>
        <v>2027</v>
      </c>
      <c r="CG1" s="418">
        <f>VALUE("1.1."&amp;$CF$1)</f>
        <v>46388</v>
      </c>
      <c r="CK1" s="405">
        <f>VALUE("01.01."&amp;TEXT($AB$1,"vvvv"))</f>
        <v>46023</v>
      </c>
      <c r="CL1" s="405">
        <f>VALUE("31.12."&amp;TEXT($AB$1,"vvvv"))</f>
        <v>46387</v>
      </c>
      <c r="CM1" s="416"/>
      <c r="CN1" s="416"/>
      <c r="CO1" s="83"/>
      <c r="CP1" s="80" t="s">
        <v>1552</v>
      </c>
      <c r="CQ1" t="s">
        <v>1553</v>
      </c>
      <c r="CR1" s="498" t="s">
        <v>1554</v>
      </c>
      <c r="CV1" s="662" t="s">
        <v>1555</v>
      </c>
      <c r="CW1" s="662" t="s">
        <v>1555</v>
      </c>
      <c r="CX1" s="662" t="s">
        <v>1555</v>
      </c>
      <c r="CY1" s="662" t="s">
        <v>1555</v>
      </c>
      <c r="CZ1" s="662" t="s">
        <v>1555</v>
      </c>
      <c r="DA1" s="662" t="s">
        <v>1555</v>
      </c>
    </row>
    <row r="2" spans="1:105" s="79" customFormat="1" x14ac:dyDescent="0.25">
      <c r="A2" s="154" t="s">
        <v>1556</v>
      </c>
      <c r="B2" s="154" t="s">
        <v>1557</v>
      </c>
      <c r="C2" s="154" t="s">
        <v>1558</v>
      </c>
      <c r="D2" s="490" t="s">
        <v>1559</v>
      </c>
      <c r="E2" s="154" t="s">
        <v>1560</v>
      </c>
      <c r="F2" s="154" t="s">
        <v>1561</v>
      </c>
      <c r="G2" s="154" t="s">
        <v>1562</v>
      </c>
      <c r="H2" s="154" t="s">
        <v>1427</v>
      </c>
      <c r="I2" s="154" t="s">
        <v>1428</v>
      </c>
      <c r="J2" s="154" t="s">
        <v>1429</v>
      </c>
      <c r="K2" s="154" t="s">
        <v>1430</v>
      </c>
      <c r="L2" s="154" t="s">
        <v>1431</v>
      </c>
      <c r="M2" s="154" t="s">
        <v>1432</v>
      </c>
      <c r="N2" s="154" t="s">
        <v>1563</v>
      </c>
      <c r="O2" s="154" t="s">
        <v>1433</v>
      </c>
      <c r="P2" s="154" t="s">
        <v>1434</v>
      </c>
      <c r="Q2" s="154" t="s">
        <v>1564</v>
      </c>
      <c r="R2" s="154" t="s">
        <v>1565</v>
      </c>
      <c r="S2" s="154" t="s">
        <v>1566</v>
      </c>
      <c r="T2" s="154" t="s">
        <v>1567</v>
      </c>
      <c r="U2" s="154" t="s">
        <v>1568</v>
      </c>
      <c r="V2" s="154" t="s">
        <v>1569</v>
      </c>
      <c r="W2" s="154" t="s">
        <v>1570</v>
      </c>
      <c r="X2" s="655" t="s">
        <v>1571</v>
      </c>
      <c r="Y2" s="655" t="s">
        <v>1572</v>
      </c>
      <c r="Z2" s="218" t="s">
        <v>1520</v>
      </c>
      <c r="AA2" s="88" t="s">
        <v>1573</v>
      </c>
      <c r="AB2" s="219" t="s">
        <v>1574</v>
      </c>
      <c r="AC2" s="219" t="s">
        <v>1575</v>
      </c>
      <c r="AD2" s="221" t="s">
        <v>1576</v>
      </c>
      <c r="AE2" s="406" t="s">
        <v>1577</v>
      </c>
      <c r="AF2" s="218" t="s">
        <v>1578</v>
      </c>
      <c r="AG2" s="308"/>
      <c r="AH2" s="308"/>
      <c r="AI2" s="416" t="s">
        <v>143</v>
      </c>
      <c r="AJ2" s="416" t="s">
        <v>1579</v>
      </c>
      <c r="AK2" s="412" t="s">
        <v>1580</v>
      </c>
      <c r="AL2" s="412" t="s">
        <v>1581</v>
      </c>
      <c r="AM2" s="221" t="s">
        <v>1582</v>
      </c>
      <c r="AN2" s="82"/>
      <c r="AO2" s="221" t="s">
        <v>1583</v>
      </c>
      <c r="AP2" s="82"/>
      <c r="AQ2" s="216" t="s">
        <v>1584</v>
      </c>
      <c r="AR2" s="216" t="s">
        <v>1585</v>
      </c>
      <c r="AS2" s="82" t="s">
        <v>1586</v>
      </c>
      <c r="AT2" s="85" t="s">
        <v>1587</v>
      </c>
      <c r="AU2" s="85" t="s">
        <v>1588</v>
      </c>
      <c r="AV2" s="492" t="s">
        <v>1589</v>
      </c>
      <c r="AW2" s="492" t="s">
        <v>1590</v>
      </c>
      <c r="AX2" s="776" t="s">
        <v>84</v>
      </c>
      <c r="AY2" s="414" t="s">
        <v>1591</v>
      </c>
      <c r="AZ2" s="90" t="s">
        <v>1592</v>
      </c>
      <c r="BA2" s="414" t="s">
        <v>1593</v>
      </c>
      <c r="BB2" s="90" t="s">
        <v>1594</v>
      </c>
      <c r="BC2" s="411" t="s">
        <v>1595</v>
      </c>
      <c r="BD2" s="454" t="s">
        <v>1596</v>
      </c>
      <c r="BE2" s="90" t="s">
        <v>1597</v>
      </c>
      <c r="BF2" s="444" t="s">
        <v>1598</v>
      </c>
      <c r="BG2" s="414" t="s">
        <v>1599</v>
      </c>
      <c r="BH2" s="90" t="s">
        <v>1600</v>
      </c>
      <c r="BI2" s="443"/>
      <c r="BJ2" s="418">
        <f>VALUE("1.1."&amp;$BJ$1)</f>
        <v>46023</v>
      </c>
      <c r="BK2" s="418">
        <f>VALUE("1.2."&amp;$BJ$1)</f>
        <v>46054</v>
      </c>
      <c r="BL2" s="418">
        <f>VALUE("1.3."&amp;$BJ$1)</f>
        <v>46082</v>
      </c>
      <c r="BM2" s="418">
        <f>VALUE("1.4."&amp;$BJ$1)</f>
        <v>46113</v>
      </c>
      <c r="BN2" s="418">
        <f>VALUE("1.5."&amp;$BJ$1)</f>
        <v>46143</v>
      </c>
      <c r="BO2" s="418">
        <f>VALUE("1.6."&amp;$BJ$1)</f>
        <v>46174</v>
      </c>
      <c r="BP2" s="418">
        <f>VALUE("1.7."&amp;$BJ$1)</f>
        <v>46204</v>
      </c>
      <c r="BQ2" s="418">
        <f>VALUE("1.8."&amp;$BJ$1)</f>
        <v>46235</v>
      </c>
      <c r="BR2" s="418">
        <f>VALUE("1.9."&amp;$BJ$1)</f>
        <v>46266</v>
      </c>
      <c r="BS2" s="418">
        <f>VALUE("1.10."&amp;$BJ$1)</f>
        <v>46296</v>
      </c>
      <c r="BT2" s="418">
        <f>VALUE("1.11."&amp;$BJ$1)</f>
        <v>46327</v>
      </c>
      <c r="BU2" s="418">
        <f>VALUE("1.12."&amp;$BJ$1)</f>
        <v>46357</v>
      </c>
      <c r="BV2" s="418">
        <f>VALUE("1.1."&amp;$BV$1)</f>
        <v>46023</v>
      </c>
      <c r="BW2" s="418">
        <f>VALUE("1.2."&amp;$BV$1)</f>
        <v>46054</v>
      </c>
      <c r="BX2" s="418">
        <f>VALUE("1.3."&amp;$BV$1)</f>
        <v>46082</v>
      </c>
      <c r="BY2" s="418">
        <f>VALUE("1.4."&amp;$BV$1)</f>
        <v>46113</v>
      </c>
      <c r="BZ2" s="418">
        <f>VALUE("1.5."&amp;$BV$1)</f>
        <v>46143</v>
      </c>
      <c r="CA2" s="418">
        <f>VALUE("1.6."&amp;$BV$1)</f>
        <v>46174</v>
      </c>
      <c r="CB2" s="418">
        <f>VALUE("1.7."&amp;$BV$1)</f>
        <v>46204</v>
      </c>
      <c r="CC2" s="418">
        <f>VALUE("1.8."&amp;$BV$1)</f>
        <v>46235</v>
      </c>
      <c r="CD2" s="418">
        <f>VALUE("1.9."&amp;$BV$1)</f>
        <v>46266</v>
      </c>
      <c r="CE2" s="418">
        <f>VALUE("1.10."&amp;$BV$1)</f>
        <v>46296</v>
      </c>
      <c r="CF2" s="418">
        <f>VALUE("1.11."&amp;$BV$1)</f>
        <v>46327</v>
      </c>
      <c r="CG2" s="418">
        <f>VALUE("1.12."&amp;$BV$1)</f>
        <v>46357</v>
      </c>
      <c r="CH2" s="79" t="s">
        <v>1601</v>
      </c>
      <c r="CI2" s="79" t="s">
        <v>325</v>
      </c>
      <c r="CJ2" s="79" t="s">
        <v>1602</v>
      </c>
      <c r="CK2" s="406" t="s">
        <v>1603</v>
      </c>
      <c r="CL2" s="218" t="s">
        <v>1604</v>
      </c>
      <c r="CM2" s="417" t="s">
        <v>143</v>
      </c>
      <c r="CN2" s="417" t="s">
        <v>1579</v>
      </c>
      <c r="CO2" s="83" t="s">
        <v>1605</v>
      </c>
      <c r="CP2" s="414" t="s">
        <v>1593</v>
      </c>
      <c r="CQ2" s="90" t="s">
        <v>1594</v>
      </c>
      <c r="CR2" s="497" t="s">
        <v>44</v>
      </c>
      <c r="CS2" t="s">
        <v>1606</v>
      </c>
      <c r="CT2" s="407" t="s">
        <v>1607</v>
      </c>
      <c r="CU2" t="s">
        <v>1608</v>
      </c>
      <c r="CV2" s="661" t="s">
        <v>1609</v>
      </c>
      <c r="CW2" s="662"/>
      <c r="CX2" s="228" t="s">
        <v>1608</v>
      </c>
      <c r="CY2" s="661" t="s">
        <v>1610</v>
      </c>
      <c r="CZ2" s="662"/>
      <c r="DA2" s="228" t="s">
        <v>1608</v>
      </c>
    </row>
    <row r="3" spans="1:105" s="78" customFormat="1" ht="15.75" x14ac:dyDescent="0.25">
      <c r="A3" t="str">
        <f>IF(Data_TYjaksot!A2="0","",IF(Data_TYjaksot!A2="","",Data_TYjaksot!A2))</f>
        <v/>
      </c>
      <c r="B3" t="str">
        <f>IF(Data_TYjaksot!B2="0","",IF(Data_TYjaksot!B2="","",Data_TYjaksot!B2))</f>
        <v/>
      </c>
      <c r="C3" t="str">
        <f>IF(Data_TYjaksot!C2="0","",IF(Data_TYjaksot!C2="","",Data_TYjaksot!C2))</f>
        <v/>
      </c>
      <c r="D3" t="str">
        <f>C3&amp;AE3</f>
        <v>EI</v>
      </c>
      <c r="E3" t="str">
        <f>IF(Data_TYjaksot!E2="0","",IF(Data_TYjaksot!E2="","",Data_TYjaksot!E2))</f>
        <v/>
      </c>
      <c r="F3" t="str">
        <f>IF(Data_TYjaksot!F2="0","",IF(Data_TYjaksot!F2="","",Data_TYjaksot!F2))</f>
        <v/>
      </c>
      <c r="G3" t="str">
        <f>IF(Data_TYjaksot!G2="0","",IF(Data_TYjaksot!G2="","",Data_TYjaksot!G2))</f>
        <v/>
      </c>
      <c r="H3" t="str">
        <f>IF(Data_TYjaksot!H2="0","",IF(Data_TYjaksot!H2="","",Data_TYjaksot!H2))</f>
        <v/>
      </c>
      <c r="I3" t="str">
        <f>IF(Data_TYjaksot!I2="0","",IF(Data_TYjaksot!I2="","",Data_TYjaksot!I2))</f>
        <v/>
      </c>
      <c r="J3" t="str">
        <f>IF(Data_TYjaksot!J2="0","",IF(Data_TYjaksot!J2="","",Data_TYjaksot!J2))</f>
        <v/>
      </c>
      <c r="K3" t="str">
        <f>IF(Data_TYjaksot!K2="0","",IF(Data_TYjaksot!K2="","",Data_TYjaksot!K2))</f>
        <v/>
      </c>
      <c r="L3" t="str">
        <f>IF(Data_TYjaksot!L2="0","",IF(Data_TYjaksot!L2="","",Data_TYjaksot!L2))</f>
        <v/>
      </c>
      <c r="M3" t="str">
        <f>IF(Data_TYjaksot!M2="0","",IF(Data_TYjaksot!M2="","",Data_TYjaksot!M2))</f>
        <v/>
      </c>
      <c r="N3" t="str">
        <f>IF(Data_TYjaksot!N2="0","",IF(Data_TYjaksot!N2="","",Data_TYjaksot!N2))</f>
        <v/>
      </c>
      <c r="O3" t="str">
        <f>IF(Data_TYjaksot!O2="0","",IF(Data_TYjaksot!O2="","",Data_TYjaksot!O2))</f>
        <v/>
      </c>
      <c r="P3" t="str">
        <f>IF(Data_TYjaksot!P2="0","",IF(Data_TYjaksot!P2="","",Data_TYjaksot!P2))</f>
        <v/>
      </c>
      <c r="Q3" t="str">
        <f>IF(Data_TYjaksot!Q2="0","",IF(Data_TYjaksot!Q2="","",Data_TYjaksot!Q2))</f>
        <v/>
      </c>
      <c r="R3" t="str">
        <f>IF(Data_TYjaksot!R2="0","",IF(Data_TYjaksot!R2="","",Data_TYjaksot!R2))</f>
        <v/>
      </c>
      <c r="S3" t="str">
        <f>IF(Data_TYjaksot!S2="0","",IF(Data_TYjaksot!S2="","",Data_TYjaksot!S2))</f>
        <v/>
      </c>
      <c r="T3" t="str">
        <f>IF(Data_TYjaksot!T2="0","",IF(Data_TYjaksot!T2="","",Data_TYjaksot!T2))</f>
        <v/>
      </c>
      <c r="U3" t="str">
        <f>IF(Data_TYjaksot!U2="0","",IF(Data_TYjaksot!U2="","",Data_TYjaksot!U2))</f>
        <v/>
      </c>
      <c r="V3" t="str">
        <f>IF(Data_TYjaksot!V2="0","",IF(Data_TYjaksot!V2="","",Data_TYjaksot!V2))</f>
        <v/>
      </c>
      <c r="W3" t="str">
        <f>IF(Data_TYjaksot!W2="0","",IF(Data_TYjaksot!W2="","",Data_TYjaksot!W2))</f>
        <v/>
      </c>
      <c r="X3" s="228" t="str">
        <f>IF(Data_TYjaksot!AA2="0",$AX3,IF(Data_TYjaksot!AA2="",$AX3,IF(LEFT(Data_TYjaksot!AA2,5)&lt;&gt;"Combo","Muut",Data_TYjaksot!AA2)))</f>
        <v>tyhja</v>
      </c>
      <c r="Y3" s="228" t="str">
        <f>IF(Data_TYjaksot!Z2="0",$CI3,IF(Data_TYjaksot!Z2="",$CI3,IF(LEFT(Data_TYjaksot!Z2,5)&lt;&gt;"Combo","Muut",Data_TYjaksot!Z2)))</f>
        <v>tyhja</v>
      </c>
      <c r="Z3">
        <f>$Y$1</f>
        <v>1</v>
      </c>
      <c r="AA3">
        <f>ROW()</f>
        <v>3</v>
      </c>
      <c r="AB3" s="84" t="str">
        <f>IFERROR(IF(U3&lt;&gt;"",VALUE(U3),IF(V3="",VALUE(S3),VALUE(T3))),"")</f>
        <v/>
      </c>
      <c r="AC3" s="84" t="str">
        <f>IFERROR(VALUE(IF(W3="",IF(CJ3="D",IF(S3&lt;&gt;"",S3,T3),IF($AC$1&gt;=AB3,$AC$1 +1,AB3)),VALUE(W3))),"")</f>
        <v/>
      </c>
      <c r="AD3" s="222" t="str">
        <f>IFERROR(IF(AC3*AB3=0,"",(ROUND((AC3-AB3)/30.25,1))),"")</f>
        <v/>
      </c>
      <c r="AE3" s="407" t="str">
        <f>IF($AB3&gt;=$AB$1,IF($AB3&lt;=$AC$1,"OK","EI"),IF($AC3&gt;=$AB$1,"OK",IF($AC3="","OK","EI")))</f>
        <v>EI</v>
      </c>
      <c r="AF3" t="str">
        <f>IF(SUMIFS($Z:$Z,$C:$C,$C3,$AE:$AE,$AF$1)=0,"EI","OK")</f>
        <v>EI</v>
      </c>
      <c r="AG3" t="str">
        <f>IF($AB3&gt;=$AD$1,IF($AB3&lt;=$AE$1,"OK","EI"),IF($AC3&gt;=$AD$1,"OK",IF($AC3="","OK","EI")))</f>
        <v>EI</v>
      </c>
      <c r="AH3" t="str">
        <f>IF(SUMIFS($Z:$Z,$C:$C,$C3,$AG:$AG,$AF$1)=0,"EI","OK")</f>
        <v>EI</v>
      </c>
      <c r="AI3" s="177" t="str">
        <f>IFERROR(IF($AB3&gt;=$AB$1,IF($AB3&lt;=$AC$1,"OK","EI"),"EI"),"")</f>
        <v>EI</v>
      </c>
      <c r="AJ3" t="str">
        <f>IF(SUMIFS($Z:$Z,$C:$C,$C3,$AI:$AI,$AF$1)=0,"EI","OK")</f>
        <v>EI</v>
      </c>
      <c r="AK3">
        <f>COUNTIF($C$2:C3,C3)</f>
        <v>1</v>
      </c>
      <c r="AL3">
        <f>COUNTIFS(C:C,C3)</f>
        <v>1048575</v>
      </c>
      <c r="AM3" s="222">
        <f>IFERROR(SUMIFS(AD:AD,$C:$C,$C3,AE:AE,$AF$1),"EI")</f>
        <v>0</v>
      </c>
      <c r="AN3" t="str">
        <f>IF(AF3=$AF$1,IF(AM3&lt;&gt;"",IF(AM3&lt;2,"alle 2kk",IF(AM3&lt;3,"alle 3kk",IF(AM3&lt;6,"alle 6kk",IF(AM3&lt;12,"alle 1vuosi","yli 1vuosi"))))),"EI")</f>
        <v>EI</v>
      </c>
      <c r="AO3" s="222">
        <f>SUMIFS(AD:AD,C:C,C3)</f>
        <v>45658</v>
      </c>
      <c r="AP3" t="str">
        <f>IF(AM3&lt;&gt;"",IF(AM3&lt;2,"alle 2kk",IF(AM3&lt;3,"alle 3kk",IF(AM3&lt;6,"alle 6kk",IF(AM3&lt;12,"alle 1vuosi","yli 1vuosi")))))</f>
        <v>alle 2kk</v>
      </c>
      <c r="AQ3" t="str">
        <f>IF(LEFT(L3,5)="Combo",L3,IF(L3="","",$AQ$1))</f>
        <v/>
      </c>
      <c r="AR3" s="491" t="str">
        <f>IF(O3="",$AR$1,IF(O3="työelämään",O3,IF(O3 ="koulutukseen",O3,IF(LEFT(O3,5)="Combo",O3,$AS$1))))</f>
        <v>ComboBox_TySijoittuminen#ei tietoa</v>
      </c>
      <c r="AS3" s="543" t="str">
        <f>IF(AC3&gt;$AC$1,"ComboBox_TySijoittuminen#edelleen työpajalla",AR3)</f>
        <v>ComboBox_TySijoittuminen#edelleen työpajalla</v>
      </c>
      <c r="AT3" t="str">
        <f>TRIM(IF(J3="",IF(K3="",$AT$1,$AU$1),IF(LEFT(J3,5)="Combo",J3,$AU$1)))</f>
        <v>ComboBox_TyToimenpide#ei tietoa</v>
      </c>
      <c r="AU3" t="str">
        <f ca="1">IFERROR(INDEX(AS!AH:AH,MATCH(C3,AS!A:A,0)),"")</f>
        <v>vanha</v>
      </c>
      <c r="AV3" s="228" t="str">
        <f>IF(M3="",$AV$1,IF(M3="eläke","ComboBox_TySijoittuminen#eläke",IF(M3="muutto toiselle paikkakunnalle","ComboBox_TySijoittuminen#muutto toiselle paikkakunnalle",IF(M3="koulutukseen","ComboBox_TySijoittuminen#koulutukseen",IF(M3="työelämään","ComboBox_TySijoittuminen#työelämään",IF(LEFT(M3,5)="Combo",M3,$AW$1))))))</f>
        <v>ComboBox_TySijoittuminen#ei tietoa</v>
      </c>
      <c r="AW3" s="177" t="str">
        <f>IF(AC3&gt;$AE$1,IF(AV3=$AV$1,$AX$1,AV3),AV3)</f>
        <v>ComboBox_TySijoittuminen#edelleen työpajalla</v>
      </c>
      <c r="AX3" s="228" t="str">
        <f>IFERROR(INDEX(AS!$AW:$AW,MATCH(C3,AS!A:A,0)),"")</f>
        <v>tyhja</v>
      </c>
      <c r="AY3" s="80" t="e">
        <f>VALUE(AB3)</f>
        <v>#VALUE!</v>
      </c>
      <c r="AZ3">
        <f>MATCH(C3,C4:C10000,0)+ROW()</f>
        <v>4</v>
      </c>
      <c r="BA3" s="80" t="e">
        <f ca="1">IF(ISNA(AZ3),AY3,IF(INDIRECT("ba"&amp;AZ3)&lt;AY3,INDIRECT("ba"&amp;AZ3),AY3))</f>
        <v>#VALUE!</v>
      </c>
      <c r="BB3" t="e">
        <f ca="1">IF(ISNA(AZ3),ROW(),IF(INDIRECT("ay"&amp;INDIRECT("bb"&amp;AZ3))&lt;AY3,INDIRECT("bb"&amp;AZ3),ROW()))</f>
        <v>#VALUE!</v>
      </c>
      <c r="BC3" t="str">
        <f ca="1">INDEX(AS!$BN:$BN,MATCH($C3,AS!$A:$A,0))</f>
        <v>EI</v>
      </c>
      <c r="BD3" s="80" t="str">
        <f ca="1">INDEX(AS!BM:BM,MATCH(C3,AS!A:A,0))</f>
        <v/>
      </c>
      <c r="BE3" t="str">
        <f ca="1">INDEX(AS!X:X,MATCH(C3,AS!A:A,0))</f>
        <v>EI</v>
      </c>
      <c r="BF3" s="80" t="e">
        <f>VALUE(AC3)</f>
        <v>#VALUE!</v>
      </c>
      <c r="BG3" s="80" t="e">
        <f ca="1">IF(ISNA(AZ3),BF3,IF(INDIRECT("bg"&amp;AZ3)&gt;BF3,INDIRECT("bg"&amp;AZ3),BF3))</f>
        <v>#VALUE!</v>
      </c>
      <c r="BH3" t="e">
        <f ca="1">IF(ISNA(AZ3),ROW(),IF(INDIRECT("bf"&amp;INDIRECT("bh"&amp;AZ3))&gt;BF3,INDIRECT("bh"&amp;AZ3),ROW()))</f>
        <v>#VALUE!</v>
      </c>
      <c r="BI3" t="e">
        <f ca="1">IF(BF3=BG3,0,1)</f>
        <v>#VALUE!</v>
      </c>
      <c r="BJ3" t="str">
        <f>IF($AB3&gt;=BJ$2,IF($AB3&lt;BK$2,"OK","EI"),IF($AC3&gt;=BJ$2,"OK","EI"))</f>
        <v>EI</v>
      </c>
      <c r="BK3" t="str">
        <f t="shared" ref="BK3:BT3" si="0">IF($AB3&gt;=BK$2,IF($AB3&lt;BL$2,"OK","EI"),IF($AC3&gt;=BK$2,"OK","EI"))</f>
        <v>EI</v>
      </c>
      <c r="BL3" t="str">
        <f t="shared" si="0"/>
        <v>EI</v>
      </c>
      <c r="BM3" t="str">
        <f t="shared" si="0"/>
        <v>EI</v>
      </c>
      <c r="BN3" t="str">
        <f>IF($AB3&gt;=BN$2,IF($AB3&lt;BO$2,"OK","EI"),IF($AC3&gt;=BN$2,"OK","EI"))</f>
        <v>EI</v>
      </c>
      <c r="BO3" t="str">
        <f t="shared" si="0"/>
        <v>EI</v>
      </c>
      <c r="BP3" t="str">
        <f t="shared" si="0"/>
        <v>EI</v>
      </c>
      <c r="BQ3" t="str">
        <f t="shared" si="0"/>
        <v>EI</v>
      </c>
      <c r="BR3" t="str">
        <f t="shared" si="0"/>
        <v>EI</v>
      </c>
      <c r="BS3" t="str">
        <f t="shared" si="0"/>
        <v>EI</v>
      </c>
      <c r="BT3" t="str">
        <f t="shared" si="0"/>
        <v>EI</v>
      </c>
      <c r="BU3" t="str">
        <f>IF($AB3&gt;=BU$2,IF($AB3&lt;BU$1,"OK","EI"),IF($AC3&gt;=BU$2,"OK","EI"))</f>
        <v>EI</v>
      </c>
      <c r="BV3" t="str">
        <f>IF($AB3&gt;=BV$2,IF($AB3&lt;BW$2,"OK","EI"),"EI")</f>
        <v>EI</v>
      </c>
      <c r="BW3" t="str">
        <f t="shared" ref="BW3:CF3" si="1">IF($AB3&gt;=BW$2,IF($AB3&lt;BX$2,"OK","EI"),"EI")</f>
        <v>EI</v>
      </c>
      <c r="BX3" t="str">
        <f t="shared" si="1"/>
        <v>EI</v>
      </c>
      <c r="BY3" t="str">
        <f t="shared" si="1"/>
        <v>EI</v>
      </c>
      <c r="BZ3" t="str">
        <f t="shared" si="1"/>
        <v>EI</v>
      </c>
      <c r="CA3" t="str">
        <f t="shared" si="1"/>
        <v>EI</v>
      </c>
      <c r="CB3" t="str">
        <f t="shared" si="1"/>
        <v>EI</v>
      </c>
      <c r="CC3" t="str">
        <f t="shared" si="1"/>
        <v>EI</v>
      </c>
      <c r="CD3" t="str">
        <f t="shared" si="1"/>
        <v>EI</v>
      </c>
      <c r="CE3" t="str">
        <f t="shared" si="1"/>
        <v>EI</v>
      </c>
      <c r="CF3" t="str">
        <f t="shared" si="1"/>
        <v>EI</v>
      </c>
      <c r="CG3" t="str">
        <f>IF($AB3&gt;=CG$2,IF($AB3&lt;CG$1,"OK","EI"),"EI")</f>
        <v>EI</v>
      </c>
      <c r="CH3" t="str">
        <f>INDEX(AS!F:F,MATCH(C3,AS!A:A,0))</f>
        <v>OptionButton_EtMies</v>
      </c>
      <c r="CI3" t="str">
        <f>INDEX(AS!$K:$K,MATCH($C3,AS!$A:$A,0))</f>
        <v>tyhja</v>
      </c>
      <c r="CJ3">
        <f>INDEX(AS!$L:$L,MATCH($C3,AS!$A:$A,0))</f>
        <v>0</v>
      </c>
      <c r="CK3" s="407" t="str">
        <f>IF($AB3&gt;=$CK$1,IF($AB3&lt;=$CL$1,"OK","EI"),IF($AC3&gt;=$CK$1,"OK",IF($CL$1="","OK","EI")))</f>
        <v>EI</v>
      </c>
      <c r="CL3" t="str">
        <f>IF(SUMIFS($Z:$Z,$C:$C,$C3,$CK:$CK,$AF$1)=0,"EI","OK")</f>
        <v>EI</v>
      </c>
      <c r="CM3" s="228" t="str">
        <f>IFERROR(IF($AB3&gt;=$CK$1,IF($AB3&lt;=$CL$1,"OK","EI"),"EI"),"")</f>
        <v>EI</v>
      </c>
      <c r="CN3" t="str">
        <f>IF(SUMIFS($Z:$Z,$C:$C,$C3,$CM:$CM,$AF$1)=0,"EI","OK")</f>
        <v>EI</v>
      </c>
      <c r="CO3" s="80" t="str">
        <f>IF(CM3="OK",AB3,"")</f>
        <v/>
      </c>
      <c r="CP3" s="80" t="str">
        <f ca="1">IF(ISNA(AZ3),CO3,IF(INDIRECT("cp"&amp;AZ3)&lt;CO3,INDIRECT("cp"&amp;AZ3),CO3))</f>
        <v/>
      </c>
      <c r="CQ3">
        <f ca="1">IF(ISNA(AZ3),ROW(),IF(INDIRECT("co"&amp;INDIRECT("cq"&amp;AZ3))&lt;CO3,INDIRECT("cq"&amp;AZ3),ROW()))</f>
        <v>3</v>
      </c>
      <c r="CR3" s="407" t="str">
        <f>IF(AE3="OK",AQ3,"")</f>
        <v/>
      </c>
      <c r="CS3">
        <f>IF(AE3="OK",SUMIFS(Z:Z,C:C,C3,AT:AT,AT3,AE:AE,"OK"),0)</f>
        <v>0</v>
      </c>
      <c r="CT3" t="str">
        <f>TEXT(IF(CS3&gt;1,COUNTIF($CU$2:CU3,"OK"&amp;C3&amp;AT3),CS3),"@")</f>
        <v>0</v>
      </c>
      <c r="CU3" t="str">
        <f>AE3&amp;C3&amp;AT3</f>
        <v>EIComboBox_TyToimenpide#ei tietoa</v>
      </c>
      <c r="CV3" s="228">
        <f>COUNTIFS(D:D,D3,Y:Y,Y3,AE:AE,"OK")</f>
        <v>0</v>
      </c>
      <c r="CW3" s="228" t="str">
        <f>TEXT(IF($CV3&gt;1,COUNTIF($CX$2:CX3,"OK"&amp;$C3&amp;$Y3),$CV3),"@")</f>
        <v>0</v>
      </c>
      <c r="CX3" s="228" t="str">
        <f>AE3&amp;C3&amp;Y3</f>
        <v>EItyhja</v>
      </c>
      <c r="CY3">
        <f>COUNTIFS(D:D,D3,X:X,X3,AE:AE,"OK")</f>
        <v>0</v>
      </c>
      <c r="CZ3" s="228" t="str">
        <f>TEXT(IF($CY3&gt;1,COUNTIF($DA$2:DA3,"OK"&amp;$C3&amp;$X3),$CY3),"@")</f>
        <v>0</v>
      </c>
      <c r="DA3" t="str">
        <f>AE3&amp;C3&amp;X3</f>
        <v>EItyhja</v>
      </c>
    </row>
    <row r="4" spans="1:105" ht="15.75" x14ac:dyDescent="0.25">
      <c r="A4" t="str">
        <f>IF(Data_TYjaksot!A3="0","",IF(Data_TYjaksot!A3="","",Data_TYjaksot!A3))</f>
        <v/>
      </c>
      <c r="B4" t="str">
        <f>IF(Data_TYjaksot!B3="0","",IF(Data_TYjaksot!B3="","",Data_TYjaksot!B3))</f>
        <v/>
      </c>
      <c r="C4" t="str">
        <f>IF(Data_TYjaksot!C3="0","",IF(Data_TYjaksot!C3="","",Data_TYjaksot!C3))</f>
        <v/>
      </c>
      <c r="D4" t="str">
        <f t="shared" ref="D4:D5" si="2">C4&amp;AE4</f>
        <v>EI</v>
      </c>
      <c r="E4" t="str">
        <f>IF(Data_TYjaksot!E3="0","",IF(Data_TYjaksot!E3="","",Data_TYjaksot!E3))</f>
        <v/>
      </c>
      <c r="F4" t="str">
        <f>IF(Data_TYjaksot!F3="0","",IF(Data_TYjaksot!F3="","",Data_TYjaksot!F3))</f>
        <v/>
      </c>
      <c r="G4" t="str">
        <f>IF(Data_TYjaksot!G3="0","",IF(Data_TYjaksot!G3="","",Data_TYjaksot!G3))</f>
        <v/>
      </c>
      <c r="H4" t="str">
        <f>IF(Data_TYjaksot!H3="0","",IF(Data_TYjaksot!H3="","",Data_TYjaksot!H3))</f>
        <v/>
      </c>
      <c r="I4" t="str">
        <f>IF(Data_TYjaksot!I3="0","",IF(Data_TYjaksot!I3="","",Data_TYjaksot!I3))</f>
        <v/>
      </c>
      <c r="J4" t="str">
        <f>IF(Data_TYjaksot!J3="0","",IF(Data_TYjaksot!J3="","",Data_TYjaksot!J3))</f>
        <v/>
      </c>
      <c r="K4" t="str">
        <f>IF(Data_TYjaksot!K3="0","",IF(Data_TYjaksot!K3="","",Data_TYjaksot!K3))</f>
        <v/>
      </c>
      <c r="L4" t="str">
        <f>IF(Data_TYjaksot!L3="0","",IF(Data_TYjaksot!L3="","",Data_TYjaksot!L3))</f>
        <v/>
      </c>
      <c r="M4" t="str">
        <f>IF(Data_TYjaksot!M3="0","",IF(Data_TYjaksot!M3="","",Data_TYjaksot!M3))</f>
        <v/>
      </c>
      <c r="N4" t="str">
        <f>IF(Data_TYjaksot!N3="0","",IF(Data_TYjaksot!N3="","",Data_TYjaksot!N3))</f>
        <v/>
      </c>
      <c r="O4" t="str">
        <f>IF(Data_TYjaksot!O3="0","",IF(Data_TYjaksot!O3="","",Data_TYjaksot!O3))</f>
        <v/>
      </c>
      <c r="P4" t="str">
        <f>IF(Data_TYjaksot!P3="0","",IF(Data_TYjaksot!P3="","",Data_TYjaksot!P3))</f>
        <v/>
      </c>
      <c r="Q4" t="str">
        <f>IF(Data_TYjaksot!Q3="0","",IF(Data_TYjaksot!Q3="","",Data_TYjaksot!Q3))</f>
        <v/>
      </c>
      <c r="R4" t="str">
        <f>IF(Data_TYjaksot!R3="0","",IF(Data_TYjaksot!R3="","",Data_TYjaksot!R3))</f>
        <v/>
      </c>
      <c r="S4" t="str">
        <f>IF(Data_TYjaksot!S3="0","",IF(Data_TYjaksot!S3="","",Data_TYjaksot!S3))</f>
        <v/>
      </c>
      <c r="T4" t="str">
        <f>IF(Data_TYjaksot!T3="0","",IF(Data_TYjaksot!T3="","",Data_TYjaksot!T3))</f>
        <v/>
      </c>
      <c r="U4" t="str">
        <f>IF(Data_TYjaksot!U3="0","",IF(Data_TYjaksot!U3="","",Data_TYjaksot!U3))</f>
        <v/>
      </c>
      <c r="V4" t="str">
        <f>IF(Data_TYjaksot!V3="0","",IF(Data_TYjaksot!V3="","",Data_TYjaksot!V3))</f>
        <v/>
      </c>
      <c r="W4" t="str">
        <f>IF(Data_TYjaksot!W3="0","",IF(Data_TYjaksot!W3="","",Data_TYjaksot!W3))</f>
        <v/>
      </c>
      <c r="X4" s="228" t="str">
        <f>IF(Data_TYjaksot!AA3="0",$AX4,IF(Data_TYjaksot!AA3="",$AX4,IF(LEFT(Data_TYjaksot!AA3,5)&lt;&gt;"Combo","Muut",Data_TYjaksot!AA3)))</f>
        <v>tyhja</v>
      </c>
      <c r="Y4" s="228" t="str">
        <f>IF(Data_TYjaksot!Z3="0",$CI4,IF(Data_TYjaksot!Z3="",$CI4,IF(LEFT(Data_TYjaksot!Z3,5)&lt;&gt;"Combo","Muut",Data_TYjaksot!Z3)))</f>
        <v>tyhja</v>
      </c>
      <c r="Z4">
        <f t="shared" ref="Z4:Z5" si="3">$Y$1</f>
        <v>1</v>
      </c>
      <c r="AA4">
        <f>ROW()</f>
        <v>4</v>
      </c>
      <c r="AB4" s="84" t="str">
        <f t="shared" ref="AB4:AB5" si="4">IFERROR(IF(U4&lt;&gt;"",VALUE(U4),IF(V4="",VALUE(S4),VALUE(T4))),"")</f>
        <v/>
      </c>
      <c r="AC4" s="84" t="str">
        <f t="shared" ref="AC4:AC5" si="5">IFERROR(VALUE(IF(W4="",IF(CJ4="D",IF(S4&lt;&gt;"",S4,T4),IF($AC$1&gt;=AB4,$AC$1 +1,AB4)),VALUE(W4))),"")</f>
        <v/>
      </c>
      <c r="AD4" s="222" t="str">
        <f t="shared" ref="AD4:AD5" si="6">IFERROR(IF(AC4*AB4=0,"",(ROUND((AC4-AB4)/30.25,1))),"")</f>
        <v/>
      </c>
      <c r="AE4" s="407" t="str">
        <f t="shared" ref="AE4:AE5" si="7">IF($AB4&gt;=$AB$1,IF($AB4&lt;=$AC$1,"OK","EI"),IF($AC4&gt;=$AB$1,"OK",IF($AC4="","OK","EI")))</f>
        <v>EI</v>
      </c>
      <c r="AF4" t="str">
        <f t="shared" ref="AF4:AF5" si="8">IF(SUMIFS($Z:$Z,$C:$C,$C4,$AE:$AE,$AF$1)=0,"EI","OK")</f>
        <v>EI</v>
      </c>
      <c r="AG4" t="str">
        <f t="shared" ref="AG4:AG5" si="9">IF($AB4&gt;=$AD$1,IF($AB4&lt;=$AE$1,"OK","EI"),IF($AC4&gt;=$AD$1,"OK",IF($AC4="","OK","EI")))</f>
        <v>EI</v>
      </c>
      <c r="AH4" t="str">
        <f t="shared" ref="AH4:AH5" si="10">IF(SUMIFS($Z:$Z,$C:$C,$C4,$AG:$AG,$AF$1)=0,"EI","OK")</f>
        <v>EI</v>
      </c>
      <c r="AI4" s="177" t="str">
        <f t="shared" ref="AI4:AI5" si="11">IFERROR(IF($AB4&gt;=$AB$1,IF($AB4&lt;=$AC$1,"OK","EI"),"EI"),"")</f>
        <v>EI</v>
      </c>
      <c r="AJ4" t="str">
        <f t="shared" ref="AJ4:AJ5" si="12">IF(SUMIFS($Z:$Z,$C:$C,$C4,$AI:$AI,$AF$1)=0,"EI","OK")</f>
        <v>EI</v>
      </c>
      <c r="AK4">
        <f>COUNTIF($C$2:C4,C4)</f>
        <v>2</v>
      </c>
      <c r="AL4">
        <f t="shared" ref="AL4:AL5" si="13">COUNTIFS(C:C,C4)</f>
        <v>1048575</v>
      </c>
      <c r="AM4" s="222">
        <f t="shared" ref="AM4:AM5" si="14">IFERROR(SUMIFS(AD:AD,$C:$C,$C4,AE:AE,$AF$1),"EI")</f>
        <v>0</v>
      </c>
      <c r="AN4" t="str">
        <f t="shared" ref="AN4:AN5" si="15">IF(AF4=$AF$1,IF(AM4&lt;&gt;"",IF(AM4&lt;2,"alle 2kk",IF(AM4&lt;3,"alle 3kk",IF(AM4&lt;6,"alle 6kk",IF(AM4&lt;12,"alle 1vuosi","yli 1vuosi"))))),"EI")</f>
        <v>EI</v>
      </c>
      <c r="AO4" s="222">
        <f t="shared" ref="AO4:AO5" si="16">SUMIFS(AD:AD,C:C,C4)</f>
        <v>45658</v>
      </c>
      <c r="AP4" t="str">
        <f t="shared" ref="AP4:AP5" si="17">IF(AM4&lt;&gt;"",IF(AM4&lt;2,"alle 2kk",IF(AM4&lt;3,"alle 3kk",IF(AM4&lt;6,"alle 6kk",IF(AM4&lt;12,"alle 1vuosi","yli 1vuosi")))))</f>
        <v>alle 2kk</v>
      </c>
      <c r="AQ4" t="str">
        <f t="shared" ref="AQ4:AQ5" si="18">IF(LEFT(L4,5)="Combo",L4,IF(L4="","",$AQ$1))</f>
        <v/>
      </c>
      <c r="AR4" s="491" t="str">
        <f t="shared" ref="AR4:AR5" si="19">IF(O4="",$AR$1,IF(O4="työelämään",O4,IF(O4 ="koulutukseen",O4,IF(LEFT(O4,5)="Combo",O4,$AS$1))))</f>
        <v>ComboBox_TySijoittuminen#ei tietoa</v>
      </c>
      <c r="AS4" s="543" t="str">
        <f t="shared" ref="AS4:AS5" si="20">IF(AC4&gt;$AC$1,"ComboBox_TySijoittuminen#edelleen työpajalla",AR4)</f>
        <v>ComboBox_TySijoittuminen#edelleen työpajalla</v>
      </c>
      <c r="AT4" t="str">
        <f>TRIM(IF(J4="",IF(K4="",$AT$1,$AU$1),IF(LEFT(J4,5)="Combo",J4,$AU$1)))</f>
        <v>ComboBox_TyToimenpide#ei tietoa</v>
      </c>
      <c r="AU4" t="str">
        <f ca="1">IFERROR(INDEX(AS!AH:AH,MATCH(C4,AS!A:A,0)),"")</f>
        <v>vanha</v>
      </c>
      <c r="AV4" s="228" t="str">
        <f t="shared" ref="AV4:AV5" si="21">IF(M4="",$AV$1,IF(M4="eläke","ComboBox_TySijoittuminen#eläke",IF(M4="muutto toiselle paikkakunnalle","ComboBox_TySijoittuminen#muutto toiselle paikkakunnalle",IF(M4="koulutukseen","ComboBox_TySijoittuminen#koulutukseen",IF(M4="työelämään","ComboBox_TySijoittuminen#työelämään",IF(LEFT(M4,5)="Combo",M4,$AW$1))))))</f>
        <v>ComboBox_TySijoittuminen#ei tietoa</v>
      </c>
      <c r="AW4" s="177" t="str">
        <f t="shared" ref="AW4:AW5" si="22">IF(AC4&gt;$AE$1,IF(AV4=$AV$1,$AX$1,AV4),AV4)</f>
        <v>ComboBox_TySijoittuminen#edelleen työpajalla</v>
      </c>
      <c r="AX4" s="228" t="str">
        <f>IFERROR(INDEX(AS!$AW:$AW,MATCH(C4,AS!A:A,0)),"")</f>
        <v>tyhja</v>
      </c>
      <c r="AY4" s="80" t="e">
        <f t="shared" ref="AY4:AY5" si="23">VALUE(AB4)</f>
        <v>#VALUE!</v>
      </c>
      <c r="AZ4">
        <f t="shared" ref="AZ4:AZ5" si="24">MATCH(C4,C5:C10001,0)+ROW()</f>
        <v>5</v>
      </c>
      <c r="BA4" s="80" t="e">
        <f t="shared" ref="BA4:BA5" ca="1" si="25">IF(ISNA(AZ4),AY4,IF(INDIRECT("ba"&amp;AZ4)&lt;AY4,INDIRECT("ba"&amp;AZ4),AY4))</f>
        <v>#VALUE!</v>
      </c>
      <c r="BB4" t="e">
        <f t="shared" ref="BB4:BB5" ca="1" si="26">IF(ISNA(AZ4),ROW(),IF(INDIRECT("ay"&amp;INDIRECT("bb"&amp;AZ4))&lt;AY4,INDIRECT("bb"&amp;AZ4),ROW()))</f>
        <v>#VALUE!</v>
      </c>
      <c r="BC4" t="str">
        <f ca="1">INDEX(AS!$BN:$BN,MATCH($C4,AS!$A:$A,0))</f>
        <v>EI</v>
      </c>
      <c r="BD4" s="80" t="str">
        <f ca="1">INDEX(AS!BM:BM,MATCH(C4,AS!A:A,0))</f>
        <v/>
      </c>
      <c r="BE4" t="str">
        <f ca="1">INDEX(AS!X:X,MATCH(C4,AS!A:A,0))</f>
        <v>EI</v>
      </c>
      <c r="BF4" s="80" t="e">
        <f t="shared" ref="BF4:BF5" si="27">VALUE(AC4)</f>
        <v>#VALUE!</v>
      </c>
      <c r="BG4" s="80" t="e">
        <f t="shared" ref="BG4:BG5" ca="1" si="28">IF(ISNA(AZ4),BF4,IF(INDIRECT("bg"&amp;AZ4)&gt;BF4,INDIRECT("bg"&amp;AZ4),BF4))</f>
        <v>#VALUE!</v>
      </c>
      <c r="BH4" t="e">
        <f t="shared" ref="BH4:BH5" ca="1" si="29">IF(ISNA(AZ4),ROW(),IF(INDIRECT("bf"&amp;INDIRECT("bh"&amp;AZ4))&gt;BF4,INDIRECT("bh"&amp;AZ4),ROW()))</f>
        <v>#VALUE!</v>
      </c>
      <c r="BI4" t="e">
        <f t="shared" ref="BI4:BI5" ca="1" si="30">IF(BF4=BG4,0,1)</f>
        <v>#VALUE!</v>
      </c>
      <c r="BJ4" t="str">
        <f t="shared" ref="BJ4:BJ5" si="31">IF($AB4&gt;=BJ$2,IF($AB4&lt;BK$2,"OK","EI"),IF($AC4&gt;=BJ$2,"OK","EI"))</f>
        <v>EI</v>
      </c>
      <c r="BK4" t="str">
        <f t="shared" ref="BK4:BK5" si="32">IF($AB4&gt;=BK$2,IF($AB4&lt;BL$2,"OK","EI"),IF($AC4&gt;=BK$2,"OK","EI"))</f>
        <v>EI</v>
      </c>
      <c r="BL4" t="str">
        <f t="shared" ref="BL4:BL5" si="33">IF($AB4&gt;=BL$2,IF($AB4&lt;BM$2,"OK","EI"),IF($AC4&gt;=BL$2,"OK","EI"))</f>
        <v>EI</v>
      </c>
      <c r="BM4" t="str">
        <f t="shared" ref="BM4:BM5" si="34">IF($AB4&gt;=BM$2,IF($AB4&lt;BN$2,"OK","EI"),IF($AC4&gt;=BM$2,"OK","EI"))</f>
        <v>EI</v>
      </c>
      <c r="BN4" t="str">
        <f t="shared" ref="BN4:BN5" si="35">IF($AB4&gt;=BN$2,IF($AB4&lt;BO$2,"OK","EI"),IF($AC4&gt;=BN$2,"OK","EI"))</f>
        <v>EI</v>
      </c>
      <c r="BO4" t="str">
        <f t="shared" ref="BO4:BO5" si="36">IF($AB4&gt;=BO$2,IF($AB4&lt;BP$2,"OK","EI"),IF($AC4&gt;=BO$2,"OK","EI"))</f>
        <v>EI</v>
      </c>
      <c r="BP4" t="str">
        <f t="shared" ref="BP4:BP5" si="37">IF($AB4&gt;=BP$2,IF($AB4&lt;BQ$2,"OK","EI"),IF($AC4&gt;=BP$2,"OK","EI"))</f>
        <v>EI</v>
      </c>
      <c r="BQ4" t="str">
        <f t="shared" ref="BQ4:BQ5" si="38">IF($AB4&gt;=BQ$2,IF($AB4&lt;BR$2,"OK","EI"),IF($AC4&gt;=BQ$2,"OK","EI"))</f>
        <v>EI</v>
      </c>
      <c r="BR4" t="str">
        <f t="shared" ref="BR4:BR5" si="39">IF($AB4&gt;=BR$2,IF($AB4&lt;BS$2,"OK","EI"),IF($AC4&gt;=BR$2,"OK","EI"))</f>
        <v>EI</v>
      </c>
      <c r="BS4" t="str">
        <f t="shared" ref="BS4:BS5" si="40">IF($AB4&gt;=BS$2,IF($AB4&lt;BT$2,"OK","EI"),IF($AC4&gt;=BS$2,"OK","EI"))</f>
        <v>EI</v>
      </c>
      <c r="BT4" t="str">
        <f t="shared" ref="BT4:BT5" si="41">IF($AB4&gt;=BT$2,IF($AB4&lt;BU$2,"OK","EI"),IF($AC4&gt;=BT$2,"OK","EI"))</f>
        <v>EI</v>
      </c>
      <c r="BU4" t="str">
        <f t="shared" ref="BU4:BU5" si="42">IF($AB4&gt;=BU$2,IF($AB4&lt;BU$1,"OK","EI"),IF($AC4&gt;=BU$2,"OK","EI"))</f>
        <v>EI</v>
      </c>
      <c r="BV4" t="str">
        <f t="shared" ref="BV4:BV5" si="43">IF($AB4&gt;=BV$2,IF($AB4&lt;BW$2,"OK","EI"),"EI")</f>
        <v>EI</v>
      </c>
      <c r="BW4" t="str">
        <f t="shared" ref="BW4:BW5" si="44">IF($AB4&gt;=BW$2,IF($AB4&lt;BX$2,"OK","EI"),"EI")</f>
        <v>EI</v>
      </c>
      <c r="BX4" t="str">
        <f t="shared" ref="BX4:BX5" si="45">IF($AB4&gt;=BX$2,IF($AB4&lt;BY$2,"OK","EI"),"EI")</f>
        <v>EI</v>
      </c>
      <c r="BY4" t="str">
        <f t="shared" ref="BY4:BY5" si="46">IF($AB4&gt;=BY$2,IF($AB4&lt;BZ$2,"OK","EI"),"EI")</f>
        <v>EI</v>
      </c>
      <c r="BZ4" t="str">
        <f t="shared" ref="BZ4:BZ5" si="47">IF($AB4&gt;=BZ$2,IF($AB4&lt;CA$2,"OK","EI"),"EI")</f>
        <v>EI</v>
      </c>
      <c r="CA4" t="str">
        <f t="shared" ref="CA4:CA5" si="48">IF($AB4&gt;=CA$2,IF($AB4&lt;CB$2,"OK","EI"),"EI")</f>
        <v>EI</v>
      </c>
      <c r="CB4" t="str">
        <f t="shared" ref="CB4:CB5" si="49">IF($AB4&gt;=CB$2,IF($AB4&lt;CC$2,"OK","EI"),"EI")</f>
        <v>EI</v>
      </c>
      <c r="CC4" t="str">
        <f t="shared" ref="CC4:CC5" si="50">IF($AB4&gt;=CC$2,IF($AB4&lt;CD$2,"OK","EI"),"EI")</f>
        <v>EI</v>
      </c>
      <c r="CD4" t="str">
        <f t="shared" ref="CD4:CD5" si="51">IF($AB4&gt;=CD$2,IF($AB4&lt;CE$2,"OK","EI"),"EI")</f>
        <v>EI</v>
      </c>
      <c r="CE4" t="str">
        <f t="shared" ref="CE4:CE5" si="52">IF($AB4&gt;=CE$2,IF($AB4&lt;CF$2,"OK","EI"),"EI")</f>
        <v>EI</v>
      </c>
      <c r="CF4" t="str">
        <f t="shared" ref="CF4:CF5" si="53">IF($AB4&gt;=CF$2,IF($AB4&lt;CG$2,"OK","EI"),"EI")</f>
        <v>EI</v>
      </c>
      <c r="CG4" t="str">
        <f t="shared" ref="CG4:CG5" si="54">IF($AB4&gt;=CG$2,IF($AB4&lt;CG$1,"OK","EI"),"EI")</f>
        <v>EI</v>
      </c>
      <c r="CH4" t="str">
        <f>INDEX(AS!F:F,MATCH(C4,AS!A:A,0))</f>
        <v>OptionButton_EtMies</v>
      </c>
      <c r="CI4" t="str">
        <f>INDEX(AS!$K:$K,MATCH($C4,AS!$A:$A,0))</f>
        <v>tyhja</v>
      </c>
      <c r="CJ4">
        <f>INDEX(AS!$L:$L,MATCH($C4,AS!$A:$A,0))</f>
        <v>0</v>
      </c>
      <c r="CK4" s="407" t="str">
        <f t="shared" ref="CK4:CK5" si="55">IF($AB4&gt;=$CK$1,IF($AB4&lt;=$CL$1,"OK","EI"),IF($AC4&gt;=$CK$1,"OK",IF($CL$1="","OK","EI")))</f>
        <v>EI</v>
      </c>
      <c r="CL4" t="str">
        <f t="shared" ref="CL4:CL5" si="56">IF(SUMIFS($Z:$Z,$C:$C,$C4,$CK:$CK,$AF$1)=0,"EI","OK")</f>
        <v>EI</v>
      </c>
      <c r="CM4" s="228" t="str">
        <f t="shared" ref="CM4:CM5" si="57">IFERROR(IF($AB4&gt;=$CK$1,IF($AB4&lt;=$CL$1,"OK","EI"),"EI"),"")</f>
        <v>EI</v>
      </c>
      <c r="CN4" t="str">
        <f t="shared" ref="CN4:CN5" si="58">IF(SUMIFS($Z:$Z,$C:$C,$C4,$CM:$CM,$AF$1)=0,"EI","OK")</f>
        <v>EI</v>
      </c>
      <c r="CO4" s="80" t="str">
        <f t="shared" ref="CO4:CO5" si="59">IF(CM4="OK",AB4,"")</f>
        <v/>
      </c>
      <c r="CP4" s="80" t="str">
        <f t="shared" ref="CP4:CP5" ca="1" si="60">IF(ISNA(AZ4),CO4,IF(INDIRECT("cp"&amp;AZ4)&lt;CO4,INDIRECT("cp"&amp;AZ4),CO4))</f>
        <v/>
      </c>
      <c r="CQ4">
        <f t="shared" ref="CQ4:CQ5" ca="1" si="61">IF(ISNA(AZ4),ROW(),IF(INDIRECT("co"&amp;INDIRECT("cq"&amp;AZ4))&lt;CO4,INDIRECT("cq"&amp;AZ4),ROW()))</f>
        <v>4</v>
      </c>
      <c r="CR4" s="407" t="str">
        <f t="shared" ref="CR4:CR5" si="62">IF(AE4="OK",AQ4,"")</f>
        <v/>
      </c>
      <c r="CS4">
        <f t="shared" ref="CS4:CS5" si="63">IF(AE4="OK",SUMIFS(Z:Z,C:C,C4,AT:AT,AT4,AE:AE,"OK"),0)</f>
        <v>0</v>
      </c>
      <c r="CT4" t="str">
        <f>TEXT(IF(CS4&gt;1,COUNTIF($CU$2:CU4,"OK"&amp;C4&amp;AT4),CS4),"@")</f>
        <v>0</v>
      </c>
      <c r="CU4" t="str">
        <f t="shared" ref="CU4:CU5" si="64">AE4&amp;C4&amp;AT4</f>
        <v>EIComboBox_TyToimenpide#ei tietoa</v>
      </c>
      <c r="CV4" s="228">
        <f t="shared" ref="CV4:CV5" si="65">COUNTIFS(D:D,D4,Y:Y,Y4,AE:AE,"OK")</f>
        <v>0</v>
      </c>
      <c r="CW4" s="228" t="str">
        <f>TEXT(IF($CV4&gt;1,COUNTIF($CX$2:CX4,"OK"&amp;$C4&amp;$Y4),$CV4),"@")</f>
        <v>0</v>
      </c>
      <c r="CX4" s="228" t="str">
        <f t="shared" ref="CX4:CX5" si="66">AE4&amp;C4&amp;Y4</f>
        <v>EItyhja</v>
      </c>
      <c r="CY4">
        <f t="shared" ref="CY4:CY5" si="67">COUNTIFS(D:D,D4,X:X,X4,AE:AE,"OK")</f>
        <v>0</v>
      </c>
      <c r="CZ4" s="228" t="str">
        <f>TEXT(IF($CY4&gt;1,COUNTIF($DA$2:DA4,"OK"&amp;$C4&amp;$X4),$CY4),"@")</f>
        <v>0</v>
      </c>
      <c r="DA4" t="str">
        <f t="shared" ref="DA4:DA5" si="68">AE4&amp;C4&amp;X4</f>
        <v>EItyhja</v>
      </c>
    </row>
    <row r="5" spans="1:105" ht="15.75" x14ac:dyDescent="0.25">
      <c r="A5" t="str">
        <f>IF(Data_TYjaksot!A4="0","",IF(Data_TYjaksot!A4="","",Data_TYjaksot!A4))</f>
        <v/>
      </c>
      <c r="B5" t="str">
        <f>IF(Data_TYjaksot!B4="0","",IF(Data_TYjaksot!B4="","",Data_TYjaksot!B4))</f>
        <v/>
      </c>
      <c r="C5" t="str">
        <f>IF(Data_TYjaksot!C4="0","",IF(Data_TYjaksot!C4="","",Data_TYjaksot!C4))</f>
        <v/>
      </c>
      <c r="D5" t="str">
        <f t="shared" si="2"/>
        <v>EI</v>
      </c>
      <c r="E5" t="str">
        <f>IF(Data_TYjaksot!E4="0","",IF(Data_TYjaksot!E4="","",Data_TYjaksot!E4))</f>
        <v/>
      </c>
      <c r="F5" t="str">
        <f>IF(Data_TYjaksot!F4="0","",IF(Data_TYjaksot!F4="","",Data_TYjaksot!F4))</f>
        <v/>
      </c>
      <c r="G5" t="str">
        <f>IF(Data_TYjaksot!G4="0","",IF(Data_TYjaksot!G4="","",Data_TYjaksot!G4))</f>
        <v/>
      </c>
      <c r="H5" t="str">
        <f>IF(Data_TYjaksot!H4="0","",IF(Data_TYjaksot!H4="","",Data_TYjaksot!H4))</f>
        <v/>
      </c>
      <c r="I5" t="str">
        <f>IF(Data_TYjaksot!I4="0","",IF(Data_TYjaksot!I4="","",Data_TYjaksot!I4))</f>
        <v/>
      </c>
      <c r="J5" t="str">
        <f>IF(Data_TYjaksot!J4="0","",IF(Data_TYjaksot!J4="","",Data_TYjaksot!J4))</f>
        <v/>
      </c>
      <c r="K5" t="str">
        <f>IF(Data_TYjaksot!K4="0","",IF(Data_TYjaksot!K4="","",Data_TYjaksot!K4))</f>
        <v/>
      </c>
      <c r="L5" t="str">
        <f>IF(Data_TYjaksot!L4="0","",IF(Data_TYjaksot!L4="","",Data_TYjaksot!L4))</f>
        <v/>
      </c>
      <c r="M5" t="str">
        <f>IF(Data_TYjaksot!M4="0","",IF(Data_TYjaksot!M4="","",Data_TYjaksot!M4))</f>
        <v/>
      </c>
      <c r="N5" t="str">
        <f>IF(Data_TYjaksot!N4="0","",IF(Data_TYjaksot!N4="","",Data_TYjaksot!N4))</f>
        <v/>
      </c>
      <c r="O5" t="str">
        <f>IF(Data_TYjaksot!O4="0","",IF(Data_TYjaksot!O4="","",Data_TYjaksot!O4))</f>
        <v/>
      </c>
      <c r="P5" t="str">
        <f>IF(Data_TYjaksot!P4="0","",IF(Data_TYjaksot!P4="","",Data_TYjaksot!P4))</f>
        <v/>
      </c>
      <c r="Q5" t="str">
        <f>IF(Data_TYjaksot!Q4="0","",IF(Data_TYjaksot!Q4="","",Data_TYjaksot!Q4))</f>
        <v/>
      </c>
      <c r="R5" t="str">
        <f>IF(Data_TYjaksot!R4="0","",IF(Data_TYjaksot!R4="","",Data_TYjaksot!R4))</f>
        <v/>
      </c>
      <c r="S5" t="str">
        <f>IF(Data_TYjaksot!S4="0","",IF(Data_TYjaksot!S4="","",Data_TYjaksot!S4))</f>
        <v/>
      </c>
      <c r="T5" t="str">
        <f>IF(Data_TYjaksot!T4="0","",IF(Data_TYjaksot!T4="","",Data_TYjaksot!T4))</f>
        <v/>
      </c>
      <c r="U5" t="str">
        <f>IF(Data_TYjaksot!U4="0","",IF(Data_TYjaksot!U4="","",Data_TYjaksot!U4))</f>
        <v/>
      </c>
      <c r="V5" t="str">
        <f>IF(Data_TYjaksot!V4="0","",IF(Data_TYjaksot!V4="","",Data_TYjaksot!V4))</f>
        <v/>
      </c>
      <c r="W5" t="str">
        <f>IF(Data_TYjaksot!W4="0","",IF(Data_TYjaksot!W4="","",Data_TYjaksot!W4))</f>
        <v/>
      </c>
      <c r="X5" s="228" t="str">
        <f>IF(Data_TYjaksot!AA4="0",$AX5,IF(Data_TYjaksot!AA4="",$AX5,IF(LEFT(Data_TYjaksot!AA4,5)&lt;&gt;"Combo","Muut",Data_TYjaksot!AA4)))</f>
        <v>tyhja</v>
      </c>
      <c r="Y5" s="228" t="str">
        <f>IF(Data_TYjaksot!Z4="0",$CI5,IF(Data_TYjaksot!Z4="",$CI5,IF(LEFT(Data_TYjaksot!Z4,5)&lt;&gt;"Combo","Muut",Data_TYjaksot!Z4)))</f>
        <v>tyhja</v>
      </c>
      <c r="Z5">
        <f t="shared" si="3"/>
        <v>1</v>
      </c>
      <c r="AA5">
        <f>ROW()</f>
        <v>5</v>
      </c>
      <c r="AB5" s="84" t="str">
        <f t="shared" si="4"/>
        <v/>
      </c>
      <c r="AC5" s="84" t="str">
        <f t="shared" si="5"/>
        <v/>
      </c>
      <c r="AD5" s="222" t="str">
        <f t="shared" si="6"/>
        <v/>
      </c>
      <c r="AE5" s="407" t="str">
        <f t="shared" si="7"/>
        <v>EI</v>
      </c>
      <c r="AF5" t="str">
        <f t="shared" si="8"/>
        <v>EI</v>
      </c>
      <c r="AG5" t="str">
        <f t="shared" si="9"/>
        <v>EI</v>
      </c>
      <c r="AH5" t="str">
        <f t="shared" si="10"/>
        <v>EI</v>
      </c>
      <c r="AI5" s="177" t="str">
        <f t="shared" si="11"/>
        <v>EI</v>
      </c>
      <c r="AJ5" t="str">
        <f t="shared" si="12"/>
        <v>EI</v>
      </c>
      <c r="AK5">
        <f>COUNTIF($C$2:C5,C5)</f>
        <v>3</v>
      </c>
      <c r="AL5">
        <f t="shared" si="13"/>
        <v>1048575</v>
      </c>
      <c r="AM5" s="222">
        <f t="shared" si="14"/>
        <v>0</v>
      </c>
      <c r="AN5" t="str">
        <f t="shared" si="15"/>
        <v>EI</v>
      </c>
      <c r="AO5" s="222">
        <f t="shared" si="16"/>
        <v>45658</v>
      </c>
      <c r="AP5" t="str">
        <f t="shared" si="17"/>
        <v>alle 2kk</v>
      </c>
      <c r="AQ5" t="str">
        <f t="shared" si="18"/>
        <v/>
      </c>
      <c r="AR5" s="491" t="str">
        <f t="shared" si="19"/>
        <v>ComboBox_TySijoittuminen#ei tietoa</v>
      </c>
      <c r="AS5" s="543" t="str">
        <f t="shared" si="20"/>
        <v>ComboBox_TySijoittuminen#edelleen työpajalla</v>
      </c>
      <c r="AT5" t="str">
        <f t="shared" ref="AT5" si="69">TRIM(IF(J5="",IF(K5="",$AT$1,$AU$1),IF(LEFT(J5,5)="Combo",J5,$AU$1)))</f>
        <v>ComboBox_TyToimenpide#ei tietoa</v>
      </c>
      <c r="AU5" t="str">
        <f ca="1">IFERROR(INDEX(AS!AH:AH,MATCH(C5,AS!A:A,0)),"")</f>
        <v>vanha</v>
      </c>
      <c r="AV5" s="228" t="str">
        <f t="shared" si="21"/>
        <v>ComboBox_TySijoittuminen#ei tietoa</v>
      </c>
      <c r="AW5" s="177" t="str">
        <f t="shared" si="22"/>
        <v>ComboBox_TySijoittuminen#edelleen työpajalla</v>
      </c>
      <c r="AX5" s="228" t="str">
        <f>IFERROR(INDEX(AS!$AW:$AW,MATCH(C5,AS!A:A,0)),"")</f>
        <v>tyhja</v>
      </c>
      <c r="AY5" s="80" t="e">
        <f t="shared" si="23"/>
        <v>#VALUE!</v>
      </c>
      <c r="AZ5" t="e">
        <f t="shared" si="24"/>
        <v>#N/A</v>
      </c>
      <c r="BA5" s="80" t="e">
        <f t="shared" ca="1" si="25"/>
        <v>#VALUE!</v>
      </c>
      <c r="BB5">
        <f t="shared" ca="1" si="26"/>
        <v>5</v>
      </c>
      <c r="BC5" t="str">
        <f ca="1">INDEX(AS!$BN:$BN,MATCH($C5,AS!$A:$A,0))</f>
        <v>EI</v>
      </c>
      <c r="BD5" s="80" t="str">
        <f ca="1">INDEX(AS!BM:BM,MATCH(C5,AS!A:A,0))</f>
        <v/>
      </c>
      <c r="BE5" t="str">
        <f ca="1">INDEX(AS!X:X,MATCH(C5,AS!A:A,0))</f>
        <v>EI</v>
      </c>
      <c r="BF5" s="80" t="e">
        <f t="shared" si="27"/>
        <v>#VALUE!</v>
      </c>
      <c r="BG5" s="80" t="e">
        <f t="shared" ca="1" si="28"/>
        <v>#VALUE!</v>
      </c>
      <c r="BH5">
        <f t="shared" ca="1" si="29"/>
        <v>5</v>
      </c>
      <c r="BI5" t="e">
        <f t="shared" ca="1" si="30"/>
        <v>#VALUE!</v>
      </c>
      <c r="BJ5" t="str">
        <f t="shared" si="31"/>
        <v>EI</v>
      </c>
      <c r="BK5" t="str">
        <f t="shared" si="32"/>
        <v>EI</v>
      </c>
      <c r="BL5" t="str">
        <f t="shared" si="33"/>
        <v>EI</v>
      </c>
      <c r="BM5" t="str">
        <f t="shared" si="34"/>
        <v>EI</v>
      </c>
      <c r="BN5" t="str">
        <f t="shared" si="35"/>
        <v>EI</v>
      </c>
      <c r="BO5" t="str">
        <f t="shared" si="36"/>
        <v>EI</v>
      </c>
      <c r="BP5" t="str">
        <f t="shared" si="37"/>
        <v>EI</v>
      </c>
      <c r="BQ5" t="str">
        <f t="shared" si="38"/>
        <v>EI</v>
      </c>
      <c r="BR5" t="str">
        <f t="shared" si="39"/>
        <v>EI</v>
      </c>
      <c r="BS5" t="str">
        <f t="shared" si="40"/>
        <v>EI</v>
      </c>
      <c r="BT5" t="str">
        <f t="shared" si="41"/>
        <v>EI</v>
      </c>
      <c r="BU5" t="str">
        <f t="shared" si="42"/>
        <v>EI</v>
      </c>
      <c r="BV5" t="str">
        <f t="shared" si="43"/>
        <v>EI</v>
      </c>
      <c r="BW5" t="str">
        <f t="shared" si="44"/>
        <v>EI</v>
      </c>
      <c r="BX5" t="str">
        <f t="shared" si="45"/>
        <v>EI</v>
      </c>
      <c r="BY5" t="str">
        <f t="shared" si="46"/>
        <v>EI</v>
      </c>
      <c r="BZ5" t="str">
        <f t="shared" si="47"/>
        <v>EI</v>
      </c>
      <c r="CA5" t="str">
        <f t="shared" si="48"/>
        <v>EI</v>
      </c>
      <c r="CB5" t="str">
        <f t="shared" si="49"/>
        <v>EI</v>
      </c>
      <c r="CC5" t="str">
        <f t="shared" si="50"/>
        <v>EI</v>
      </c>
      <c r="CD5" t="str">
        <f t="shared" si="51"/>
        <v>EI</v>
      </c>
      <c r="CE5" t="str">
        <f t="shared" si="52"/>
        <v>EI</v>
      </c>
      <c r="CF5" t="str">
        <f t="shared" si="53"/>
        <v>EI</v>
      </c>
      <c r="CG5" t="str">
        <f t="shared" si="54"/>
        <v>EI</v>
      </c>
      <c r="CH5" t="str">
        <f>INDEX(AS!F:F,MATCH(C5,AS!A:A,0))</f>
        <v>OptionButton_EtMies</v>
      </c>
      <c r="CI5" t="str">
        <f>INDEX(AS!$K:$K,MATCH($C5,AS!$A:$A,0))</f>
        <v>tyhja</v>
      </c>
      <c r="CJ5">
        <f>INDEX(AS!$L:$L,MATCH($C5,AS!$A:$A,0))</f>
        <v>0</v>
      </c>
      <c r="CK5" s="407" t="str">
        <f t="shared" si="55"/>
        <v>EI</v>
      </c>
      <c r="CL5" t="str">
        <f t="shared" si="56"/>
        <v>EI</v>
      </c>
      <c r="CM5" s="228" t="str">
        <f t="shared" si="57"/>
        <v>EI</v>
      </c>
      <c r="CN5" t="str">
        <f t="shared" si="58"/>
        <v>EI</v>
      </c>
      <c r="CO5" s="80" t="str">
        <f t="shared" si="59"/>
        <v/>
      </c>
      <c r="CP5" s="80" t="str">
        <f t="shared" ca="1" si="60"/>
        <v/>
      </c>
      <c r="CQ5">
        <f t="shared" ca="1" si="61"/>
        <v>5</v>
      </c>
      <c r="CR5" s="407" t="str">
        <f t="shared" si="62"/>
        <v/>
      </c>
      <c r="CS5">
        <f t="shared" si="63"/>
        <v>0</v>
      </c>
      <c r="CT5" t="str">
        <f>TEXT(IF(CS5&gt;1,COUNTIF($CU$2:CU5,"OK"&amp;C5&amp;AT5),CS5),"@")</f>
        <v>0</v>
      </c>
      <c r="CU5" t="str">
        <f t="shared" si="64"/>
        <v>EIComboBox_TyToimenpide#ei tietoa</v>
      </c>
      <c r="CV5" s="228">
        <f t="shared" si="65"/>
        <v>0</v>
      </c>
      <c r="CW5" s="228" t="str">
        <f>TEXT(IF($CV5&gt;1,COUNTIF($CX$2:CX5,"OK"&amp;$C5&amp;$Y5),$CV5),"@")</f>
        <v>0</v>
      </c>
      <c r="CX5" s="228" t="str">
        <f t="shared" si="66"/>
        <v>EItyhja</v>
      </c>
      <c r="CY5">
        <f t="shared" si="67"/>
        <v>0</v>
      </c>
      <c r="CZ5" s="228" t="str">
        <f>TEXT(IF($CY5&gt;1,COUNTIF($DA$2:DA5,"OK"&amp;$C5&amp;$X5),$CY5),"@")</f>
        <v>0</v>
      </c>
      <c r="DA5" t="str">
        <f t="shared" si="68"/>
        <v>EItyhja</v>
      </c>
    </row>
  </sheetData>
  <autoFilter ref="A2:DA2360" xr:uid="{00000000-0001-0000-0A00-000000000000}"/>
  <conditionalFormatting sqref="AD1">
    <cfRule type="containsText" dxfId="11" priority="5" operator="containsText" text="E">
      <formula>NOT(ISERROR(SEARCH("E",AD1)))</formula>
    </cfRule>
  </conditionalFormatting>
  <conditionalFormatting sqref="AE1">
    <cfRule type="containsText" dxfId="10" priority="6" operator="containsText" text="E">
      <formula>NOT(ISERROR(SEARCH("E",AE1)))</formula>
    </cfRule>
  </conditionalFormatting>
  <conditionalFormatting sqref="AG1:AH2">
    <cfRule type="containsText" dxfId="9" priority="7" operator="containsText" text="E">
      <formula>NOT(ISERROR(SEARCH("E",AG1)))</formula>
    </cfRule>
  </conditionalFormatting>
  <conditionalFormatting sqref="AI1:AJ1">
    <cfRule type="containsText" dxfId="8" priority="4" operator="containsText" text="E">
      <formula>NOT(ISERROR(SEARCH("E",AI1)))</formula>
    </cfRule>
  </conditionalFormatting>
  <conditionalFormatting sqref="CK1:CL1">
    <cfRule type="containsText" dxfId="7" priority="2" operator="containsText" text="E">
      <formula>NOT(ISERROR(SEARCH("E",CK1)))</formula>
    </cfRule>
  </conditionalFormatting>
  <conditionalFormatting sqref="CM1:CO1">
    <cfRule type="containsText" dxfId="6" priority="1" operator="containsText" text="E">
      <formula>NOT(ISERROR(SEARCH("E",CM1)))</formula>
    </cfRule>
  </conditionalFormatting>
  <pageMargins left="0.7" right="0.7" top="0.75" bottom="0.83333333333333337" header="0" footer="0"/>
  <pageSetup paperSize="9" orientation="portrait" r:id="rId1"/>
  <headerFooter>
    <oddFooter>&amp;L 
PAR työpaja
osoitettie
0100, paikka&amp;C&amp;G&amp;R&amp;P/&amp;N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C13B-3B13-4D6C-86CC-DC3C337EDD3A}">
  <sheetPr codeName="Taul24">
    <tabColor theme="5" tint="-0.249977111117893"/>
  </sheetPr>
  <dimension ref="A1:AN5"/>
  <sheetViews>
    <sheetView zoomScale="85" zoomScaleNormal="85" workbookViewId="0">
      <selection activeCell="A6" sqref="A6:XFD197"/>
    </sheetView>
  </sheetViews>
  <sheetFormatPr defaultRowHeight="15" x14ac:dyDescent="0.25"/>
  <cols>
    <col min="3" max="3" width="11.5703125" bestFit="1" customWidth="1"/>
    <col min="4" max="4" width="89.28515625" bestFit="1" customWidth="1"/>
    <col min="5" max="5" width="39" bestFit="1" customWidth="1"/>
    <col min="7" max="7" width="12" customWidth="1"/>
    <col min="8" max="8" width="14.28515625" customWidth="1"/>
    <col min="13" max="13" width="19.42578125" customWidth="1"/>
    <col min="14" max="14" width="21.140625" customWidth="1"/>
    <col min="16" max="16" width="10.140625" bestFit="1" customWidth="1"/>
    <col min="17" max="17" width="21.140625" customWidth="1"/>
    <col min="18" max="19" width="13.85546875" customWidth="1"/>
    <col min="20" max="20" width="12.85546875" customWidth="1"/>
    <col min="21" max="21" width="66.7109375" customWidth="1"/>
    <col min="22" max="22" width="26.28515625" customWidth="1"/>
    <col min="24" max="24" width="34" bestFit="1" customWidth="1"/>
    <col min="32" max="32" width="26.7109375" customWidth="1"/>
    <col min="39" max="39" width="15.140625" customWidth="1"/>
  </cols>
  <sheetData>
    <row r="1" spans="1:40" s="78" customFormat="1" ht="20.25" customHeight="1" x14ac:dyDescent="0.25">
      <c r="A1" s="78" t="s">
        <v>1440</v>
      </c>
      <c r="B1" s="78" t="s">
        <v>1440</v>
      </c>
      <c r="C1" s="78" t="s">
        <v>1440</v>
      </c>
      <c r="D1" s="78" t="s">
        <v>1440</v>
      </c>
      <c r="E1" s="78" t="s">
        <v>1440</v>
      </c>
      <c r="F1" s="78" t="s">
        <v>1440</v>
      </c>
      <c r="G1" s="80" t="s">
        <v>1440</v>
      </c>
      <c r="H1" s="78" t="s">
        <v>1440</v>
      </c>
      <c r="I1" s="78" t="s">
        <v>1440</v>
      </c>
      <c r="J1" s="78" t="s">
        <v>1440</v>
      </c>
      <c r="K1" s="78" t="s">
        <v>1440</v>
      </c>
      <c r="L1" s="90" t="s">
        <v>1440</v>
      </c>
      <c r="M1" s="631" t="s">
        <v>1440</v>
      </c>
      <c r="N1"/>
      <c r="O1" s="663">
        <v>1</v>
      </c>
      <c r="P1" s="120">
        <f>Asiakastilastot!$A$2</f>
        <v>46023</v>
      </c>
      <c r="Q1" s="120">
        <f>Asiakastilastot!$A$3</f>
        <v>46387</v>
      </c>
      <c r="R1" s="301">
        <f>P1-365</f>
        <v>45658</v>
      </c>
      <c r="S1" s="301">
        <f>P1-1</f>
        <v>46022</v>
      </c>
      <c r="T1" s="664"/>
      <c r="U1" s="665" t="s">
        <v>1201</v>
      </c>
      <c r="V1" s="666" t="s">
        <v>1611</v>
      </c>
      <c r="W1" s="667" t="s">
        <v>1612</v>
      </c>
      <c r="X1" s="667" t="s">
        <v>1613</v>
      </c>
      <c r="Y1" s="668" t="s">
        <v>1125</v>
      </c>
      <c r="Z1" s="668" t="s">
        <v>1126</v>
      </c>
      <c r="AB1" s="82" t="s">
        <v>1614</v>
      </c>
      <c r="AC1" s="82"/>
      <c r="AD1" s="90"/>
      <c r="AG1" s="90" t="s">
        <v>1548</v>
      </c>
      <c r="AI1" s="90"/>
      <c r="AJ1"/>
      <c r="AK1"/>
      <c r="AL1"/>
      <c r="AM1" s="454"/>
      <c r="AN1"/>
    </row>
    <row r="2" spans="1:40" s="78" customFormat="1" x14ac:dyDescent="0.25">
      <c r="A2" s="224" t="s">
        <v>1615</v>
      </c>
      <c r="B2" s="224" t="s">
        <v>1616</v>
      </c>
      <c r="C2" s="224" t="s">
        <v>1617</v>
      </c>
      <c r="D2" s="224" t="s">
        <v>1420</v>
      </c>
      <c r="E2" s="224" t="s">
        <v>1421</v>
      </c>
      <c r="F2" s="224" t="s">
        <v>1618</v>
      </c>
      <c r="G2" s="669" t="s">
        <v>1619</v>
      </c>
      <c r="H2" s="224" t="s">
        <v>1620</v>
      </c>
      <c r="I2" s="224" t="s">
        <v>1621</v>
      </c>
      <c r="J2" s="224" t="s">
        <v>1622</v>
      </c>
      <c r="K2" s="224" t="s">
        <v>1623</v>
      </c>
      <c r="L2" s="224" t="s">
        <v>1624</v>
      </c>
      <c r="M2" s="670" t="s">
        <v>1625</v>
      </c>
      <c r="N2" s="670" t="s">
        <v>1626</v>
      </c>
      <c r="O2" s="224" t="s">
        <v>1627</v>
      </c>
      <c r="P2" s="216" t="s">
        <v>1628</v>
      </c>
      <c r="Q2" s="216" t="s">
        <v>1629</v>
      </c>
      <c r="R2" s="216" t="s">
        <v>1630</v>
      </c>
      <c r="S2" s="591" t="s">
        <v>1631</v>
      </c>
      <c r="T2" s="591" t="s">
        <v>1632</v>
      </c>
      <c r="U2" s="671" t="s">
        <v>1633</v>
      </c>
      <c r="V2" s="216" t="s">
        <v>1601</v>
      </c>
      <c r="W2" s="216" t="s">
        <v>1634</v>
      </c>
      <c r="X2" s="82" t="s">
        <v>14</v>
      </c>
      <c r="Y2" s="82" t="s">
        <v>1635</v>
      </c>
      <c r="Z2" s="82" t="s">
        <v>1636</v>
      </c>
      <c r="AA2" s="82" t="s">
        <v>1637</v>
      </c>
      <c r="AB2" s="302">
        <v>0</v>
      </c>
      <c r="AC2" s="302">
        <v>0</v>
      </c>
      <c r="AD2" s="90" t="s">
        <v>1638</v>
      </c>
      <c r="AE2" s="302">
        <v>0</v>
      </c>
      <c r="AF2" s="302" t="s">
        <v>84</v>
      </c>
      <c r="AG2" s="90" t="s">
        <v>1597</v>
      </c>
      <c r="AH2" s="78" t="s">
        <v>1639</v>
      </c>
      <c r="AI2" s="90" t="s">
        <v>143</v>
      </c>
      <c r="AJ2" t="s">
        <v>1608</v>
      </c>
      <c r="AK2" t="s">
        <v>1640</v>
      </c>
      <c r="AL2" s="407" t="s">
        <v>1607</v>
      </c>
      <c r="AM2" s="454" t="s">
        <v>1641</v>
      </c>
      <c r="AN2" t="s">
        <v>1642</v>
      </c>
    </row>
    <row r="3" spans="1:40" s="78" customFormat="1" x14ac:dyDescent="0.25">
      <c r="A3" t="str">
        <f>IF(Data_Toimenpiteet!A2="0","",IF(Data_Toimenpiteet!A2="","",Data_Toimenpiteet!A2))</f>
        <v/>
      </c>
      <c r="B3" t="str">
        <f>IF(Data_Toimenpiteet!B2="0","",IF(Data_Toimenpiteet!B2="","",Data_Toimenpiteet!B2))</f>
        <v/>
      </c>
      <c r="C3" t="str">
        <f>IF(Data_Toimenpiteet!C2="0","",IF(Data_Toimenpiteet!C2="","",Data_Toimenpiteet!C2))</f>
        <v/>
      </c>
      <c r="D3" t="str">
        <f>IF(Data_Toimenpiteet!D2="0","",IF(Data_Toimenpiteet!D2="","",Data_Toimenpiteet!D2))</f>
        <v/>
      </c>
      <c r="E3" t="str">
        <f>IF(Data_Toimenpiteet!E2="0","",IF(Data_Toimenpiteet!E2="","",Data_Toimenpiteet!E2))</f>
        <v/>
      </c>
      <c r="F3" t="str">
        <f>IF(Data_Toimenpiteet!F2="0","",IF(Data_Toimenpiteet!F2="","",Data_Toimenpiteet!F2))</f>
        <v/>
      </c>
      <c r="G3" s="80" t="str">
        <f>IFERROR(VALUE(IF(Data_Toimenpiteet!G2="0","",IF(Data_Toimenpiteet!G2="","",Data_Toimenpiteet!G2))),"")</f>
        <v/>
      </c>
      <c r="H3" s="80" t="str">
        <f>IFERROR(VALUE(IF(Data_Toimenpiteet!H2="0","",IF(Data_Toimenpiteet!H2="","",Data_Toimenpiteet!H2))),"")</f>
        <v/>
      </c>
      <c r="I3" t="str">
        <f>IF(Data_Toimenpiteet!I2="0","",IF(Data_Toimenpiteet!I2="","",Data_Toimenpiteet!I2))</f>
        <v/>
      </c>
      <c r="J3" t="str">
        <f>IF(Data_Toimenpiteet!J2="0","",IF(Data_Toimenpiteet!J2="","",Data_Toimenpiteet!J2))</f>
        <v/>
      </c>
      <c r="K3" t="str">
        <f>IF(Data_Toimenpiteet!K2="0","",IF(Data_Toimenpiteet!K2="","",Data_Toimenpiteet!K2))</f>
        <v/>
      </c>
      <c r="L3" t="str">
        <f>IF(Data_Toimenpiteet!L2="0","",IF(Data_Toimenpiteet!L2="","",Data_Toimenpiteet!L2))</f>
        <v/>
      </c>
      <c r="M3" s="631" t="str">
        <f>IFERROR(VALUE(IF(Data_Toimenpiteet!M2="0","",IF(Data_Toimenpiteet!M2="","",Data_Toimenpiteet!M2))),"")</f>
        <v/>
      </c>
      <c r="N3" s="631" t="str">
        <f>IFERROR(VALUE(IF(Data_Toimenpiteet!N2="0","",IF(Data_Toimenpiteet!N2="","",Data_Toimenpiteet!N2))),"")</f>
        <v/>
      </c>
      <c r="O3" t="str">
        <f>IF(Data_Toimenpiteet!O2="0","",IF(Data_Toimenpiteet!O2="","",Data_Toimenpiteet!O2))</f>
        <v/>
      </c>
      <c r="P3">
        <f>$O$1</f>
        <v>1</v>
      </c>
      <c r="Q3" t="str">
        <f>IFERROR(IF(S3&gt;=$P$1,IF(S3&lt;=$Q$1,"OK","EI"),"EI"),"")</f>
        <v>EI</v>
      </c>
      <c r="R3" s="228" t="str">
        <f>IF(S3&lt;=$Q$1,IF(T3&gt;=$P$1,"OK","EI"),"EI")</f>
        <v>EI</v>
      </c>
      <c r="S3" s="84" t="str">
        <f>IFERROR(IF(G3="",VALUE($M3),VALUE(G3)),"")</f>
        <v/>
      </c>
      <c r="T3" s="84" t="str">
        <f>IF(H3="",S3,H3)</f>
        <v/>
      </c>
      <c r="U3" t="str">
        <f>IF(LEFT(D3,5)="Combo",D3,IF(D3="","",IF(D3=$V$1,$V$1,IF(D3=$W$1,$Y$1,IF(D3=$X$1,$Z$1,$U$1)))))</f>
        <v/>
      </c>
      <c r="V3" t="str">
        <f>INDEX(AS!F:F,MATCH(C3,AS!A:A,0))</f>
        <v>OptionButton_EtMies</v>
      </c>
      <c r="W3" t="str">
        <f ca="1">INDEX(AS!AH:AH,MATCH(C3,AS!A:A,0))</f>
        <v>vanha</v>
      </c>
      <c r="X3" t="str">
        <f>INDEX(AS!K:K,MATCH(C3,AS!A:A,0))</f>
        <v>tyhja</v>
      </c>
      <c r="Y3">
        <f>COUNTIF($C$2:C3,C3)</f>
        <v>1</v>
      </c>
      <c r="Z3" t="str">
        <f>IF(J3="-1",1,"")</f>
        <v/>
      </c>
      <c r="AA3" t="str">
        <f>IF(I3="-1",1,"")</f>
        <v/>
      </c>
      <c r="AB3">
        <f>IF(C2=C3,AB2,AB2+1)</f>
        <v>1</v>
      </c>
      <c r="AC3">
        <f>IF(Q3="OK",IF(C2=C3,AC2,AC2+1),AC2)</f>
        <v>0</v>
      </c>
      <c r="AD3" t="str">
        <f>INDEX(AS!AB:AB,MATCH(C3,AS!A:A,0))</f>
        <v>EI</v>
      </c>
      <c r="AE3">
        <f>IF(AD3="OK",IF(C2=C3,AE2,AE2+1),AE2)</f>
        <v>0</v>
      </c>
      <c r="AF3" t="str">
        <f>INDEX(AS!AW:AW,MATCH(C3,AS!A:A,0))</f>
        <v>tyhja</v>
      </c>
      <c r="AG3" t="str">
        <f ca="1">INDEX(AS!X:X,MATCH(C3,AS!A:A,0))</f>
        <v>EI</v>
      </c>
      <c r="AH3" t="str">
        <f ca="1">INDEX(AS!AG:AG,MATCH(C3,AS!A:A,0))</f>
        <v>EI</v>
      </c>
      <c r="AI3" t="str">
        <f>INDEX(AS!$AV:$AV,MATCH(C3,AS!$A:$A,0))</f>
        <v>EI</v>
      </c>
      <c r="AJ3" t="str">
        <f>R3&amp;C3&amp;U3</f>
        <v>EI</v>
      </c>
      <c r="AK3">
        <f>IF(R3="OK",COUNTIFS(C:C,C3,R:R,"OK",U:U,U3),0)</f>
        <v>0</v>
      </c>
      <c r="AL3" t="str">
        <f>TEXT(IF(AK3&gt;1,COUNTIF($AJ$2:AJ3,"OK"&amp;C3&amp;U3),AK3),"@")</f>
        <v>0</v>
      </c>
      <c r="AM3" s="80" t="str">
        <f>INDEX(AS!Q:Q,MATCH(C3,AS!A:A,0))</f>
        <v/>
      </c>
      <c r="AN3" s="78">
        <f>Data_Toimenpiteet!P2</f>
        <v>0</v>
      </c>
    </row>
    <row r="4" spans="1:40" s="78" customFormat="1" x14ac:dyDescent="0.25">
      <c r="A4" t="str">
        <f>IF(Data_Toimenpiteet!A3="0","",IF(Data_Toimenpiteet!A3="","",Data_Toimenpiteet!A3))</f>
        <v/>
      </c>
      <c r="B4" t="str">
        <f>IF(Data_Toimenpiteet!B3="0","",IF(Data_Toimenpiteet!B3="","",Data_Toimenpiteet!B3))</f>
        <v/>
      </c>
      <c r="C4" t="str">
        <f>IF(Data_Toimenpiteet!C3="0","",IF(Data_Toimenpiteet!C3="","",Data_Toimenpiteet!C3))</f>
        <v/>
      </c>
      <c r="D4" t="str">
        <f>IF(Data_Toimenpiteet!D3="0","",IF(Data_Toimenpiteet!D3="","",Data_Toimenpiteet!D3))</f>
        <v/>
      </c>
      <c r="E4" t="str">
        <f>IF(Data_Toimenpiteet!E3="0","",IF(Data_Toimenpiteet!E3="","",Data_Toimenpiteet!E3))</f>
        <v/>
      </c>
      <c r="F4" t="str">
        <f>IF(Data_Toimenpiteet!F3="0","",IF(Data_Toimenpiteet!F3="","",Data_Toimenpiteet!F3))</f>
        <v/>
      </c>
      <c r="G4" s="80" t="str">
        <f>IFERROR(VALUE(IF(Data_Toimenpiteet!G3="0","",IF(Data_Toimenpiteet!G3="","",Data_Toimenpiteet!G3))),"")</f>
        <v/>
      </c>
      <c r="H4" s="80" t="str">
        <f>IFERROR(VALUE(IF(Data_Toimenpiteet!H3="0","",IF(Data_Toimenpiteet!H3="","",Data_Toimenpiteet!H3))),"")</f>
        <v/>
      </c>
      <c r="I4" t="str">
        <f>IF(Data_Toimenpiteet!I3="0","",IF(Data_Toimenpiteet!I3="","",Data_Toimenpiteet!I3))</f>
        <v/>
      </c>
      <c r="J4" t="str">
        <f>IF(Data_Toimenpiteet!J3="0","",IF(Data_Toimenpiteet!J3="","",Data_Toimenpiteet!J3))</f>
        <v/>
      </c>
      <c r="K4" t="str">
        <f>IF(Data_Toimenpiteet!K3="0","",IF(Data_Toimenpiteet!K3="","",Data_Toimenpiteet!K3))</f>
        <v/>
      </c>
      <c r="L4" t="str">
        <f>IF(Data_Toimenpiteet!L3="0","",IF(Data_Toimenpiteet!L3="","",Data_Toimenpiteet!L3))</f>
        <v/>
      </c>
      <c r="M4" s="631" t="str">
        <f>IFERROR(VALUE(IF(Data_Toimenpiteet!M3="0","",IF(Data_Toimenpiteet!M3="","",Data_Toimenpiteet!M3))),"")</f>
        <v/>
      </c>
      <c r="N4" s="631" t="str">
        <f>IFERROR(VALUE(IF(Data_Toimenpiteet!N3="0","",IF(Data_Toimenpiteet!N3="","",Data_Toimenpiteet!N3))),"")</f>
        <v/>
      </c>
      <c r="O4" t="str">
        <f>IF(Data_Toimenpiteet!O3="0","",IF(Data_Toimenpiteet!O3="","",Data_Toimenpiteet!O3))</f>
        <v/>
      </c>
      <c r="P4">
        <f t="shared" ref="P4:P5" si="0">$O$1</f>
        <v>1</v>
      </c>
      <c r="Q4" t="str">
        <f t="shared" ref="Q4:Q5" si="1">IFERROR(IF(S4&gt;=$P$1,IF(S4&lt;=$Q$1,"OK","EI"),"EI"),"")</f>
        <v>EI</v>
      </c>
      <c r="R4" s="228" t="str">
        <f t="shared" ref="R4:R5" si="2">IF(S4&lt;=$Q$1,IF(T4&gt;=$P$1,"OK","EI"),"EI")</f>
        <v>EI</v>
      </c>
      <c r="S4" s="84" t="str">
        <f t="shared" ref="S4:S5" si="3">IFERROR(IF(G4="",VALUE($M4),VALUE(G4)),"")</f>
        <v/>
      </c>
      <c r="T4" s="84" t="str">
        <f t="shared" ref="T4:T5" si="4">IF(H4="",S4,H4)</f>
        <v/>
      </c>
      <c r="U4" t="str">
        <f t="shared" ref="U4:U5" si="5">IF(LEFT(D4,5)="Combo",D4,IF(D4="","",IF(D4=$V$1,$V$1,IF(D4=$W$1,$Y$1,IF(D4=$X$1,$Z$1,$U$1)))))</f>
        <v/>
      </c>
      <c r="V4" t="str">
        <f>INDEX(AS!F:F,MATCH(C4,AS!A:A,0))</f>
        <v>OptionButton_EtMies</v>
      </c>
      <c r="W4" t="str">
        <f ca="1">INDEX(AS!AH:AH,MATCH(C4,AS!A:A,0))</f>
        <v>vanha</v>
      </c>
      <c r="X4" t="str">
        <f>INDEX(AS!K:K,MATCH(C4,AS!A:A,0))</f>
        <v>tyhja</v>
      </c>
      <c r="Y4">
        <f>COUNTIF($C$2:C4,C4)</f>
        <v>2</v>
      </c>
      <c r="Z4" t="str">
        <f t="shared" ref="Z4:Z5" si="6">IF(J4="-1",1,"")</f>
        <v/>
      </c>
      <c r="AA4" t="str">
        <f t="shared" ref="AA4:AA5" si="7">IF(I4="-1",1,"")</f>
        <v/>
      </c>
      <c r="AB4">
        <f t="shared" ref="AB4:AB5" si="8">IF(C3=C4,AB3,AB3+1)</f>
        <v>1</v>
      </c>
      <c r="AC4">
        <f t="shared" ref="AC4:AC5" si="9">IF(Q4="OK",IF(C3=C4,AC3,AC3+1),AC3)</f>
        <v>0</v>
      </c>
      <c r="AD4" t="str">
        <f>INDEX(AS!AB:AB,MATCH(C4,AS!A:A,0))</f>
        <v>EI</v>
      </c>
      <c r="AE4">
        <f t="shared" ref="AE4:AE5" si="10">IF(AD4="OK",IF(C3=C4,AE3,AE3+1),AE3)</f>
        <v>0</v>
      </c>
      <c r="AF4" t="str">
        <f>INDEX(AS!AW:AW,MATCH(C4,AS!A:A,0))</f>
        <v>tyhja</v>
      </c>
      <c r="AG4" t="str">
        <f ca="1">INDEX(AS!X:X,MATCH(C4,AS!A:A,0))</f>
        <v>EI</v>
      </c>
      <c r="AH4" t="str">
        <f ca="1">INDEX(AS!AG:AG,MATCH(C4,AS!A:A,0))</f>
        <v>EI</v>
      </c>
      <c r="AI4" t="str">
        <f>INDEX(AS!$AV:$AV,MATCH(C4,AS!$A:$A,0))</f>
        <v>EI</v>
      </c>
      <c r="AJ4" t="str">
        <f t="shared" ref="AJ4:AJ5" si="11">R4&amp;C4&amp;U4</f>
        <v>EI</v>
      </c>
      <c r="AK4">
        <f t="shared" ref="AK4:AK5" si="12">IF(R4="OK",COUNTIFS(C:C,C4,R:R,"OK",U:U,U4),0)</f>
        <v>0</v>
      </c>
      <c r="AL4" t="str">
        <f>TEXT(IF(AK4&gt;1,COUNTIF($AJ$2:AJ4,"OK"&amp;C4&amp;U4),AK4),"@")</f>
        <v>0</v>
      </c>
      <c r="AM4" s="80" t="str">
        <f>INDEX(AS!Q:Q,MATCH(C4,AS!A:A,0))</f>
        <v/>
      </c>
      <c r="AN4" s="78">
        <f>Data_Toimenpiteet!P3</f>
        <v>0</v>
      </c>
    </row>
    <row r="5" spans="1:40" s="78" customFormat="1" x14ac:dyDescent="0.25">
      <c r="A5" t="str">
        <f>IF(Data_Toimenpiteet!A4="0","",IF(Data_Toimenpiteet!A4="","",Data_Toimenpiteet!A4))</f>
        <v/>
      </c>
      <c r="B5" t="str">
        <f>IF(Data_Toimenpiteet!B4="0","",IF(Data_Toimenpiteet!B4="","",Data_Toimenpiteet!B4))</f>
        <v/>
      </c>
      <c r="C5" t="str">
        <f>IF(Data_Toimenpiteet!C4="0","",IF(Data_Toimenpiteet!C4="","",Data_Toimenpiteet!C4))</f>
        <v/>
      </c>
      <c r="D5" t="str">
        <f>IF(Data_Toimenpiteet!D4="0","",IF(Data_Toimenpiteet!D4="","",Data_Toimenpiteet!D4))</f>
        <v/>
      </c>
      <c r="E5" t="str">
        <f>IF(Data_Toimenpiteet!E4="0","",IF(Data_Toimenpiteet!E4="","",Data_Toimenpiteet!E4))</f>
        <v/>
      </c>
      <c r="F5" t="str">
        <f>IF(Data_Toimenpiteet!F4="0","",IF(Data_Toimenpiteet!F4="","",Data_Toimenpiteet!F4))</f>
        <v/>
      </c>
      <c r="G5" s="80" t="str">
        <f>IFERROR(VALUE(IF(Data_Toimenpiteet!G4="0","",IF(Data_Toimenpiteet!G4="","",Data_Toimenpiteet!G4))),"")</f>
        <v/>
      </c>
      <c r="H5" s="80" t="str">
        <f>IFERROR(VALUE(IF(Data_Toimenpiteet!H4="0","",IF(Data_Toimenpiteet!H4="","",Data_Toimenpiteet!H4))),"")</f>
        <v/>
      </c>
      <c r="I5" t="str">
        <f>IF(Data_Toimenpiteet!I4="0","",IF(Data_Toimenpiteet!I4="","",Data_Toimenpiteet!I4))</f>
        <v/>
      </c>
      <c r="J5" t="str">
        <f>IF(Data_Toimenpiteet!J4="0","",IF(Data_Toimenpiteet!J4="","",Data_Toimenpiteet!J4))</f>
        <v/>
      </c>
      <c r="K5" t="str">
        <f>IF(Data_Toimenpiteet!K4="0","",IF(Data_Toimenpiteet!K4="","",Data_Toimenpiteet!K4))</f>
        <v/>
      </c>
      <c r="L5" t="str">
        <f>IF(Data_Toimenpiteet!L4="0","",IF(Data_Toimenpiteet!L4="","",Data_Toimenpiteet!L4))</f>
        <v/>
      </c>
      <c r="M5" s="631" t="str">
        <f>IFERROR(VALUE(IF(Data_Toimenpiteet!M4="0","",IF(Data_Toimenpiteet!M4="","",Data_Toimenpiteet!M4))),"")</f>
        <v/>
      </c>
      <c r="N5" s="631" t="str">
        <f>IFERROR(VALUE(IF(Data_Toimenpiteet!N4="0","",IF(Data_Toimenpiteet!N4="","",Data_Toimenpiteet!N4))),"")</f>
        <v/>
      </c>
      <c r="O5" t="str">
        <f>IF(Data_Toimenpiteet!O4="0","",IF(Data_Toimenpiteet!O4="","",Data_Toimenpiteet!O4))</f>
        <v/>
      </c>
      <c r="P5">
        <f t="shared" si="0"/>
        <v>1</v>
      </c>
      <c r="Q5" t="str">
        <f t="shared" si="1"/>
        <v>EI</v>
      </c>
      <c r="R5" s="228" t="str">
        <f t="shared" si="2"/>
        <v>EI</v>
      </c>
      <c r="S5" s="84" t="str">
        <f t="shared" si="3"/>
        <v/>
      </c>
      <c r="T5" s="84" t="str">
        <f t="shared" si="4"/>
        <v/>
      </c>
      <c r="U5" t="str">
        <f t="shared" si="5"/>
        <v/>
      </c>
      <c r="V5" t="str">
        <f>INDEX(AS!F:F,MATCH(C5,AS!A:A,0))</f>
        <v>OptionButton_EtMies</v>
      </c>
      <c r="W5" t="str">
        <f ca="1">INDEX(AS!AH:AH,MATCH(C5,AS!A:A,0))</f>
        <v>vanha</v>
      </c>
      <c r="X5" t="str">
        <f>INDEX(AS!K:K,MATCH(C5,AS!A:A,0))</f>
        <v>tyhja</v>
      </c>
      <c r="Y5">
        <f>COUNTIF($C$2:C5,C5)</f>
        <v>3</v>
      </c>
      <c r="Z5" t="str">
        <f t="shared" si="6"/>
        <v/>
      </c>
      <c r="AA5" t="str">
        <f t="shared" si="7"/>
        <v/>
      </c>
      <c r="AB5">
        <f t="shared" si="8"/>
        <v>1</v>
      </c>
      <c r="AC5">
        <f t="shared" si="9"/>
        <v>0</v>
      </c>
      <c r="AD5" t="str">
        <f>INDEX(AS!AB:AB,MATCH(C5,AS!A:A,0))</f>
        <v>EI</v>
      </c>
      <c r="AE5">
        <f t="shared" si="10"/>
        <v>0</v>
      </c>
      <c r="AF5" t="str">
        <f>INDEX(AS!AW:AW,MATCH(C5,AS!A:A,0))</f>
        <v>tyhja</v>
      </c>
      <c r="AG5" t="str">
        <f ca="1">INDEX(AS!X:X,MATCH(C5,AS!A:A,0))</f>
        <v>EI</v>
      </c>
      <c r="AH5" t="str">
        <f ca="1">INDEX(AS!AG:AG,MATCH(C5,AS!A:A,0))</f>
        <v>EI</v>
      </c>
      <c r="AI5" t="str">
        <f>INDEX(AS!$AV:$AV,MATCH(C5,AS!$A:$A,0))</f>
        <v>EI</v>
      </c>
      <c r="AJ5" t="str">
        <f t="shared" si="11"/>
        <v>EI</v>
      </c>
      <c r="AK5">
        <f t="shared" si="12"/>
        <v>0</v>
      </c>
      <c r="AL5" t="str">
        <f>TEXT(IF(AK5&gt;1,COUNTIF($AJ$2:AJ5,"OK"&amp;C5&amp;U5),AK5),"@")</f>
        <v>0</v>
      </c>
      <c r="AM5" s="80" t="str">
        <f>INDEX(AS!Q:Q,MATCH(C5,AS!A:A,0))</f>
        <v/>
      </c>
      <c r="AN5" s="78">
        <f>Data_Toimenpiteet!P4</f>
        <v>0</v>
      </c>
    </row>
  </sheetData>
  <conditionalFormatting sqref="A1:O1">
    <cfRule type="containsText" dxfId="5" priority="1" operator="containsText" text="E">
      <formula>NOT(ISERROR(SEARCH("E",A1)))</formula>
    </cfRule>
  </conditionalFormatting>
  <pageMargins left="0.7" right="0.7" top="0.75" bottom="0.83333333333333337" header="0" footer="0"/>
  <pageSetup paperSize="9" orientation="portrait" horizontalDpi="300" verticalDpi="0" r:id="rId1"/>
  <headerFooter>
    <oddFooter>&amp;L 
PAR työpaja
osoitettie
0100, paikka&amp;C&amp;G&amp;R&amp;P/&amp;N</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tabColor theme="9"/>
  </sheetPr>
  <dimension ref="A1:BG5"/>
  <sheetViews>
    <sheetView zoomScale="70" zoomScaleNormal="70" workbookViewId="0">
      <selection activeCell="A6" sqref="A6:XFD197"/>
    </sheetView>
  </sheetViews>
  <sheetFormatPr defaultColWidth="9.140625" defaultRowHeight="15" x14ac:dyDescent="0.25"/>
  <cols>
    <col min="1" max="4" width="19.7109375" style="78" customWidth="1"/>
    <col min="5" max="5" width="61" style="78" customWidth="1"/>
    <col min="6" max="6" width="19.7109375" style="78" customWidth="1"/>
    <col min="7" max="7" width="56.7109375" style="78" bestFit="1" customWidth="1"/>
    <col min="8" max="9" width="19.7109375" style="80" customWidth="1"/>
    <col min="10" max="15" width="19.7109375" style="78" customWidth="1"/>
    <col min="16" max="19" width="12.85546875" style="78" customWidth="1"/>
    <col min="20" max="20" width="11.5703125" style="78" bestFit="1" customWidth="1"/>
    <col min="21" max="21" width="110.5703125" style="78" bestFit="1" customWidth="1"/>
    <col min="22" max="23" width="24.28515625" style="78" bestFit="1" customWidth="1"/>
    <col min="24" max="30" width="9.140625" style="78"/>
    <col min="31" max="32" width="9.140625" style="408"/>
    <col min="33" max="34" width="9.140625" style="78"/>
    <col min="35" max="35" width="14.28515625" style="80" customWidth="1"/>
    <col min="36" max="16384" width="9.140625" style="78"/>
  </cols>
  <sheetData>
    <row r="1" spans="1:59" x14ac:dyDescent="0.25">
      <c r="A1" s="78" t="s">
        <v>1440</v>
      </c>
      <c r="B1" s="78" t="s">
        <v>1440</v>
      </c>
      <c r="C1" s="78" t="s">
        <v>1440</v>
      </c>
      <c r="D1" s="78" t="s">
        <v>1643</v>
      </c>
      <c r="E1" s="78" t="s">
        <v>1440</v>
      </c>
      <c r="F1" s="78" t="s">
        <v>1440</v>
      </c>
      <c r="G1" s="78" t="s">
        <v>1440</v>
      </c>
      <c r="H1" s="80" t="s">
        <v>1440</v>
      </c>
      <c r="I1" s="80" t="s">
        <v>1440</v>
      </c>
      <c r="J1" s="78" t="s">
        <v>1643</v>
      </c>
      <c r="K1" s="78" t="s">
        <v>1643</v>
      </c>
      <c r="L1" s="78" t="s">
        <v>1440</v>
      </c>
      <c r="M1" s="78" t="s">
        <v>1440</v>
      </c>
      <c r="O1" s="90" t="s">
        <v>143</v>
      </c>
      <c r="P1" s="120">
        <f>Asiakastilastot!$A$2</f>
        <v>46023</v>
      </c>
      <c r="Q1" s="120">
        <f>Asiakastilastot!$A$3</f>
        <v>46387</v>
      </c>
      <c r="R1" s="301">
        <f>P1-365</f>
        <v>45658</v>
      </c>
      <c r="S1" s="301">
        <f>Q1-365</f>
        <v>46022</v>
      </c>
      <c r="T1" s="393">
        <v>1</v>
      </c>
      <c r="U1" s="119" t="s">
        <v>926</v>
      </c>
      <c r="W1" s="302" t="s">
        <v>40</v>
      </c>
      <c r="Z1" s="90" t="s">
        <v>1644</v>
      </c>
      <c r="AA1" s="90" t="s">
        <v>1644</v>
      </c>
      <c r="AB1" s="82" t="s">
        <v>1614</v>
      </c>
      <c r="AC1" s="82"/>
      <c r="AD1" s="90"/>
      <c r="AE1" s="408" t="s">
        <v>69</v>
      </c>
      <c r="AF1" s="442" t="s">
        <v>1645</v>
      </c>
      <c r="AG1" s="90" t="s">
        <v>1548</v>
      </c>
      <c r="AI1" s="444"/>
      <c r="AJ1" t="str">
        <f>TEXT($P$1,"vvvv")</f>
        <v>2026</v>
      </c>
      <c r="AK1" t="s">
        <v>1550</v>
      </c>
      <c r="AL1"/>
      <c r="AM1"/>
      <c r="AN1" s="228" t="s">
        <v>1646</v>
      </c>
      <c r="AO1"/>
      <c r="AP1"/>
      <c r="AQ1"/>
      <c r="AR1"/>
      <c r="AS1"/>
      <c r="AT1">
        <f>AJ1+1</f>
        <v>2027</v>
      </c>
      <c r="AU1" s="418">
        <f>VALUE("1.1."&amp;$AT$1)</f>
        <v>46388</v>
      </c>
      <c r="AV1"/>
      <c r="AW1" t="s">
        <v>1551</v>
      </c>
      <c r="AX1"/>
      <c r="AY1"/>
      <c r="AZ1"/>
      <c r="BA1"/>
      <c r="BB1"/>
      <c r="BC1"/>
      <c r="BD1"/>
      <c r="BE1"/>
      <c r="BF1"/>
      <c r="BG1" s="418">
        <f>VALUE("1.1."&amp;$AT$1)</f>
        <v>46388</v>
      </c>
    </row>
    <row r="2" spans="1:59" s="79" customFormat="1" x14ac:dyDescent="0.25">
      <c r="A2" s="79" t="s">
        <v>1647</v>
      </c>
      <c r="B2" s="79" t="s">
        <v>1648</v>
      </c>
      <c r="C2" s="79" t="s">
        <v>1649</v>
      </c>
      <c r="D2" s="66" t="s">
        <v>1650</v>
      </c>
      <c r="E2" s="66" t="s">
        <v>1435</v>
      </c>
      <c r="F2" s="66" t="s">
        <v>1436</v>
      </c>
      <c r="G2" s="66" t="s">
        <v>1651</v>
      </c>
      <c r="H2" s="83" t="s">
        <v>1652</v>
      </c>
      <c r="I2" s="83" t="s">
        <v>1653</v>
      </c>
      <c r="J2" s="66" t="s">
        <v>1654</v>
      </c>
      <c r="K2" s="66" t="s">
        <v>1655</v>
      </c>
      <c r="L2" s="66" t="s">
        <v>1656</v>
      </c>
      <c r="M2" s="66" t="s">
        <v>1657</v>
      </c>
      <c r="N2" s="66"/>
      <c r="O2" s="590"/>
      <c r="P2" s="216" t="s">
        <v>1628</v>
      </c>
      <c r="Q2" s="216" t="s">
        <v>1629</v>
      </c>
      <c r="R2" s="216" t="s">
        <v>1658</v>
      </c>
      <c r="S2" s="591" t="s">
        <v>1631</v>
      </c>
      <c r="T2" s="591" t="s">
        <v>1632</v>
      </c>
      <c r="U2" s="216" t="s">
        <v>1659</v>
      </c>
      <c r="V2" s="216" t="s">
        <v>1601</v>
      </c>
      <c r="W2" s="216" t="s">
        <v>1634</v>
      </c>
      <c r="X2" s="79" t="s">
        <v>349</v>
      </c>
      <c r="Y2" s="82" t="s">
        <v>1635</v>
      </c>
      <c r="Z2" s="90" t="s">
        <v>1636</v>
      </c>
      <c r="AA2" s="90" t="s">
        <v>1637</v>
      </c>
      <c r="AB2" s="302">
        <v>0</v>
      </c>
      <c r="AC2" s="302">
        <v>0</v>
      </c>
      <c r="AD2" s="90" t="s">
        <v>1660</v>
      </c>
      <c r="AE2" s="592" t="s">
        <v>1661</v>
      </c>
      <c r="AF2" s="592">
        <v>0</v>
      </c>
      <c r="AG2" s="90" t="s">
        <v>1597</v>
      </c>
      <c r="AH2" s="302" t="s">
        <v>84</v>
      </c>
      <c r="AI2" s="444" t="s">
        <v>1662</v>
      </c>
      <c r="AJ2" s="418">
        <f>VALUE("1.1."&amp;$AJ$1)</f>
        <v>46023</v>
      </c>
      <c r="AK2" s="418">
        <f>VALUE("1.2."&amp;$AJ$1)</f>
        <v>46054</v>
      </c>
      <c r="AL2" s="418">
        <f>VALUE("1.3."&amp;$AJ$1)</f>
        <v>46082</v>
      </c>
      <c r="AM2" s="418">
        <f>VALUE("1.4."&amp;$AJ$1)</f>
        <v>46113</v>
      </c>
      <c r="AN2" s="418">
        <f>VALUE("1.5."&amp;$AJ$1)</f>
        <v>46143</v>
      </c>
      <c r="AO2" s="418">
        <f>VALUE("1.6."&amp;$AJ$1)</f>
        <v>46174</v>
      </c>
      <c r="AP2" s="418">
        <f>VALUE("1.7."&amp;$AJ$1)</f>
        <v>46204</v>
      </c>
      <c r="AQ2" s="418">
        <f>VALUE("1.8."&amp;$AJ$1)</f>
        <v>46235</v>
      </c>
      <c r="AR2" s="418">
        <f>VALUE("1.9."&amp;$AJ$1)</f>
        <v>46266</v>
      </c>
      <c r="AS2" s="418">
        <f>VALUE("1.10."&amp;$AJ$1)</f>
        <v>46296</v>
      </c>
      <c r="AT2" s="418">
        <f>VALUE("1.11."&amp;$AJ$1)</f>
        <v>46327</v>
      </c>
      <c r="AU2" s="418">
        <f>VALUE("1.12."&amp;$AJ$1)</f>
        <v>46357</v>
      </c>
      <c r="AV2" s="418">
        <f>VALUE("1.1."&amp;$AJ$1)</f>
        <v>46023</v>
      </c>
      <c r="AW2" s="418">
        <f>VALUE("1.2."&amp;$AJ$1)</f>
        <v>46054</v>
      </c>
      <c r="AX2" s="418">
        <f>VALUE("1.3."&amp;$AJ$1)</f>
        <v>46082</v>
      </c>
      <c r="AY2" s="418">
        <f>VALUE("1.4."&amp;$AJ$1)</f>
        <v>46113</v>
      </c>
      <c r="AZ2" s="418">
        <f>VALUE("1.5."&amp;$AJ$1)</f>
        <v>46143</v>
      </c>
      <c r="BA2" s="418">
        <f>VALUE("1.6."&amp;$AJ$1)</f>
        <v>46174</v>
      </c>
      <c r="BB2" s="418">
        <f>VALUE("1.7."&amp;$AJ$1)</f>
        <v>46204</v>
      </c>
      <c r="BC2" s="418">
        <f>VALUE("1.8."&amp;$AJ$1)</f>
        <v>46235</v>
      </c>
      <c r="BD2" s="418">
        <f>VALUE("1.9."&amp;$AJ$1)</f>
        <v>46266</v>
      </c>
      <c r="BE2" s="418">
        <f>VALUE("1.10."&amp;$AJ$1)</f>
        <v>46296</v>
      </c>
      <c r="BF2" s="418">
        <f>VALUE("1.11."&amp;$AJ$1)</f>
        <v>46327</v>
      </c>
      <c r="BG2" s="418">
        <f>VALUE("1.12."&amp;$AJ$1)</f>
        <v>46357</v>
      </c>
    </row>
    <row r="3" spans="1:59" x14ac:dyDescent="0.25">
      <c r="A3" t="str">
        <f>IF(Data_Tpajapalvelu!A2="","",IF(Data_Tpajapalvelu!A2="","",Data_Tpajapalvelu!A2))</f>
        <v/>
      </c>
      <c r="B3" t="str">
        <f>IF(Data_Tpajapalvelu!B2="","",IF(Data_Tpajapalvelu!B2="","",Data_Tpajapalvelu!B2))</f>
        <v/>
      </c>
      <c r="C3" t="str">
        <f>IF(Data_Tpajapalvelu!C2="","",IF(Data_Tpajapalvelu!C2="","",Data_Tpajapalvelu!C2))</f>
        <v/>
      </c>
      <c r="D3" t="str">
        <f>IF(Data_Tpajapalvelu!D2="","",IF(Data_Tpajapalvelu!D2="","",Data_Tpajapalvelu!D2))</f>
        <v/>
      </c>
      <c r="E3" t="str">
        <f>TRIM(IF(Data_Tpajapalvelu!E2="0","",IF(Data_Tpajapalvelu!E2="","",Data_Tpajapalvelu!E2)))</f>
        <v/>
      </c>
      <c r="F3" t="str">
        <f>IF(Data_Tpajapalvelu!F2="","",IF(Data_Tpajapalvelu!F2="","",Data_Tpajapalvelu!F2))</f>
        <v/>
      </c>
      <c r="G3" t="str">
        <f>IF(Data_Tpajapalvelu!G2="","",IF(Data_Tpajapalvelu!G2="","",Data_Tpajapalvelu!G2))</f>
        <v/>
      </c>
      <c r="H3" t="str">
        <f>IF(Data_Tpajapalvelu!H2="","",IF(Data_Tpajapalvelu!H2="","",Data_Tpajapalvelu!H2))</f>
        <v/>
      </c>
      <c r="I3" t="str">
        <f>IF(Data_Tpajapalvelu!I2="","",IF(Data_Tpajapalvelu!I2="","",Data_Tpajapalvelu!I2))</f>
        <v/>
      </c>
      <c r="J3" t="str">
        <f>IF(Data_Tpajapalvelu!J2="","",IF(Data_Tpajapalvelu!J2="","",Data_Tpajapalvelu!J2))</f>
        <v/>
      </c>
      <c r="K3" t="str">
        <f>IF(Data_Tpajapalvelu!K2="","",IF(Data_Tpajapalvelu!K2="","",Data_Tpajapalvelu!K2))</f>
        <v/>
      </c>
      <c r="L3" t="str">
        <f>IF(Data_Tpajapalvelu!L2="","",IF(Data_Tpajapalvelu!L2="","",Data_Tpajapalvelu!L2))</f>
        <v/>
      </c>
      <c r="M3" t="str">
        <f>IF(Data_Tpajapalvelu!M2="","",IF(Data_Tpajapalvelu!M2="","",Data_Tpajapalvelu!M2))</f>
        <v/>
      </c>
      <c r="N3" t="str">
        <f>IF(Data_Tpajapalvelu!N2="","",IF(Data_Tpajapalvelu!N2="","",Data_Tpajapalvelu!N2))</f>
        <v/>
      </c>
      <c r="O3" t="str">
        <f>INDEX(JA!AJ:AJ,MATCH(C3,JA!C:C,0))</f>
        <v>EI</v>
      </c>
      <c r="P3">
        <f>$T$1</f>
        <v>1</v>
      </c>
      <c r="Q3" t="str">
        <f>IFERROR(IF(S3&gt;=$P$1,IF(S3&lt;=$Q$1,"OK","EI"),"EI"),"")</f>
        <v>EI</v>
      </c>
      <c r="R3" s="228" t="str">
        <f>IF(S3&lt;=$Q$1,IF(T3&gt;=$P$1,IF($P$1-S3&lt;367,"OK","EI"),"EI"),"EI")</f>
        <v>EI</v>
      </c>
      <c r="S3" s="84" t="str">
        <f>IFERROR(IF(L3="",VALUE($H3),VALUE(L3)),"")</f>
        <v/>
      </c>
      <c r="T3" s="84" t="str">
        <f ca="1">IFERROR(IF(M3="",IF(AI3&lt;&gt;"",VALUE(AI3),IF(S3&gt;$Q$1,VALUE(S3),VALUE($Q$1))),VALUE(M3)),"")</f>
        <v/>
      </c>
      <c r="U3" t="str">
        <f>TRIM(IF(LEFT(E3,5)="Combo",E3,IF(E3="","",$U$1)))</f>
        <v/>
      </c>
      <c r="V3" t="str">
        <f>IFERROR(INDEX(AS!F:F,MATCH(C3,AS!A:A,0)),"")</f>
        <v>OptionButton_EtMies</v>
      </c>
      <c r="W3" t="str">
        <f ca="1">IFERROR(INDEX(AS!AH:AH,MATCH(C3,AS!A:A,0)),"")</f>
        <v>vanha</v>
      </c>
      <c r="X3" t="str">
        <f>INDEX(AS!$K:$K,MATCH($C3,AS!$A:$A,0))</f>
        <v>tyhja</v>
      </c>
      <c r="Y3">
        <f>COUNTIF($C$2:C3,C3)</f>
        <v>1</v>
      </c>
      <c r="Z3" s="86" t="str">
        <f>IF(J3="TOSI",1,"")</f>
        <v/>
      </c>
      <c r="AA3" s="86" t="str">
        <f>IF(I3="TOSI",1,"")</f>
        <v/>
      </c>
      <c r="AB3">
        <f>IF(C2=C3,AB2,AB2+1)</f>
        <v>1</v>
      </c>
      <c r="AC3">
        <f>IF(Q3="OK",IF(C2=C3,AC2,AC2+1),AC2)</f>
        <v>0</v>
      </c>
      <c r="AD3" t="str">
        <f>IFERROR(INDEX(AS!AB:AB,MATCH(C3,AS!A:A,0)),"")</f>
        <v>EI</v>
      </c>
      <c r="AE3" s="228">
        <f>IF(AD3="OK",SUMIFS(P:P,C:C,C3,R:R,"OK"),0)</f>
        <v>0</v>
      </c>
      <c r="AF3" s="228" t="str">
        <f>IF(AE3&gt;0,"OK","EI")</f>
        <v>EI</v>
      </c>
      <c r="AG3" t="str">
        <f ca="1">INDEX(AS!X:X,MATCH(C3,AS!A:A,0))</f>
        <v>EI</v>
      </c>
      <c r="AH3" t="str">
        <f>IFERROR(INDEX(AS!$C:$C,MATCH($C3,AS!$A:$A,0)),"EI")</f>
        <v/>
      </c>
      <c r="AI3" s="80" t="str">
        <f ca="1">IFERROR(INDEX(AS!CF:CF,MATCH(C3,AS!A:A,0)),"")</f>
        <v/>
      </c>
      <c r="AJ3" t="str">
        <f>IF($S3&gt;=AJ$2,IF($S3&lt;AK$2,"OK","EI"),IF($T3&gt;=AJ$2,"OK","EI"))</f>
        <v>EI</v>
      </c>
      <c r="AK3" t="str">
        <f t="shared" ref="AK3:AT3" si="0">IF($S3&gt;=AK$2,IF($S3&lt;AL$2,"OK","EI"),IF($T3&gt;=AK$2,"OK","EI"))</f>
        <v>EI</v>
      </c>
      <c r="AL3" t="str">
        <f t="shared" si="0"/>
        <v>EI</v>
      </c>
      <c r="AM3" t="str">
        <f t="shared" si="0"/>
        <v>EI</v>
      </c>
      <c r="AN3" t="str">
        <f t="shared" si="0"/>
        <v>EI</v>
      </c>
      <c r="AO3" t="str">
        <f t="shared" si="0"/>
        <v>EI</v>
      </c>
      <c r="AP3" t="str">
        <f t="shared" si="0"/>
        <v>EI</v>
      </c>
      <c r="AQ3" t="str">
        <f t="shared" si="0"/>
        <v>EI</v>
      </c>
      <c r="AR3" t="str">
        <f t="shared" si="0"/>
        <v>EI</v>
      </c>
      <c r="AS3" t="str">
        <f t="shared" si="0"/>
        <v>EI</v>
      </c>
      <c r="AT3" t="str">
        <f t="shared" si="0"/>
        <v>EI</v>
      </c>
      <c r="AU3" t="str">
        <f>IF($S3&gt;=AU$2,IF($S3&lt;AU$1,"OK","EI"),IF($T3&gt;=AU$2,"OK","EI"))</f>
        <v>EI</v>
      </c>
      <c r="AV3" t="str">
        <f>IF($S3&gt;=AV$2,IF($S3&lt;AW$2,"OK","EI"),"EI")</f>
        <v>EI</v>
      </c>
      <c r="AW3" t="str">
        <f t="shared" ref="AW3:BF3" si="1">IF($S3&gt;=AW$2,IF($S3&lt;AX$2,"OK","EI"),"EI")</f>
        <v>EI</v>
      </c>
      <c r="AX3" t="str">
        <f t="shared" si="1"/>
        <v>EI</v>
      </c>
      <c r="AY3" t="str">
        <f t="shared" si="1"/>
        <v>EI</v>
      </c>
      <c r="AZ3" t="str">
        <f t="shared" si="1"/>
        <v>EI</v>
      </c>
      <c r="BA3" t="str">
        <f t="shared" si="1"/>
        <v>EI</v>
      </c>
      <c r="BB3" t="str">
        <f t="shared" si="1"/>
        <v>EI</v>
      </c>
      <c r="BC3" t="str">
        <f t="shared" si="1"/>
        <v>EI</v>
      </c>
      <c r="BD3" t="str">
        <f t="shared" si="1"/>
        <v>EI</v>
      </c>
      <c r="BE3" t="str">
        <f t="shared" si="1"/>
        <v>EI</v>
      </c>
      <c r="BF3" t="str">
        <f t="shared" si="1"/>
        <v>EI</v>
      </c>
      <c r="BG3" t="str">
        <f>IF($S3&gt;=BG$2,IF($S3&lt;BG$1,"OK","EI"),"EI")</f>
        <v>EI</v>
      </c>
    </row>
    <row r="4" spans="1:59" x14ac:dyDescent="0.25">
      <c r="A4" t="str">
        <f>IF(Data_Tpajapalvelu!A3="","",IF(Data_Tpajapalvelu!A3="","",Data_Tpajapalvelu!A3))</f>
        <v/>
      </c>
      <c r="B4" t="str">
        <f>IF(Data_Tpajapalvelu!B3="","",IF(Data_Tpajapalvelu!B3="","",Data_Tpajapalvelu!B3))</f>
        <v/>
      </c>
      <c r="C4" t="str">
        <f>IF(Data_Tpajapalvelu!C3="","",IF(Data_Tpajapalvelu!C3="","",Data_Tpajapalvelu!C3))</f>
        <v/>
      </c>
      <c r="D4" t="str">
        <f>IF(Data_Tpajapalvelu!D3="","",IF(Data_Tpajapalvelu!D3="","",Data_Tpajapalvelu!D3))</f>
        <v/>
      </c>
      <c r="E4" t="str">
        <f>TRIM(IF(Data_Tpajapalvelu!E3="0","",IF(Data_Tpajapalvelu!E3="","",Data_Tpajapalvelu!E3)))</f>
        <v/>
      </c>
      <c r="F4" t="str">
        <f>IF(Data_Tpajapalvelu!F3="","",IF(Data_Tpajapalvelu!F3="","",Data_Tpajapalvelu!F3))</f>
        <v/>
      </c>
      <c r="G4" t="str">
        <f>IF(Data_Tpajapalvelu!G3="","",IF(Data_Tpajapalvelu!G3="","",Data_Tpajapalvelu!G3))</f>
        <v/>
      </c>
      <c r="H4" t="str">
        <f>IF(Data_Tpajapalvelu!H3="","",IF(Data_Tpajapalvelu!H3="","",Data_Tpajapalvelu!H3))</f>
        <v/>
      </c>
      <c r="I4" t="str">
        <f>IF(Data_Tpajapalvelu!I3="","",IF(Data_Tpajapalvelu!I3="","",Data_Tpajapalvelu!I3))</f>
        <v/>
      </c>
      <c r="J4" t="str">
        <f>IF(Data_Tpajapalvelu!J3="","",IF(Data_Tpajapalvelu!J3="","",Data_Tpajapalvelu!J3))</f>
        <v/>
      </c>
      <c r="K4" t="str">
        <f>IF(Data_Tpajapalvelu!K3="","",IF(Data_Tpajapalvelu!K3="","",Data_Tpajapalvelu!K3))</f>
        <v/>
      </c>
      <c r="L4" t="str">
        <f>IF(Data_Tpajapalvelu!L3="","",IF(Data_Tpajapalvelu!L3="","",Data_Tpajapalvelu!L3))</f>
        <v/>
      </c>
      <c r="M4" t="str">
        <f>IF(Data_Tpajapalvelu!M3="","",IF(Data_Tpajapalvelu!M3="","",Data_Tpajapalvelu!M3))</f>
        <v/>
      </c>
      <c r="N4" t="str">
        <f>IF(Data_Tpajapalvelu!N3="","",IF(Data_Tpajapalvelu!N3="","",Data_Tpajapalvelu!N3))</f>
        <v/>
      </c>
      <c r="O4" t="str">
        <f>INDEX(JA!AJ:AJ,MATCH(C4,JA!C:C,0))</f>
        <v>EI</v>
      </c>
      <c r="P4">
        <f t="shared" ref="P4:P5" si="2">$T$1</f>
        <v>1</v>
      </c>
      <c r="Q4" t="str">
        <f t="shared" ref="Q4:Q5" si="3">IFERROR(IF(S4&gt;=$P$1,IF(S4&lt;=$Q$1,"OK","EI"),"EI"),"")</f>
        <v>EI</v>
      </c>
      <c r="R4" s="228" t="str">
        <f t="shared" ref="R4:R5" si="4">IF(S4&lt;=$Q$1,IF(T4&gt;=$P$1,IF($P$1-S4&lt;367,"OK","EI"),"EI"),"EI")</f>
        <v>EI</v>
      </c>
      <c r="S4" s="84" t="str">
        <f t="shared" ref="S4:S5" si="5">IFERROR(IF(L4="",VALUE($H4),VALUE(L4)),"")</f>
        <v/>
      </c>
      <c r="T4" s="84" t="str">
        <f t="shared" ref="T4:T5" ca="1" si="6">IFERROR(IF(M4="",IF(AI4&lt;&gt;"",VALUE(AI4),IF(S4&gt;$Q$1,VALUE(S4),VALUE($Q$1))),VALUE(M4)),"")</f>
        <v/>
      </c>
      <c r="U4" t="str">
        <f t="shared" ref="U4:U5" si="7">TRIM(IF(LEFT(E4,5)="Combo",E4,IF(E4="","",$U$1)))</f>
        <v/>
      </c>
      <c r="V4" t="str">
        <f>IFERROR(INDEX(AS!F:F,MATCH(C4,AS!A:A,0)),"")</f>
        <v>OptionButton_EtMies</v>
      </c>
      <c r="W4" t="str">
        <f ca="1">IFERROR(INDEX(AS!AH:AH,MATCH(C4,AS!A:A,0)),"")</f>
        <v>vanha</v>
      </c>
      <c r="X4" t="str">
        <f>INDEX(AS!$K:$K,MATCH($C4,AS!$A:$A,0))</f>
        <v>tyhja</v>
      </c>
      <c r="Y4">
        <f>COUNTIF($C$2:C4,C4)</f>
        <v>2</v>
      </c>
      <c r="Z4" s="86" t="str">
        <f t="shared" ref="Z4:Z5" si="8">IF(J4="TOSI",1,"")</f>
        <v/>
      </c>
      <c r="AA4" s="86" t="str">
        <f t="shared" ref="AA4:AA5" si="9">IF(I4="TOSI",1,"")</f>
        <v/>
      </c>
      <c r="AB4">
        <f t="shared" ref="AB4:AB5" si="10">IF(C3=C4,AB3,AB3+1)</f>
        <v>1</v>
      </c>
      <c r="AC4">
        <f t="shared" ref="AC4:AC5" si="11">IF(Q4="OK",IF(C3=C4,AC3,AC3+1),AC3)</f>
        <v>0</v>
      </c>
      <c r="AD4" t="str">
        <f>IFERROR(INDEX(AS!AB:AB,MATCH(C4,AS!A:A,0)),"")</f>
        <v>EI</v>
      </c>
      <c r="AE4" s="228">
        <f t="shared" ref="AE4:AE5" si="12">IF(AD4="OK",SUMIFS(P:P,C:C,C4,R:R,"OK"),0)</f>
        <v>0</v>
      </c>
      <c r="AF4" s="228" t="str">
        <f t="shared" ref="AF4:AF5" si="13">IF(AE4&gt;0,"OK","EI")</f>
        <v>EI</v>
      </c>
      <c r="AG4" t="str">
        <f ca="1">INDEX(AS!X:X,MATCH(C4,AS!A:A,0))</f>
        <v>EI</v>
      </c>
      <c r="AH4" t="str">
        <f>IFERROR(INDEX(AS!$C:$C,MATCH($C4,AS!$A:$A,0)),"EI")</f>
        <v/>
      </c>
      <c r="AI4" s="80" t="str">
        <f ca="1">IFERROR(INDEX(AS!CF:CF,MATCH(C4,AS!A:A,0)),"")</f>
        <v/>
      </c>
      <c r="AJ4" t="str">
        <f t="shared" ref="AJ4:AJ5" si="14">IF($S4&gt;=AJ$2,IF($S4&lt;AK$2,"OK","EI"),IF($T4&gt;=AJ$2,"OK","EI"))</f>
        <v>EI</v>
      </c>
      <c r="AK4" t="str">
        <f t="shared" ref="AK4:AK5" si="15">IF($S4&gt;=AK$2,IF($S4&lt;AL$2,"OK","EI"),IF($T4&gt;=AK$2,"OK","EI"))</f>
        <v>EI</v>
      </c>
      <c r="AL4" t="str">
        <f t="shared" ref="AL4:AL5" si="16">IF($S4&gt;=AL$2,IF($S4&lt;AM$2,"OK","EI"),IF($T4&gt;=AL$2,"OK","EI"))</f>
        <v>EI</v>
      </c>
      <c r="AM4" t="str">
        <f t="shared" ref="AM4:AM5" si="17">IF($S4&gt;=AM$2,IF($S4&lt;AN$2,"OK","EI"),IF($T4&gt;=AM$2,"OK","EI"))</f>
        <v>EI</v>
      </c>
      <c r="AN4" t="str">
        <f t="shared" ref="AN4:AN5" si="18">IF($S4&gt;=AN$2,IF($S4&lt;AO$2,"OK","EI"),IF($T4&gt;=AN$2,"OK","EI"))</f>
        <v>EI</v>
      </c>
      <c r="AO4" t="str">
        <f t="shared" ref="AO4:AO5" si="19">IF($S4&gt;=AO$2,IF($S4&lt;AP$2,"OK","EI"),IF($T4&gt;=AO$2,"OK","EI"))</f>
        <v>EI</v>
      </c>
      <c r="AP4" t="str">
        <f t="shared" ref="AP4:AP5" si="20">IF($S4&gt;=AP$2,IF($S4&lt;AQ$2,"OK","EI"),IF($T4&gt;=AP$2,"OK","EI"))</f>
        <v>EI</v>
      </c>
      <c r="AQ4" t="str">
        <f t="shared" ref="AQ4:AQ5" si="21">IF($S4&gt;=AQ$2,IF($S4&lt;AR$2,"OK","EI"),IF($T4&gt;=AQ$2,"OK","EI"))</f>
        <v>EI</v>
      </c>
      <c r="AR4" t="str">
        <f t="shared" ref="AR4:AR5" si="22">IF($S4&gt;=AR$2,IF($S4&lt;AS$2,"OK","EI"),IF($T4&gt;=AR$2,"OK","EI"))</f>
        <v>EI</v>
      </c>
      <c r="AS4" t="str">
        <f t="shared" ref="AS4:AS5" si="23">IF($S4&gt;=AS$2,IF($S4&lt;AT$2,"OK","EI"),IF($T4&gt;=AS$2,"OK","EI"))</f>
        <v>EI</v>
      </c>
      <c r="AT4" t="str">
        <f t="shared" ref="AT4:AT5" si="24">IF($S4&gt;=AT$2,IF($S4&lt;AU$2,"OK","EI"),IF($T4&gt;=AT$2,"OK","EI"))</f>
        <v>EI</v>
      </c>
      <c r="AU4" t="str">
        <f t="shared" ref="AU4:AU5" si="25">IF($S4&gt;=AU$2,IF($S4&lt;AU$1,"OK","EI"),IF($T4&gt;=AU$2,"OK","EI"))</f>
        <v>EI</v>
      </c>
      <c r="AV4" t="str">
        <f t="shared" ref="AV4:AV5" si="26">IF($S4&gt;=AV$2,IF($S4&lt;AW$2,"OK","EI"),"EI")</f>
        <v>EI</v>
      </c>
      <c r="AW4" t="str">
        <f t="shared" ref="AW4:AW5" si="27">IF($S4&gt;=AW$2,IF($S4&lt;AX$2,"OK","EI"),"EI")</f>
        <v>EI</v>
      </c>
      <c r="AX4" t="str">
        <f t="shared" ref="AX4:AX5" si="28">IF($S4&gt;=AX$2,IF($S4&lt;AY$2,"OK","EI"),"EI")</f>
        <v>EI</v>
      </c>
      <c r="AY4" t="str">
        <f t="shared" ref="AY4:AY5" si="29">IF($S4&gt;=AY$2,IF($S4&lt;AZ$2,"OK","EI"),"EI")</f>
        <v>EI</v>
      </c>
      <c r="AZ4" t="str">
        <f t="shared" ref="AZ4:AZ5" si="30">IF($S4&gt;=AZ$2,IF($S4&lt;BA$2,"OK","EI"),"EI")</f>
        <v>EI</v>
      </c>
      <c r="BA4" t="str">
        <f t="shared" ref="BA4:BA5" si="31">IF($S4&gt;=BA$2,IF($S4&lt;BB$2,"OK","EI"),"EI")</f>
        <v>EI</v>
      </c>
      <c r="BB4" t="str">
        <f t="shared" ref="BB4:BB5" si="32">IF($S4&gt;=BB$2,IF($S4&lt;BC$2,"OK","EI"),"EI")</f>
        <v>EI</v>
      </c>
      <c r="BC4" t="str">
        <f t="shared" ref="BC4:BC5" si="33">IF($S4&gt;=BC$2,IF($S4&lt;BD$2,"OK","EI"),"EI")</f>
        <v>EI</v>
      </c>
      <c r="BD4" t="str">
        <f t="shared" ref="BD4:BD5" si="34">IF($S4&gt;=BD$2,IF($S4&lt;BE$2,"OK","EI"),"EI")</f>
        <v>EI</v>
      </c>
      <c r="BE4" t="str">
        <f t="shared" ref="BE4:BE5" si="35">IF($S4&gt;=BE$2,IF($S4&lt;BF$2,"OK","EI"),"EI")</f>
        <v>EI</v>
      </c>
      <c r="BF4" t="str">
        <f t="shared" ref="BF4:BF5" si="36">IF($S4&gt;=BF$2,IF($S4&lt;BG$2,"OK","EI"),"EI")</f>
        <v>EI</v>
      </c>
      <c r="BG4" t="str">
        <f t="shared" ref="BG4:BG5" si="37">IF($S4&gt;=BG$2,IF($S4&lt;BG$1,"OK","EI"),"EI")</f>
        <v>EI</v>
      </c>
    </row>
    <row r="5" spans="1:59" x14ac:dyDescent="0.25">
      <c r="A5" t="str">
        <f>IF(Data_Tpajapalvelu!A4="","",IF(Data_Tpajapalvelu!A4="","",Data_Tpajapalvelu!A4))</f>
        <v/>
      </c>
      <c r="B5" t="str">
        <f>IF(Data_Tpajapalvelu!B4="","",IF(Data_Tpajapalvelu!B4="","",Data_Tpajapalvelu!B4))</f>
        <v/>
      </c>
      <c r="C5" t="str">
        <f>IF(Data_Tpajapalvelu!C4="","",IF(Data_Tpajapalvelu!C4="","",Data_Tpajapalvelu!C4))</f>
        <v/>
      </c>
      <c r="D5" t="str">
        <f>IF(Data_Tpajapalvelu!D4="","",IF(Data_Tpajapalvelu!D4="","",Data_Tpajapalvelu!D4))</f>
        <v/>
      </c>
      <c r="E5" t="str">
        <f>TRIM(IF(Data_Tpajapalvelu!E4="0","",IF(Data_Tpajapalvelu!E4="","",Data_Tpajapalvelu!E4)))</f>
        <v/>
      </c>
      <c r="F5" t="str">
        <f>IF(Data_Tpajapalvelu!F4="","",IF(Data_Tpajapalvelu!F4="","",Data_Tpajapalvelu!F4))</f>
        <v/>
      </c>
      <c r="G5" t="str">
        <f>IF(Data_Tpajapalvelu!G4="","",IF(Data_Tpajapalvelu!G4="","",Data_Tpajapalvelu!G4))</f>
        <v/>
      </c>
      <c r="H5" t="str">
        <f>IF(Data_Tpajapalvelu!H4="","",IF(Data_Tpajapalvelu!H4="","",Data_Tpajapalvelu!H4))</f>
        <v/>
      </c>
      <c r="I5" t="str">
        <f>IF(Data_Tpajapalvelu!I4="","",IF(Data_Tpajapalvelu!I4="","",Data_Tpajapalvelu!I4))</f>
        <v/>
      </c>
      <c r="J5" t="str">
        <f>IF(Data_Tpajapalvelu!J4="","",IF(Data_Tpajapalvelu!J4="","",Data_Tpajapalvelu!J4))</f>
        <v/>
      </c>
      <c r="K5" t="str">
        <f>IF(Data_Tpajapalvelu!K4="","",IF(Data_Tpajapalvelu!K4="","",Data_Tpajapalvelu!K4))</f>
        <v/>
      </c>
      <c r="L5" t="str">
        <f>IF(Data_Tpajapalvelu!L4="","",IF(Data_Tpajapalvelu!L4="","",Data_Tpajapalvelu!L4))</f>
        <v/>
      </c>
      <c r="M5" t="str">
        <f>IF(Data_Tpajapalvelu!M4="","",IF(Data_Tpajapalvelu!M4="","",Data_Tpajapalvelu!M4))</f>
        <v/>
      </c>
      <c r="N5" t="str">
        <f>IF(Data_Tpajapalvelu!N4="","",IF(Data_Tpajapalvelu!N4="","",Data_Tpajapalvelu!N4))</f>
        <v/>
      </c>
      <c r="O5" t="str">
        <f>INDEX(JA!AJ:AJ,MATCH(C5,JA!C:C,0))</f>
        <v>EI</v>
      </c>
      <c r="P5">
        <f t="shared" si="2"/>
        <v>1</v>
      </c>
      <c r="Q5" t="str">
        <f t="shared" si="3"/>
        <v>EI</v>
      </c>
      <c r="R5" s="228" t="str">
        <f t="shared" si="4"/>
        <v>EI</v>
      </c>
      <c r="S5" s="84" t="str">
        <f t="shared" si="5"/>
        <v/>
      </c>
      <c r="T5" s="84" t="str">
        <f t="shared" ca="1" si="6"/>
        <v/>
      </c>
      <c r="U5" t="str">
        <f t="shared" si="7"/>
        <v/>
      </c>
      <c r="V5" t="str">
        <f>IFERROR(INDEX(AS!F:F,MATCH(C5,AS!A:A,0)),"")</f>
        <v>OptionButton_EtMies</v>
      </c>
      <c r="W5" t="str">
        <f ca="1">IFERROR(INDEX(AS!AH:AH,MATCH(C5,AS!A:A,0)),"")</f>
        <v>vanha</v>
      </c>
      <c r="X5" t="str">
        <f>INDEX(AS!$K:$K,MATCH($C5,AS!$A:$A,0))</f>
        <v>tyhja</v>
      </c>
      <c r="Y5">
        <f>COUNTIF($C$2:C5,C5)</f>
        <v>3</v>
      </c>
      <c r="Z5" s="86" t="str">
        <f t="shared" si="8"/>
        <v/>
      </c>
      <c r="AA5" s="86" t="str">
        <f t="shared" si="9"/>
        <v/>
      </c>
      <c r="AB5">
        <f t="shared" si="10"/>
        <v>1</v>
      </c>
      <c r="AC5">
        <f t="shared" si="11"/>
        <v>0</v>
      </c>
      <c r="AD5" t="str">
        <f>IFERROR(INDEX(AS!AB:AB,MATCH(C5,AS!A:A,0)),"")</f>
        <v>EI</v>
      </c>
      <c r="AE5" s="228">
        <f t="shared" si="12"/>
        <v>0</v>
      </c>
      <c r="AF5" s="228" t="str">
        <f t="shared" si="13"/>
        <v>EI</v>
      </c>
      <c r="AG5" t="str">
        <f ca="1">INDEX(AS!X:X,MATCH(C5,AS!A:A,0))</f>
        <v>EI</v>
      </c>
      <c r="AH5" t="str">
        <f>IFERROR(INDEX(AS!$C:$C,MATCH($C5,AS!$A:$A,0)),"EI")</f>
        <v/>
      </c>
      <c r="AI5" s="80" t="str">
        <f ca="1">IFERROR(INDEX(AS!CF:CF,MATCH(C5,AS!A:A,0)),"")</f>
        <v/>
      </c>
      <c r="AJ5" t="str">
        <f t="shared" si="14"/>
        <v>EI</v>
      </c>
      <c r="AK5" t="str">
        <f t="shared" si="15"/>
        <v>EI</v>
      </c>
      <c r="AL5" t="str">
        <f t="shared" si="16"/>
        <v>EI</v>
      </c>
      <c r="AM5" t="str">
        <f t="shared" si="17"/>
        <v>EI</v>
      </c>
      <c r="AN5" t="str">
        <f t="shared" si="18"/>
        <v>EI</v>
      </c>
      <c r="AO5" t="str">
        <f t="shared" si="19"/>
        <v>EI</v>
      </c>
      <c r="AP5" t="str">
        <f t="shared" si="20"/>
        <v>EI</v>
      </c>
      <c r="AQ5" t="str">
        <f t="shared" si="21"/>
        <v>EI</v>
      </c>
      <c r="AR5" t="str">
        <f t="shared" si="22"/>
        <v>EI</v>
      </c>
      <c r="AS5" t="str">
        <f t="shared" si="23"/>
        <v>EI</v>
      </c>
      <c r="AT5" t="str">
        <f t="shared" si="24"/>
        <v>EI</v>
      </c>
      <c r="AU5" t="str">
        <f t="shared" si="25"/>
        <v>EI</v>
      </c>
      <c r="AV5" t="str">
        <f t="shared" si="26"/>
        <v>EI</v>
      </c>
      <c r="AW5" t="str">
        <f t="shared" si="27"/>
        <v>EI</v>
      </c>
      <c r="AX5" t="str">
        <f t="shared" si="28"/>
        <v>EI</v>
      </c>
      <c r="AY5" t="str">
        <f t="shared" si="29"/>
        <v>EI</v>
      </c>
      <c r="AZ5" t="str">
        <f t="shared" si="30"/>
        <v>EI</v>
      </c>
      <c r="BA5" t="str">
        <f t="shared" si="31"/>
        <v>EI</v>
      </c>
      <c r="BB5" t="str">
        <f t="shared" si="32"/>
        <v>EI</v>
      </c>
      <c r="BC5" t="str">
        <f t="shared" si="33"/>
        <v>EI</v>
      </c>
      <c r="BD5" t="str">
        <f t="shared" si="34"/>
        <v>EI</v>
      </c>
      <c r="BE5" t="str">
        <f t="shared" si="35"/>
        <v>EI</v>
      </c>
      <c r="BF5" t="str">
        <f t="shared" si="36"/>
        <v>EI</v>
      </c>
      <c r="BG5" t="str">
        <f t="shared" si="37"/>
        <v>EI</v>
      </c>
    </row>
  </sheetData>
  <autoFilter ref="A2:BG2" xr:uid="{A9B397B6-F9DD-4473-8894-6A081DAF2B8C}"/>
  <pageMargins left="0.7" right="0.7" top="0.75" bottom="0.83333333333333337" header="0" footer="0"/>
  <pageSetup paperSize="9" orientation="portrait" r:id="rId1"/>
  <headerFooter>
    <oddFooter>&amp;L 
PAR työpaja
osoitettie
0100, paikka&amp;C&amp;G&amp;R&amp;P/&amp;N</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ul10">
    <tabColor rgb="FFFFC000"/>
  </sheetPr>
  <dimension ref="A1:AQ1"/>
  <sheetViews>
    <sheetView zoomScale="80" zoomScaleNormal="80" workbookViewId="0">
      <selection activeCell="A6" sqref="A6:XFD197"/>
    </sheetView>
  </sheetViews>
  <sheetFormatPr defaultRowHeight="15" x14ac:dyDescent="0.25"/>
  <cols>
    <col min="5" max="5" width="78.28515625" bestFit="1" customWidth="1"/>
    <col min="8" max="8" width="13.140625" customWidth="1"/>
    <col min="9" max="9" width="12.7109375" customWidth="1"/>
    <col min="12" max="12" width="11.42578125" customWidth="1"/>
    <col min="14" max="15" width="19.7109375" style="78" customWidth="1"/>
    <col min="16" max="19" width="12.85546875" style="78" customWidth="1"/>
    <col min="20" max="20" width="11.5703125" style="78" bestFit="1" customWidth="1"/>
    <col min="21" max="21" width="110.5703125" style="78" bestFit="1" customWidth="1"/>
    <col min="22" max="23" width="24.28515625" style="78" bestFit="1" customWidth="1"/>
    <col min="24" max="43" width="9.140625" style="78"/>
  </cols>
  <sheetData>
    <row r="1" spans="1:32" x14ac:dyDescent="0.25">
      <c r="A1" s="79" t="s">
        <v>1647</v>
      </c>
      <c r="B1" s="79" t="s">
        <v>1648</v>
      </c>
      <c r="C1" s="79" t="s">
        <v>1649</v>
      </c>
      <c r="D1" s="66" t="s">
        <v>1650</v>
      </c>
      <c r="E1" s="66" t="s">
        <v>1435</v>
      </c>
      <c r="F1" s="66" t="s">
        <v>1436</v>
      </c>
      <c r="G1" s="66" t="s">
        <v>1651</v>
      </c>
      <c r="H1" s="66" t="s">
        <v>1652</v>
      </c>
      <c r="I1" s="66" t="s">
        <v>1653</v>
      </c>
      <c r="J1" s="66" t="s">
        <v>1654</v>
      </c>
      <c r="K1" s="66" t="s">
        <v>1655</v>
      </c>
      <c r="L1" s="66" t="s">
        <v>1656</v>
      </c>
      <c r="M1" s="66" t="s">
        <v>1657</v>
      </c>
      <c r="O1" s="90" t="s">
        <v>1663</v>
      </c>
      <c r="P1" s="120">
        <f>Asiakastilastot!$A$2</f>
        <v>46023</v>
      </c>
      <c r="Q1" s="120">
        <f>Asiakastilastot!$A$3</f>
        <v>46387</v>
      </c>
      <c r="R1" s="301">
        <f>P1-365</f>
        <v>45658</v>
      </c>
      <c r="S1" s="301">
        <f>Q1-365</f>
        <v>46022</v>
      </c>
      <c r="T1" s="393">
        <v>1</v>
      </c>
      <c r="U1" s="119" t="s">
        <v>1664</v>
      </c>
      <c r="W1" s="302" t="s">
        <v>40</v>
      </c>
      <c r="X1" s="90" t="s">
        <v>1665</v>
      </c>
      <c r="Z1" s="90" t="s">
        <v>1644</v>
      </c>
      <c r="AA1" s="90" t="s">
        <v>1644</v>
      </c>
      <c r="AB1" s="82" t="s">
        <v>1614</v>
      </c>
      <c r="AC1" s="82"/>
      <c r="AE1" s="78" t="s">
        <v>69</v>
      </c>
      <c r="AF1" s="82" t="s">
        <v>1645</v>
      </c>
    </row>
  </sheetData>
  <autoFilter ref="A2:AQ2" xr:uid="{00000000-0009-0000-0000-00000C000000}"/>
  <pageMargins left="0.7" right="0.7" top="0.75" bottom="0.83333333333333337" header="0" footer="0"/>
  <pageSetup paperSize="9" orientation="portrait" horizontalDpi="300" verticalDpi="0" r:id="rId1"/>
  <headerFooter>
    <oddFooter>&amp;L 
PAR työpaja
osoitettie
0100, paikka&amp;C&amp;G&amp;R&amp;P/&amp;N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A4984-3991-4730-A3EF-CFCE72D52E4B}">
  <sheetPr codeName="Taul22">
    <tabColor rgb="FFFFC000"/>
  </sheetPr>
  <dimension ref="A1:AK5"/>
  <sheetViews>
    <sheetView workbookViewId="0">
      <selection activeCell="A6" sqref="A6:XFD197"/>
    </sheetView>
  </sheetViews>
  <sheetFormatPr defaultRowHeight="15" x14ac:dyDescent="0.25"/>
  <cols>
    <col min="3" max="3" width="23.5703125" customWidth="1"/>
    <col min="27" max="27" width="24.5703125" customWidth="1"/>
    <col min="34" max="34" width="23.28515625" customWidth="1"/>
  </cols>
  <sheetData>
    <row r="1" spans="1:37" x14ac:dyDescent="0.25">
      <c r="D1" s="84"/>
      <c r="V1" s="631"/>
      <c r="W1" s="631"/>
      <c r="AA1" s="86"/>
      <c r="AB1" s="86"/>
      <c r="AC1" s="86" t="s">
        <v>1666</v>
      </c>
      <c r="AD1" s="86"/>
      <c r="AE1" s="86"/>
      <c r="AF1" s="86"/>
      <c r="AG1" s="86"/>
      <c r="AH1" s="86"/>
      <c r="AI1" s="86"/>
      <c r="AJ1" s="86"/>
      <c r="AK1" s="86"/>
    </row>
    <row r="2" spans="1:37" s="71" customFormat="1" x14ac:dyDescent="0.25">
      <c r="A2" s="78" t="str">
        <f>Data_tavoitteet!A1</f>
        <v>TAP_ID</v>
      </c>
      <c r="B2" s="78" t="str">
        <f>Data_tavoitteet!B1</f>
        <v>TAP_AIKALEIMA</v>
      </c>
      <c r="C2" s="78" t="str">
        <f>Data_tavoitteet!C1</f>
        <v>TAP_ASNO</v>
      </c>
      <c r="D2" s="78" t="str">
        <f>Data_tavoitteet!D1</f>
        <v>TAP_TAVOITE_PVM</v>
      </c>
      <c r="E2" s="78" t="str">
        <f>Data_tavoitteet!E1</f>
        <v>TAP_LOPPUARVIO</v>
      </c>
      <c r="F2" s="78" t="str">
        <f>Data_tavoitteet!F1</f>
        <v>TATAVOITTEENTILA11</v>
      </c>
      <c r="G2" s="78" t="str">
        <f>Data_tavoitteet!G1</f>
        <v>TAP_TAVOITTEEN_ARVIO_11</v>
      </c>
      <c r="H2" s="78" t="str">
        <f>Data_tavoitteet!H1</f>
        <v>TATAVOITTEENTILA12</v>
      </c>
      <c r="I2" s="78" t="str">
        <f>Data_tavoitteet!I1</f>
        <v>TAP_TAVOITTEEN_ARVIO_12</v>
      </c>
      <c r="J2" s="78" t="str">
        <f>Data_tavoitteet!J1</f>
        <v>TATAVOITTEENTILA13</v>
      </c>
      <c r="K2" s="78" t="str">
        <f>Data_tavoitteet!K1</f>
        <v>TAP_TAVOITTEEN_ARVIO_13</v>
      </c>
      <c r="L2" s="78" t="str">
        <f>Data_tavoitteet!L1</f>
        <v>TATAVOITTEENTILA21</v>
      </c>
      <c r="M2" s="78" t="str">
        <f>Data_tavoitteet!M1</f>
        <v>TAP_TAVOITTEEN_ARVIO_21</v>
      </c>
      <c r="N2" s="78" t="str">
        <f>Data_tavoitteet!N1</f>
        <v>TATAVOITTEENTILA22</v>
      </c>
      <c r="O2" s="78" t="str">
        <f>Data_tavoitteet!O1</f>
        <v>TAP_TAVOITTEEN_ARVIO_22</v>
      </c>
      <c r="P2" s="78" t="str">
        <f>Data_tavoitteet!P1</f>
        <v>TATAVOITTEENTILA23</v>
      </c>
      <c r="Q2" s="78" t="str">
        <f>Data_tavoitteet!Q1</f>
        <v>TAP_TAVOITTEEN_ARVIO_23</v>
      </c>
      <c r="R2" s="78" t="str">
        <f>Data_tavoitteet!R1</f>
        <v>TATAVOITTEENTILA31</v>
      </c>
      <c r="S2" s="78" t="str">
        <f>Data_tavoitteet!S1</f>
        <v>TATAVOITTEENTILA32</v>
      </c>
      <c r="T2" s="78" t="str">
        <f>Data_tavoitteet!T1</f>
        <v>TATAVOITTEENTILA33</v>
      </c>
      <c r="U2" s="78" t="str">
        <f>Data_tavoitteet!U1</f>
        <v>TATAVOITTEENTILA34</v>
      </c>
      <c r="V2" s="78" t="str">
        <f>Data_tavoitteet!V1</f>
        <v>TAP_MUUTOSAIKA</v>
      </c>
      <c r="W2" s="78" t="str">
        <f>Data_tavoitteet!W1</f>
        <v>TAP_TALLETUSAIKA</v>
      </c>
      <c r="X2" s="78" t="str">
        <f>Data_tavoitteet!X1</f>
        <v>TAP_KIRJAAJA_LOCK_NAME</v>
      </c>
      <c r="Y2" s="78" t="str">
        <f>Data_tavoitteet!Y1</f>
        <v>TAP_TAVOITTEEN_TILA_14</v>
      </c>
      <c r="Z2" s="78" t="str">
        <f>Data_tavoitteet!Z1</f>
        <v>TAP_TAVOITTEEN_ARVIO_14</v>
      </c>
      <c r="AA2" s="86" t="s">
        <v>1601</v>
      </c>
      <c r="AB2" s="86" t="s">
        <v>1667</v>
      </c>
      <c r="AC2" s="86"/>
      <c r="AD2" s="86" t="s">
        <v>1668</v>
      </c>
      <c r="AE2" t="s">
        <v>1669</v>
      </c>
      <c r="AF2" t="s">
        <v>1670</v>
      </c>
      <c r="AG2" t="s">
        <v>1671</v>
      </c>
      <c r="AH2" t="s">
        <v>1672</v>
      </c>
      <c r="AI2" s="228" t="s">
        <v>98</v>
      </c>
      <c r="AJ2" s="228" t="s">
        <v>1673</v>
      </c>
      <c r="AK2" s="228" t="s">
        <v>1674</v>
      </c>
    </row>
    <row r="3" spans="1:37" x14ac:dyDescent="0.25">
      <c r="A3" s="78">
        <f>Data_tavoitteet!A2</f>
        <v>0</v>
      </c>
      <c r="B3" s="78">
        <f>Data_tavoitteet!B2</f>
        <v>0</v>
      </c>
      <c r="C3" s="78">
        <f>Data_tavoitteet!C2</f>
        <v>0</v>
      </c>
      <c r="D3" s="78">
        <f>Data_tavoitteet!D2</f>
        <v>0</v>
      </c>
      <c r="E3" s="78">
        <f>Data_tavoitteet!E2</f>
        <v>0</v>
      </c>
      <c r="F3" s="78">
        <f>Data_tavoitteet!F2</f>
        <v>0</v>
      </c>
      <c r="G3" s="78">
        <f>Data_tavoitteet!G2</f>
        <v>0</v>
      </c>
      <c r="H3" s="78">
        <f>Data_tavoitteet!H2</f>
        <v>0</v>
      </c>
      <c r="I3" s="78">
        <f>Data_tavoitteet!I2</f>
        <v>0</v>
      </c>
      <c r="J3" s="78">
        <f>Data_tavoitteet!J2</f>
        <v>0</v>
      </c>
      <c r="K3" s="78">
        <f>Data_tavoitteet!K2</f>
        <v>0</v>
      </c>
      <c r="L3" s="78">
        <f>Data_tavoitteet!L2</f>
        <v>0</v>
      </c>
      <c r="M3" s="78">
        <f>Data_tavoitteet!M2</f>
        <v>0</v>
      </c>
      <c r="N3" s="78">
        <f>Data_tavoitteet!N2</f>
        <v>0</v>
      </c>
      <c r="O3" s="78">
        <f>Data_tavoitteet!O2</f>
        <v>0</v>
      </c>
      <c r="P3" s="78">
        <f>Data_tavoitteet!P2</f>
        <v>0</v>
      </c>
      <c r="Q3" s="78">
        <f>Data_tavoitteet!Q2</f>
        <v>0</v>
      </c>
      <c r="R3" s="78">
        <f>Data_tavoitteet!R2</f>
        <v>0</v>
      </c>
      <c r="S3" s="78">
        <f>Data_tavoitteet!S2</f>
        <v>0</v>
      </c>
      <c r="T3" s="78">
        <f>Data_tavoitteet!T2</f>
        <v>0</v>
      </c>
      <c r="U3" s="78">
        <f>Data_tavoitteet!U2</f>
        <v>0</v>
      </c>
      <c r="V3" s="78">
        <f>Data_tavoitteet!V2</f>
        <v>0</v>
      </c>
      <c r="W3" s="78">
        <f>Data_tavoitteet!W2</f>
        <v>0</v>
      </c>
      <c r="X3" s="78">
        <f>Data_tavoitteet!X2</f>
        <v>0</v>
      </c>
      <c r="Y3" s="78">
        <f>Data_tavoitteet!Y2</f>
        <v>0</v>
      </c>
      <c r="Z3" s="78">
        <f>Data_tavoitteet!Z2</f>
        <v>0</v>
      </c>
      <c r="AA3" t="e">
        <f>INDEX(AS!F:F,MATCH(C3,AS!A:A,0))</f>
        <v>#N/A</v>
      </c>
      <c r="AB3">
        <f>COUNTIF(C:C,C3)</f>
        <v>3</v>
      </c>
      <c r="AC3">
        <f>IF(C2=C3,AC2,AC2+1)</f>
        <v>1</v>
      </c>
      <c r="AD3" t="str">
        <f>IF(C2=C3,"","ok")</f>
        <v>ok</v>
      </c>
      <c r="AE3">
        <v>1</v>
      </c>
      <c r="AF3" t="str">
        <f>IF(C3=C4,"","ok")</f>
        <v/>
      </c>
      <c r="AG3" t="e">
        <f>INDEX(AS!AH:AH,MATCH(C3,AS!A:A,0))</f>
        <v>#N/A</v>
      </c>
      <c r="AH3" t="e">
        <f>INDEX(AS!AW:AW,MATCH(C3,AS!A:A,0))</f>
        <v>#N/A</v>
      </c>
      <c r="AI3" s="228" t="e">
        <f>INDEX(AS!AV:AV,MATCH(C3,AS!A:A,0))</f>
        <v>#N/A</v>
      </c>
      <c r="AJ3" s="228" t="e">
        <f>INDEX(AS!AB:AB,MATCH(C3,AS!A:A,0))</f>
        <v>#N/A</v>
      </c>
      <c r="AK3" s="228" t="e">
        <f>INDEX(AS!X:X,MATCH(C3,AS!A:A,0))</f>
        <v>#N/A</v>
      </c>
    </row>
    <row r="4" spans="1:37" x14ac:dyDescent="0.25">
      <c r="A4" s="78">
        <f>Data_tavoitteet!A3</f>
        <v>0</v>
      </c>
      <c r="B4" s="78">
        <f>Data_tavoitteet!B3</f>
        <v>0</v>
      </c>
      <c r="C4" s="78">
        <f>Data_tavoitteet!C3</f>
        <v>0</v>
      </c>
      <c r="D4" s="78">
        <f>Data_tavoitteet!D3</f>
        <v>0</v>
      </c>
      <c r="E4" s="78">
        <f>Data_tavoitteet!E3</f>
        <v>0</v>
      </c>
      <c r="F4" s="78">
        <f>Data_tavoitteet!F3</f>
        <v>0</v>
      </c>
      <c r="G4" s="78">
        <f>Data_tavoitteet!G3</f>
        <v>0</v>
      </c>
      <c r="H4" s="78">
        <f>Data_tavoitteet!H3</f>
        <v>0</v>
      </c>
      <c r="I4" s="78">
        <f>Data_tavoitteet!I3</f>
        <v>0</v>
      </c>
      <c r="J4" s="78">
        <f>Data_tavoitteet!J3</f>
        <v>0</v>
      </c>
      <c r="K4" s="78">
        <f>Data_tavoitteet!K3</f>
        <v>0</v>
      </c>
      <c r="L4" s="78">
        <f>Data_tavoitteet!L3</f>
        <v>0</v>
      </c>
      <c r="M4" s="78">
        <f>Data_tavoitteet!M3</f>
        <v>0</v>
      </c>
      <c r="N4" s="78">
        <f>Data_tavoitteet!N3</f>
        <v>0</v>
      </c>
      <c r="O4" s="78">
        <f>Data_tavoitteet!O3</f>
        <v>0</v>
      </c>
      <c r="P4" s="78">
        <f>Data_tavoitteet!P3</f>
        <v>0</v>
      </c>
      <c r="Q4" s="78">
        <f>Data_tavoitteet!Q3</f>
        <v>0</v>
      </c>
      <c r="R4" s="78">
        <f>Data_tavoitteet!R3</f>
        <v>0</v>
      </c>
      <c r="S4" s="78">
        <f>Data_tavoitteet!S3</f>
        <v>0</v>
      </c>
      <c r="T4" s="78">
        <f>Data_tavoitteet!T3</f>
        <v>0</v>
      </c>
      <c r="U4" s="78">
        <f>Data_tavoitteet!U3</f>
        <v>0</v>
      </c>
      <c r="V4" s="78">
        <f>Data_tavoitteet!V3</f>
        <v>0</v>
      </c>
      <c r="W4" s="78">
        <f>Data_tavoitteet!W3</f>
        <v>0</v>
      </c>
      <c r="X4" s="78">
        <f>Data_tavoitteet!X3</f>
        <v>0</v>
      </c>
      <c r="Y4" s="78">
        <f>Data_tavoitteet!Y3</f>
        <v>0</v>
      </c>
      <c r="Z4" s="78">
        <f>Data_tavoitteet!Z3</f>
        <v>0</v>
      </c>
      <c r="AA4" t="e">
        <f>INDEX(AS!F:F,MATCH(C4,AS!A:A,0))</f>
        <v>#N/A</v>
      </c>
      <c r="AB4">
        <f t="shared" ref="AB4:AB5" si="0">COUNTIF(C:C,C4)</f>
        <v>3</v>
      </c>
      <c r="AC4">
        <f t="shared" ref="AC4:AC5" si="1">IF(C3=C4,AC3,AC3+1)</f>
        <v>1</v>
      </c>
      <c r="AD4" t="str">
        <f t="shared" ref="AD4:AD5" si="2">IF(C3=C4,"","ok")</f>
        <v/>
      </c>
      <c r="AE4">
        <v>2</v>
      </c>
      <c r="AF4" t="str">
        <f t="shared" ref="AF4:AF5" si="3">IF(C4=C5,"","ok")</f>
        <v/>
      </c>
      <c r="AG4" t="e">
        <f>INDEX(AS!AH:AH,MATCH(C4,AS!A:A,0))</f>
        <v>#N/A</v>
      </c>
      <c r="AH4" t="e">
        <f>INDEX(AS!AW:AW,MATCH(C4,AS!A:A,0))</f>
        <v>#N/A</v>
      </c>
      <c r="AI4" s="228" t="e">
        <f>INDEX(AS!AV:AV,MATCH(C4,AS!A:A,0))</f>
        <v>#N/A</v>
      </c>
      <c r="AJ4" s="228" t="e">
        <f>INDEX(AS!AB:AB,MATCH(C4,AS!A:A,0))</f>
        <v>#N/A</v>
      </c>
      <c r="AK4" s="228" t="e">
        <f>INDEX(AS!X:X,MATCH(C4,AS!A:A,0))</f>
        <v>#N/A</v>
      </c>
    </row>
    <row r="5" spans="1:37" x14ac:dyDescent="0.25">
      <c r="A5" s="78">
        <f>Data_tavoitteet!A4</f>
        <v>0</v>
      </c>
      <c r="B5" s="78">
        <f>Data_tavoitteet!B4</f>
        <v>0</v>
      </c>
      <c r="C5" s="78">
        <f>Data_tavoitteet!C4</f>
        <v>0</v>
      </c>
      <c r="D5" s="78">
        <f>Data_tavoitteet!D4</f>
        <v>0</v>
      </c>
      <c r="E5" s="78">
        <f>Data_tavoitteet!E4</f>
        <v>0</v>
      </c>
      <c r="F5" s="78">
        <f>Data_tavoitteet!F4</f>
        <v>0</v>
      </c>
      <c r="G5" s="78">
        <f>Data_tavoitteet!G4</f>
        <v>0</v>
      </c>
      <c r="H5" s="78">
        <f>Data_tavoitteet!H4</f>
        <v>0</v>
      </c>
      <c r="I5" s="78">
        <f>Data_tavoitteet!I4</f>
        <v>0</v>
      </c>
      <c r="J5" s="78">
        <f>Data_tavoitteet!J4</f>
        <v>0</v>
      </c>
      <c r="K5" s="78">
        <f>Data_tavoitteet!K4</f>
        <v>0</v>
      </c>
      <c r="L5" s="78">
        <f>Data_tavoitteet!L4</f>
        <v>0</v>
      </c>
      <c r="M5" s="78">
        <f>Data_tavoitteet!M4</f>
        <v>0</v>
      </c>
      <c r="N5" s="78">
        <f>Data_tavoitteet!N4</f>
        <v>0</v>
      </c>
      <c r="O5" s="78">
        <f>Data_tavoitteet!O4</f>
        <v>0</v>
      </c>
      <c r="P5" s="78">
        <f>Data_tavoitteet!P4</f>
        <v>0</v>
      </c>
      <c r="Q5" s="78">
        <f>Data_tavoitteet!Q4</f>
        <v>0</v>
      </c>
      <c r="R5" s="78">
        <f>Data_tavoitteet!R4</f>
        <v>0</v>
      </c>
      <c r="S5" s="78">
        <f>Data_tavoitteet!S4</f>
        <v>0</v>
      </c>
      <c r="T5" s="78">
        <f>Data_tavoitteet!T4</f>
        <v>0</v>
      </c>
      <c r="U5" s="78">
        <f>Data_tavoitteet!U4</f>
        <v>0</v>
      </c>
      <c r="V5" s="78">
        <f>Data_tavoitteet!V4</f>
        <v>0</v>
      </c>
      <c r="W5" s="78">
        <f>Data_tavoitteet!W4</f>
        <v>0</v>
      </c>
      <c r="X5" s="78">
        <f>Data_tavoitteet!X4</f>
        <v>0</v>
      </c>
      <c r="Y5" s="78">
        <f>Data_tavoitteet!Y4</f>
        <v>0</v>
      </c>
      <c r="Z5" s="78">
        <f>Data_tavoitteet!Z4</f>
        <v>0</v>
      </c>
      <c r="AA5" t="e">
        <f>INDEX(AS!F:F,MATCH(C5,AS!A:A,0))</f>
        <v>#N/A</v>
      </c>
      <c r="AB5">
        <f t="shared" si="0"/>
        <v>3</v>
      </c>
      <c r="AC5">
        <f t="shared" si="1"/>
        <v>1</v>
      </c>
      <c r="AD5" t="str">
        <f t="shared" si="2"/>
        <v/>
      </c>
      <c r="AE5">
        <v>3</v>
      </c>
      <c r="AF5" t="str">
        <f t="shared" si="3"/>
        <v/>
      </c>
      <c r="AG5" t="e">
        <f>INDEX(AS!AH:AH,MATCH(C5,AS!A:A,0))</f>
        <v>#N/A</v>
      </c>
      <c r="AH5" t="e">
        <f>INDEX(AS!AW:AW,MATCH(C5,AS!A:A,0))</f>
        <v>#N/A</v>
      </c>
      <c r="AI5" s="228" t="e">
        <f>INDEX(AS!AV:AV,MATCH(C5,AS!A:A,0))</f>
        <v>#N/A</v>
      </c>
      <c r="AJ5" s="228" t="e">
        <f>INDEX(AS!AB:AB,MATCH(C5,AS!A:A,0))</f>
        <v>#N/A</v>
      </c>
      <c r="AK5" s="228" t="e">
        <f>INDEX(AS!X:X,MATCH(C5,AS!A:A,0))</f>
        <v>#N/A</v>
      </c>
    </row>
  </sheetData>
  <autoFilter ref="A2:AL15" xr:uid="{B8BA4984-3991-4730-A3EF-CFCE72D52E4B}"/>
  <pageMargins left="0.7" right="0.7" top="0.75" bottom="0.83333333333333337" header="0" footer="0"/>
  <pageSetup paperSize="9" orientation="portrait" horizontalDpi="300" verticalDpi="0" r:id="rId1"/>
  <headerFooter>
    <oddFooter>&amp;L 
PAR työpaja
osoitettie
0100, paikka&amp;C&amp;G&amp;R&amp;P/&amp;N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ul7">
    <tabColor rgb="FFFF0000"/>
  </sheetPr>
  <dimension ref="A1:BF5"/>
  <sheetViews>
    <sheetView zoomScale="70" zoomScaleNormal="70" workbookViewId="0">
      <selection activeCell="A6" sqref="A6:XFD197"/>
    </sheetView>
  </sheetViews>
  <sheetFormatPr defaultColWidth="9.85546875" defaultRowHeight="15" x14ac:dyDescent="0.25"/>
  <cols>
    <col min="1" max="1" width="9.85546875" style="78"/>
    <col min="2" max="2" width="33.140625" style="78" customWidth="1"/>
    <col min="3" max="3" width="9.85546875" style="78"/>
    <col min="4" max="4" width="19" style="78" customWidth="1"/>
    <col min="5" max="5" width="9.85546875" style="78"/>
    <col min="6" max="6" width="39.7109375" style="78" customWidth="1"/>
    <col min="7" max="45" width="9.85546875" style="78"/>
    <col min="46" max="47" width="10.85546875" style="78" customWidth="1"/>
    <col min="48" max="48" width="12.28515625" style="84" customWidth="1"/>
    <col min="49" max="50" width="12.28515625" style="78" customWidth="1"/>
    <col min="51" max="51" width="12.28515625" style="121" customWidth="1"/>
    <col min="52" max="54" width="12.28515625" style="78" customWidth="1"/>
    <col min="55" max="16384" width="9.85546875" style="78"/>
  </cols>
  <sheetData>
    <row r="1" spans="1:58" customFormat="1" x14ac:dyDescent="0.25">
      <c r="A1" s="553" t="s">
        <v>1675</v>
      </c>
      <c r="B1" s="81" t="s">
        <v>1440</v>
      </c>
      <c r="C1" s="81" t="s">
        <v>1440</v>
      </c>
      <c r="D1" s="81" t="s">
        <v>1440</v>
      </c>
      <c r="E1" s="81" t="s">
        <v>1440</v>
      </c>
      <c r="F1" s="81" t="s">
        <v>1440</v>
      </c>
      <c r="G1" s="81" t="s">
        <v>1440</v>
      </c>
      <c r="H1" s="81" t="s">
        <v>1440</v>
      </c>
      <c r="I1" s="81" t="s">
        <v>1440</v>
      </c>
      <c r="J1" s="81" t="s">
        <v>1440</v>
      </c>
      <c r="K1" s="81" t="s">
        <v>1440</v>
      </c>
      <c r="L1" s="81" t="s">
        <v>1440</v>
      </c>
      <c r="M1" s="81" t="s">
        <v>1440</v>
      </c>
      <c r="N1" s="81" t="s">
        <v>1440</v>
      </c>
      <c r="O1" s="81" t="s">
        <v>1440</v>
      </c>
      <c r="P1" s="81" t="s">
        <v>1440</v>
      </c>
      <c r="Q1" s="81" t="s">
        <v>1440</v>
      </c>
      <c r="R1" s="81" t="s">
        <v>1440</v>
      </c>
      <c r="S1" s="81" t="s">
        <v>1440</v>
      </c>
      <c r="T1" s="81" t="s">
        <v>1440</v>
      </c>
      <c r="U1" s="81" t="s">
        <v>1440</v>
      </c>
      <c r="V1" s="81" t="s">
        <v>1440</v>
      </c>
      <c r="W1" s="81" t="s">
        <v>1440</v>
      </c>
      <c r="X1" s="81" t="s">
        <v>1440</v>
      </c>
      <c r="Y1" s="81" t="s">
        <v>1440</v>
      </c>
      <c r="Z1" s="81" t="s">
        <v>1440</v>
      </c>
      <c r="AA1" s="81" t="s">
        <v>1440</v>
      </c>
      <c r="AB1" s="81" t="s">
        <v>1440</v>
      </c>
      <c r="AC1" s="81" t="s">
        <v>1440</v>
      </c>
      <c r="AD1" s="81" t="s">
        <v>1440</v>
      </c>
      <c r="AE1" s="81" t="s">
        <v>1440</v>
      </c>
      <c r="AF1" s="81" t="s">
        <v>1440</v>
      </c>
      <c r="AG1" s="81" t="s">
        <v>1440</v>
      </c>
      <c r="AH1" s="81" t="s">
        <v>1440</v>
      </c>
      <c r="AI1" s="81" t="s">
        <v>1440</v>
      </c>
      <c r="AJ1" s="81" t="s">
        <v>1440</v>
      </c>
      <c r="AK1" s="81" t="s">
        <v>1440</v>
      </c>
      <c r="AL1" s="81" t="s">
        <v>1440</v>
      </c>
      <c r="AM1" s="81" t="s">
        <v>1440</v>
      </c>
      <c r="AN1" s="81" t="s">
        <v>1440</v>
      </c>
      <c r="AO1" s="81" t="s">
        <v>1440</v>
      </c>
      <c r="AP1" s="81" t="s">
        <v>1440</v>
      </c>
      <c r="AQ1" s="81" t="s">
        <v>1440</v>
      </c>
      <c r="AR1" s="81"/>
      <c r="AS1" s="81"/>
      <c r="AT1" s="397">
        <v>1</v>
      </c>
      <c r="AU1" s="78"/>
      <c r="AV1" s="120">
        <f>Asiakastilastot!A2</f>
        <v>46023</v>
      </c>
      <c r="AW1" s="120">
        <f>Asiakastilastot!A3</f>
        <v>46387</v>
      </c>
      <c r="AX1" s="111" t="s">
        <v>605</v>
      </c>
      <c r="AY1" s="121"/>
      <c r="BA1" s="112" t="s">
        <v>608</v>
      </c>
      <c r="BB1" s="102" t="s">
        <v>631</v>
      </c>
      <c r="BC1" s="122" t="s">
        <v>652</v>
      </c>
      <c r="BD1" s="78"/>
    </row>
    <row r="2" spans="1:58" s="124" customFormat="1" ht="75" x14ac:dyDescent="0.25">
      <c r="A2" s="123" t="s">
        <v>1676</v>
      </c>
      <c r="B2" s="123" t="s">
        <v>1677</v>
      </c>
      <c r="C2" s="123" t="s">
        <v>1678</v>
      </c>
      <c r="D2" s="123" t="s">
        <v>1679</v>
      </c>
      <c r="E2" s="123" t="s">
        <v>1680</v>
      </c>
      <c r="F2" s="123" t="s">
        <v>1681</v>
      </c>
      <c r="G2" s="123" t="s">
        <v>1682</v>
      </c>
      <c r="H2" s="123" t="s">
        <v>1683</v>
      </c>
      <c r="I2" s="123" t="s">
        <v>1684</v>
      </c>
      <c r="J2" s="123" t="s">
        <v>1685</v>
      </c>
      <c r="K2" s="123" t="s">
        <v>1686</v>
      </c>
      <c r="L2" s="123" t="s">
        <v>1687</v>
      </c>
      <c r="M2" s="123" t="s">
        <v>1688</v>
      </c>
      <c r="N2" s="123" t="s">
        <v>1689</v>
      </c>
      <c r="O2" s="123" t="s">
        <v>1690</v>
      </c>
      <c r="P2" s="123" t="s">
        <v>1691</v>
      </c>
      <c r="Q2" s="123" t="s">
        <v>1692</v>
      </c>
      <c r="R2" s="605" t="s">
        <v>1693</v>
      </c>
      <c r="S2" s="123" t="s">
        <v>1694</v>
      </c>
      <c r="T2" s="123" t="s">
        <v>1695</v>
      </c>
      <c r="U2" s="123" t="s">
        <v>1696</v>
      </c>
      <c r="V2" s="123" t="s">
        <v>1697</v>
      </c>
      <c r="W2" s="123" t="s">
        <v>1698</v>
      </c>
      <c r="X2" s="123" t="s">
        <v>1699</v>
      </c>
      <c r="Y2" s="605" t="s">
        <v>1700</v>
      </c>
      <c r="Z2" s="123" t="s">
        <v>1701</v>
      </c>
      <c r="AA2" s="123" t="s">
        <v>1702</v>
      </c>
      <c r="AB2" s="123" t="s">
        <v>1703</v>
      </c>
      <c r="AC2" s="123" t="s">
        <v>1704</v>
      </c>
      <c r="AD2" s="123" t="s">
        <v>1705</v>
      </c>
      <c r="AE2" s="123" t="s">
        <v>1706</v>
      </c>
      <c r="AF2" s="123" t="s">
        <v>1707</v>
      </c>
      <c r="AG2" s="123" t="s">
        <v>1708</v>
      </c>
      <c r="AH2" s="124" t="s">
        <v>1709</v>
      </c>
      <c r="AI2" s="124" t="s">
        <v>1710</v>
      </c>
      <c r="AJ2" s="124" t="s">
        <v>1711</v>
      </c>
      <c r="AK2" s="124" t="s">
        <v>1712</v>
      </c>
      <c r="AL2" s="124" t="s">
        <v>1713</v>
      </c>
      <c r="AM2" s="124" t="s">
        <v>1714</v>
      </c>
      <c r="AN2" s="124" t="s">
        <v>1715</v>
      </c>
      <c r="AO2" s="124" t="s">
        <v>1716</v>
      </c>
      <c r="AP2" s="124" t="s">
        <v>1717</v>
      </c>
      <c r="AQ2" s="124" t="s">
        <v>1718</v>
      </c>
      <c r="AR2" s="124" t="s">
        <v>1719</v>
      </c>
      <c r="AS2" s="124" t="s">
        <v>1720</v>
      </c>
      <c r="AT2" s="125" t="s">
        <v>1721</v>
      </c>
      <c r="AU2" s="125" t="s">
        <v>1722</v>
      </c>
      <c r="AV2" s="126" t="s">
        <v>1442</v>
      </c>
      <c r="AW2" s="125" t="s">
        <v>1575</v>
      </c>
      <c r="AX2" s="111" t="s">
        <v>602</v>
      </c>
      <c r="AY2" s="127" t="s">
        <v>583</v>
      </c>
      <c r="AZ2" s="124" t="s">
        <v>1723</v>
      </c>
      <c r="BA2" s="112" t="s">
        <v>607</v>
      </c>
      <c r="BB2" s="102" t="s">
        <v>629</v>
      </c>
      <c r="BC2" s="128" t="s">
        <v>651</v>
      </c>
      <c r="BD2" s="127" t="s">
        <v>1724</v>
      </c>
      <c r="BE2" s="124" t="s">
        <v>1725</v>
      </c>
      <c r="BF2" s="129" t="s">
        <v>1726</v>
      </c>
    </row>
    <row r="3" spans="1:58" x14ac:dyDescent="0.25">
      <c r="Y3" s="121"/>
      <c r="AT3" s="78" t="s">
        <v>1727</v>
      </c>
      <c r="AU3" t="str">
        <f>IF(AS3="-1","EI",IF(AW3&gt;=$AV$1,IF(AV3&lt;=$AW$1,"OK","EI"),"EI"))</f>
        <v>EI</v>
      </c>
      <c r="AV3" s="84">
        <f>IF(S3="",VALUE($AW$1)+1,VALUE(S3))</f>
        <v>46388</v>
      </c>
      <c r="AW3" s="84">
        <f>IF(T3="",IF(AR3="Poistettu",AV3,IF(AV3&gt;$AW$1,VALUE(AV3),VALUE($AW$1))),VALUE(T3))</f>
        <v>46388</v>
      </c>
      <c r="AX3" t="str">
        <f>IF(W3="",$AX$1,IF(LEFT(W3,5)="Combo",W3,$AX$2))</f>
        <v>ComboBox_TyHlo_tyosuhde#ei tietoa</v>
      </c>
      <c r="AY3" s="121">
        <f>Y3</f>
        <v>0</v>
      </c>
      <c r="AZ3">
        <f>IFERROR(VALUE(AY3),0)</f>
        <v>0</v>
      </c>
      <c r="BA3" t="str">
        <f>IF(F3="",$BA$1,IF(LEFT(F3,5)="Combo",F3,$BA$2))</f>
        <v>ComboBox_TyHlo_koulutus#ei tietoa</v>
      </c>
      <c r="BB3" t="str">
        <f>IF(X3="",$BB$1,IF(LEFT(X3,5)="Combo",X3,$BB$2))</f>
        <v>ComboBox_TyHlo_tyoteht#ei tietoa</v>
      </c>
      <c r="BC3" t="str">
        <f>IF(G3="",$BC$1,IF(LEFT(G3,5)="Combo",G3,$BC$2))</f>
        <v>ComboBox_TyHlo_tutkinto#ei tietoa</v>
      </c>
      <c r="BD3" s="121">
        <f>R3</f>
        <v>0</v>
      </c>
      <c r="BE3">
        <f>IFERROR(VALUE(BD3),0)</f>
        <v>0</v>
      </c>
    </row>
    <row r="4" spans="1:58" x14ac:dyDescent="0.25">
      <c r="Y4" s="121"/>
      <c r="AT4" s="78" t="s">
        <v>1728</v>
      </c>
      <c r="AU4" t="str">
        <f t="shared" ref="AU4:AU5" si="0">IF(AS4="-1","EI",IF(AW4&gt;=$AV$1,IF(AV4&lt;=$AW$1,"OK","EI"),"EI"))</f>
        <v>EI</v>
      </c>
      <c r="AV4" s="84">
        <f t="shared" ref="AV4:AV5" si="1">IF(S4="",VALUE($AW$1)+1,VALUE(S4))</f>
        <v>46388</v>
      </c>
      <c r="AW4" s="84">
        <f t="shared" ref="AW4:AW5" si="2">IF(T4="",IF(AR4="Poistettu",AV4,IF(AV4&gt;$AW$1,VALUE(AV4),VALUE($AW$1))),VALUE(T4))</f>
        <v>46388</v>
      </c>
      <c r="AX4" t="str">
        <f t="shared" ref="AX4:AX5" si="3">IF(W4="",$AX$1,IF(LEFT(W4,5)="Combo",W4,$AX$2))</f>
        <v>ComboBox_TyHlo_tyosuhde#ei tietoa</v>
      </c>
      <c r="AY4" s="121">
        <f t="shared" ref="AY4:AY5" si="4">Y4</f>
        <v>0</v>
      </c>
      <c r="AZ4">
        <f t="shared" ref="AZ4:AZ5" si="5">IFERROR(VALUE(AY4),0)</f>
        <v>0</v>
      </c>
      <c r="BA4" t="str">
        <f t="shared" ref="BA4:BA5" si="6">IF(F4="",$BA$1,IF(LEFT(F4,5)="Combo",F4,$BA$2))</f>
        <v>ComboBox_TyHlo_koulutus#ei tietoa</v>
      </c>
      <c r="BB4" t="str">
        <f t="shared" ref="BB4:BB5" si="7">IF(X4="",$BB$1,IF(LEFT(X4,5)="Combo",X4,$BB$2))</f>
        <v>ComboBox_TyHlo_tyoteht#ei tietoa</v>
      </c>
      <c r="BC4" t="str">
        <f t="shared" ref="BC4:BC5" si="8">IF(G4="",$BC$1,IF(LEFT(G4,5)="Combo",G4,$BC$2))</f>
        <v>ComboBox_TyHlo_tutkinto#ei tietoa</v>
      </c>
      <c r="BD4" s="121">
        <f t="shared" ref="BD4:BD5" si="9">R4</f>
        <v>0</v>
      </c>
      <c r="BE4">
        <f t="shared" ref="BE4:BE5" si="10">IFERROR(VALUE(BD4),0)</f>
        <v>0</v>
      </c>
    </row>
    <row r="5" spans="1:58" x14ac:dyDescent="0.25">
      <c r="Y5" s="121"/>
      <c r="AT5" s="78" t="s">
        <v>1729</v>
      </c>
      <c r="AU5" t="str">
        <f t="shared" si="0"/>
        <v>EI</v>
      </c>
      <c r="AV5" s="84">
        <f t="shared" si="1"/>
        <v>46388</v>
      </c>
      <c r="AW5" s="84">
        <f t="shared" si="2"/>
        <v>46388</v>
      </c>
      <c r="AX5" t="str">
        <f t="shared" si="3"/>
        <v>ComboBox_TyHlo_tyosuhde#ei tietoa</v>
      </c>
      <c r="AY5" s="121">
        <f t="shared" si="4"/>
        <v>0</v>
      </c>
      <c r="AZ5">
        <f t="shared" si="5"/>
        <v>0</v>
      </c>
      <c r="BA5" t="str">
        <f t="shared" si="6"/>
        <v>ComboBox_TyHlo_koulutus#ei tietoa</v>
      </c>
      <c r="BB5" t="str">
        <f t="shared" si="7"/>
        <v>ComboBox_TyHlo_tyoteht#ei tietoa</v>
      </c>
      <c r="BC5" t="str">
        <f t="shared" si="8"/>
        <v>ComboBox_TyHlo_tutkinto#ei tietoa</v>
      </c>
      <c r="BD5" s="121">
        <f t="shared" si="9"/>
        <v>0</v>
      </c>
      <c r="BE5">
        <f t="shared" si="10"/>
        <v>0</v>
      </c>
    </row>
  </sheetData>
  <phoneticPr fontId="63" type="noConversion"/>
  <conditionalFormatting sqref="A1:AS1 AZ1 BE1:XFD1 BA2">
    <cfRule type="containsText" dxfId="4" priority="1" operator="containsText" text="e">
      <formula>NOT(ISERROR(SEARCH("e",A1)))</formula>
    </cfRule>
  </conditionalFormatting>
  <pageMargins left="0.7" right="0.7" top="0.75" bottom="0.83333333333333337" header="0" footer="0"/>
  <pageSetup paperSize="9" orientation="portrait" r:id="rId1"/>
  <headerFooter>
    <oddFooter>&amp;L 
PAR työpaja
osoitettie
0100, paikka&amp;C&amp;G&amp;R&amp;P/&amp;N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3F275-B50C-44C8-9770-5A049A6EAA64}">
  <sheetPr codeName="Taul23">
    <tabColor rgb="FFFF0000"/>
  </sheetPr>
  <dimension ref="A1:AA1"/>
  <sheetViews>
    <sheetView workbookViewId="0">
      <selection activeCell="A6" sqref="A6:XFD197"/>
    </sheetView>
  </sheetViews>
  <sheetFormatPr defaultRowHeight="15" x14ac:dyDescent="0.25"/>
  <cols>
    <col min="1" max="1" width="12.5703125" bestFit="1" customWidth="1"/>
    <col min="3" max="3" width="11.28515625" bestFit="1" customWidth="1"/>
  </cols>
  <sheetData>
    <row r="1" spans="1:27" s="71" customFormat="1" ht="60" x14ac:dyDescent="0.25">
      <c r="A1" s="71" t="s">
        <v>1730</v>
      </c>
      <c r="B1" s="71" t="s">
        <v>1731</v>
      </c>
      <c r="C1" s="71" t="s">
        <v>1732</v>
      </c>
      <c r="D1" s="879" t="s">
        <v>1733</v>
      </c>
      <c r="E1" s="71" t="s">
        <v>1734</v>
      </c>
      <c r="F1" s="71" t="s">
        <v>1735</v>
      </c>
      <c r="G1" s="71" t="s">
        <v>1736</v>
      </c>
      <c r="H1" s="71" t="s">
        <v>1737</v>
      </c>
      <c r="I1" s="71" t="s">
        <v>1738</v>
      </c>
      <c r="J1" s="71" t="s">
        <v>1739</v>
      </c>
      <c r="K1" s="71" t="s">
        <v>1740</v>
      </c>
      <c r="L1" s="71" t="s">
        <v>1741</v>
      </c>
      <c r="M1" s="71" t="s">
        <v>1742</v>
      </c>
      <c r="N1" s="71" t="s">
        <v>1743</v>
      </c>
      <c r="O1" s="71" t="s">
        <v>1744</v>
      </c>
      <c r="P1" s="71" t="s">
        <v>1745</v>
      </c>
      <c r="Q1" s="71" t="s">
        <v>1746</v>
      </c>
      <c r="R1" s="71" t="s">
        <v>1747</v>
      </c>
      <c r="S1" s="71" t="s">
        <v>1748</v>
      </c>
      <c r="T1" s="71" t="s">
        <v>1749</v>
      </c>
      <c r="U1" s="71" t="s">
        <v>1750</v>
      </c>
      <c r="V1" s="71" t="s">
        <v>1751</v>
      </c>
      <c r="W1" s="71" t="s">
        <v>1752</v>
      </c>
      <c r="X1" s="71" t="s">
        <v>1753</v>
      </c>
      <c r="Y1" s="71" t="s">
        <v>1362</v>
      </c>
      <c r="Z1" s="71" t="s">
        <v>1754</v>
      </c>
      <c r="AA1" s="71" t="s">
        <v>1755</v>
      </c>
    </row>
  </sheetData>
  <pageMargins left="0.7" right="0.7" top="0.75" bottom="0.83333333333333337" header="0" footer="0"/>
  <pageSetup paperSize="9" orientation="portrait" horizontalDpi="300" verticalDpi="0" r:id="rId1"/>
  <headerFooter>
    <oddFooter>&amp;L 
PAR työpaja
osoitettie
0100, paikka&amp;C&amp;G&amp;R&amp;P/&amp;N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ul13"/>
  <dimension ref="A1:M1"/>
  <sheetViews>
    <sheetView zoomScale="80" zoomScaleNormal="80" workbookViewId="0">
      <selection activeCell="A6" sqref="A6:XFD197"/>
    </sheetView>
  </sheetViews>
  <sheetFormatPr defaultColWidth="9.140625" defaultRowHeight="15" x14ac:dyDescent="0.25"/>
  <cols>
    <col min="1" max="13" width="16.42578125" style="78" customWidth="1"/>
    <col min="14" max="16384" width="9.140625" style="78"/>
  </cols>
  <sheetData>
    <row r="1" spans="1:13" s="79" customFormat="1" x14ac:dyDescent="0.25">
      <c r="A1" s="79" t="s">
        <v>1647</v>
      </c>
      <c r="B1" s="79" t="s">
        <v>1648</v>
      </c>
      <c r="C1" s="79" t="s">
        <v>1649</v>
      </c>
      <c r="D1" s="66" t="s">
        <v>1650</v>
      </c>
      <c r="E1" s="66" t="s">
        <v>1435</v>
      </c>
      <c r="F1" s="66" t="s">
        <v>1436</v>
      </c>
      <c r="G1" s="66" t="s">
        <v>1651</v>
      </c>
      <c r="H1" s="66" t="s">
        <v>1652</v>
      </c>
      <c r="I1" s="66" t="s">
        <v>1653</v>
      </c>
      <c r="J1" s="66" t="s">
        <v>1654</v>
      </c>
      <c r="K1" s="66" t="s">
        <v>1655</v>
      </c>
      <c r="L1" s="66" t="s">
        <v>1656</v>
      </c>
      <c r="M1" s="66" t="s">
        <v>1657</v>
      </c>
    </row>
  </sheetData>
  <pageMargins left="0.7" right="0.7" top="0.75" bottom="0.83333333333333337" header="0" footer="0"/>
  <pageSetup paperSize="9" orientation="portrait" horizontalDpi="300" verticalDpi="0" r:id="rId1"/>
  <headerFooter>
    <oddFooter>&amp;L 
PAR työpaja
osoitettie
0100, paikka&amp;C&amp;G&amp;R&amp;P/&amp;N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ul35">
    <tabColor theme="4" tint="-0.249977111117893"/>
  </sheetPr>
  <dimension ref="A1:N1"/>
  <sheetViews>
    <sheetView zoomScale="90" zoomScaleNormal="90" workbookViewId="0">
      <selection activeCell="A6" sqref="A6:XFD197"/>
    </sheetView>
  </sheetViews>
  <sheetFormatPr defaultColWidth="9.140625" defaultRowHeight="15" x14ac:dyDescent="0.25"/>
  <cols>
    <col min="1" max="1" width="19.5703125" style="78" customWidth="1"/>
    <col min="2" max="2" width="34.7109375" style="78" customWidth="1"/>
    <col min="3" max="3" width="9.140625" style="78"/>
    <col min="4" max="4" width="16.85546875" style="78" customWidth="1"/>
    <col min="5" max="5" width="37.7109375" style="78" customWidth="1"/>
    <col min="6" max="6" width="9.140625" style="78"/>
    <col min="7" max="7" width="24.42578125" style="78" customWidth="1"/>
    <col min="8" max="11" width="9.140625" style="78"/>
    <col min="12" max="12" width="11" style="78" customWidth="1"/>
    <col min="13" max="13" width="9.140625" style="78"/>
    <col min="14" max="14" width="11" style="84" bestFit="1" customWidth="1"/>
    <col min="15" max="56" width="9.140625" style="78" customWidth="1"/>
    <col min="57" max="16384" width="9.140625" style="78"/>
  </cols>
  <sheetData>
    <row r="1" spans="1:13" s="79" customFormat="1" x14ac:dyDescent="0.25">
      <c r="A1" s="79" t="s">
        <v>1647</v>
      </c>
      <c r="B1" s="79" t="s">
        <v>1648</v>
      </c>
      <c r="C1" s="79" t="s">
        <v>1649</v>
      </c>
      <c r="D1" s="79" t="s">
        <v>1650</v>
      </c>
      <c r="E1" s="79" t="s">
        <v>1435</v>
      </c>
      <c r="F1" s="79" t="s">
        <v>1436</v>
      </c>
      <c r="G1" s="79" t="s">
        <v>1651</v>
      </c>
      <c r="H1" s="79" t="s">
        <v>1652</v>
      </c>
      <c r="I1" s="79" t="s">
        <v>1653</v>
      </c>
      <c r="J1" s="79" t="s">
        <v>1654</v>
      </c>
      <c r="K1" s="79" t="s">
        <v>1655</v>
      </c>
      <c r="L1" s="79" t="s">
        <v>1656</v>
      </c>
      <c r="M1" s="79" t="s">
        <v>1657</v>
      </c>
    </row>
  </sheetData>
  <pageMargins left="0.7" right="0.7" top="0.75" bottom="0.83333333333333337" header="0" footer="0"/>
  <pageSetup paperSize="9" orientation="portrait" horizontalDpi="300" verticalDpi="0" r:id="rId1"/>
  <headerFooter>
    <oddFooter>&amp;L 
PAR työpaja
osoitettie
0100, paikka&amp;C&amp;G&amp;R&amp;P/&amp;N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6">
    <tabColor rgb="FFFF0000"/>
  </sheetPr>
  <dimension ref="A1:Z1"/>
  <sheetViews>
    <sheetView zoomScale="80" zoomScaleNormal="80" workbookViewId="0">
      <selection activeCell="A6" sqref="A6:XFD197"/>
    </sheetView>
  </sheetViews>
  <sheetFormatPr defaultColWidth="8" defaultRowHeight="15" x14ac:dyDescent="0.25"/>
  <cols>
    <col min="1" max="1" width="15.5703125" style="78" bestFit="1" customWidth="1"/>
    <col min="2" max="6" width="8" style="78"/>
    <col min="7" max="7" width="29.5703125" style="78" bestFit="1" customWidth="1"/>
    <col min="8" max="9" width="8" style="78"/>
    <col min="10" max="10" width="10.7109375" style="78" customWidth="1"/>
    <col min="11" max="11" width="36.5703125" style="78" bestFit="1" customWidth="1"/>
    <col min="12" max="15" width="8" style="78"/>
    <col min="18" max="24" width="8" style="78"/>
    <col min="25" max="26" width="8" style="80"/>
    <col min="27" max="16384" width="8" style="78"/>
  </cols>
  <sheetData>
    <row r="1" spans="1:21" s="79" customFormat="1" x14ac:dyDescent="0.25">
      <c r="A1" s="79" t="s">
        <v>1451</v>
      </c>
      <c r="B1" s="79" t="s">
        <v>1452</v>
      </c>
      <c r="C1" s="79" t="s">
        <v>1453</v>
      </c>
      <c r="D1" s="79" t="s">
        <v>1454</v>
      </c>
      <c r="E1" s="79" t="s">
        <v>1455</v>
      </c>
      <c r="F1" s="79" t="s">
        <v>1456</v>
      </c>
      <c r="G1" s="79" t="s">
        <v>1457</v>
      </c>
      <c r="H1" s="79" t="s">
        <v>1458</v>
      </c>
      <c r="I1" s="79" t="s">
        <v>1459</v>
      </c>
      <c r="J1" s="79" t="s">
        <v>1460</v>
      </c>
      <c r="K1" s="78" t="s">
        <v>1461</v>
      </c>
      <c r="L1" s="78" t="s">
        <v>1462</v>
      </c>
      <c r="M1" s="78" t="s">
        <v>1463</v>
      </c>
      <c r="N1" s="78" t="s">
        <v>1416</v>
      </c>
      <c r="O1" s="78" t="s">
        <v>1464</v>
      </c>
      <c r="P1" s="78" t="s">
        <v>1465</v>
      </c>
      <c r="Q1" s="78" t="s">
        <v>1466</v>
      </c>
      <c r="R1" s="78" t="s">
        <v>1417</v>
      </c>
      <c r="S1" s="78" t="s">
        <v>1418</v>
      </c>
      <c r="T1" s="78" t="s">
        <v>1419</v>
      </c>
      <c r="U1" s="78" t="s">
        <v>1462</v>
      </c>
    </row>
  </sheetData>
  <conditionalFormatting sqref="L1">
    <cfRule type="containsText" dxfId="3" priority="2" operator="containsText" text="P">
      <formula>NOT(ISERROR(SEARCH("P",L1)))</formula>
    </cfRule>
  </conditionalFormatting>
  <conditionalFormatting sqref="L668:L1048576">
    <cfRule type="containsText" dxfId="2" priority="1" operator="containsText" text="P">
      <formula>NOT(ISERROR(SEARCH("P",L668)))</formula>
    </cfRule>
  </conditionalFormatting>
  <conditionalFormatting sqref="Z2:XFD2">
    <cfRule type="containsText" dxfId="1" priority="3" operator="containsText" text="E">
      <formula>NOT(ISERROR(SEARCH("E",Z2)))</formula>
    </cfRule>
  </conditionalFormatting>
  <pageMargins left="0.7" right="0.7" top="0.75" bottom="0.83333333333333337" header="0" footer="0"/>
  <pageSetup paperSize="9" orientation="portrait" r:id="rId1"/>
  <headerFooter>
    <oddFooter>&amp;L 
PAR työpaja
osoitettie
0100, paikka&amp;C&amp;G&amp;R&amp;P/&amp;N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ul12">
    <tabColor rgb="FFFF0000"/>
  </sheetPr>
  <dimension ref="A1:AS1"/>
  <sheetViews>
    <sheetView zoomScale="80" zoomScaleNormal="80" workbookViewId="0">
      <selection activeCell="A6" sqref="A6:XFD197"/>
    </sheetView>
  </sheetViews>
  <sheetFormatPr defaultColWidth="11.28515625" defaultRowHeight="15" x14ac:dyDescent="0.25"/>
  <cols>
    <col min="1" max="1" width="11.28515625" style="78"/>
    <col min="2" max="2" width="26.28515625" style="78" customWidth="1"/>
    <col min="3" max="11" width="11.28515625" style="78"/>
    <col min="12" max="12" width="56.28515625" style="78" bestFit="1" customWidth="1"/>
    <col min="13" max="13" width="44.5703125" style="78" bestFit="1" customWidth="1"/>
    <col min="14" max="14" width="28.28515625" style="78" customWidth="1"/>
    <col min="15" max="15" width="66.28515625" style="78" bestFit="1" customWidth="1"/>
    <col min="16" max="25" width="11.28515625" style="78"/>
    <col min="26" max="26" width="36.5703125" bestFit="1" customWidth="1"/>
    <col min="46" max="16384" width="11.28515625" style="78"/>
  </cols>
  <sheetData>
    <row r="1" spans="1:27" s="79" customFormat="1" x14ac:dyDescent="0.25">
      <c r="A1" s="78" t="s">
        <v>1556</v>
      </c>
      <c r="B1" s="79" t="s">
        <v>1557</v>
      </c>
      <c r="C1" s="79" t="s">
        <v>1558</v>
      </c>
      <c r="D1" s="79" t="s">
        <v>1756</v>
      </c>
      <c r="E1" s="79" t="s">
        <v>1560</v>
      </c>
      <c r="F1" s="79" t="s">
        <v>1561</v>
      </c>
      <c r="G1" s="79" t="s">
        <v>1562</v>
      </c>
      <c r="H1" s="79" t="s">
        <v>1427</v>
      </c>
      <c r="I1" s="79" t="s">
        <v>1428</v>
      </c>
      <c r="J1" s="79" t="s">
        <v>1429</v>
      </c>
      <c r="K1" s="79" t="s">
        <v>1430</v>
      </c>
      <c r="L1" s="79" t="s">
        <v>1431</v>
      </c>
      <c r="M1" s="79" t="s">
        <v>1432</v>
      </c>
      <c r="N1" s="79" t="s">
        <v>1563</v>
      </c>
      <c r="O1" s="79" t="s">
        <v>1433</v>
      </c>
      <c r="P1" s="79" t="s">
        <v>1434</v>
      </c>
      <c r="Q1" s="79" t="s">
        <v>1564</v>
      </c>
      <c r="R1" s="79" t="s">
        <v>1565</v>
      </c>
      <c r="S1" s="79" t="s">
        <v>1567</v>
      </c>
      <c r="T1" s="79" t="s">
        <v>1566</v>
      </c>
      <c r="U1" s="79" t="s">
        <v>1568</v>
      </c>
      <c r="V1" s="79" t="s">
        <v>1569</v>
      </c>
      <c r="W1" s="79" t="s">
        <v>1570</v>
      </c>
      <c r="X1" s="79" t="s">
        <v>1757</v>
      </c>
      <c r="Y1" s="79" t="s">
        <v>1758</v>
      </c>
      <c r="Z1"/>
      <c r="AA1" s="876" t="s">
        <v>1759</v>
      </c>
    </row>
  </sheetData>
  <autoFilter ref="A1:AS183" xr:uid="{00000000-0009-0000-0000-000011000000}"/>
  <conditionalFormatting sqref="C1">
    <cfRule type="duplicateValues" dxfId="0" priority="1"/>
  </conditionalFormatting>
  <pageMargins left="0.7" right="0.7" top="0.75" bottom="0.83333333333333337" header="0" footer="0"/>
  <pageSetup paperSize="9" orientation="portrait" horizontalDpi="300" verticalDpi="0" r:id="rId1"/>
  <headerFooter>
    <oddFooter>&amp;L 
PAR työpaja
osoitettie
0100, paikka&amp;C&amp;G&amp;R&amp;P/&amp;N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ul14">
    <tabColor rgb="FFFF0000"/>
  </sheetPr>
  <dimension ref="A1:AT1"/>
  <sheetViews>
    <sheetView zoomScale="80" zoomScaleNormal="80" workbookViewId="0">
      <selection activeCell="A6" sqref="A6:XFD197"/>
    </sheetView>
  </sheetViews>
  <sheetFormatPr defaultColWidth="10.85546875" defaultRowHeight="15" x14ac:dyDescent="0.25"/>
  <cols>
    <col min="1" max="2" width="10.85546875" style="78"/>
    <col min="3" max="3" width="20.28515625" style="78" bestFit="1" customWidth="1"/>
    <col min="4" max="4" width="68.7109375" style="78" bestFit="1" customWidth="1"/>
    <col min="5" max="14" width="10.85546875" style="78"/>
    <col min="16" max="16" width="52.28515625" bestFit="1" customWidth="1"/>
    <col min="47" max="16384" width="10.85546875" style="78"/>
  </cols>
  <sheetData>
    <row r="1" spans="1:14" s="79" customFormat="1" x14ac:dyDescent="0.25">
      <c r="A1" s="79" t="s">
        <v>1511</v>
      </c>
      <c r="B1" s="79" t="s">
        <v>1512</v>
      </c>
      <c r="C1" s="79" t="s">
        <v>1513</v>
      </c>
      <c r="D1" s="79" t="s">
        <v>1422</v>
      </c>
      <c r="E1" s="79" t="s">
        <v>1423</v>
      </c>
      <c r="F1" s="79" t="s">
        <v>1527</v>
      </c>
      <c r="G1" s="79" t="s">
        <v>1528</v>
      </c>
      <c r="H1" s="79" t="s">
        <v>1424</v>
      </c>
      <c r="I1" s="79" t="s">
        <v>1425</v>
      </c>
      <c r="J1" s="79" t="s">
        <v>1426</v>
      </c>
      <c r="K1" s="79" t="s">
        <v>1529</v>
      </c>
      <c r="L1" s="79" t="s">
        <v>1530</v>
      </c>
      <c r="M1" s="79" t="s">
        <v>1518</v>
      </c>
      <c r="N1" s="79" t="s">
        <v>1519</v>
      </c>
    </row>
  </sheetData>
  <autoFilter ref="A1:AT1" xr:uid="{00000000-0009-0000-0000-000012000000}">
    <sortState xmlns:xlrd2="http://schemas.microsoft.com/office/spreadsheetml/2017/richdata2" ref="A2:AT2">
      <sortCondition ref="C1"/>
    </sortState>
  </autoFilter>
  <pageMargins left="0.7" right="0.7" top="0.75" bottom="0.83333333333333337" header="0" footer="0"/>
  <pageSetup paperSize="9" orientation="portrait" r:id="rId1"/>
  <headerFooter>
    <oddFooter>&amp;L 
PAR työpaja
osoitettie
0100, paikka&amp;C&amp;G&amp;R&amp;P/&amp;N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ul15">
    <tabColor rgb="FFFF0000"/>
  </sheetPr>
  <dimension ref="A1:AR4"/>
  <sheetViews>
    <sheetView zoomScale="80" zoomScaleNormal="80" workbookViewId="0">
      <selection activeCell="A6" sqref="A6:XFD197"/>
    </sheetView>
  </sheetViews>
  <sheetFormatPr defaultColWidth="9.140625" defaultRowHeight="15" x14ac:dyDescent="0.25"/>
  <cols>
    <col min="1" max="1" width="12.5703125" style="78" customWidth="1"/>
    <col min="2" max="2" width="15.7109375" style="78" customWidth="1"/>
    <col min="3" max="3" width="29.7109375" style="78" customWidth="1"/>
    <col min="4" max="4" width="25.85546875" style="78" customWidth="1"/>
    <col min="5" max="5" width="26" style="78" customWidth="1"/>
    <col min="6" max="6" width="27.85546875" style="78" customWidth="1"/>
    <col min="7" max="7" width="28.42578125" style="78" customWidth="1"/>
    <col min="8" max="8" width="40.140625" style="78" customWidth="1"/>
    <col min="9" max="9" width="34.140625" style="78" customWidth="1"/>
    <col min="10" max="10" width="33" style="78" customWidth="1"/>
    <col min="11" max="11" width="30.42578125" style="78" customWidth="1"/>
    <col min="12" max="12" width="27.5703125" style="78" customWidth="1"/>
    <col min="13" max="13" width="27.28515625" style="78" customWidth="1"/>
    <col min="14" max="14" width="28" style="78" customWidth="1"/>
    <col min="15" max="15" width="29.42578125" style="78" customWidth="1"/>
    <col min="16" max="16" width="25.5703125" style="78" customWidth="1"/>
    <col min="17" max="17" width="29.28515625" style="78" customWidth="1"/>
    <col min="18" max="18" width="30.85546875" style="78" customWidth="1"/>
    <col min="19" max="19" width="15.5703125" style="78" customWidth="1"/>
    <col min="20" max="20" width="21.85546875" style="78" customWidth="1"/>
    <col min="21" max="21" width="15.7109375" style="78" customWidth="1"/>
    <col min="22" max="22" width="22.140625" style="78" customWidth="1"/>
    <col min="23" max="28" width="26.42578125" style="78" customWidth="1"/>
    <col min="29" max="29" width="30.5703125" style="78" customWidth="1"/>
    <col min="30" max="30" width="15.42578125" style="78" customWidth="1"/>
    <col min="31" max="32" width="20" style="78" customWidth="1"/>
    <col min="33" max="33" width="19" style="78" customWidth="1"/>
    <col min="34" max="34" width="20.140625" style="78" customWidth="1"/>
    <col min="35" max="35" width="24.7109375" style="78" customWidth="1"/>
    <col min="36" max="16384" width="9.140625" style="78"/>
  </cols>
  <sheetData>
    <row r="1" spans="1:44" s="79" customFormat="1" x14ac:dyDescent="0.25">
      <c r="A1" s="66" t="s">
        <v>1760</v>
      </c>
      <c r="B1" s="66" t="s">
        <v>1761</v>
      </c>
      <c r="C1" s="66" t="s">
        <v>1762</v>
      </c>
      <c r="D1" s="66" t="s">
        <v>1763</v>
      </c>
      <c r="E1" s="66" t="s">
        <v>1764</v>
      </c>
      <c r="F1" s="66" t="s">
        <v>1765</v>
      </c>
      <c r="G1" s="66" t="s">
        <v>1766</v>
      </c>
      <c r="H1" s="66" t="s">
        <v>1767</v>
      </c>
      <c r="I1" s="66" t="s">
        <v>1768</v>
      </c>
      <c r="J1" s="66" t="s">
        <v>1769</v>
      </c>
      <c r="K1" s="66" t="s">
        <v>1770</v>
      </c>
      <c r="L1" s="66" t="s">
        <v>1771</v>
      </c>
      <c r="M1" s="66" t="s">
        <v>1772</v>
      </c>
      <c r="N1" s="66" t="s">
        <v>1773</v>
      </c>
      <c r="O1" s="66" t="s">
        <v>1774</v>
      </c>
      <c r="P1" s="66" t="s">
        <v>1775</v>
      </c>
      <c r="Q1" s="66" t="s">
        <v>1776</v>
      </c>
      <c r="R1" s="66" t="s">
        <v>1777</v>
      </c>
      <c r="S1" s="66" t="s">
        <v>1778</v>
      </c>
      <c r="T1" s="66" t="s">
        <v>1779</v>
      </c>
      <c r="U1" s="66" t="s">
        <v>1780</v>
      </c>
      <c r="V1" s="66" t="s">
        <v>1781</v>
      </c>
      <c r="W1" s="66" t="s">
        <v>1782</v>
      </c>
      <c r="X1" s="66" t="s">
        <v>1783</v>
      </c>
      <c r="Y1" s="66" t="s">
        <v>1784</v>
      </c>
      <c r="Z1" s="66" t="s">
        <v>1785</v>
      </c>
      <c r="AA1" s="66" t="s">
        <v>1786</v>
      </c>
      <c r="AB1" s="66" t="s">
        <v>1787</v>
      </c>
      <c r="AC1" s="66" t="s">
        <v>1788</v>
      </c>
      <c r="AD1" s="66" t="s">
        <v>1789</v>
      </c>
      <c r="AE1" s="66" t="s">
        <v>1790</v>
      </c>
      <c r="AF1" s="66" t="s">
        <v>1791</v>
      </c>
      <c r="AG1" s="66" t="s">
        <v>1792</v>
      </c>
      <c r="AH1" s="66" t="s">
        <v>1793</v>
      </c>
      <c r="AI1" s="66" t="s">
        <v>1794</v>
      </c>
      <c r="AJ1" s="79" t="s">
        <v>1795</v>
      </c>
      <c r="AK1" s="79" t="s">
        <v>1796</v>
      </c>
      <c r="AL1" s="79" t="s">
        <v>1797</v>
      </c>
      <c r="AM1" s="79" t="s">
        <v>1798</v>
      </c>
      <c r="AN1" s="79" t="s">
        <v>1799</v>
      </c>
      <c r="AO1" s="79" t="s">
        <v>1800</v>
      </c>
      <c r="AP1" s="79" t="s">
        <v>1801</v>
      </c>
      <c r="AQ1" s="79" t="s">
        <v>1802</v>
      </c>
      <c r="AR1" s="79" t="s">
        <v>1803</v>
      </c>
    </row>
    <row r="4" spans="1:44" x14ac:dyDescent="0.25">
      <c r="B4" s="78" t="s">
        <v>1804</v>
      </c>
      <c r="C4" s="78" t="s">
        <v>1804</v>
      </c>
      <c r="D4" s="78" t="s">
        <v>1804</v>
      </c>
      <c r="E4" s="78" t="s">
        <v>1804</v>
      </c>
      <c r="F4" s="78" t="s">
        <v>1804</v>
      </c>
      <c r="G4" s="78" t="s">
        <v>1804</v>
      </c>
      <c r="H4" s="78" t="s">
        <v>1804</v>
      </c>
      <c r="I4" s="78" t="s">
        <v>1804</v>
      </c>
      <c r="J4" s="78" t="s">
        <v>1804</v>
      </c>
      <c r="K4" s="78" t="s">
        <v>1804</v>
      </c>
      <c r="L4" s="78" t="s">
        <v>1804</v>
      </c>
      <c r="M4" s="78" t="s">
        <v>1804</v>
      </c>
      <c r="N4" s="78" t="s">
        <v>1804</v>
      </c>
      <c r="O4" s="78" t="s">
        <v>1804</v>
      </c>
      <c r="P4" s="78" t="s">
        <v>1804</v>
      </c>
      <c r="Q4" s="78" t="s">
        <v>1804</v>
      </c>
      <c r="R4" s="78" t="s">
        <v>1804</v>
      </c>
      <c r="S4" s="78" t="s">
        <v>1804</v>
      </c>
      <c r="T4" s="78" t="s">
        <v>1804</v>
      </c>
      <c r="U4" s="78" t="s">
        <v>1804</v>
      </c>
      <c r="V4" s="78" t="s">
        <v>1804</v>
      </c>
      <c r="W4" s="78" t="s">
        <v>1804</v>
      </c>
      <c r="X4" s="78" t="s">
        <v>1804</v>
      </c>
      <c r="Y4" s="78" t="s">
        <v>1804</v>
      </c>
      <c r="Z4" s="78" t="s">
        <v>1804</v>
      </c>
      <c r="AA4" s="78" t="s">
        <v>1804</v>
      </c>
      <c r="AB4" s="78" t="s">
        <v>1804</v>
      </c>
      <c r="AC4" s="78" t="s">
        <v>1804</v>
      </c>
      <c r="AD4" s="78" t="s">
        <v>1804</v>
      </c>
      <c r="AE4" s="78" t="s">
        <v>1804</v>
      </c>
      <c r="AF4" s="78" t="s">
        <v>1804</v>
      </c>
      <c r="AG4" s="78" t="s">
        <v>1804</v>
      </c>
      <c r="AH4" s="78" t="s">
        <v>1804</v>
      </c>
      <c r="AI4" s="78" t="s">
        <v>1804</v>
      </c>
      <c r="AJ4" s="78" t="s">
        <v>1804</v>
      </c>
      <c r="AK4" s="78" t="s">
        <v>1804</v>
      </c>
      <c r="AL4" s="78" t="s">
        <v>1804</v>
      </c>
      <c r="AM4" s="78" t="s">
        <v>1804</v>
      </c>
      <c r="AN4" s="78" t="s">
        <v>1804</v>
      </c>
      <c r="AO4" s="78" t="s">
        <v>1804</v>
      </c>
      <c r="AP4" s="78" t="s">
        <v>1804</v>
      </c>
      <c r="AQ4" s="78" t="s">
        <v>1804</v>
      </c>
      <c r="AR4" s="78" t="s">
        <v>1804</v>
      </c>
    </row>
  </sheetData>
  <pageMargins left="0.7" right="0.7" top="0.75" bottom="0.83333333333333337" header="0" footer="0"/>
  <pageSetup paperSize="9" orientation="portrait" r:id="rId1"/>
  <headerFooter>
    <oddFooter>&amp;L 
PAR työpaja
osoitettie
0100, paikka&amp;C&amp;G&amp;R&amp;P/&amp;N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ul9">
    <tabColor rgb="FFFF0000"/>
  </sheetPr>
  <dimension ref="A1:K4"/>
  <sheetViews>
    <sheetView zoomScale="80" zoomScaleNormal="80" workbookViewId="0">
      <selection activeCell="A6" sqref="A6:XFD197"/>
    </sheetView>
  </sheetViews>
  <sheetFormatPr defaultColWidth="32.28515625" defaultRowHeight="15" x14ac:dyDescent="0.25"/>
  <cols>
    <col min="1" max="1" width="41.42578125" style="78" customWidth="1"/>
    <col min="2" max="2" width="15.140625" style="78" customWidth="1"/>
    <col min="3" max="3" width="9.7109375" style="78" customWidth="1"/>
    <col min="4" max="4" width="32.140625" style="78" customWidth="1"/>
    <col min="5" max="7" width="28.42578125" style="78" customWidth="1"/>
    <col min="8" max="8" width="11.5703125" style="78" customWidth="1"/>
    <col min="9" max="9" width="18" style="78" bestFit="1" customWidth="1"/>
    <col min="10" max="10" width="10.7109375" style="78" bestFit="1" customWidth="1"/>
    <col min="11" max="11" width="9.140625" style="78" bestFit="1" customWidth="1"/>
    <col min="12" max="16384" width="32.28515625" style="78"/>
  </cols>
  <sheetData>
    <row r="1" spans="1:11" s="79" customFormat="1" x14ac:dyDescent="0.25">
      <c r="A1" s="79" t="s">
        <v>1805</v>
      </c>
      <c r="B1" s="79" t="s">
        <v>1806</v>
      </c>
      <c r="C1" s="79" t="s">
        <v>1807</v>
      </c>
      <c r="D1" s="79" t="s">
        <v>1808</v>
      </c>
      <c r="E1" s="79" t="s">
        <v>1809</v>
      </c>
      <c r="F1" s="79" t="s">
        <v>1810</v>
      </c>
      <c r="G1" s="79" t="s">
        <v>1811</v>
      </c>
      <c r="H1" s="79" t="s">
        <v>1812</v>
      </c>
      <c r="I1" s="88" t="s">
        <v>1813</v>
      </c>
      <c r="J1" s="88" t="s">
        <v>1814</v>
      </c>
      <c r="K1" s="88" t="s">
        <v>13</v>
      </c>
    </row>
    <row r="2" spans="1:11" x14ac:dyDescent="0.25">
      <c r="I2" t="str">
        <f>LEFT(A:A,14)</f>
        <v/>
      </c>
      <c r="J2">
        <f>COUNTIF($I$1:I2,I2)</f>
        <v>1</v>
      </c>
      <c r="K2">
        <f>COUNTIF(I:I,I2)</f>
        <v>1048575</v>
      </c>
    </row>
    <row r="3" spans="1:11" x14ac:dyDescent="0.25">
      <c r="I3" t="str">
        <f t="shared" ref="I3:I4" si="0">LEFT(A:A,14)</f>
        <v/>
      </c>
      <c r="J3">
        <f>COUNTIF($I$1:I3,I3)</f>
        <v>2</v>
      </c>
      <c r="K3">
        <f t="shared" ref="K3:K4" si="1">COUNTIF(I:I,I3)</f>
        <v>1048575</v>
      </c>
    </row>
    <row r="4" spans="1:11" x14ac:dyDescent="0.25">
      <c r="I4" t="str">
        <f t="shared" si="0"/>
        <v/>
      </c>
      <c r="J4">
        <f>COUNTIF($I$1:I4,I4)</f>
        <v>3</v>
      </c>
      <c r="K4">
        <f t="shared" si="1"/>
        <v>1048575</v>
      </c>
    </row>
  </sheetData>
  <autoFilter ref="A1:H1" xr:uid="{00000000-0009-0000-0000-000014000000}">
    <sortState xmlns:xlrd2="http://schemas.microsoft.com/office/spreadsheetml/2017/richdata2" ref="A2:H2">
      <sortCondition ref="A1"/>
    </sortState>
  </autoFilter>
  <pageMargins left="0.7" right="0.7" top="0.75" bottom="0.83333333333333337" header="0" footer="0"/>
  <pageSetup paperSize="9" orientation="portrait" horizontalDpi="300" verticalDpi="0" r:id="rId1"/>
  <headerFooter>
    <oddFooter>&amp;L 
PAR työpaja
osoitettie
0100, paikka&amp;C&amp;G&amp;R&amp;P/&amp;N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C9B62-82FC-472C-9BC8-B9C3D9FC13F0}">
  <sheetPr codeName="Taul25"/>
  <dimension ref="A1:P1"/>
  <sheetViews>
    <sheetView workbookViewId="0">
      <selection activeCell="A6" sqref="A6:XFD197"/>
    </sheetView>
  </sheetViews>
  <sheetFormatPr defaultRowHeight="15" x14ac:dyDescent="0.25"/>
  <cols>
    <col min="3" max="3" width="11.28515625" bestFit="1" customWidth="1"/>
    <col min="4" max="4" width="56" customWidth="1"/>
  </cols>
  <sheetData>
    <row r="1" spans="1:16" x14ac:dyDescent="0.25">
      <c r="A1" s="79" t="s">
        <v>1615</v>
      </c>
      <c r="B1" s="79" t="s">
        <v>1616</v>
      </c>
      <c r="C1" s="79" t="s">
        <v>1617</v>
      </c>
      <c r="D1" s="79" t="s">
        <v>1420</v>
      </c>
      <c r="E1" s="79" t="s">
        <v>1421</v>
      </c>
      <c r="F1" s="79" t="s">
        <v>1618</v>
      </c>
      <c r="G1" s="877" t="s">
        <v>1619</v>
      </c>
      <c r="H1" s="877" t="s">
        <v>1620</v>
      </c>
      <c r="I1" s="79" t="s">
        <v>1621</v>
      </c>
      <c r="J1" s="79" t="s">
        <v>1622</v>
      </c>
      <c r="K1" s="79" t="s">
        <v>1623</v>
      </c>
      <c r="L1" s="79" t="s">
        <v>1624</v>
      </c>
      <c r="M1" s="878" t="s">
        <v>1625</v>
      </c>
      <c r="N1" s="878" t="s">
        <v>1626</v>
      </c>
      <c r="O1" s="79" t="s">
        <v>1627</v>
      </c>
      <c r="P1" s="876" t="s">
        <v>1815</v>
      </c>
    </row>
  </sheetData>
  <pageMargins left="0.7" right="0.7" top="0.75" bottom="0.83333333333333337" header="0" footer="0"/>
  <pageSetup paperSize="9" orientation="portrait" horizontalDpi="300" verticalDpi="0" r:id="rId1"/>
  <headerFooter>
    <oddFooter>&amp;L 
PAR työpaja
osoitettie
0100, paikka&amp;C&amp;G&amp;R&amp;P/&amp;N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CCE0D-1467-40F7-AD20-548D228C55FA}">
  <sheetPr codeName="Taul21"/>
  <dimension ref="A1:BC1"/>
  <sheetViews>
    <sheetView workbookViewId="0">
      <selection activeCell="A6" sqref="A6:XFD197"/>
    </sheetView>
  </sheetViews>
  <sheetFormatPr defaultRowHeight="15" x14ac:dyDescent="0.25"/>
  <cols>
    <col min="1" max="1" width="12" bestFit="1" customWidth="1"/>
    <col min="3" max="3" width="14" bestFit="1" customWidth="1"/>
    <col min="4" max="4" width="18.5703125" bestFit="1" customWidth="1"/>
    <col min="5" max="5" width="19.85546875" bestFit="1" customWidth="1"/>
    <col min="8" max="8" width="21.42578125" bestFit="1" customWidth="1"/>
    <col min="9" max="9" width="57.7109375" bestFit="1" customWidth="1"/>
  </cols>
  <sheetData>
    <row r="1" spans="1:55" x14ac:dyDescent="0.25">
      <c r="A1" t="s">
        <v>1816</v>
      </c>
      <c r="B1" t="s">
        <v>1817</v>
      </c>
      <c r="C1" t="s">
        <v>1818</v>
      </c>
      <c r="D1" t="s">
        <v>1819</v>
      </c>
      <c r="E1" t="s">
        <v>1820</v>
      </c>
      <c r="F1" t="s">
        <v>1821</v>
      </c>
      <c r="G1" t="s">
        <v>1822</v>
      </c>
      <c r="H1" t="s">
        <v>1823</v>
      </c>
      <c r="I1" t="s">
        <v>1824</v>
      </c>
      <c r="J1" t="s">
        <v>1825</v>
      </c>
      <c r="K1" t="s">
        <v>1826</v>
      </c>
      <c r="L1" t="s">
        <v>1827</v>
      </c>
      <c r="M1" t="s">
        <v>1828</v>
      </c>
      <c r="N1" t="s">
        <v>1829</v>
      </c>
      <c r="O1" t="s">
        <v>1830</v>
      </c>
      <c r="P1" t="s">
        <v>1831</v>
      </c>
      <c r="Q1" t="s">
        <v>1832</v>
      </c>
      <c r="R1" t="s">
        <v>1833</v>
      </c>
      <c r="S1" t="s">
        <v>1834</v>
      </c>
      <c r="T1" t="s">
        <v>1835</v>
      </c>
      <c r="U1" t="s">
        <v>1836</v>
      </c>
      <c r="V1" t="s">
        <v>1837</v>
      </c>
      <c r="W1" t="s">
        <v>1838</v>
      </c>
      <c r="X1" t="s">
        <v>1839</v>
      </c>
      <c r="Y1" t="s">
        <v>1840</v>
      </c>
      <c r="Z1" t="s">
        <v>1841</v>
      </c>
      <c r="AA1" t="s">
        <v>1842</v>
      </c>
      <c r="AB1" t="s">
        <v>1843</v>
      </c>
      <c r="AC1" t="s">
        <v>1844</v>
      </c>
      <c r="AD1" t="s">
        <v>1845</v>
      </c>
      <c r="AE1" t="s">
        <v>1846</v>
      </c>
      <c r="AF1" t="s">
        <v>1847</v>
      </c>
      <c r="AG1" t="s">
        <v>1848</v>
      </c>
      <c r="AH1" t="s">
        <v>1849</v>
      </c>
      <c r="AI1" t="s">
        <v>1850</v>
      </c>
      <c r="AJ1" t="s">
        <v>1851</v>
      </c>
      <c r="AK1" t="s">
        <v>1852</v>
      </c>
      <c r="AL1" t="s">
        <v>1853</v>
      </c>
      <c r="AM1" t="s">
        <v>1854</v>
      </c>
      <c r="AN1" t="s">
        <v>1855</v>
      </c>
      <c r="AO1" t="s">
        <v>1856</v>
      </c>
      <c r="AP1" t="s">
        <v>1857</v>
      </c>
      <c r="AQ1" t="s">
        <v>1858</v>
      </c>
      <c r="AR1" t="s">
        <v>1859</v>
      </c>
      <c r="AS1" t="s">
        <v>1860</v>
      </c>
      <c r="AT1" t="s">
        <v>1861</v>
      </c>
      <c r="AU1" t="s">
        <v>1862</v>
      </c>
      <c r="AV1" t="s">
        <v>1863</v>
      </c>
      <c r="AW1" t="s">
        <v>1864</v>
      </c>
      <c r="AX1" t="s">
        <v>1865</v>
      </c>
      <c r="AY1" t="s">
        <v>1866</v>
      </c>
      <c r="AZ1" t="s">
        <v>1867</v>
      </c>
      <c r="BA1" t="s">
        <v>1868</v>
      </c>
      <c r="BB1" t="s">
        <v>1869</v>
      </c>
      <c r="BC1" t="s">
        <v>1870</v>
      </c>
    </row>
  </sheetData>
  <pageMargins left="0.7" right="0.7" top="0.75" bottom="0.83333333333333337" header="0" footer="0"/>
  <pageSetup paperSize="9" orientation="portrait" horizontalDpi="300" verticalDpi="0" r:id="rId1"/>
  <headerFooter>
    <oddFooter>&amp;L 
PAR työpaja
osoitettie
0100, paikka&amp;C&amp;G&amp;R&amp;P/&amp;N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2AB558EFDF944BA97A063580B3C6E0" ma:contentTypeVersion="7" ma:contentTypeDescription="Create a new document." ma:contentTypeScope="" ma:versionID="807cd6aab2b6cafe49d4b336d2ed13b4">
  <xsd:schema xmlns:xsd="http://www.w3.org/2001/XMLSchema" xmlns:xs="http://www.w3.org/2001/XMLSchema" xmlns:p="http://schemas.microsoft.com/office/2006/metadata/properties" xmlns:ns2="040529db-c0d1-4b52-92ac-6992be38f284" targetNamespace="http://schemas.microsoft.com/office/2006/metadata/properties" ma:root="true" ma:fieldsID="93de52c256f1b48676ce939907560790" ns2:_="">
    <xsd:import namespace="040529db-c0d1-4b52-92ac-6992be38f28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529db-c0d1-4b52-92ac-6992be38f2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3105ED-FB7F-445A-B5DE-BD84B635864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99BDD68-AE76-4F8D-B543-E7A44E4A9F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529db-c0d1-4b52-92ac-6992be38f2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7649C4-A65C-4F72-AE5F-43550AD9AC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30</vt:i4>
      </vt:variant>
      <vt:variant>
        <vt:lpstr>Nimetyt alueet</vt:lpstr>
      </vt:variant>
      <vt:variant>
        <vt:i4>3</vt:i4>
      </vt:variant>
    </vt:vector>
  </HeadingPairs>
  <TitlesOfParts>
    <vt:vector size="33" baseType="lpstr">
      <vt:lpstr>Parkki</vt:lpstr>
      <vt:lpstr>Henkilöstö</vt:lpstr>
      <vt:lpstr>HTV-laskuri</vt:lpstr>
      <vt:lpstr>Trendit</vt:lpstr>
      <vt:lpstr>Asiakastilastot</vt:lpstr>
      <vt:lpstr>Toimenpiteet</vt:lpstr>
      <vt:lpstr>Toimintamenetelmät</vt:lpstr>
      <vt:lpstr>Ohjaus</vt:lpstr>
      <vt:lpstr>Tilanne</vt:lpstr>
      <vt:lpstr>Tavoitteet</vt:lpstr>
      <vt:lpstr>INFO</vt:lpstr>
      <vt:lpstr>Vakiot</vt:lpstr>
      <vt:lpstr>AS</vt:lpstr>
      <vt:lpstr>TI</vt:lpstr>
      <vt:lpstr>JA</vt:lpstr>
      <vt:lpstr>TP2</vt:lpstr>
      <vt:lpstr>TP</vt:lpstr>
      <vt:lpstr>VTP</vt:lpstr>
      <vt:lpstr>TA</vt:lpstr>
      <vt:lpstr>Data_Kayttis</vt:lpstr>
      <vt:lpstr>Data_tavoitteet</vt:lpstr>
      <vt:lpstr>Data_Tpajapalvelu</vt:lpstr>
      <vt:lpstr>Data_Tpajavanha</vt:lpstr>
      <vt:lpstr>Data_TYasiakas</vt:lpstr>
      <vt:lpstr>Data_TYjaksot</vt:lpstr>
      <vt:lpstr>Data_TYtilanne</vt:lpstr>
      <vt:lpstr>Data_Organisaatio</vt:lpstr>
      <vt:lpstr>Data_Omakoodi</vt:lpstr>
      <vt:lpstr>Data_Toimenpiteet</vt:lpstr>
      <vt:lpstr>Data_Muistiot</vt:lpstr>
      <vt:lpstr>Parkki!Tulostusalue</vt:lpstr>
      <vt:lpstr>Tavoitteet!Tulostusalue</vt:lpstr>
      <vt:lpstr>Tilanne!Tulostusalue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Nieminen Tuulikki (AVI)</dc:creator>
  <cp:keywords/>
  <dc:description/>
  <cp:lastModifiedBy>Kurki Teemu (LVV)</cp:lastModifiedBy>
  <cp:revision/>
  <dcterms:created xsi:type="dcterms:W3CDTF">2017-02-21T07:57:03Z</dcterms:created>
  <dcterms:modified xsi:type="dcterms:W3CDTF">2026-11-02T08:05:13Z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0x0101004F2AB558EFDF944BA97A063580B3C6E0</vt:lpwstr>
  </property>
</Properties>
</file>