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Ex3.xml" ContentType="application/vnd.ms-office.chartex+xml"/>
  <Override PartName="/xl/charts/style3.xml" ContentType="application/vnd.ms-office.chartstyle+xml"/>
  <Override PartName="/xl/charts/colors3.xml" ContentType="application/vnd.ms-office.chartcolorstyle+xml"/>
  <Override PartName="/xl/charts/chartEx4.xml" ContentType="application/vnd.ms-office.chartex+xml"/>
  <Override PartName="/xl/charts/style4.xml" ContentType="application/vnd.ms-office.chartstyle+xml"/>
  <Override PartName="/xl/charts/colors4.xml" ContentType="application/vnd.ms-office.chartcolorstyle+xml"/>
  <Override PartName="/xl/charts/chart1.xml" ContentType="application/vnd.openxmlformats-officedocument.drawingml.chart+xml"/>
  <Override PartName="/xl/charts/style5.xml" ContentType="application/vnd.ms-office.chartstyle+xml"/>
  <Override PartName="/xl/charts/colors5.xml" ContentType="application/vnd.ms-office.chartcolorstyle+xml"/>
  <Override PartName="/xl/charts/chart2.xml" ContentType="application/vnd.openxmlformats-officedocument.drawingml.chart+xml"/>
  <Override PartName="/xl/charts/style6.xml" ContentType="application/vnd.ms-office.chartstyle+xml"/>
  <Override PartName="/xl/charts/colors6.xml" ContentType="application/vnd.ms-office.chartcolorstyle+xml"/>
  <Override PartName="/xl/charts/chart3.xml" ContentType="application/vnd.openxmlformats-officedocument.drawingml.chart+xml"/>
  <Override PartName="/xl/charts/style7.xml" ContentType="application/vnd.ms-office.chartstyle+xml"/>
  <Override PartName="/xl/charts/colors7.xml" ContentType="application/vnd.ms-office.chartcolorstyle+xml"/>
  <Override PartName="/xl/charts/chart4.xml" ContentType="application/vnd.openxmlformats-officedocument.drawingml.chart+xml"/>
  <Override PartName="/xl/charts/style8.xml" ContentType="application/vnd.ms-office.chartstyle+xml"/>
  <Override PartName="/xl/charts/colors8.xml" ContentType="application/vnd.ms-office.chartcolorstyle+xml"/>
  <Override PartName="/xl/charts/chart5.xml" ContentType="application/vnd.openxmlformats-officedocument.drawingml.chart+xml"/>
  <Override PartName="/xl/charts/style9.xml" ContentType="application/vnd.ms-office.chartstyle+xml"/>
  <Override PartName="/xl/charts/colors9.xml" ContentType="application/vnd.ms-office.chartcolorstyle+xml"/>
  <Override PartName="/xl/charts/chart6.xml" ContentType="application/vnd.openxmlformats-officedocument.drawingml.chart+xml"/>
  <Override PartName="/xl/charts/style10.xml" ContentType="application/vnd.ms-office.chartstyle+xml"/>
  <Override PartName="/xl/charts/colors10.xml" ContentType="application/vnd.ms-office.chartcolorstyle+xml"/>
  <Override PartName="/xl/charts/chart7.xml" ContentType="application/vnd.openxmlformats-officedocument.drawingml.chart+xml"/>
  <Override PartName="/xl/charts/style11.xml" ContentType="application/vnd.ms-office.chartstyle+xml"/>
  <Override PartName="/xl/charts/colors11.xml" ContentType="application/vnd.ms-office.chartcolorstyle+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14.xml" ContentType="application/vnd.openxmlformats-officedocument.drawingml.chart+xml"/>
  <Override PartName="/xl/charts/style15.xml" ContentType="application/vnd.ms-office.chartstyle+xml"/>
  <Override PartName="/xl/charts/colors15.xml" ContentType="application/vnd.ms-office.chartcolorstyle+xml"/>
  <Override PartName="/xl/charts/chart15.xml" ContentType="application/vnd.openxmlformats-officedocument.drawingml.chart+xml"/>
  <Override PartName="/xl/charts/style16.xml" ContentType="application/vnd.ms-office.chartstyle+xml"/>
  <Override PartName="/xl/charts/colors16.xml" ContentType="application/vnd.ms-office.chartcolorstyle+xml"/>
  <Override PartName="/xl/charts/chartEx5.xml" ContentType="application/vnd.ms-office.chartex+xml"/>
  <Override PartName="/xl/charts/style17.xml" ContentType="application/vnd.ms-office.chartstyle+xml"/>
  <Override PartName="/xl/charts/colors17.xml" ContentType="application/vnd.ms-office.chartcolorstyle+xml"/>
  <Override PartName="/xl/charts/chartEx6.xml" ContentType="application/vnd.ms-office.chartex+xml"/>
  <Override PartName="/xl/charts/style18.xml" ContentType="application/vnd.ms-office.chartstyle+xml"/>
  <Override PartName="/xl/charts/colors18.xml" ContentType="application/vnd.ms-office.chartcolorstyle+xml"/>
  <Override PartName="/xl/charts/chartEx7.xml" ContentType="application/vnd.ms-office.chartex+xml"/>
  <Override PartName="/xl/charts/style19.xml" ContentType="application/vnd.ms-office.chartstyle+xml"/>
  <Override PartName="/xl/charts/colors19.xml" ContentType="application/vnd.ms-office.chartcolorstyle+xml"/>
  <Override PartName="/xl/charts/chart16.xml" ContentType="application/vnd.openxmlformats-officedocument.drawingml.chart+xml"/>
  <Override PartName="/xl/charts/style20.xml" ContentType="application/vnd.ms-office.chartstyle+xml"/>
  <Override PartName="/xl/charts/colors20.xml" ContentType="application/vnd.ms-office.chartcolorstyle+xml"/>
  <Override PartName="/xl/charts/chart17.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charts/chart18.xml" ContentType="application/vnd.openxmlformats-officedocument.drawingml.chart+xml"/>
  <Override PartName="/xl/charts/style22.xml" ContentType="application/vnd.ms-office.chartstyle+xml"/>
  <Override PartName="/xl/charts/colors22.xml" ContentType="application/vnd.ms-office.chartcolorstyle+xml"/>
  <Override PartName="/xl/charts/chart19.xml" ContentType="application/vnd.openxmlformats-officedocument.drawingml.chart+xml"/>
  <Override PartName="/xl/charts/style23.xml" ContentType="application/vnd.ms-office.chartstyle+xml"/>
  <Override PartName="/xl/charts/colors23.xml" ContentType="application/vnd.ms-office.chartcolorstyle+xml"/>
  <Override PartName="/xl/charts/chart20.xml" ContentType="application/vnd.openxmlformats-officedocument.drawingml.chart+xml"/>
  <Override PartName="/xl/charts/style24.xml" ContentType="application/vnd.ms-office.chartstyle+xml"/>
  <Override PartName="/xl/charts/colors24.xml" ContentType="application/vnd.ms-office.chartcolorstyle+xml"/>
  <Override PartName="/xl/charts/chart21.xml" ContentType="application/vnd.openxmlformats-officedocument.drawingml.chart+xml"/>
  <Override PartName="/xl/charts/style25.xml" ContentType="application/vnd.ms-office.chartstyle+xml"/>
  <Override PartName="/xl/charts/colors25.xml" ContentType="application/vnd.ms-office.chartcolorstyle+xml"/>
  <Override PartName="/xl/charts/chart22.xml" ContentType="application/vnd.openxmlformats-officedocument.drawingml.chart+xml"/>
  <Override PartName="/xl/charts/style26.xml" ContentType="application/vnd.ms-office.chartstyle+xml"/>
  <Override PartName="/xl/charts/colors26.xml" ContentType="application/vnd.ms-office.chartcolorstyle+xml"/>
  <Override PartName="/xl/charts/chart23.xml" ContentType="application/vnd.openxmlformats-officedocument.drawingml.chart+xml"/>
  <Override PartName="/xl/charts/style27.xml" ContentType="application/vnd.ms-office.chartstyle+xml"/>
  <Override PartName="/xl/charts/colors27.xml" ContentType="application/vnd.ms-office.chartcolorstyle+xml"/>
  <Override PartName="/xl/charts/chart24.xml" ContentType="application/vnd.openxmlformats-officedocument.drawingml.chart+xml"/>
  <Override PartName="/xl/charts/style28.xml" ContentType="application/vnd.ms-office.chartstyle+xml"/>
  <Override PartName="/xl/charts/colors28.xml" ContentType="application/vnd.ms-office.chartcolorstyle+xml"/>
  <Override PartName="/xl/charts/chart25.xml" ContentType="application/vnd.openxmlformats-officedocument.drawingml.chart+xml"/>
  <Override PartName="/xl/charts/style29.xml" ContentType="application/vnd.ms-office.chartstyle+xml"/>
  <Override PartName="/xl/charts/colors29.xml" ContentType="application/vnd.ms-office.chartcolorstyle+xml"/>
  <Override PartName="/xl/charts/chart26.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4.xml" ContentType="application/vnd.openxmlformats-officedocument.drawing+xml"/>
  <Override PartName="/xl/charts/chart27.xml" ContentType="application/vnd.openxmlformats-officedocument.drawingml.chart+xml"/>
  <Override PartName="/xl/charts/style31.xml" ContentType="application/vnd.ms-office.chartstyle+xml"/>
  <Override PartName="/xl/charts/colors31.xml" ContentType="application/vnd.ms-office.chartcolorstyle+xml"/>
  <Override PartName="/xl/charts/chart28.xml" ContentType="application/vnd.openxmlformats-officedocument.drawingml.chart+xml"/>
  <Override PartName="/xl/charts/chart29.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5.xml" ContentType="application/vnd.openxmlformats-officedocument.drawing+xml"/>
  <Override PartName="/xl/charts/chart30.xml" ContentType="application/vnd.openxmlformats-officedocument.drawingml.chart+xml"/>
  <Override PartName="/xl/charts/style33.xml" ContentType="application/vnd.ms-office.chartstyle+xml"/>
  <Override PartName="/xl/charts/colors33.xml" ContentType="application/vnd.ms-office.chartcolorstyle+xml"/>
  <Override PartName="/xl/charts/chart31.xml" ContentType="application/vnd.openxmlformats-officedocument.drawingml.chart+xml"/>
  <Override PartName="/xl/charts/style34.xml" ContentType="application/vnd.ms-office.chartstyle+xml"/>
  <Override PartName="/xl/charts/colors34.xml" ContentType="application/vnd.ms-office.chartcolorstyle+xml"/>
  <Override PartName="/xl/charts/chart32.xml" ContentType="application/vnd.openxmlformats-officedocument.drawingml.chart+xml"/>
  <Override PartName="/xl/charts/style35.xml" ContentType="application/vnd.ms-office.chartstyle+xml"/>
  <Override PartName="/xl/charts/colors35.xml" ContentType="application/vnd.ms-office.chartcolorstyle+xml"/>
  <Override PartName="/xl/charts/chart33.xml" ContentType="application/vnd.openxmlformats-officedocument.drawingml.chart+xml"/>
  <Override PartName="/xl/charts/style36.xml" ContentType="application/vnd.ms-office.chartstyle+xml"/>
  <Override PartName="/xl/charts/colors36.xml" ContentType="application/vnd.ms-office.chartcolorstyle+xml"/>
  <Override PartName="/xl/charts/chart34.xml" ContentType="application/vnd.openxmlformats-officedocument.drawingml.chart+xml"/>
  <Override PartName="/xl/charts/style37.xml" ContentType="application/vnd.ms-office.chartstyle+xml"/>
  <Override PartName="/xl/charts/colors37.xml" ContentType="application/vnd.ms-office.chartcolorstyle+xml"/>
  <Override PartName="/xl/charts/chartEx8.xml" ContentType="application/vnd.ms-office.chartex+xml"/>
  <Override PartName="/xl/charts/style38.xml" ContentType="application/vnd.ms-office.chartstyle+xml"/>
  <Override PartName="/xl/charts/colors38.xml" ContentType="application/vnd.ms-office.chartcolorstyle+xml"/>
  <Override PartName="/xl/charts/chartEx9.xml" ContentType="application/vnd.ms-office.chartex+xml"/>
  <Override PartName="/xl/charts/style39.xml" ContentType="application/vnd.ms-office.chartstyle+xml"/>
  <Override PartName="/xl/charts/colors39.xml" ContentType="application/vnd.ms-office.chartcolorstyle+xml"/>
  <Override PartName="/xl/charts/chartEx10.xml" ContentType="application/vnd.ms-office.chartex+xml"/>
  <Override PartName="/xl/charts/style40.xml" ContentType="application/vnd.ms-office.chartstyle+xml"/>
  <Override PartName="/xl/charts/colors40.xml" ContentType="application/vnd.ms-office.chartcolorstyle+xml"/>
  <Override PartName="/xl/charts/chartEx11.xml" ContentType="application/vnd.ms-office.chartex+xml"/>
  <Override PartName="/xl/charts/style41.xml" ContentType="application/vnd.ms-office.chartstyle+xml"/>
  <Override PartName="/xl/charts/colors41.xml" ContentType="application/vnd.ms-office.chartcolorstyle+xml"/>
  <Override PartName="/xl/charts/chartEx12.xml" ContentType="application/vnd.ms-office.chartex+xml"/>
  <Override PartName="/xl/charts/style42.xml" ContentType="application/vnd.ms-office.chartstyle+xml"/>
  <Override PartName="/xl/charts/colors42.xml" ContentType="application/vnd.ms-office.chartcolorstyle+xml"/>
  <Override PartName="/xl/charts/chartEx13.xml" ContentType="application/vnd.ms-office.chartex+xml"/>
  <Override PartName="/xl/charts/style43.xml" ContentType="application/vnd.ms-office.chartstyle+xml"/>
  <Override PartName="/xl/charts/colors43.xml" ContentType="application/vnd.ms-office.chartcolorstyle+xml"/>
  <Override PartName="/xl/charts/chartEx14.xml" ContentType="application/vnd.ms-office.chartex+xml"/>
  <Override PartName="/xl/charts/style44.xml" ContentType="application/vnd.ms-office.chartstyle+xml"/>
  <Override PartName="/xl/charts/colors44.xml" ContentType="application/vnd.ms-office.chartcolorstyle+xml"/>
  <Override PartName="/xl/charts/chartEx15.xml" ContentType="application/vnd.ms-office.chartex+xml"/>
  <Override PartName="/xl/charts/style45.xml" ContentType="application/vnd.ms-office.chartstyle+xml"/>
  <Override PartName="/xl/charts/colors45.xml" ContentType="application/vnd.ms-office.chartcolorstyle+xml"/>
  <Override PartName="/xl/charts/chartEx16.xml" ContentType="application/vnd.ms-office.chartex+xml"/>
  <Override PartName="/xl/charts/style46.xml" ContentType="application/vnd.ms-office.chartstyle+xml"/>
  <Override PartName="/xl/charts/colors46.xml" ContentType="application/vnd.ms-office.chartcolorstyle+xml"/>
  <Override PartName="/xl/charts/chartEx17.xml" ContentType="application/vnd.ms-office.chartex+xml"/>
  <Override PartName="/xl/charts/style47.xml" ContentType="application/vnd.ms-office.chartstyle+xml"/>
  <Override PartName="/xl/charts/colors47.xml" ContentType="application/vnd.ms-office.chartcolorstyle+xml"/>
  <Override PartName="/xl/drawings/drawing6.xml" ContentType="application/vnd.openxmlformats-officedocument.drawing+xml"/>
  <Override PartName="/xl/charts/chart35.xml" ContentType="application/vnd.openxmlformats-officedocument.drawingml.chart+xml"/>
  <Override PartName="/xl/charts/style48.xml" ContentType="application/vnd.ms-office.chartstyle+xml"/>
  <Override PartName="/xl/charts/colors48.xml" ContentType="application/vnd.ms-office.chartcolorstyle+xml"/>
  <Override PartName="/xl/charts/chart36.xml" ContentType="application/vnd.openxmlformats-officedocument.drawingml.chart+xml"/>
  <Override PartName="/xl/charts/style49.xml" ContentType="application/vnd.ms-office.chartstyle+xml"/>
  <Override PartName="/xl/charts/colors49.xml" ContentType="application/vnd.ms-office.chartcolorstyle+xml"/>
  <Override PartName="/xl/charts/chart37.xml" ContentType="application/vnd.openxmlformats-officedocument.drawingml.chart+xml"/>
  <Override PartName="/xl/charts/style50.xml" ContentType="application/vnd.ms-office.chartstyle+xml"/>
  <Override PartName="/xl/charts/colors50.xml" ContentType="application/vnd.ms-office.chartcolorstyle+xml"/>
  <Override PartName="/xl/charts/chart38.xml" ContentType="application/vnd.openxmlformats-officedocument.drawingml.chart+xml"/>
  <Override PartName="/xl/charts/style51.xml" ContentType="application/vnd.ms-office.chartstyle+xml"/>
  <Override PartName="/xl/charts/colors51.xml" ContentType="application/vnd.ms-office.chartcolorstyle+xml"/>
  <Override PartName="/xl/charts/chart39.xml" ContentType="application/vnd.openxmlformats-officedocument.drawingml.chart+xml"/>
  <Override PartName="/xl/charts/style52.xml" ContentType="application/vnd.ms-office.chartstyle+xml"/>
  <Override PartName="/xl/charts/colors52.xml" ContentType="application/vnd.ms-office.chartcolorstyle+xml"/>
  <Override PartName="/xl/charts/chart40.xml" ContentType="application/vnd.openxmlformats-officedocument.drawingml.chart+xml"/>
  <Override PartName="/xl/charts/style53.xml" ContentType="application/vnd.ms-office.chartstyle+xml"/>
  <Override PartName="/xl/charts/colors53.xml" ContentType="application/vnd.ms-office.chartcolorstyle+xml"/>
  <Override PartName="/xl/charts/chart41.xml" ContentType="application/vnd.openxmlformats-officedocument.drawingml.chart+xml"/>
  <Override PartName="/xl/charts/style54.xml" ContentType="application/vnd.ms-office.chartstyle+xml"/>
  <Override PartName="/xl/charts/colors54.xml" ContentType="application/vnd.ms-office.chartcolorstyle+xml"/>
  <Override PartName="/xl/charts/chartEx18.xml" ContentType="application/vnd.ms-office.chartex+xml"/>
  <Override PartName="/xl/charts/style55.xml" ContentType="application/vnd.ms-office.chartstyle+xml"/>
  <Override PartName="/xl/charts/colors55.xml" ContentType="application/vnd.ms-office.chartcolorstyle+xml"/>
  <Override PartName="/xl/charts/chartEx19.xml" ContentType="application/vnd.ms-office.chartex+xml"/>
  <Override PartName="/xl/charts/style56.xml" ContentType="application/vnd.ms-office.chartstyle+xml"/>
  <Override PartName="/xl/charts/colors56.xml" ContentType="application/vnd.ms-office.chartcolorstyle+xml"/>
  <Override PartName="/xl/drawings/drawing7.xml" ContentType="application/vnd.openxmlformats-officedocument.drawing+xml"/>
  <Override PartName="/xl/charts/chart42.xml" ContentType="application/vnd.openxmlformats-officedocument.drawingml.chart+xml"/>
  <Override PartName="/xl/charts/style57.xml" ContentType="application/vnd.ms-office.chartstyle+xml"/>
  <Override PartName="/xl/charts/colors57.xml" ContentType="application/vnd.ms-office.chartcolorstyle+xml"/>
  <Override PartName="/xl/charts/chart43.xml" ContentType="application/vnd.openxmlformats-officedocument.drawingml.chart+xml"/>
  <Override PartName="/xl/charts/style58.xml" ContentType="application/vnd.ms-office.chartstyle+xml"/>
  <Override PartName="/xl/charts/colors58.xml" ContentType="application/vnd.ms-office.chartcolorstyle+xml"/>
  <Override PartName="/xl/charts/chart44.xml" ContentType="application/vnd.openxmlformats-officedocument.drawingml.chart+xml"/>
  <Override PartName="/xl/charts/style59.xml" ContentType="application/vnd.ms-office.chartstyle+xml"/>
  <Override PartName="/xl/charts/colors59.xml" ContentType="application/vnd.ms-office.chartcolorstyle+xml"/>
  <Override PartName="/xl/charts/chart45.xml" ContentType="application/vnd.openxmlformats-officedocument.drawingml.chart+xml"/>
  <Override PartName="/xl/charts/style60.xml" ContentType="application/vnd.ms-office.chartstyle+xml"/>
  <Override PartName="/xl/charts/colors60.xml" ContentType="application/vnd.ms-office.chartcolorstyle+xml"/>
  <Override PartName="/xl/charts/chart46.xml" ContentType="application/vnd.openxmlformats-officedocument.drawingml.chart+xml"/>
  <Override PartName="/xl/charts/style61.xml" ContentType="application/vnd.ms-office.chartstyle+xml"/>
  <Override PartName="/xl/charts/colors61.xml" ContentType="application/vnd.ms-office.chartcolorstyle+xml"/>
  <Override PartName="/xl/drawings/drawing8.xml" ContentType="application/vnd.openxmlformats-officedocument.drawing+xml"/>
  <Override PartName="/xl/charts/chart47.xml" ContentType="application/vnd.openxmlformats-officedocument.drawingml.chart+xml"/>
  <Override PartName="/xl/charts/style62.xml" ContentType="application/vnd.ms-office.chartstyle+xml"/>
  <Override PartName="/xl/charts/colors62.xml" ContentType="application/vnd.ms-office.chartcolorstyle+xml"/>
  <Override PartName="/xl/charts/chart48.xml" ContentType="application/vnd.openxmlformats-officedocument.drawingml.chart+xml"/>
  <Override PartName="/xl/charts/style63.xml" ContentType="application/vnd.ms-office.chartstyle+xml"/>
  <Override PartName="/xl/charts/colors63.xml" ContentType="application/vnd.ms-office.chartcolorstyle+xml"/>
  <Override PartName="/xl/charts/chart49.xml" ContentType="application/vnd.openxmlformats-officedocument.drawingml.chart+xml"/>
  <Override PartName="/xl/charts/style64.xml" ContentType="application/vnd.ms-office.chartstyle+xml"/>
  <Override PartName="/xl/charts/colors64.xml" ContentType="application/vnd.ms-office.chartcolorstyle+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ämäTyökirja" defaultThemeVersion="124226"/>
  <mc:AlternateContent xmlns:mc="http://schemas.openxmlformats.org/markup-compatibility/2006">
    <mc:Choice Requires="x15">
      <x15ac:absPath xmlns:x15ac="http://schemas.microsoft.com/office/spreadsheetml/2010/11/ac" url="C:\PAR-ohjelma\Tilastot\"/>
    </mc:Choice>
  </mc:AlternateContent>
  <xr:revisionPtr revIDLastSave="0" documentId="13_ncr:1_{A1098CA9-468B-4406-8D2F-976CF2F8BEFB}" xr6:coauthVersionLast="47" xr6:coauthVersionMax="47" xr10:uidLastSave="{00000000-0000-0000-0000-000000000000}"/>
  <bookViews>
    <workbookView xWindow="-10905" yWindow="-14520" windowWidth="21600" windowHeight="11295" tabRatio="728" xr2:uid="{00000000-000D-0000-FFFF-FFFF00000000}"/>
  </bookViews>
  <sheets>
    <sheet name="Parkki" sheetId="42" r:id="rId1"/>
    <sheet name="Henkilöstö" sheetId="44" r:id="rId2"/>
    <sheet name="HTV-laskuri" sheetId="48" r:id="rId3"/>
    <sheet name="Asiakastilastot" sheetId="4" r:id="rId4"/>
    <sheet name="Saapuminen" sheetId="12" r:id="rId5"/>
    <sheet name="Tilanne" sheetId="10" r:id="rId6"/>
    <sheet name="Toimenpiteet" sheetId="8" r:id="rId7"/>
    <sheet name="Päättäminen, tila, kesto" sheetId="9" r:id="rId8"/>
    <sheet name="Tavoitteet" sheetId="46" r:id="rId9"/>
    <sheet name="INFO" sheetId="41" r:id="rId10"/>
    <sheet name="AS" sheetId="15" state="hidden" r:id="rId11"/>
    <sheet name="JA" sheetId="17" state="hidden" r:id="rId12"/>
    <sheet name="TP" sheetId="16" state="hidden" r:id="rId13"/>
    <sheet name="TI" sheetId="18" state="hidden" r:id="rId14"/>
    <sheet name="TA" sheetId="45" state="hidden" r:id="rId15"/>
    <sheet name="Data_Kayttis" sheetId="21" state="hidden" r:id="rId16"/>
    <sheet name="Data_nimet" sheetId="40" state="hidden" r:id="rId17"/>
    <sheet name="Data_Organisaatio" sheetId="22" state="hidden" r:id="rId18"/>
    <sheet name="Data_Asiakasnimi" sheetId="34" state="hidden" r:id="rId19"/>
    <sheet name="Data_Toimenpiteet" sheetId="35" state="hidden" r:id="rId20"/>
    <sheet name="Data_Jaksot" sheetId="36" state="hidden" r:id="rId21"/>
    <sheet name="Data_tavoitteet" sheetId="47" state="hidden" r:id="rId22"/>
    <sheet name="Data_Tilanne" sheetId="37" state="hidden" r:id="rId23"/>
    <sheet name="Data_Omakoodi" sheetId="38" state="hidden" r:id="rId24"/>
    <sheet name="Vakiot" sheetId="43" state="hidden" r:id="rId25"/>
    <sheet name="Data_Muistiot" sheetId="49" state="hidden" r:id="rId26"/>
  </sheets>
  <definedNames>
    <definedName name="_xlnm._FilterDatabase" localSheetId="10" hidden="1">AS!$A$2:$BP$1420</definedName>
    <definedName name="_xlnm._FilterDatabase" localSheetId="18" hidden="1">Data_Asiakasnimi!$A$1:$BA$152</definedName>
    <definedName name="_xlnm._FilterDatabase" localSheetId="20" hidden="1">Data_Jaksot!$A$1:$AF$288</definedName>
    <definedName name="_xlnm._FilterDatabase" localSheetId="23" hidden="1">Data_Omakoodi!$A$1:$H$54</definedName>
    <definedName name="_xlnm._FilterDatabase" localSheetId="22" hidden="1">Data_Tilanne!$A$1:$AT$1</definedName>
    <definedName name="_xlnm._FilterDatabase" localSheetId="19" hidden="1">Data_Toimenpiteet!$A$1:$AG$258</definedName>
    <definedName name="_xlnm._FilterDatabase" localSheetId="11" hidden="1">JA!$A$2:$AY$289</definedName>
    <definedName name="_xlnm._FilterDatabase" localSheetId="4" hidden="1">Saapuminen!$N$13:$Q$13</definedName>
    <definedName name="_xlnm._FilterDatabase" localSheetId="14" hidden="1">TA!$A$2:$AI$1019</definedName>
    <definedName name="_xlnm._FilterDatabase" localSheetId="13" hidden="1">TI!$A$2:$AT$716</definedName>
    <definedName name="_xlnm._FilterDatabase" localSheetId="12" hidden="1">TP!$A$2:$AN$274</definedName>
    <definedName name="_xlchart.v1.0" hidden="1">Parkki!$A$98:$B$138</definedName>
    <definedName name="_xlchart.v1.1" hidden="1">Parkki!$D$98:$D$138</definedName>
    <definedName name="_xlchart.v1.10" hidden="1">Parkki!$B$254:$B$269</definedName>
    <definedName name="_xlchart.v1.11" hidden="1">Parkki!$D$254:$D$269</definedName>
    <definedName name="_xlchart.v1.12" hidden="1">Parkki!$B$276:$B$288</definedName>
    <definedName name="_xlchart.v1.13" hidden="1">Parkki!$D$276:$D$288</definedName>
    <definedName name="_xlchart.v1.14" hidden="1">Tilanne!$A$35:$A$49</definedName>
    <definedName name="_xlchart.v1.15" hidden="1">Tilanne!$C$35:$C$49</definedName>
    <definedName name="_xlchart.v1.16" hidden="1">Tilanne!$A$59:$A$69</definedName>
    <definedName name="_xlchart.v1.17" hidden="1">Tilanne!$C$59:$C$69</definedName>
    <definedName name="_xlchart.v1.18" hidden="1">Tilanne!$A$81:$A$96</definedName>
    <definedName name="_xlchart.v1.19" hidden="1">Tilanne!$C$81:$C$96</definedName>
    <definedName name="_xlchart.v1.2" hidden="1">Parkki!$A$146:$B$176</definedName>
    <definedName name="_xlchart.v1.20" hidden="1">Tilanne!$I$35:$I$49</definedName>
    <definedName name="_xlchart.v1.21" hidden="1">Tilanne!$K$35:$K$49</definedName>
    <definedName name="_xlchart.v1.22" hidden="1">Tilanne!$I$14:$I$25</definedName>
    <definedName name="_xlchart.v1.23" hidden="1">Tilanne!$K$14:$K$25</definedName>
    <definedName name="_xlchart.v1.24" hidden="1">Tilanne!$A$107:$A$116</definedName>
    <definedName name="_xlchart.v1.25" hidden="1">Tilanne!$C$107:$C$116</definedName>
    <definedName name="_xlchart.v1.26" hidden="1">Tilanne!$I$81:$I$96</definedName>
    <definedName name="_xlchart.v1.27" hidden="1">Tilanne!$K$81:$K$96</definedName>
    <definedName name="_xlchart.v1.28" hidden="1">Tilanne!$I$107:$I$116</definedName>
    <definedName name="_xlchart.v1.29" hidden="1">Tilanne!$K$107:$K$116</definedName>
    <definedName name="_xlchart.v1.3" hidden="1">Parkki!$D$146:$D$176</definedName>
    <definedName name="_xlchart.v1.30" hidden="1">Tilanne!$I$59:$I$69</definedName>
    <definedName name="_xlchart.v1.31" hidden="1">Tilanne!$K$59:$K$69</definedName>
    <definedName name="_xlchart.v1.32" hidden="1">Tilanne!$A$14:$A$25</definedName>
    <definedName name="_xlchart.v1.33" hidden="1">Tilanne!$C$14:$C$25</definedName>
    <definedName name="_xlchart.v1.34" hidden="1">Toimenpiteet!$B$60:$B$72</definedName>
    <definedName name="_xlchart.v1.35" hidden="1">Toimenpiteet!$D$60:$D$72</definedName>
    <definedName name="_xlchart.v1.36" hidden="1">(Toimenpiteet!$B$76:$B$85,Toimenpiteet!$B$87:$B$91,Toimenpiteet!$B$93:$B$101,Toimenpiteet!$B$103:$B$111,Toimenpiteet!$B$113:$B$118)</definedName>
    <definedName name="_xlchart.v1.37" hidden="1">(Toimenpiteet!$D$76:$D$85,Toimenpiteet!$D$87:$D$91,Toimenpiteet!$D$93:$D$101,Toimenpiteet!$D$103:$D$111,Toimenpiteet!$D$113:$D$118)</definedName>
    <definedName name="_xlchart.v1.4" hidden="1">Parkki!$A$185:$B$202</definedName>
    <definedName name="_xlchart.v1.5" hidden="1">Parkki!$D$185:$D$202</definedName>
    <definedName name="_xlchart.v1.6" hidden="1">Parkki!$B$234:$B$247</definedName>
    <definedName name="_xlchart.v1.7" hidden="1">Parkki!$D$234:$D$247</definedName>
    <definedName name="_xlchart.v1.8" hidden="1">Parkki!$A$209:$B$226</definedName>
    <definedName name="_xlchart.v1.9" hidden="1">Parkki!$D$209:$D$226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2" i="46" l="1"/>
  <c r="X12" i="4"/>
  <c r="X12" i="12"/>
  <c r="X12" i="10"/>
  <c r="W12" i="9"/>
  <c r="X12" i="8"/>
  <c r="X12" i="9"/>
  <c r="AC4" i="8"/>
  <c r="V2" i="8"/>
  <c r="A4" i="45"/>
  <c r="B4" i="45"/>
  <c r="C4" i="45"/>
  <c r="D4" i="45"/>
  <c r="E4" i="45"/>
  <c r="F4" i="45"/>
  <c r="G4" i="45"/>
  <c r="H4" i="45"/>
  <c r="I4" i="45"/>
  <c r="J4" i="45"/>
  <c r="K4" i="45"/>
  <c r="L4" i="45"/>
  <c r="M4" i="45"/>
  <c r="N4" i="45"/>
  <c r="O4" i="45"/>
  <c r="P4" i="45"/>
  <c r="Q4" i="45"/>
  <c r="R4" i="45"/>
  <c r="S4" i="45"/>
  <c r="T4" i="45"/>
  <c r="U4" i="45"/>
  <c r="X4" i="45"/>
  <c r="AX4" i="21"/>
  <c r="AY4" i="21"/>
  <c r="AZ4" i="21"/>
  <c r="BA4" i="21"/>
  <c r="BB4" i="21"/>
  <c r="I3" i="38"/>
  <c r="I4" i="38"/>
  <c r="A4" i="18"/>
  <c r="B4" i="18"/>
  <c r="C4" i="18"/>
  <c r="L4" i="18"/>
  <c r="M4" i="18"/>
  <c r="N4" i="18"/>
  <c r="O4" i="18"/>
  <c r="P4" i="18"/>
  <c r="V4" i="18"/>
  <c r="W4" i="18"/>
  <c r="X4" i="18"/>
  <c r="Y4" i="18"/>
  <c r="A4" i="16"/>
  <c r="B4" i="16"/>
  <c r="C4" i="16"/>
  <c r="D4" i="16"/>
  <c r="U4" i="16" s="1"/>
  <c r="E4" i="16"/>
  <c r="G4" i="16"/>
  <c r="H4" i="16"/>
  <c r="K4" i="16"/>
  <c r="M4" i="16"/>
  <c r="N4" i="16"/>
  <c r="O4" i="16"/>
  <c r="P4" i="16"/>
  <c r="Z4" i="16"/>
  <c r="AA4" i="16"/>
  <c r="A4" i="17"/>
  <c r="B4" i="17"/>
  <c r="C4" i="17"/>
  <c r="AU4" i="17" s="1"/>
  <c r="D4" i="17"/>
  <c r="AQ4" i="17" s="1"/>
  <c r="E4" i="17"/>
  <c r="F4" i="17"/>
  <c r="G4" i="17"/>
  <c r="H4" i="17"/>
  <c r="I4" i="17"/>
  <c r="J4" i="17"/>
  <c r="K4" i="17"/>
  <c r="O4" i="17"/>
  <c r="P4" i="17"/>
  <c r="Q4" i="17"/>
  <c r="Z4" i="17"/>
  <c r="AA4" i="17"/>
  <c r="A4" i="15"/>
  <c r="B4" i="15"/>
  <c r="C4" i="15"/>
  <c r="D4" i="15"/>
  <c r="E4" i="15"/>
  <c r="G4" i="15"/>
  <c r="AD4" i="15" s="1"/>
  <c r="I4" i="15"/>
  <c r="J4" i="15"/>
  <c r="AI4" i="15" s="1"/>
  <c r="K4" i="15"/>
  <c r="M4" i="15"/>
  <c r="N4" i="15"/>
  <c r="O4" i="15"/>
  <c r="P4" i="15"/>
  <c r="AX4" i="15" s="1"/>
  <c r="Q4" i="15"/>
  <c r="R4" i="15"/>
  <c r="S4" i="15"/>
  <c r="T4" i="15"/>
  <c r="U4" i="15"/>
  <c r="V4" i="15"/>
  <c r="W4" i="15"/>
  <c r="AW4" i="15"/>
  <c r="BP4" i="15"/>
  <c r="K4" i="18" l="1"/>
  <c r="AB4" i="17"/>
  <c r="AT4" i="17" s="1"/>
  <c r="AC4" i="15"/>
  <c r="AE4" i="15" s="1"/>
  <c r="S4" i="16"/>
  <c r="T4" i="16" s="1"/>
  <c r="AD4" i="45"/>
  <c r="K3" i="15"/>
  <c r="Y6" i="46"/>
  <c r="V2" i="46"/>
  <c r="AE55" i="46"/>
  <c r="AC55" i="46"/>
  <c r="AD55" i="46" s="1"/>
  <c r="AG55" i="46" s="1"/>
  <c r="AH55" i="46" s="1"/>
  <c r="AA55" i="46"/>
  <c r="AB55" i="46" s="1"/>
  <c r="AJ55" i="46" s="1"/>
  <c r="AK55" i="46" s="1"/>
  <c r="AE54" i="46"/>
  <c r="AC54" i="46"/>
  <c r="AD54" i="46" s="1"/>
  <c r="AG54" i="46" s="1"/>
  <c r="AH54" i="46" s="1"/>
  <c r="AA54" i="46"/>
  <c r="AB54" i="46" s="1"/>
  <c r="AJ54" i="46" s="1"/>
  <c r="AK54" i="46" s="1"/>
  <c r="AE53" i="46"/>
  <c r="AC53" i="46"/>
  <c r="AD53" i="46" s="1"/>
  <c r="AG53" i="46" s="1"/>
  <c r="AH53" i="46" s="1"/>
  <c r="AA53" i="46"/>
  <c r="AB53" i="46" s="1"/>
  <c r="AJ53" i="46" s="1"/>
  <c r="AK53" i="46" s="1"/>
  <c r="AE52" i="46"/>
  <c r="AC52" i="46"/>
  <c r="AD52" i="46" s="1"/>
  <c r="AG52" i="46" s="1"/>
  <c r="AH52" i="46" s="1"/>
  <c r="AA52" i="46"/>
  <c r="AB52" i="46" s="1"/>
  <c r="AJ52" i="46" s="1"/>
  <c r="AK52" i="46" s="1"/>
  <c r="AE51" i="46"/>
  <c r="AC51" i="46"/>
  <c r="AD51" i="46" s="1"/>
  <c r="AG51" i="46" s="1"/>
  <c r="AH51" i="46" s="1"/>
  <c r="AA51" i="46"/>
  <c r="AB51" i="46" s="1"/>
  <c r="AJ51" i="46" s="1"/>
  <c r="AK51" i="46" s="1"/>
  <c r="AE50" i="46"/>
  <c r="AC50" i="46"/>
  <c r="AD50" i="46" s="1"/>
  <c r="AG50" i="46" s="1"/>
  <c r="AH50" i="46" s="1"/>
  <c r="AA50" i="46"/>
  <c r="AB50" i="46" s="1"/>
  <c r="AJ50" i="46" s="1"/>
  <c r="AK50" i="46" s="1"/>
  <c r="AE49" i="46"/>
  <c r="AC49" i="46"/>
  <c r="AD49" i="46" s="1"/>
  <c r="AG49" i="46" s="1"/>
  <c r="AH49" i="46" s="1"/>
  <c r="AA49" i="46"/>
  <c r="AB49" i="46" s="1"/>
  <c r="AJ49" i="46" s="1"/>
  <c r="AK49" i="46" s="1"/>
  <c r="AE48" i="46"/>
  <c r="AC48" i="46"/>
  <c r="AD48" i="46" s="1"/>
  <c r="AG48" i="46" s="1"/>
  <c r="AH48" i="46" s="1"/>
  <c r="AA48" i="46"/>
  <c r="AB48" i="46" s="1"/>
  <c r="AJ48" i="46" s="1"/>
  <c r="AK48" i="46" s="1"/>
  <c r="AE47" i="46"/>
  <c r="AC47" i="46"/>
  <c r="AD47" i="46" s="1"/>
  <c r="AG47" i="46" s="1"/>
  <c r="AH47" i="46" s="1"/>
  <c r="AA47" i="46"/>
  <c r="AB47" i="46" s="1"/>
  <c r="AJ47" i="46" s="1"/>
  <c r="AK47" i="46" s="1"/>
  <c r="AE46" i="46"/>
  <c r="AC46" i="46"/>
  <c r="AD46" i="46" s="1"/>
  <c r="AG46" i="46" s="1"/>
  <c r="AH46" i="46" s="1"/>
  <c r="AA46" i="46"/>
  <c r="AB46" i="46" s="1"/>
  <c r="AJ46" i="46" s="1"/>
  <c r="AK46" i="46" s="1"/>
  <c r="AE45" i="46"/>
  <c r="AC45" i="46"/>
  <c r="AD45" i="46" s="1"/>
  <c r="AG45" i="46" s="1"/>
  <c r="AH45" i="46" s="1"/>
  <c r="AA45" i="46"/>
  <c r="AB45" i="46" s="1"/>
  <c r="AJ45" i="46" s="1"/>
  <c r="AK45" i="46" s="1"/>
  <c r="AE44" i="46"/>
  <c r="AC44" i="46"/>
  <c r="AD44" i="46" s="1"/>
  <c r="AG44" i="46" s="1"/>
  <c r="AH44" i="46" s="1"/>
  <c r="AA44" i="46"/>
  <c r="AB44" i="46" s="1"/>
  <c r="AJ44" i="46" s="1"/>
  <c r="AK44" i="46" s="1"/>
  <c r="AE43" i="46"/>
  <c r="AC43" i="46"/>
  <c r="AD43" i="46" s="1"/>
  <c r="AG43" i="46" s="1"/>
  <c r="AH43" i="46" s="1"/>
  <c r="AA43" i="46"/>
  <c r="AB43" i="46" s="1"/>
  <c r="AJ43" i="46" s="1"/>
  <c r="AK43" i="46" s="1"/>
  <c r="AE42" i="46"/>
  <c r="AC42" i="46"/>
  <c r="AD42" i="46" s="1"/>
  <c r="AG42" i="46" s="1"/>
  <c r="AH42" i="46" s="1"/>
  <c r="AA42" i="46"/>
  <c r="AB42" i="46" s="1"/>
  <c r="AJ42" i="46" s="1"/>
  <c r="AK42" i="46" s="1"/>
  <c r="AE41" i="46"/>
  <c r="AC41" i="46"/>
  <c r="AD41" i="46" s="1"/>
  <c r="AG41" i="46" s="1"/>
  <c r="AH41" i="46" s="1"/>
  <c r="AA41" i="46"/>
  <c r="AB41" i="46" s="1"/>
  <c r="AJ41" i="46" s="1"/>
  <c r="AK41" i="46" s="1"/>
  <c r="AE40" i="46"/>
  <c r="AC40" i="46"/>
  <c r="AD40" i="46" s="1"/>
  <c r="AG40" i="46" s="1"/>
  <c r="AH40" i="46" s="1"/>
  <c r="AA40" i="46"/>
  <c r="AB40" i="46" s="1"/>
  <c r="AJ40" i="46" s="1"/>
  <c r="AK40" i="46" s="1"/>
  <c r="AE39" i="46"/>
  <c r="AC39" i="46"/>
  <c r="AD39" i="46" s="1"/>
  <c r="AG39" i="46" s="1"/>
  <c r="AH39" i="46" s="1"/>
  <c r="AA39" i="46"/>
  <c r="AB39" i="46" s="1"/>
  <c r="AJ39" i="46" s="1"/>
  <c r="AK39" i="46" s="1"/>
  <c r="AE38" i="46"/>
  <c r="AC38" i="46"/>
  <c r="AD38" i="46" s="1"/>
  <c r="AG38" i="46" s="1"/>
  <c r="AH38" i="46" s="1"/>
  <c r="AA38" i="46"/>
  <c r="AB38" i="46" s="1"/>
  <c r="AJ38" i="46" s="1"/>
  <c r="AK38" i="46" s="1"/>
  <c r="AE37" i="46"/>
  <c r="AC37" i="46"/>
  <c r="AD37" i="46" s="1"/>
  <c r="AG37" i="46" s="1"/>
  <c r="AH37" i="46" s="1"/>
  <c r="AA37" i="46"/>
  <c r="AB37" i="46" s="1"/>
  <c r="AJ37" i="46" s="1"/>
  <c r="AK37" i="46" s="1"/>
  <c r="AE36" i="46"/>
  <c r="AC36" i="46"/>
  <c r="AD36" i="46" s="1"/>
  <c r="AG36" i="46" s="1"/>
  <c r="AH36" i="46" s="1"/>
  <c r="AA36" i="46"/>
  <c r="AB36" i="46" s="1"/>
  <c r="AJ36" i="46" s="1"/>
  <c r="AK36" i="46" s="1"/>
  <c r="AE35" i="46"/>
  <c r="AC35" i="46"/>
  <c r="AD35" i="46" s="1"/>
  <c r="AG35" i="46" s="1"/>
  <c r="AH35" i="46" s="1"/>
  <c r="AA35" i="46"/>
  <c r="AB35" i="46" s="1"/>
  <c r="AJ35" i="46" s="1"/>
  <c r="AK35" i="46" s="1"/>
  <c r="AE34" i="46"/>
  <c r="AC34" i="46"/>
  <c r="AD34" i="46" s="1"/>
  <c r="AG34" i="46" s="1"/>
  <c r="AH34" i="46" s="1"/>
  <c r="AA34" i="46"/>
  <c r="AB34" i="46" s="1"/>
  <c r="AJ34" i="46" s="1"/>
  <c r="AK34" i="46" s="1"/>
  <c r="AE33" i="46"/>
  <c r="AC33" i="46"/>
  <c r="AD33" i="46" s="1"/>
  <c r="AG33" i="46" s="1"/>
  <c r="AH33" i="46" s="1"/>
  <c r="AA33" i="46"/>
  <c r="AB33" i="46" s="1"/>
  <c r="AJ33" i="46" s="1"/>
  <c r="AK33" i="46" s="1"/>
  <c r="AE32" i="46"/>
  <c r="AC32" i="46"/>
  <c r="AD32" i="46" s="1"/>
  <c r="AG32" i="46" s="1"/>
  <c r="AH32" i="46" s="1"/>
  <c r="AA32" i="46"/>
  <c r="AB32" i="46" s="1"/>
  <c r="AJ32" i="46" s="1"/>
  <c r="AK32" i="46" s="1"/>
  <c r="AE31" i="46"/>
  <c r="AC31" i="46"/>
  <c r="AD31" i="46" s="1"/>
  <c r="AG31" i="46" s="1"/>
  <c r="AH31" i="46" s="1"/>
  <c r="AA31" i="46"/>
  <c r="AB31" i="46" s="1"/>
  <c r="AJ31" i="46" s="1"/>
  <c r="AK31" i="46" s="1"/>
  <c r="AE30" i="46"/>
  <c r="AC30" i="46"/>
  <c r="AD30" i="46" s="1"/>
  <c r="AG30" i="46" s="1"/>
  <c r="AH30" i="46" s="1"/>
  <c r="AA30" i="46"/>
  <c r="AB30" i="46" s="1"/>
  <c r="AJ30" i="46" s="1"/>
  <c r="AK30" i="46" s="1"/>
  <c r="AE29" i="46"/>
  <c r="AC29" i="46"/>
  <c r="AD29" i="46" s="1"/>
  <c r="AG29" i="46" s="1"/>
  <c r="AH29" i="46" s="1"/>
  <c r="AA29" i="46"/>
  <c r="AB29" i="46" s="1"/>
  <c r="AJ29" i="46" s="1"/>
  <c r="AK29" i="46" s="1"/>
  <c r="AE28" i="46"/>
  <c r="AC28" i="46"/>
  <c r="AD28" i="46" s="1"/>
  <c r="AG28" i="46" s="1"/>
  <c r="AH28" i="46" s="1"/>
  <c r="AA28" i="46"/>
  <c r="AB28" i="46" s="1"/>
  <c r="AJ28" i="46" s="1"/>
  <c r="AK28" i="46" s="1"/>
  <c r="AE27" i="46"/>
  <c r="AC27" i="46"/>
  <c r="AD27" i="46" s="1"/>
  <c r="AG27" i="46" s="1"/>
  <c r="AH27" i="46" s="1"/>
  <c r="AA27" i="46"/>
  <c r="AB27" i="46" s="1"/>
  <c r="AJ27" i="46" s="1"/>
  <c r="AK27" i="46" s="1"/>
  <c r="AE26" i="46"/>
  <c r="AC26" i="46"/>
  <c r="AD26" i="46" s="1"/>
  <c r="AG26" i="46" s="1"/>
  <c r="AH26" i="46" s="1"/>
  <c r="AA26" i="46"/>
  <c r="AB26" i="46" s="1"/>
  <c r="AJ26" i="46" s="1"/>
  <c r="AK26" i="46" s="1"/>
  <c r="AE25" i="46"/>
  <c r="AC25" i="46"/>
  <c r="AD25" i="46" s="1"/>
  <c r="AG25" i="46" s="1"/>
  <c r="AH25" i="46" s="1"/>
  <c r="AA25" i="46"/>
  <c r="AB25" i="46" s="1"/>
  <c r="AJ25" i="46" s="1"/>
  <c r="AK25" i="46" s="1"/>
  <c r="AE24" i="46"/>
  <c r="AC24" i="46"/>
  <c r="AD24" i="46" s="1"/>
  <c r="AG24" i="46" s="1"/>
  <c r="AH24" i="46" s="1"/>
  <c r="AA24" i="46"/>
  <c r="AB24" i="46" s="1"/>
  <c r="AJ24" i="46" s="1"/>
  <c r="AK24" i="46" s="1"/>
  <c r="AE23" i="46"/>
  <c r="AC23" i="46"/>
  <c r="AD23" i="46" s="1"/>
  <c r="AG23" i="46" s="1"/>
  <c r="AH23" i="46" s="1"/>
  <c r="AA23" i="46"/>
  <c r="AB23" i="46" s="1"/>
  <c r="AJ23" i="46" s="1"/>
  <c r="AK23" i="46" s="1"/>
  <c r="AE22" i="46"/>
  <c r="AC22" i="46"/>
  <c r="AD22" i="46" s="1"/>
  <c r="AG22" i="46" s="1"/>
  <c r="AH22" i="46" s="1"/>
  <c r="AA22" i="46"/>
  <c r="AB22" i="46" s="1"/>
  <c r="AJ22" i="46" s="1"/>
  <c r="AK22" i="46" s="1"/>
  <c r="AE21" i="46"/>
  <c r="AC21" i="46"/>
  <c r="AD21" i="46" s="1"/>
  <c r="AG21" i="46" s="1"/>
  <c r="AH21" i="46" s="1"/>
  <c r="AA21" i="46"/>
  <c r="AB21" i="46" s="1"/>
  <c r="AJ21" i="46" s="1"/>
  <c r="AK21" i="46" s="1"/>
  <c r="AE20" i="46"/>
  <c r="AC20" i="46"/>
  <c r="AD20" i="46" s="1"/>
  <c r="AG20" i="46" s="1"/>
  <c r="AH20" i="46" s="1"/>
  <c r="AA20" i="46"/>
  <c r="AB20" i="46" s="1"/>
  <c r="AJ20" i="46" s="1"/>
  <c r="AK20" i="46" s="1"/>
  <c r="AE19" i="46"/>
  <c r="AC19" i="46"/>
  <c r="AD19" i="46" s="1"/>
  <c r="AG19" i="46" s="1"/>
  <c r="AH19" i="46" s="1"/>
  <c r="AA19" i="46"/>
  <c r="AB19" i="46" s="1"/>
  <c r="AJ19" i="46" s="1"/>
  <c r="AK19" i="46" s="1"/>
  <c r="AE18" i="46"/>
  <c r="AC18" i="46"/>
  <c r="AD18" i="46" s="1"/>
  <c r="AG18" i="46" s="1"/>
  <c r="AH18" i="46" s="1"/>
  <c r="AA18" i="46"/>
  <c r="AB18" i="46" s="1"/>
  <c r="AJ18" i="46" s="1"/>
  <c r="AK18" i="46" s="1"/>
  <c r="AE17" i="46"/>
  <c r="AC17" i="46"/>
  <c r="AD17" i="46" s="1"/>
  <c r="AG17" i="46" s="1"/>
  <c r="AH17" i="46" s="1"/>
  <c r="AA17" i="46"/>
  <c r="AB17" i="46" s="1"/>
  <c r="AJ17" i="46" s="1"/>
  <c r="AK17" i="46" s="1"/>
  <c r="AE16" i="46"/>
  <c r="AC16" i="46"/>
  <c r="AD16" i="46" s="1"/>
  <c r="AG16" i="46" s="1"/>
  <c r="AH16" i="46" s="1"/>
  <c r="AA16" i="46"/>
  <c r="AB16" i="46" s="1"/>
  <c r="AJ16" i="46" s="1"/>
  <c r="AK16" i="46" s="1"/>
  <c r="AE15" i="46"/>
  <c r="AC15" i="46"/>
  <c r="AD15" i="46" s="1"/>
  <c r="AG15" i="46" s="1"/>
  <c r="AH15" i="46" s="1"/>
  <c r="AA15" i="46"/>
  <c r="AB15" i="46" s="1"/>
  <c r="AJ15" i="46" s="1"/>
  <c r="AK15" i="46" s="1"/>
  <c r="AE14" i="46"/>
  <c r="AC14" i="46"/>
  <c r="AD14" i="46" s="1"/>
  <c r="AG14" i="46" s="1"/>
  <c r="AH14" i="46" s="1"/>
  <c r="AA14" i="46"/>
  <c r="AB14" i="46" s="1"/>
  <c r="AJ14" i="46" s="1"/>
  <c r="AK14" i="46" s="1"/>
  <c r="AE13" i="46"/>
  <c r="AC13" i="46"/>
  <c r="AD13" i="46" s="1"/>
  <c r="AG13" i="46" s="1"/>
  <c r="AH13" i="46" s="1"/>
  <c r="AA13" i="46"/>
  <c r="AB13" i="46" s="1"/>
  <c r="AJ13" i="46" s="1"/>
  <c r="AK13" i="46" s="1"/>
  <c r="AE12" i="46"/>
  <c r="AC12" i="46"/>
  <c r="AD12" i="46" s="1"/>
  <c r="AG12" i="46" s="1"/>
  <c r="AH12" i="46" s="1"/>
  <c r="AA12" i="46"/>
  <c r="AB12" i="46" s="1"/>
  <c r="AJ12" i="46" s="1"/>
  <c r="AK12" i="46" s="1"/>
  <c r="AE11" i="46"/>
  <c r="AC11" i="46"/>
  <c r="AD11" i="46" s="1"/>
  <c r="AG11" i="46" s="1"/>
  <c r="AH11" i="46" s="1"/>
  <c r="AA11" i="46"/>
  <c r="AB11" i="46" s="1"/>
  <c r="AJ11" i="46" s="1"/>
  <c r="AK11" i="46" s="1"/>
  <c r="AE10" i="46"/>
  <c r="AC10" i="46"/>
  <c r="AD10" i="46" s="1"/>
  <c r="AG10" i="46" s="1"/>
  <c r="AH10" i="46" s="1"/>
  <c r="AA10" i="46"/>
  <c r="AB10" i="46" s="1"/>
  <c r="AJ10" i="46" s="1"/>
  <c r="AK10" i="46" s="1"/>
  <c r="AE9" i="46"/>
  <c r="AC9" i="46"/>
  <c r="AD9" i="46" s="1"/>
  <c r="AG9" i="46" s="1"/>
  <c r="AH9" i="46" s="1"/>
  <c r="AA9" i="46"/>
  <c r="AB9" i="46" s="1"/>
  <c r="AJ9" i="46" s="1"/>
  <c r="AK9" i="46" s="1"/>
  <c r="AE8" i="46"/>
  <c r="AC8" i="46"/>
  <c r="AD8" i="46" s="1"/>
  <c r="AG8" i="46" s="1"/>
  <c r="AH8" i="46" s="1"/>
  <c r="AA8" i="46"/>
  <c r="AB8" i="46" s="1"/>
  <c r="AJ8" i="46" s="1"/>
  <c r="AK8" i="46" s="1"/>
  <c r="AJ7" i="46"/>
  <c r="AK7" i="46" s="1"/>
  <c r="AG7" i="46"/>
  <c r="AH7" i="46" s="1"/>
  <c r="AJ6" i="46"/>
  <c r="AK6" i="46" s="1"/>
  <c r="AG6" i="46"/>
  <c r="AH6" i="46" s="1"/>
  <c r="AJ5" i="46"/>
  <c r="AK5" i="46" s="1"/>
  <c r="AG5" i="46"/>
  <c r="AH5" i="46" s="1"/>
  <c r="Y6" i="9"/>
  <c r="V2" i="9"/>
  <c r="AE55" i="9"/>
  <c r="AC55" i="9"/>
  <c r="AD55" i="9" s="1"/>
  <c r="AG55" i="9" s="1"/>
  <c r="AH55" i="9" s="1"/>
  <c r="AA55" i="9"/>
  <c r="AB55" i="9" s="1"/>
  <c r="AJ55" i="9" s="1"/>
  <c r="AK55" i="9" s="1"/>
  <c r="AE54" i="9"/>
  <c r="AC54" i="9"/>
  <c r="AD54" i="9" s="1"/>
  <c r="AG54" i="9" s="1"/>
  <c r="AH54" i="9" s="1"/>
  <c r="AA54" i="9"/>
  <c r="AB54" i="9" s="1"/>
  <c r="AJ54" i="9" s="1"/>
  <c r="AK54" i="9" s="1"/>
  <c r="AE53" i="9"/>
  <c r="AC53" i="9"/>
  <c r="AD53" i="9" s="1"/>
  <c r="AG53" i="9" s="1"/>
  <c r="AH53" i="9" s="1"/>
  <c r="AA53" i="9"/>
  <c r="AB53" i="9" s="1"/>
  <c r="AJ53" i="9" s="1"/>
  <c r="AK53" i="9" s="1"/>
  <c r="AE52" i="9"/>
  <c r="AC52" i="9"/>
  <c r="AD52" i="9" s="1"/>
  <c r="AG52" i="9" s="1"/>
  <c r="AH52" i="9" s="1"/>
  <c r="AA52" i="9"/>
  <c r="AB52" i="9" s="1"/>
  <c r="AJ52" i="9" s="1"/>
  <c r="AK52" i="9" s="1"/>
  <c r="AE51" i="9"/>
  <c r="AC51" i="9"/>
  <c r="AD51" i="9" s="1"/>
  <c r="AG51" i="9" s="1"/>
  <c r="AH51" i="9" s="1"/>
  <c r="AA51" i="9"/>
  <c r="AB51" i="9" s="1"/>
  <c r="AJ51" i="9" s="1"/>
  <c r="AK51" i="9" s="1"/>
  <c r="AE50" i="9"/>
  <c r="AC50" i="9"/>
  <c r="AD50" i="9" s="1"/>
  <c r="AG50" i="9" s="1"/>
  <c r="AH50" i="9" s="1"/>
  <c r="AA50" i="9"/>
  <c r="AB50" i="9" s="1"/>
  <c r="AJ50" i="9" s="1"/>
  <c r="AK50" i="9" s="1"/>
  <c r="AE49" i="9"/>
  <c r="AC49" i="9"/>
  <c r="AD49" i="9" s="1"/>
  <c r="AG49" i="9" s="1"/>
  <c r="AH49" i="9" s="1"/>
  <c r="AA49" i="9"/>
  <c r="AB49" i="9" s="1"/>
  <c r="AJ49" i="9" s="1"/>
  <c r="AK49" i="9" s="1"/>
  <c r="AE48" i="9"/>
  <c r="AC48" i="9"/>
  <c r="AD48" i="9" s="1"/>
  <c r="AG48" i="9" s="1"/>
  <c r="AH48" i="9" s="1"/>
  <c r="AA48" i="9"/>
  <c r="AB48" i="9" s="1"/>
  <c r="AJ48" i="9" s="1"/>
  <c r="AK48" i="9" s="1"/>
  <c r="AE47" i="9"/>
  <c r="AC47" i="9"/>
  <c r="AD47" i="9" s="1"/>
  <c r="AG47" i="9" s="1"/>
  <c r="AH47" i="9" s="1"/>
  <c r="AA47" i="9"/>
  <c r="AB47" i="9" s="1"/>
  <c r="AJ47" i="9" s="1"/>
  <c r="AK47" i="9" s="1"/>
  <c r="AE46" i="9"/>
  <c r="AC46" i="9"/>
  <c r="AD46" i="9" s="1"/>
  <c r="AG46" i="9" s="1"/>
  <c r="AH46" i="9" s="1"/>
  <c r="AA46" i="9"/>
  <c r="AB46" i="9" s="1"/>
  <c r="AJ46" i="9" s="1"/>
  <c r="AK46" i="9" s="1"/>
  <c r="AE45" i="9"/>
  <c r="AC45" i="9"/>
  <c r="AD45" i="9" s="1"/>
  <c r="AG45" i="9" s="1"/>
  <c r="AH45" i="9" s="1"/>
  <c r="AA45" i="9"/>
  <c r="AB45" i="9" s="1"/>
  <c r="AJ45" i="9" s="1"/>
  <c r="AK45" i="9" s="1"/>
  <c r="AE44" i="9"/>
  <c r="AC44" i="9"/>
  <c r="AD44" i="9" s="1"/>
  <c r="AG44" i="9" s="1"/>
  <c r="AH44" i="9" s="1"/>
  <c r="AA44" i="9"/>
  <c r="AB44" i="9" s="1"/>
  <c r="AJ44" i="9" s="1"/>
  <c r="AK44" i="9" s="1"/>
  <c r="AE43" i="9"/>
  <c r="AC43" i="9"/>
  <c r="AD43" i="9" s="1"/>
  <c r="AG43" i="9" s="1"/>
  <c r="AH43" i="9" s="1"/>
  <c r="AA43" i="9"/>
  <c r="AB43" i="9" s="1"/>
  <c r="AJ43" i="9" s="1"/>
  <c r="AK43" i="9" s="1"/>
  <c r="AE42" i="9"/>
  <c r="AC42" i="9"/>
  <c r="AD42" i="9" s="1"/>
  <c r="AG42" i="9" s="1"/>
  <c r="AH42" i="9" s="1"/>
  <c r="AA42" i="9"/>
  <c r="AB42" i="9" s="1"/>
  <c r="AJ42" i="9" s="1"/>
  <c r="AK42" i="9" s="1"/>
  <c r="AE41" i="9"/>
  <c r="AC41" i="9"/>
  <c r="AD41" i="9" s="1"/>
  <c r="AG41" i="9" s="1"/>
  <c r="AH41" i="9" s="1"/>
  <c r="AA41" i="9"/>
  <c r="AB41" i="9" s="1"/>
  <c r="AJ41" i="9" s="1"/>
  <c r="AK41" i="9" s="1"/>
  <c r="AE40" i="9"/>
  <c r="AC40" i="9"/>
  <c r="AD40" i="9" s="1"/>
  <c r="AG40" i="9" s="1"/>
  <c r="AH40" i="9" s="1"/>
  <c r="AA40" i="9"/>
  <c r="AB40" i="9" s="1"/>
  <c r="AJ40" i="9" s="1"/>
  <c r="AK40" i="9" s="1"/>
  <c r="AE39" i="9"/>
  <c r="AC39" i="9"/>
  <c r="AD39" i="9" s="1"/>
  <c r="AG39" i="9" s="1"/>
  <c r="AH39" i="9" s="1"/>
  <c r="AA39" i="9"/>
  <c r="AB39" i="9" s="1"/>
  <c r="AJ39" i="9" s="1"/>
  <c r="AK39" i="9" s="1"/>
  <c r="AE38" i="9"/>
  <c r="AC38" i="9"/>
  <c r="AD38" i="9" s="1"/>
  <c r="AG38" i="9" s="1"/>
  <c r="AH38" i="9" s="1"/>
  <c r="AA38" i="9"/>
  <c r="AB38" i="9" s="1"/>
  <c r="AJ38" i="9" s="1"/>
  <c r="AK38" i="9" s="1"/>
  <c r="AE37" i="9"/>
  <c r="AC37" i="9"/>
  <c r="AD37" i="9" s="1"/>
  <c r="AG37" i="9" s="1"/>
  <c r="AH37" i="9" s="1"/>
  <c r="AA37" i="9"/>
  <c r="AB37" i="9" s="1"/>
  <c r="AJ37" i="9" s="1"/>
  <c r="AK37" i="9" s="1"/>
  <c r="AE36" i="9"/>
  <c r="AC36" i="9"/>
  <c r="AD36" i="9" s="1"/>
  <c r="AG36" i="9" s="1"/>
  <c r="AH36" i="9" s="1"/>
  <c r="AA36" i="9"/>
  <c r="AB36" i="9" s="1"/>
  <c r="AJ36" i="9" s="1"/>
  <c r="AK36" i="9" s="1"/>
  <c r="AE35" i="9"/>
  <c r="AC35" i="9"/>
  <c r="AD35" i="9" s="1"/>
  <c r="AG35" i="9" s="1"/>
  <c r="AH35" i="9" s="1"/>
  <c r="AA35" i="9"/>
  <c r="AB35" i="9" s="1"/>
  <c r="AJ35" i="9" s="1"/>
  <c r="AK35" i="9" s="1"/>
  <c r="AE34" i="9"/>
  <c r="AC34" i="9"/>
  <c r="AD34" i="9" s="1"/>
  <c r="AG34" i="9" s="1"/>
  <c r="AH34" i="9" s="1"/>
  <c r="AA34" i="9"/>
  <c r="AB34" i="9" s="1"/>
  <c r="AJ34" i="9" s="1"/>
  <c r="AK34" i="9" s="1"/>
  <c r="AE33" i="9"/>
  <c r="AC33" i="9"/>
  <c r="AD33" i="9" s="1"/>
  <c r="AG33" i="9" s="1"/>
  <c r="AH33" i="9" s="1"/>
  <c r="AA33" i="9"/>
  <c r="AB33" i="9" s="1"/>
  <c r="AJ33" i="9" s="1"/>
  <c r="AK33" i="9" s="1"/>
  <c r="AE32" i="9"/>
  <c r="AC32" i="9"/>
  <c r="AD32" i="9" s="1"/>
  <c r="AG32" i="9" s="1"/>
  <c r="AH32" i="9" s="1"/>
  <c r="AA32" i="9"/>
  <c r="AB32" i="9" s="1"/>
  <c r="AJ32" i="9" s="1"/>
  <c r="AK32" i="9" s="1"/>
  <c r="AE31" i="9"/>
  <c r="AC31" i="9"/>
  <c r="AD31" i="9" s="1"/>
  <c r="AG31" i="9" s="1"/>
  <c r="AH31" i="9" s="1"/>
  <c r="AA31" i="9"/>
  <c r="AB31" i="9" s="1"/>
  <c r="AJ31" i="9" s="1"/>
  <c r="AK31" i="9" s="1"/>
  <c r="AE30" i="9"/>
  <c r="AC30" i="9"/>
  <c r="AD30" i="9" s="1"/>
  <c r="AG30" i="9" s="1"/>
  <c r="AH30" i="9" s="1"/>
  <c r="AA30" i="9"/>
  <c r="AB30" i="9" s="1"/>
  <c r="AJ30" i="9" s="1"/>
  <c r="AK30" i="9" s="1"/>
  <c r="AE29" i="9"/>
  <c r="AC29" i="9"/>
  <c r="AD29" i="9" s="1"/>
  <c r="AG29" i="9" s="1"/>
  <c r="AH29" i="9" s="1"/>
  <c r="AA29" i="9"/>
  <c r="AB29" i="9" s="1"/>
  <c r="AJ29" i="9" s="1"/>
  <c r="AK29" i="9" s="1"/>
  <c r="AE28" i="9"/>
  <c r="AC28" i="9"/>
  <c r="AD28" i="9" s="1"/>
  <c r="AG28" i="9" s="1"/>
  <c r="AH28" i="9" s="1"/>
  <c r="AA28" i="9"/>
  <c r="AB28" i="9" s="1"/>
  <c r="AJ28" i="9" s="1"/>
  <c r="AK28" i="9" s="1"/>
  <c r="AE27" i="9"/>
  <c r="AC27" i="9"/>
  <c r="AD27" i="9" s="1"/>
  <c r="AG27" i="9" s="1"/>
  <c r="AH27" i="9" s="1"/>
  <c r="AA27" i="9"/>
  <c r="AB27" i="9" s="1"/>
  <c r="AJ27" i="9" s="1"/>
  <c r="AK27" i="9" s="1"/>
  <c r="AE26" i="9"/>
  <c r="AC26" i="9"/>
  <c r="AD26" i="9" s="1"/>
  <c r="AG26" i="9" s="1"/>
  <c r="AH26" i="9" s="1"/>
  <c r="AA26" i="9"/>
  <c r="AB26" i="9" s="1"/>
  <c r="AJ26" i="9" s="1"/>
  <c r="AK26" i="9" s="1"/>
  <c r="AE25" i="9"/>
  <c r="AC25" i="9"/>
  <c r="AD25" i="9" s="1"/>
  <c r="AG25" i="9" s="1"/>
  <c r="AH25" i="9" s="1"/>
  <c r="AA25" i="9"/>
  <c r="AB25" i="9" s="1"/>
  <c r="AJ25" i="9" s="1"/>
  <c r="AK25" i="9" s="1"/>
  <c r="AE24" i="9"/>
  <c r="AC24" i="9"/>
  <c r="AD24" i="9" s="1"/>
  <c r="AG24" i="9" s="1"/>
  <c r="AH24" i="9" s="1"/>
  <c r="AA24" i="9"/>
  <c r="AB24" i="9" s="1"/>
  <c r="AJ24" i="9" s="1"/>
  <c r="AK24" i="9" s="1"/>
  <c r="AE23" i="9"/>
  <c r="AC23" i="9"/>
  <c r="AD23" i="9" s="1"/>
  <c r="AG23" i="9" s="1"/>
  <c r="AH23" i="9" s="1"/>
  <c r="AA23" i="9"/>
  <c r="AB23" i="9" s="1"/>
  <c r="AJ23" i="9" s="1"/>
  <c r="AK23" i="9" s="1"/>
  <c r="AE22" i="9"/>
  <c r="AC22" i="9"/>
  <c r="AD22" i="9" s="1"/>
  <c r="AG22" i="9" s="1"/>
  <c r="AH22" i="9" s="1"/>
  <c r="AA22" i="9"/>
  <c r="AB22" i="9" s="1"/>
  <c r="AJ22" i="9" s="1"/>
  <c r="AK22" i="9" s="1"/>
  <c r="AE21" i="9"/>
  <c r="AC21" i="9"/>
  <c r="AD21" i="9" s="1"/>
  <c r="AG21" i="9" s="1"/>
  <c r="AH21" i="9" s="1"/>
  <c r="AA21" i="9"/>
  <c r="AB21" i="9" s="1"/>
  <c r="AJ21" i="9" s="1"/>
  <c r="AK21" i="9" s="1"/>
  <c r="AE20" i="9"/>
  <c r="AC20" i="9"/>
  <c r="AD20" i="9" s="1"/>
  <c r="AG20" i="9" s="1"/>
  <c r="AH20" i="9" s="1"/>
  <c r="AA20" i="9"/>
  <c r="AB20" i="9" s="1"/>
  <c r="AJ20" i="9" s="1"/>
  <c r="AK20" i="9" s="1"/>
  <c r="AE19" i="9"/>
  <c r="AC19" i="9"/>
  <c r="AD19" i="9" s="1"/>
  <c r="AG19" i="9" s="1"/>
  <c r="AH19" i="9" s="1"/>
  <c r="AA19" i="9"/>
  <c r="AB19" i="9" s="1"/>
  <c r="AJ19" i="9" s="1"/>
  <c r="AK19" i="9" s="1"/>
  <c r="AE18" i="9"/>
  <c r="AC18" i="9"/>
  <c r="AD18" i="9" s="1"/>
  <c r="AG18" i="9" s="1"/>
  <c r="AH18" i="9" s="1"/>
  <c r="AA18" i="9"/>
  <c r="AB18" i="9" s="1"/>
  <c r="AJ18" i="9" s="1"/>
  <c r="AK18" i="9" s="1"/>
  <c r="AE17" i="9"/>
  <c r="AC17" i="9"/>
  <c r="AD17" i="9" s="1"/>
  <c r="AG17" i="9" s="1"/>
  <c r="AH17" i="9" s="1"/>
  <c r="AA17" i="9"/>
  <c r="AB17" i="9" s="1"/>
  <c r="AJ17" i="9" s="1"/>
  <c r="AK17" i="9" s="1"/>
  <c r="AE16" i="9"/>
  <c r="AC16" i="9"/>
  <c r="AD16" i="9" s="1"/>
  <c r="AG16" i="9" s="1"/>
  <c r="AH16" i="9" s="1"/>
  <c r="AA16" i="9"/>
  <c r="AB16" i="9" s="1"/>
  <c r="AJ16" i="9" s="1"/>
  <c r="AK16" i="9" s="1"/>
  <c r="AE15" i="9"/>
  <c r="AC15" i="9"/>
  <c r="AD15" i="9" s="1"/>
  <c r="AG15" i="9" s="1"/>
  <c r="AH15" i="9" s="1"/>
  <c r="AA15" i="9"/>
  <c r="AB15" i="9" s="1"/>
  <c r="AJ15" i="9" s="1"/>
  <c r="AK15" i="9" s="1"/>
  <c r="AE14" i="9"/>
  <c r="AC14" i="9"/>
  <c r="AD14" i="9" s="1"/>
  <c r="AG14" i="9" s="1"/>
  <c r="AH14" i="9" s="1"/>
  <c r="AA14" i="9"/>
  <c r="AB14" i="9" s="1"/>
  <c r="AJ14" i="9" s="1"/>
  <c r="AK14" i="9" s="1"/>
  <c r="AE13" i="9"/>
  <c r="AC13" i="9"/>
  <c r="AD13" i="9" s="1"/>
  <c r="AG13" i="9" s="1"/>
  <c r="AH13" i="9" s="1"/>
  <c r="AA13" i="9"/>
  <c r="AB13" i="9" s="1"/>
  <c r="AJ13" i="9" s="1"/>
  <c r="AK13" i="9" s="1"/>
  <c r="AE12" i="9"/>
  <c r="AC12" i="9"/>
  <c r="AD12" i="9" s="1"/>
  <c r="AG12" i="9" s="1"/>
  <c r="AH12" i="9" s="1"/>
  <c r="AA12" i="9"/>
  <c r="AB12" i="9" s="1"/>
  <c r="AJ12" i="9" s="1"/>
  <c r="AK12" i="9" s="1"/>
  <c r="AE11" i="9"/>
  <c r="AC11" i="9"/>
  <c r="AD11" i="9" s="1"/>
  <c r="AG11" i="9" s="1"/>
  <c r="AH11" i="9" s="1"/>
  <c r="AA11" i="9"/>
  <c r="AB11" i="9" s="1"/>
  <c r="AJ11" i="9" s="1"/>
  <c r="AK11" i="9" s="1"/>
  <c r="AE10" i="9"/>
  <c r="AC10" i="9"/>
  <c r="AD10" i="9" s="1"/>
  <c r="AG10" i="9" s="1"/>
  <c r="AH10" i="9" s="1"/>
  <c r="AA10" i="9"/>
  <c r="AB10" i="9" s="1"/>
  <c r="AJ10" i="9" s="1"/>
  <c r="AK10" i="9" s="1"/>
  <c r="AE9" i="9"/>
  <c r="AC9" i="9"/>
  <c r="AD9" i="9" s="1"/>
  <c r="AG9" i="9" s="1"/>
  <c r="AH9" i="9" s="1"/>
  <c r="AA9" i="9"/>
  <c r="AB9" i="9" s="1"/>
  <c r="AJ9" i="9" s="1"/>
  <c r="AK9" i="9" s="1"/>
  <c r="AE8" i="9"/>
  <c r="AC8" i="9"/>
  <c r="AD8" i="9" s="1"/>
  <c r="AG8" i="9" s="1"/>
  <c r="AH8" i="9" s="1"/>
  <c r="AA8" i="9"/>
  <c r="AB8" i="9" s="1"/>
  <c r="AJ8" i="9" s="1"/>
  <c r="AK8" i="9" s="1"/>
  <c r="AJ7" i="9"/>
  <c r="AK7" i="9" s="1"/>
  <c r="AG7" i="9"/>
  <c r="AH7" i="9" s="1"/>
  <c r="AJ6" i="9"/>
  <c r="AK6" i="9" s="1"/>
  <c r="AG6" i="9"/>
  <c r="AH6" i="9" s="1"/>
  <c r="AJ5" i="9"/>
  <c r="AK5" i="9" s="1"/>
  <c r="AG5" i="9"/>
  <c r="AH5" i="9" s="1"/>
  <c r="Y4" i="8"/>
  <c r="Y6" i="8"/>
  <c r="AE55" i="8"/>
  <c r="AC55" i="8"/>
  <c r="AD55" i="8" s="1"/>
  <c r="AG55" i="8" s="1"/>
  <c r="AH55" i="8" s="1"/>
  <c r="AA55" i="8"/>
  <c r="AB55" i="8" s="1"/>
  <c r="AJ55" i="8" s="1"/>
  <c r="AK55" i="8" s="1"/>
  <c r="AE54" i="8"/>
  <c r="AC54" i="8"/>
  <c r="AD54" i="8" s="1"/>
  <c r="AG54" i="8" s="1"/>
  <c r="AH54" i="8" s="1"/>
  <c r="AA54" i="8"/>
  <c r="AB54" i="8" s="1"/>
  <c r="AJ54" i="8" s="1"/>
  <c r="AK54" i="8" s="1"/>
  <c r="AE53" i="8"/>
  <c r="AC53" i="8"/>
  <c r="AD53" i="8" s="1"/>
  <c r="AG53" i="8" s="1"/>
  <c r="AH53" i="8" s="1"/>
  <c r="AA53" i="8"/>
  <c r="AB53" i="8" s="1"/>
  <c r="AJ53" i="8" s="1"/>
  <c r="AK53" i="8" s="1"/>
  <c r="AE52" i="8"/>
  <c r="AC52" i="8"/>
  <c r="AD52" i="8" s="1"/>
  <c r="AG52" i="8" s="1"/>
  <c r="AH52" i="8" s="1"/>
  <c r="AA52" i="8"/>
  <c r="AB52" i="8" s="1"/>
  <c r="AJ52" i="8" s="1"/>
  <c r="AK52" i="8" s="1"/>
  <c r="AE51" i="8"/>
  <c r="AC51" i="8"/>
  <c r="AD51" i="8" s="1"/>
  <c r="AG51" i="8" s="1"/>
  <c r="AH51" i="8" s="1"/>
  <c r="AA51" i="8"/>
  <c r="AB51" i="8" s="1"/>
  <c r="AJ51" i="8" s="1"/>
  <c r="AK51" i="8" s="1"/>
  <c r="AE50" i="8"/>
  <c r="AC50" i="8"/>
  <c r="AD50" i="8" s="1"/>
  <c r="AG50" i="8" s="1"/>
  <c r="AH50" i="8" s="1"/>
  <c r="AA50" i="8"/>
  <c r="AB50" i="8" s="1"/>
  <c r="AJ50" i="8" s="1"/>
  <c r="AK50" i="8" s="1"/>
  <c r="AE49" i="8"/>
  <c r="AC49" i="8"/>
  <c r="AD49" i="8" s="1"/>
  <c r="AG49" i="8" s="1"/>
  <c r="AH49" i="8" s="1"/>
  <c r="AA49" i="8"/>
  <c r="AB49" i="8" s="1"/>
  <c r="AJ49" i="8" s="1"/>
  <c r="AK49" i="8" s="1"/>
  <c r="AE48" i="8"/>
  <c r="AC48" i="8"/>
  <c r="AD48" i="8" s="1"/>
  <c r="AG48" i="8" s="1"/>
  <c r="AH48" i="8" s="1"/>
  <c r="AA48" i="8"/>
  <c r="AB48" i="8" s="1"/>
  <c r="AJ48" i="8" s="1"/>
  <c r="AK48" i="8" s="1"/>
  <c r="AE47" i="8"/>
  <c r="AC47" i="8"/>
  <c r="AD47" i="8" s="1"/>
  <c r="AG47" i="8" s="1"/>
  <c r="AH47" i="8" s="1"/>
  <c r="AA47" i="8"/>
  <c r="AB47" i="8" s="1"/>
  <c r="AJ47" i="8" s="1"/>
  <c r="AK47" i="8" s="1"/>
  <c r="AE46" i="8"/>
  <c r="AC46" i="8"/>
  <c r="AD46" i="8" s="1"/>
  <c r="AG46" i="8" s="1"/>
  <c r="AH46" i="8" s="1"/>
  <c r="AA46" i="8"/>
  <c r="AB46" i="8" s="1"/>
  <c r="AJ46" i="8" s="1"/>
  <c r="AK46" i="8" s="1"/>
  <c r="AE45" i="8"/>
  <c r="AC45" i="8"/>
  <c r="AD45" i="8" s="1"/>
  <c r="AG45" i="8" s="1"/>
  <c r="AH45" i="8" s="1"/>
  <c r="AA45" i="8"/>
  <c r="AB45" i="8" s="1"/>
  <c r="AJ45" i="8" s="1"/>
  <c r="AK45" i="8" s="1"/>
  <c r="AE44" i="8"/>
  <c r="AC44" i="8"/>
  <c r="AD44" i="8" s="1"/>
  <c r="AG44" i="8" s="1"/>
  <c r="AH44" i="8" s="1"/>
  <c r="AA44" i="8"/>
  <c r="AB44" i="8" s="1"/>
  <c r="AJ44" i="8" s="1"/>
  <c r="AK44" i="8" s="1"/>
  <c r="AE43" i="8"/>
  <c r="AC43" i="8"/>
  <c r="AD43" i="8" s="1"/>
  <c r="AG43" i="8" s="1"/>
  <c r="AH43" i="8" s="1"/>
  <c r="AA43" i="8"/>
  <c r="AB43" i="8" s="1"/>
  <c r="AJ43" i="8" s="1"/>
  <c r="AK43" i="8" s="1"/>
  <c r="AE42" i="8"/>
  <c r="AC42" i="8"/>
  <c r="AD42" i="8" s="1"/>
  <c r="AG42" i="8" s="1"/>
  <c r="AH42" i="8" s="1"/>
  <c r="AA42" i="8"/>
  <c r="AB42" i="8" s="1"/>
  <c r="AJ42" i="8" s="1"/>
  <c r="AK42" i="8" s="1"/>
  <c r="AE41" i="8"/>
  <c r="AC41" i="8"/>
  <c r="AD41" i="8" s="1"/>
  <c r="AG41" i="8" s="1"/>
  <c r="AH41" i="8" s="1"/>
  <c r="AA41" i="8"/>
  <c r="AB41" i="8" s="1"/>
  <c r="AJ41" i="8" s="1"/>
  <c r="AK41" i="8" s="1"/>
  <c r="AE40" i="8"/>
  <c r="AC40" i="8"/>
  <c r="AD40" i="8" s="1"/>
  <c r="AG40" i="8" s="1"/>
  <c r="AH40" i="8" s="1"/>
  <c r="AA40" i="8"/>
  <c r="AB40" i="8" s="1"/>
  <c r="AJ40" i="8" s="1"/>
  <c r="AK40" i="8" s="1"/>
  <c r="AE39" i="8"/>
  <c r="AC39" i="8"/>
  <c r="AD39" i="8" s="1"/>
  <c r="AG39" i="8" s="1"/>
  <c r="AH39" i="8" s="1"/>
  <c r="AA39" i="8"/>
  <c r="AB39" i="8" s="1"/>
  <c r="AJ39" i="8" s="1"/>
  <c r="AK39" i="8" s="1"/>
  <c r="AE38" i="8"/>
  <c r="AC38" i="8"/>
  <c r="AD38" i="8" s="1"/>
  <c r="AG38" i="8" s="1"/>
  <c r="AH38" i="8" s="1"/>
  <c r="AA38" i="8"/>
  <c r="AB38" i="8" s="1"/>
  <c r="AJ38" i="8" s="1"/>
  <c r="AK38" i="8" s="1"/>
  <c r="AE37" i="8"/>
  <c r="AC37" i="8"/>
  <c r="AD37" i="8" s="1"/>
  <c r="AG37" i="8" s="1"/>
  <c r="AH37" i="8" s="1"/>
  <c r="AA37" i="8"/>
  <c r="AB37" i="8" s="1"/>
  <c r="AJ37" i="8" s="1"/>
  <c r="AK37" i="8" s="1"/>
  <c r="AE36" i="8"/>
  <c r="AC36" i="8"/>
  <c r="AD36" i="8" s="1"/>
  <c r="AG36" i="8" s="1"/>
  <c r="AH36" i="8" s="1"/>
  <c r="AA36" i="8"/>
  <c r="AB36" i="8" s="1"/>
  <c r="AJ36" i="8" s="1"/>
  <c r="AK36" i="8" s="1"/>
  <c r="AE35" i="8"/>
  <c r="AC35" i="8"/>
  <c r="AD35" i="8" s="1"/>
  <c r="AG35" i="8" s="1"/>
  <c r="AH35" i="8" s="1"/>
  <c r="AA35" i="8"/>
  <c r="AB35" i="8" s="1"/>
  <c r="AJ35" i="8" s="1"/>
  <c r="AK35" i="8" s="1"/>
  <c r="AE34" i="8"/>
  <c r="AC34" i="8"/>
  <c r="AD34" i="8" s="1"/>
  <c r="AG34" i="8" s="1"/>
  <c r="AH34" i="8" s="1"/>
  <c r="AA34" i="8"/>
  <c r="AB34" i="8" s="1"/>
  <c r="AJ34" i="8" s="1"/>
  <c r="AK34" i="8" s="1"/>
  <c r="AE33" i="8"/>
  <c r="AC33" i="8"/>
  <c r="AD33" i="8" s="1"/>
  <c r="AG33" i="8" s="1"/>
  <c r="AH33" i="8" s="1"/>
  <c r="AA33" i="8"/>
  <c r="AB33" i="8" s="1"/>
  <c r="AJ33" i="8" s="1"/>
  <c r="AK33" i="8" s="1"/>
  <c r="AE32" i="8"/>
  <c r="AC32" i="8"/>
  <c r="AD32" i="8" s="1"/>
  <c r="AG32" i="8" s="1"/>
  <c r="AH32" i="8" s="1"/>
  <c r="AA32" i="8"/>
  <c r="AB32" i="8" s="1"/>
  <c r="AJ32" i="8" s="1"/>
  <c r="AK32" i="8" s="1"/>
  <c r="AE31" i="8"/>
  <c r="AC31" i="8"/>
  <c r="AD31" i="8" s="1"/>
  <c r="AG31" i="8" s="1"/>
  <c r="AH31" i="8" s="1"/>
  <c r="AA31" i="8"/>
  <c r="AB31" i="8" s="1"/>
  <c r="AJ31" i="8" s="1"/>
  <c r="AK31" i="8" s="1"/>
  <c r="AE30" i="8"/>
  <c r="AC30" i="8"/>
  <c r="AD30" i="8" s="1"/>
  <c r="AG30" i="8" s="1"/>
  <c r="AH30" i="8" s="1"/>
  <c r="AA30" i="8"/>
  <c r="AB30" i="8" s="1"/>
  <c r="AJ30" i="8" s="1"/>
  <c r="AK30" i="8" s="1"/>
  <c r="AE29" i="8"/>
  <c r="AC29" i="8"/>
  <c r="AD29" i="8" s="1"/>
  <c r="AG29" i="8" s="1"/>
  <c r="AH29" i="8" s="1"/>
  <c r="AA29" i="8"/>
  <c r="AB29" i="8" s="1"/>
  <c r="AJ29" i="8" s="1"/>
  <c r="AK29" i="8" s="1"/>
  <c r="AE28" i="8"/>
  <c r="AC28" i="8"/>
  <c r="AD28" i="8" s="1"/>
  <c r="AG28" i="8" s="1"/>
  <c r="AH28" i="8" s="1"/>
  <c r="AA28" i="8"/>
  <c r="AB28" i="8" s="1"/>
  <c r="AJ28" i="8" s="1"/>
  <c r="AK28" i="8" s="1"/>
  <c r="AE27" i="8"/>
  <c r="AC27" i="8"/>
  <c r="AD27" i="8" s="1"/>
  <c r="AG27" i="8" s="1"/>
  <c r="AH27" i="8" s="1"/>
  <c r="AA27" i="8"/>
  <c r="AB27" i="8" s="1"/>
  <c r="AJ27" i="8" s="1"/>
  <c r="AK27" i="8" s="1"/>
  <c r="AE26" i="8"/>
  <c r="AC26" i="8"/>
  <c r="AD26" i="8" s="1"/>
  <c r="AG26" i="8" s="1"/>
  <c r="AH26" i="8" s="1"/>
  <c r="AA26" i="8"/>
  <c r="AB26" i="8" s="1"/>
  <c r="AJ26" i="8" s="1"/>
  <c r="AK26" i="8" s="1"/>
  <c r="AE25" i="8"/>
  <c r="AC25" i="8"/>
  <c r="AD25" i="8" s="1"/>
  <c r="AG25" i="8" s="1"/>
  <c r="AH25" i="8" s="1"/>
  <c r="AA25" i="8"/>
  <c r="AB25" i="8" s="1"/>
  <c r="AJ25" i="8" s="1"/>
  <c r="AK25" i="8" s="1"/>
  <c r="AE24" i="8"/>
  <c r="AC24" i="8"/>
  <c r="AD24" i="8" s="1"/>
  <c r="AG24" i="8" s="1"/>
  <c r="AH24" i="8" s="1"/>
  <c r="AA24" i="8"/>
  <c r="AB24" i="8" s="1"/>
  <c r="AJ24" i="8" s="1"/>
  <c r="AK24" i="8" s="1"/>
  <c r="AE23" i="8"/>
  <c r="AC23" i="8"/>
  <c r="AD23" i="8" s="1"/>
  <c r="AG23" i="8" s="1"/>
  <c r="AH23" i="8" s="1"/>
  <c r="AA23" i="8"/>
  <c r="AB23" i="8" s="1"/>
  <c r="AJ23" i="8" s="1"/>
  <c r="AK23" i="8" s="1"/>
  <c r="AE22" i="8"/>
  <c r="AC22" i="8"/>
  <c r="AD22" i="8" s="1"/>
  <c r="AG22" i="8" s="1"/>
  <c r="AH22" i="8" s="1"/>
  <c r="AA22" i="8"/>
  <c r="AB22" i="8" s="1"/>
  <c r="AJ22" i="8" s="1"/>
  <c r="AK22" i="8" s="1"/>
  <c r="AE21" i="8"/>
  <c r="AC21" i="8"/>
  <c r="AD21" i="8" s="1"/>
  <c r="AG21" i="8" s="1"/>
  <c r="AH21" i="8" s="1"/>
  <c r="AA21" i="8"/>
  <c r="AB21" i="8" s="1"/>
  <c r="AJ21" i="8" s="1"/>
  <c r="AK21" i="8" s="1"/>
  <c r="AE20" i="8"/>
  <c r="AC20" i="8"/>
  <c r="AD20" i="8" s="1"/>
  <c r="AG20" i="8" s="1"/>
  <c r="AH20" i="8" s="1"/>
  <c r="AA20" i="8"/>
  <c r="AB20" i="8" s="1"/>
  <c r="AJ20" i="8" s="1"/>
  <c r="AK20" i="8" s="1"/>
  <c r="AE19" i="8"/>
  <c r="AC19" i="8"/>
  <c r="AD19" i="8" s="1"/>
  <c r="AG19" i="8" s="1"/>
  <c r="AH19" i="8" s="1"/>
  <c r="AA19" i="8"/>
  <c r="AB19" i="8" s="1"/>
  <c r="AJ19" i="8" s="1"/>
  <c r="AK19" i="8" s="1"/>
  <c r="AE18" i="8"/>
  <c r="AC18" i="8"/>
  <c r="AD18" i="8" s="1"/>
  <c r="AG18" i="8" s="1"/>
  <c r="AH18" i="8" s="1"/>
  <c r="AA18" i="8"/>
  <c r="AB18" i="8" s="1"/>
  <c r="AJ18" i="8" s="1"/>
  <c r="AK18" i="8" s="1"/>
  <c r="AE17" i="8"/>
  <c r="AC17" i="8"/>
  <c r="AD17" i="8" s="1"/>
  <c r="AG17" i="8" s="1"/>
  <c r="AH17" i="8" s="1"/>
  <c r="AA17" i="8"/>
  <c r="AB17" i="8" s="1"/>
  <c r="AJ17" i="8" s="1"/>
  <c r="AK17" i="8" s="1"/>
  <c r="AE16" i="8"/>
  <c r="AC16" i="8"/>
  <c r="AD16" i="8" s="1"/>
  <c r="AG16" i="8" s="1"/>
  <c r="AH16" i="8" s="1"/>
  <c r="AA16" i="8"/>
  <c r="AB16" i="8" s="1"/>
  <c r="AJ16" i="8" s="1"/>
  <c r="AK16" i="8" s="1"/>
  <c r="AE15" i="8"/>
  <c r="AC15" i="8"/>
  <c r="AD15" i="8" s="1"/>
  <c r="AG15" i="8" s="1"/>
  <c r="AH15" i="8" s="1"/>
  <c r="AA15" i="8"/>
  <c r="AB15" i="8" s="1"/>
  <c r="AJ15" i="8" s="1"/>
  <c r="AK15" i="8" s="1"/>
  <c r="AE14" i="8"/>
  <c r="AC14" i="8"/>
  <c r="AD14" i="8" s="1"/>
  <c r="AG14" i="8" s="1"/>
  <c r="AH14" i="8" s="1"/>
  <c r="AA14" i="8"/>
  <c r="AB14" i="8" s="1"/>
  <c r="AJ14" i="8" s="1"/>
  <c r="AK14" i="8" s="1"/>
  <c r="AE13" i="8"/>
  <c r="AC13" i="8"/>
  <c r="AD13" i="8" s="1"/>
  <c r="AG13" i="8" s="1"/>
  <c r="AH13" i="8" s="1"/>
  <c r="AA13" i="8"/>
  <c r="AB13" i="8" s="1"/>
  <c r="AJ13" i="8" s="1"/>
  <c r="AK13" i="8" s="1"/>
  <c r="AE12" i="8"/>
  <c r="AC12" i="8"/>
  <c r="AD12" i="8" s="1"/>
  <c r="AG12" i="8" s="1"/>
  <c r="AH12" i="8" s="1"/>
  <c r="AA12" i="8"/>
  <c r="AB12" i="8" s="1"/>
  <c r="AJ12" i="8" s="1"/>
  <c r="AK12" i="8" s="1"/>
  <c r="AE11" i="8"/>
  <c r="AC11" i="8"/>
  <c r="AD11" i="8" s="1"/>
  <c r="AG11" i="8" s="1"/>
  <c r="AH11" i="8" s="1"/>
  <c r="AA11" i="8"/>
  <c r="AB11" i="8" s="1"/>
  <c r="AJ11" i="8" s="1"/>
  <c r="AK11" i="8" s="1"/>
  <c r="AE10" i="8"/>
  <c r="AC10" i="8"/>
  <c r="AD10" i="8" s="1"/>
  <c r="AG10" i="8" s="1"/>
  <c r="AH10" i="8" s="1"/>
  <c r="AA10" i="8"/>
  <c r="AB10" i="8" s="1"/>
  <c r="AJ10" i="8" s="1"/>
  <c r="AK10" i="8" s="1"/>
  <c r="AE9" i="8"/>
  <c r="AC9" i="8"/>
  <c r="AD9" i="8" s="1"/>
  <c r="AG9" i="8" s="1"/>
  <c r="AH9" i="8" s="1"/>
  <c r="AA9" i="8"/>
  <c r="AB9" i="8" s="1"/>
  <c r="AJ9" i="8" s="1"/>
  <c r="AK9" i="8" s="1"/>
  <c r="AE8" i="8"/>
  <c r="AC8" i="8"/>
  <c r="AD8" i="8" s="1"/>
  <c r="AG8" i="8" s="1"/>
  <c r="AH8" i="8" s="1"/>
  <c r="AA8" i="8"/>
  <c r="AB8" i="8" s="1"/>
  <c r="AJ8" i="8" s="1"/>
  <c r="AK8" i="8" s="1"/>
  <c r="AJ7" i="8"/>
  <c r="AK7" i="8" s="1"/>
  <c r="AG7" i="8"/>
  <c r="AH7" i="8" s="1"/>
  <c r="AJ6" i="8"/>
  <c r="AK6" i="8" s="1"/>
  <c r="AG6" i="8"/>
  <c r="AH6" i="8" s="1"/>
  <c r="AJ5" i="8"/>
  <c r="AK5" i="8" s="1"/>
  <c r="AG5" i="8"/>
  <c r="AH5" i="8" s="1"/>
  <c r="V2" i="12"/>
  <c r="Y6" i="12"/>
  <c r="Y6" i="10"/>
  <c r="V2" i="10"/>
  <c r="AE55" i="10"/>
  <c r="AC55" i="10"/>
  <c r="AD55" i="10" s="1"/>
  <c r="AG55" i="10" s="1"/>
  <c r="AH55" i="10" s="1"/>
  <c r="AA55" i="10"/>
  <c r="AB55" i="10" s="1"/>
  <c r="AJ55" i="10" s="1"/>
  <c r="AK55" i="10" s="1"/>
  <c r="AE54" i="10"/>
  <c r="AC54" i="10"/>
  <c r="AD54" i="10" s="1"/>
  <c r="AG54" i="10" s="1"/>
  <c r="AH54" i="10" s="1"/>
  <c r="AA54" i="10"/>
  <c r="AB54" i="10" s="1"/>
  <c r="AJ54" i="10" s="1"/>
  <c r="AK54" i="10" s="1"/>
  <c r="AE53" i="10"/>
  <c r="AC53" i="10"/>
  <c r="AD53" i="10" s="1"/>
  <c r="AG53" i="10" s="1"/>
  <c r="AH53" i="10" s="1"/>
  <c r="AA53" i="10"/>
  <c r="AB53" i="10" s="1"/>
  <c r="AJ53" i="10" s="1"/>
  <c r="AK53" i="10" s="1"/>
  <c r="AE52" i="10"/>
  <c r="AC52" i="10"/>
  <c r="AD52" i="10" s="1"/>
  <c r="AG52" i="10" s="1"/>
  <c r="AH52" i="10" s="1"/>
  <c r="AA52" i="10"/>
  <c r="AB52" i="10" s="1"/>
  <c r="AJ52" i="10" s="1"/>
  <c r="AK52" i="10" s="1"/>
  <c r="AE51" i="10"/>
  <c r="AC51" i="10"/>
  <c r="AD51" i="10" s="1"/>
  <c r="AG51" i="10" s="1"/>
  <c r="AH51" i="10" s="1"/>
  <c r="AA51" i="10"/>
  <c r="AB51" i="10" s="1"/>
  <c r="AJ51" i="10" s="1"/>
  <c r="AK51" i="10" s="1"/>
  <c r="AE50" i="10"/>
  <c r="AC50" i="10"/>
  <c r="AD50" i="10" s="1"/>
  <c r="AG50" i="10" s="1"/>
  <c r="AH50" i="10" s="1"/>
  <c r="AA50" i="10"/>
  <c r="AB50" i="10" s="1"/>
  <c r="AJ50" i="10" s="1"/>
  <c r="AK50" i="10" s="1"/>
  <c r="AE49" i="10"/>
  <c r="AC49" i="10"/>
  <c r="AD49" i="10" s="1"/>
  <c r="AG49" i="10" s="1"/>
  <c r="AH49" i="10" s="1"/>
  <c r="AA49" i="10"/>
  <c r="AB49" i="10" s="1"/>
  <c r="AJ49" i="10" s="1"/>
  <c r="AK49" i="10" s="1"/>
  <c r="AE48" i="10"/>
  <c r="AC48" i="10"/>
  <c r="AD48" i="10" s="1"/>
  <c r="AG48" i="10" s="1"/>
  <c r="AH48" i="10" s="1"/>
  <c r="AA48" i="10"/>
  <c r="AB48" i="10" s="1"/>
  <c r="AJ48" i="10" s="1"/>
  <c r="AK48" i="10" s="1"/>
  <c r="AE47" i="10"/>
  <c r="AC47" i="10"/>
  <c r="AD47" i="10" s="1"/>
  <c r="AG47" i="10" s="1"/>
  <c r="AH47" i="10" s="1"/>
  <c r="AA47" i="10"/>
  <c r="AB47" i="10" s="1"/>
  <c r="AJ47" i="10" s="1"/>
  <c r="AK47" i="10" s="1"/>
  <c r="AE46" i="10"/>
  <c r="AC46" i="10"/>
  <c r="AD46" i="10" s="1"/>
  <c r="AG46" i="10" s="1"/>
  <c r="AH46" i="10" s="1"/>
  <c r="AA46" i="10"/>
  <c r="AB46" i="10" s="1"/>
  <c r="AJ46" i="10" s="1"/>
  <c r="AK46" i="10" s="1"/>
  <c r="AE45" i="10"/>
  <c r="AC45" i="10"/>
  <c r="AD45" i="10" s="1"/>
  <c r="AG45" i="10" s="1"/>
  <c r="AH45" i="10" s="1"/>
  <c r="AA45" i="10"/>
  <c r="AB45" i="10" s="1"/>
  <c r="AJ45" i="10" s="1"/>
  <c r="AK45" i="10" s="1"/>
  <c r="AE44" i="10"/>
  <c r="AC44" i="10"/>
  <c r="AD44" i="10" s="1"/>
  <c r="AG44" i="10" s="1"/>
  <c r="AH44" i="10" s="1"/>
  <c r="AA44" i="10"/>
  <c r="AB44" i="10" s="1"/>
  <c r="AJ44" i="10" s="1"/>
  <c r="AK44" i="10" s="1"/>
  <c r="AE43" i="10"/>
  <c r="AC43" i="10"/>
  <c r="AD43" i="10" s="1"/>
  <c r="AG43" i="10" s="1"/>
  <c r="AH43" i="10" s="1"/>
  <c r="AA43" i="10"/>
  <c r="AB43" i="10" s="1"/>
  <c r="AJ43" i="10" s="1"/>
  <c r="AK43" i="10" s="1"/>
  <c r="AE42" i="10"/>
  <c r="AC42" i="10"/>
  <c r="AD42" i="10" s="1"/>
  <c r="AG42" i="10" s="1"/>
  <c r="AH42" i="10" s="1"/>
  <c r="AA42" i="10"/>
  <c r="AB42" i="10" s="1"/>
  <c r="AJ42" i="10" s="1"/>
  <c r="AK42" i="10" s="1"/>
  <c r="AE41" i="10"/>
  <c r="AC41" i="10"/>
  <c r="AD41" i="10" s="1"/>
  <c r="AG41" i="10" s="1"/>
  <c r="AH41" i="10" s="1"/>
  <c r="AA41" i="10"/>
  <c r="AB41" i="10" s="1"/>
  <c r="AJ41" i="10" s="1"/>
  <c r="AK41" i="10" s="1"/>
  <c r="AE40" i="10"/>
  <c r="AC40" i="10"/>
  <c r="AD40" i="10" s="1"/>
  <c r="AG40" i="10" s="1"/>
  <c r="AH40" i="10" s="1"/>
  <c r="AA40" i="10"/>
  <c r="AB40" i="10" s="1"/>
  <c r="AJ40" i="10" s="1"/>
  <c r="AK40" i="10" s="1"/>
  <c r="AE39" i="10"/>
  <c r="AC39" i="10"/>
  <c r="AD39" i="10" s="1"/>
  <c r="AG39" i="10" s="1"/>
  <c r="AH39" i="10" s="1"/>
  <c r="AA39" i="10"/>
  <c r="AB39" i="10" s="1"/>
  <c r="AJ39" i="10" s="1"/>
  <c r="AK39" i="10" s="1"/>
  <c r="AE38" i="10"/>
  <c r="AC38" i="10"/>
  <c r="AD38" i="10" s="1"/>
  <c r="AG38" i="10" s="1"/>
  <c r="AH38" i="10" s="1"/>
  <c r="AA38" i="10"/>
  <c r="AB38" i="10" s="1"/>
  <c r="AJ38" i="10" s="1"/>
  <c r="AK38" i="10" s="1"/>
  <c r="AE37" i="10"/>
  <c r="AC37" i="10"/>
  <c r="AD37" i="10" s="1"/>
  <c r="AG37" i="10" s="1"/>
  <c r="AH37" i="10" s="1"/>
  <c r="AA37" i="10"/>
  <c r="AB37" i="10" s="1"/>
  <c r="AJ37" i="10" s="1"/>
  <c r="AK37" i="10" s="1"/>
  <c r="AE36" i="10"/>
  <c r="AC36" i="10"/>
  <c r="AD36" i="10" s="1"/>
  <c r="AG36" i="10" s="1"/>
  <c r="AH36" i="10" s="1"/>
  <c r="AA36" i="10"/>
  <c r="AB36" i="10" s="1"/>
  <c r="AJ36" i="10" s="1"/>
  <c r="AK36" i="10" s="1"/>
  <c r="AE35" i="10"/>
  <c r="AC35" i="10"/>
  <c r="AD35" i="10" s="1"/>
  <c r="AG35" i="10" s="1"/>
  <c r="AH35" i="10" s="1"/>
  <c r="AA35" i="10"/>
  <c r="AB35" i="10" s="1"/>
  <c r="AJ35" i="10" s="1"/>
  <c r="AK35" i="10" s="1"/>
  <c r="AE34" i="10"/>
  <c r="AC34" i="10"/>
  <c r="AD34" i="10" s="1"/>
  <c r="AG34" i="10" s="1"/>
  <c r="AH34" i="10" s="1"/>
  <c r="AA34" i="10"/>
  <c r="AB34" i="10" s="1"/>
  <c r="AJ34" i="10" s="1"/>
  <c r="AK34" i="10" s="1"/>
  <c r="AE33" i="10"/>
  <c r="AC33" i="10"/>
  <c r="AD33" i="10" s="1"/>
  <c r="AG33" i="10" s="1"/>
  <c r="AH33" i="10" s="1"/>
  <c r="AA33" i="10"/>
  <c r="AB33" i="10" s="1"/>
  <c r="AJ33" i="10" s="1"/>
  <c r="AK33" i="10" s="1"/>
  <c r="AE32" i="10"/>
  <c r="AC32" i="10"/>
  <c r="AD32" i="10" s="1"/>
  <c r="AG32" i="10" s="1"/>
  <c r="AH32" i="10" s="1"/>
  <c r="AA32" i="10"/>
  <c r="AB32" i="10" s="1"/>
  <c r="AJ32" i="10" s="1"/>
  <c r="AK32" i="10" s="1"/>
  <c r="AE31" i="10"/>
  <c r="AC31" i="10"/>
  <c r="AD31" i="10" s="1"/>
  <c r="AG31" i="10" s="1"/>
  <c r="AH31" i="10" s="1"/>
  <c r="AA31" i="10"/>
  <c r="AB31" i="10" s="1"/>
  <c r="AJ31" i="10" s="1"/>
  <c r="AK31" i="10" s="1"/>
  <c r="AE30" i="10"/>
  <c r="AC30" i="10"/>
  <c r="AD30" i="10" s="1"/>
  <c r="AG30" i="10" s="1"/>
  <c r="AH30" i="10" s="1"/>
  <c r="AA30" i="10"/>
  <c r="AB30" i="10" s="1"/>
  <c r="AJ30" i="10" s="1"/>
  <c r="AK30" i="10" s="1"/>
  <c r="AE29" i="10"/>
  <c r="AC29" i="10"/>
  <c r="AD29" i="10" s="1"/>
  <c r="AG29" i="10" s="1"/>
  <c r="AH29" i="10" s="1"/>
  <c r="AA29" i="10"/>
  <c r="AB29" i="10" s="1"/>
  <c r="AJ29" i="10" s="1"/>
  <c r="AK29" i="10" s="1"/>
  <c r="AE28" i="10"/>
  <c r="AC28" i="10"/>
  <c r="AD28" i="10" s="1"/>
  <c r="AG28" i="10" s="1"/>
  <c r="AH28" i="10" s="1"/>
  <c r="AA28" i="10"/>
  <c r="AB28" i="10" s="1"/>
  <c r="AJ28" i="10" s="1"/>
  <c r="AK28" i="10" s="1"/>
  <c r="AE27" i="10"/>
  <c r="AC27" i="10"/>
  <c r="AD27" i="10" s="1"/>
  <c r="AG27" i="10" s="1"/>
  <c r="AH27" i="10" s="1"/>
  <c r="AA27" i="10"/>
  <c r="AB27" i="10" s="1"/>
  <c r="AJ27" i="10" s="1"/>
  <c r="AK27" i="10" s="1"/>
  <c r="AE26" i="10"/>
  <c r="AC26" i="10"/>
  <c r="AD26" i="10" s="1"/>
  <c r="AG26" i="10" s="1"/>
  <c r="AH26" i="10" s="1"/>
  <c r="AA26" i="10"/>
  <c r="AB26" i="10" s="1"/>
  <c r="AJ26" i="10" s="1"/>
  <c r="AK26" i="10" s="1"/>
  <c r="AE25" i="10"/>
  <c r="AC25" i="10"/>
  <c r="AD25" i="10" s="1"/>
  <c r="AG25" i="10" s="1"/>
  <c r="AH25" i="10" s="1"/>
  <c r="AA25" i="10"/>
  <c r="AB25" i="10" s="1"/>
  <c r="AJ25" i="10" s="1"/>
  <c r="AK25" i="10" s="1"/>
  <c r="AE24" i="10"/>
  <c r="AC24" i="10"/>
  <c r="AD24" i="10" s="1"/>
  <c r="AG24" i="10" s="1"/>
  <c r="AH24" i="10" s="1"/>
  <c r="AA24" i="10"/>
  <c r="AB24" i="10" s="1"/>
  <c r="AJ24" i="10" s="1"/>
  <c r="AK24" i="10" s="1"/>
  <c r="AE23" i="10"/>
  <c r="AC23" i="10"/>
  <c r="AD23" i="10" s="1"/>
  <c r="AG23" i="10" s="1"/>
  <c r="AH23" i="10" s="1"/>
  <c r="AA23" i="10"/>
  <c r="AB23" i="10" s="1"/>
  <c r="AJ23" i="10" s="1"/>
  <c r="AK23" i="10" s="1"/>
  <c r="AE22" i="10"/>
  <c r="AC22" i="10"/>
  <c r="AD22" i="10" s="1"/>
  <c r="AG22" i="10" s="1"/>
  <c r="AH22" i="10" s="1"/>
  <c r="AA22" i="10"/>
  <c r="AB22" i="10" s="1"/>
  <c r="AJ22" i="10" s="1"/>
  <c r="AK22" i="10" s="1"/>
  <c r="AE21" i="10"/>
  <c r="AC21" i="10"/>
  <c r="AD21" i="10" s="1"/>
  <c r="AG21" i="10" s="1"/>
  <c r="AH21" i="10" s="1"/>
  <c r="AA21" i="10"/>
  <c r="AB21" i="10" s="1"/>
  <c r="AJ21" i="10" s="1"/>
  <c r="AK21" i="10" s="1"/>
  <c r="AE20" i="10"/>
  <c r="AC20" i="10"/>
  <c r="AD20" i="10" s="1"/>
  <c r="AG20" i="10" s="1"/>
  <c r="AH20" i="10" s="1"/>
  <c r="AA20" i="10"/>
  <c r="AB20" i="10" s="1"/>
  <c r="AJ20" i="10" s="1"/>
  <c r="AK20" i="10" s="1"/>
  <c r="AE19" i="10"/>
  <c r="AC19" i="10"/>
  <c r="AD19" i="10" s="1"/>
  <c r="AG19" i="10" s="1"/>
  <c r="AH19" i="10" s="1"/>
  <c r="AA19" i="10"/>
  <c r="AB19" i="10" s="1"/>
  <c r="AJ19" i="10" s="1"/>
  <c r="AK19" i="10" s="1"/>
  <c r="AE18" i="10"/>
  <c r="AC18" i="10"/>
  <c r="AD18" i="10" s="1"/>
  <c r="AG18" i="10" s="1"/>
  <c r="AH18" i="10" s="1"/>
  <c r="AA18" i="10"/>
  <c r="AB18" i="10" s="1"/>
  <c r="AJ18" i="10" s="1"/>
  <c r="AK18" i="10" s="1"/>
  <c r="AE17" i="10"/>
  <c r="AC17" i="10"/>
  <c r="AD17" i="10" s="1"/>
  <c r="AG17" i="10" s="1"/>
  <c r="AH17" i="10" s="1"/>
  <c r="AA17" i="10"/>
  <c r="AB17" i="10" s="1"/>
  <c r="AJ17" i="10" s="1"/>
  <c r="AK17" i="10" s="1"/>
  <c r="AE16" i="10"/>
  <c r="AC16" i="10"/>
  <c r="AD16" i="10" s="1"/>
  <c r="AG16" i="10" s="1"/>
  <c r="AH16" i="10" s="1"/>
  <c r="AA16" i="10"/>
  <c r="AB16" i="10" s="1"/>
  <c r="AJ16" i="10" s="1"/>
  <c r="AK16" i="10" s="1"/>
  <c r="AE15" i="10"/>
  <c r="AC15" i="10"/>
  <c r="AD15" i="10" s="1"/>
  <c r="AG15" i="10" s="1"/>
  <c r="AH15" i="10" s="1"/>
  <c r="AA15" i="10"/>
  <c r="AB15" i="10" s="1"/>
  <c r="AJ15" i="10" s="1"/>
  <c r="AK15" i="10" s="1"/>
  <c r="AE14" i="10"/>
  <c r="AC14" i="10"/>
  <c r="AD14" i="10" s="1"/>
  <c r="AG14" i="10" s="1"/>
  <c r="AH14" i="10" s="1"/>
  <c r="AA14" i="10"/>
  <c r="AB14" i="10" s="1"/>
  <c r="AJ14" i="10" s="1"/>
  <c r="AK14" i="10" s="1"/>
  <c r="AE13" i="10"/>
  <c r="AC13" i="10"/>
  <c r="AD13" i="10" s="1"/>
  <c r="AG13" i="10" s="1"/>
  <c r="AH13" i="10" s="1"/>
  <c r="AA13" i="10"/>
  <c r="AB13" i="10" s="1"/>
  <c r="AJ13" i="10" s="1"/>
  <c r="AK13" i="10" s="1"/>
  <c r="AE12" i="10"/>
  <c r="AC12" i="10"/>
  <c r="AD12" i="10" s="1"/>
  <c r="AG12" i="10" s="1"/>
  <c r="AH12" i="10" s="1"/>
  <c r="AA12" i="10"/>
  <c r="AB12" i="10" s="1"/>
  <c r="AJ12" i="10" s="1"/>
  <c r="AK12" i="10" s="1"/>
  <c r="AE11" i="10"/>
  <c r="AC11" i="10"/>
  <c r="AD11" i="10" s="1"/>
  <c r="AG11" i="10" s="1"/>
  <c r="AH11" i="10" s="1"/>
  <c r="AA11" i="10"/>
  <c r="AB11" i="10" s="1"/>
  <c r="AJ11" i="10" s="1"/>
  <c r="AK11" i="10" s="1"/>
  <c r="AE10" i="10"/>
  <c r="AC10" i="10"/>
  <c r="AD10" i="10" s="1"/>
  <c r="AG10" i="10" s="1"/>
  <c r="AH10" i="10" s="1"/>
  <c r="AA10" i="10"/>
  <c r="AB10" i="10" s="1"/>
  <c r="AJ10" i="10" s="1"/>
  <c r="AK10" i="10" s="1"/>
  <c r="AE9" i="10"/>
  <c r="AC9" i="10"/>
  <c r="AD9" i="10" s="1"/>
  <c r="AG9" i="10" s="1"/>
  <c r="AH9" i="10" s="1"/>
  <c r="AA9" i="10"/>
  <c r="AB9" i="10" s="1"/>
  <c r="AJ9" i="10" s="1"/>
  <c r="AK9" i="10" s="1"/>
  <c r="AE8" i="10"/>
  <c r="AC8" i="10"/>
  <c r="AD8" i="10" s="1"/>
  <c r="AG8" i="10" s="1"/>
  <c r="AH8" i="10" s="1"/>
  <c r="AA8" i="10"/>
  <c r="AB8" i="10" s="1"/>
  <c r="AJ8" i="10" s="1"/>
  <c r="AK8" i="10" s="1"/>
  <c r="AJ7" i="10"/>
  <c r="AK7" i="10" s="1"/>
  <c r="AG7" i="10"/>
  <c r="AH7" i="10" s="1"/>
  <c r="AJ6" i="10"/>
  <c r="AK6" i="10" s="1"/>
  <c r="AG6" i="10"/>
  <c r="AH6" i="10" s="1"/>
  <c r="AJ5" i="10"/>
  <c r="AK5" i="10" s="1"/>
  <c r="AG5" i="10"/>
  <c r="AH5" i="10" s="1"/>
  <c r="AE55" i="12"/>
  <c r="AC55" i="12"/>
  <c r="AD55" i="12" s="1"/>
  <c r="AG55" i="12" s="1"/>
  <c r="AH55" i="12" s="1"/>
  <c r="AA55" i="12"/>
  <c r="AB55" i="12" s="1"/>
  <c r="AJ55" i="12" s="1"/>
  <c r="AK55" i="12" s="1"/>
  <c r="AE54" i="12"/>
  <c r="AC54" i="12"/>
  <c r="AD54" i="12" s="1"/>
  <c r="AG54" i="12" s="1"/>
  <c r="AH54" i="12" s="1"/>
  <c r="AA54" i="12"/>
  <c r="AB54" i="12" s="1"/>
  <c r="AJ54" i="12" s="1"/>
  <c r="AK54" i="12" s="1"/>
  <c r="AE53" i="12"/>
  <c r="AC53" i="12"/>
  <c r="AD53" i="12" s="1"/>
  <c r="AG53" i="12" s="1"/>
  <c r="AH53" i="12" s="1"/>
  <c r="AA53" i="12"/>
  <c r="AB53" i="12" s="1"/>
  <c r="AJ53" i="12" s="1"/>
  <c r="AK53" i="12" s="1"/>
  <c r="AE52" i="12"/>
  <c r="AC52" i="12"/>
  <c r="AD52" i="12" s="1"/>
  <c r="AG52" i="12" s="1"/>
  <c r="AH52" i="12" s="1"/>
  <c r="AA52" i="12"/>
  <c r="AB52" i="12" s="1"/>
  <c r="AJ52" i="12" s="1"/>
  <c r="AK52" i="12" s="1"/>
  <c r="AE51" i="12"/>
  <c r="AC51" i="12"/>
  <c r="AD51" i="12" s="1"/>
  <c r="AG51" i="12" s="1"/>
  <c r="AH51" i="12" s="1"/>
  <c r="AA51" i="12"/>
  <c r="AB51" i="12" s="1"/>
  <c r="AJ51" i="12" s="1"/>
  <c r="AK51" i="12" s="1"/>
  <c r="AE50" i="12"/>
  <c r="AC50" i="12"/>
  <c r="AD50" i="12" s="1"/>
  <c r="AG50" i="12" s="1"/>
  <c r="AH50" i="12" s="1"/>
  <c r="AA50" i="12"/>
  <c r="AB50" i="12" s="1"/>
  <c r="AJ50" i="12" s="1"/>
  <c r="AK50" i="12" s="1"/>
  <c r="AE49" i="12"/>
  <c r="AC49" i="12"/>
  <c r="AD49" i="12" s="1"/>
  <c r="AG49" i="12" s="1"/>
  <c r="AH49" i="12" s="1"/>
  <c r="AA49" i="12"/>
  <c r="AB49" i="12" s="1"/>
  <c r="AJ49" i="12" s="1"/>
  <c r="AK49" i="12" s="1"/>
  <c r="AE48" i="12"/>
  <c r="AC48" i="12"/>
  <c r="AD48" i="12" s="1"/>
  <c r="AG48" i="12" s="1"/>
  <c r="AH48" i="12" s="1"/>
  <c r="AA48" i="12"/>
  <c r="AB48" i="12" s="1"/>
  <c r="AJ48" i="12" s="1"/>
  <c r="AK48" i="12" s="1"/>
  <c r="AE47" i="12"/>
  <c r="AC47" i="12"/>
  <c r="AD47" i="12" s="1"/>
  <c r="AG47" i="12" s="1"/>
  <c r="AH47" i="12" s="1"/>
  <c r="AA47" i="12"/>
  <c r="AB47" i="12" s="1"/>
  <c r="AJ47" i="12" s="1"/>
  <c r="AK47" i="12" s="1"/>
  <c r="AE46" i="12"/>
  <c r="AC46" i="12"/>
  <c r="AD46" i="12" s="1"/>
  <c r="AG46" i="12" s="1"/>
  <c r="AH46" i="12" s="1"/>
  <c r="AA46" i="12"/>
  <c r="AB46" i="12" s="1"/>
  <c r="AJ46" i="12" s="1"/>
  <c r="AK46" i="12" s="1"/>
  <c r="AE45" i="12"/>
  <c r="AC45" i="12"/>
  <c r="AD45" i="12" s="1"/>
  <c r="AG45" i="12" s="1"/>
  <c r="AH45" i="12" s="1"/>
  <c r="AA45" i="12"/>
  <c r="AB45" i="12" s="1"/>
  <c r="AJ45" i="12" s="1"/>
  <c r="AK45" i="12" s="1"/>
  <c r="AE44" i="12"/>
  <c r="AC44" i="12"/>
  <c r="AD44" i="12" s="1"/>
  <c r="AG44" i="12" s="1"/>
  <c r="AH44" i="12" s="1"/>
  <c r="AA44" i="12"/>
  <c r="AB44" i="12" s="1"/>
  <c r="AJ44" i="12" s="1"/>
  <c r="AK44" i="12" s="1"/>
  <c r="AE43" i="12"/>
  <c r="AC43" i="12"/>
  <c r="AD43" i="12" s="1"/>
  <c r="AG43" i="12" s="1"/>
  <c r="AH43" i="12" s="1"/>
  <c r="AA43" i="12"/>
  <c r="AB43" i="12" s="1"/>
  <c r="AJ43" i="12" s="1"/>
  <c r="AK43" i="12" s="1"/>
  <c r="AE42" i="12"/>
  <c r="AC42" i="12"/>
  <c r="AD42" i="12" s="1"/>
  <c r="AG42" i="12" s="1"/>
  <c r="AH42" i="12" s="1"/>
  <c r="AA42" i="12"/>
  <c r="AB42" i="12" s="1"/>
  <c r="AJ42" i="12" s="1"/>
  <c r="AK42" i="12" s="1"/>
  <c r="AE41" i="12"/>
  <c r="AC41" i="12"/>
  <c r="AD41" i="12" s="1"/>
  <c r="AG41" i="12" s="1"/>
  <c r="AH41" i="12" s="1"/>
  <c r="AA41" i="12"/>
  <c r="AB41" i="12" s="1"/>
  <c r="AJ41" i="12" s="1"/>
  <c r="AK41" i="12" s="1"/>
  <c r="AE40" i="12"/>
  <c r="AC40" i="12"/>
  <c r="AD40" i="12" s="1"/>
  <c r="AG40" i="12" s="1"/>
  <c r="AH40" i="12" s="1"/>
  <c r="AA40" i="12"/>
  <c r="AB40" i="12" s="1"/>
  <c r="AJ40" i="12" s="1"/>
  <c r="AK40" i="12" s="1"/>
  <c r="AE39" i="12"/>
  <c r="AC39" i="12"/>
  <c r="AD39" i="12" s="1"/>
  <c r="AG39" i="12" s="1"/>
  <c r="AH39" i="12" s="1"/>
  <c r="AA39" i="12"/>
  <c r="AB39" i="12" s="1"/>
  <c r="AJ39" i="12" s="1"/>
  <c r="AK39" i="12" s="1"/>
  <c r="AE38" i="12"/>
  <c r="AC38" i="12"/>
  <c r="AD38" i="12" s="1"/>
  <c r="AG38" i="12" s="1"/>
  <c r="AH38" i="12" s="1"/>
  <c r="AA38" i="12"/>
  <c r="AB38" i="12" s="1"/>
  <c r="AJ38" i="12" s="1"/>
  <c r="AK38" i="12" s="1"/>
  <c r="AE37" i="12"/>
  <c r="AC37" i="12"/>
  <c r="AD37" i="12" s="1"/>
  <c r="AG37" i="12" s="1"/>
  <c r="AH37" i="12" s="1"/>
  <c r="AA37" i="12"/>
  <c r="AB37" i="12" s="1"/>
  <c r="AJ37" i="12" s="1"/>
  <c r="AK37" i="12" s="1"/>
  <c r="AE36" i="12"/>
  <c r="AC36" i="12"/>
  <c r="AD36" i="12" s="1"/>
  <c r="AG36" i="12" s="1"/>
  <c r="AH36" i="12" s="1"/>
  <c r="AA36" i="12"/>
  <c r="AB36" i="12" s="1"/>
  <c r="AJ36" i="12" s="1"/>
  <c r="AK36" i="12" s="1"/>
  <c r="AE35" i="12"/>
  <c r="AC35" i="12"/>
  <c r="AD35" i="12" s="1"/>
  <c r="AG35" i="12" s="1"/>
  <c r="AH35" i="12" s="1"/>
  <c r="AA35" i="12"/>
  <c r="AB35" i="12" s="1"/>
  <c r="AJ35" i="12" s="1"/>
  <c r="AK35" i="12" s="1"/>
  <c r="AE34" i="12"/>
  <c r="AC34" i="12"/>
  <c r="AD34" i="12" s="1"/>
  <c r="AG34" i="12" s="1"/>
  <c r="AH34" i="12" s="1"/>
  <c r="AA34" i="12"/>
  <c r="AB34" i="12" s="1"/>
  <c r="AJ34" i="12" s="1"/>
  <c r="AK34" i="12" s="1"/>
  <c r="AE33" i="12"/>
  <c r="AC33" i="12"/>
  <c r="AD33" i="12" s="1"/>
  <c r="AG33" i="12" s="1"/>
  <c r="AH33" i="12" s="1"/>
  <c r="AA33" i="12"/>
  <c r="AB33" i="12" s="1"/>
  <c r="AJ33" i="12" s="1"/>
  <c r="AK33" i="12" s="1"/>
  <c r="AE32" i="12"/>
  <c r="AC32" i="12"/>
  <c r="AD32" i="12" s="1"/>
  <c r="AG32" i="12" s="1"/>
  <c r="AH32" i="12" s="1"/>
  <c r="AA32" i="12"/>
  <c r="AB32" i="12" s="1"/>
  <c r="AJ32" i="12" s="1"/>
  <c r="AK32" i="12" s="1"/>
  <c r="AE31" i="12"/>
  <c r="AC31" i="12"/>
  <c r="AD31" i="12" s="1"/>
  <c r="AG31" i="12" s="1"/>
  <c r="AH31" i="12" s="1"/>
  <c r="AA31" i="12"/>
  <c r="AB31" i="12" s="1"/>
  <c r="AJ31" i="12" s="1"/>
  <c r="AK31" i="12" s="1"/>
  <c r="AE30" i="12"/>
  <c r="AC30" i="12"/>
  <c r="AD30" i="12" s="1"/>
  <c r="AG30" i="12" s="1"/>
  <c r="AH30" i="12" s="1"/>
  <c r="AA30" i="12"/>
  <c r="AB30" i="12" s="1"/>
  <c r="AJ30" i="12" s="1"/>
  <c r="AK30" i="12" s="1"/>
  <c r="AE29" i="12"/>
  <c r="AC29" i="12"/>
  <c r="AD29" i="12" s="1"/>
  <c r="AG29" i="12" s="1"/>
  <c r="AH29" i="12" s="1"/>
  <c r="AA29" i="12"/>
  <c r="AB29" i="12" s="1"/>
  <c r="AJ29" i="12" s="1"/>
  <c r="AK29" i="12" s="1"/>
  <c r="AE28" i="12"/>
  <c r="AC28" i="12"/>
  <c r="AD28" i="12" s="1"/>
  <c r="AG28" i="12" s="1"/>
  <c r="AH28" i="12" s="1"/>
  <c r="AA28" i="12"/>
  <c r="AB28" i="12" s="1"/>
  <c r="AJ28" i="12" s="1"/>
  <c r="AK28" i="12" s="1"/>
  <c r="AE27" i="12"/>
  <c r="AC27" i="12"/>
  <c r="AD27" i="12" s="1"/>
  <c r="AG27" i="12" s="1"/>
  <c r="AH27" i="12" s="1"/>
  <c r="AA27" i="12"/>
  <c r="AB27" i="12" s="1"/>
  <c r="AJ27" i="12" s="1"/>
  <c r="AK27" i="12" s="1"/>
  <c r="AE26" i="12"/>
  <c r="AC26" i="12"/>
  <c r="AD26" i="12" s="1"/>
  <c r="AG26" i="12" s="1"/>
  <c r="AH26" i="12" s="1"/>
  <c r="AA26" i="12"/>
  <c r="AB26" i="12" s="1"/>
  <c r="AJ26" i="12" s="1"/>
  <c r="AK26" i="12" s="1"/>
  <c r="AE25" i="12"/>
  <c r="AC25" i="12"/>
  <c r="AD25" i="12" s="1"/>
  <c r="AG25" i="12" s="1"/>
  <c r="AH25" i="12" s="1"/>
  <c r="AA25" i="12"/>
  <c r="AB25" i="12" s="1"/>
  <c r="AJ25" i="12" s="1"/>
  <c r="AK25" i="12" s="1"/>
  <c r="AE24" i="12"/>
  <c r="AC24" i="12"/>
  <c r="AD24" i="12" s="1"/>
  <c r="AG24" i="12" s="1"/>
  <c r="AH24" i="12" s="1"/>
  <c r="AA24" i="12"/>
  <c r="AB24" i="12" s="1"/>
  <c r="AJ24" i="12" s="1"/>
  <c r="AK24" i="12" s="1"/>
  <c r="AE23" i="12"/>
  <c r="AC23" i="12"/>
  <c r="AD23" i="12" s="1"/>
  <c r="AG23" i="12" s="1"/>
  <c r="AH23" i="12" s="1"/>
  <c r="AA23" i="12"/>
  <c r="AB23" i="12" s="1"/>
  <c r="AJ23" i="12" s="1"/>
  <c r="AK23" i="12" s="1"/>
  <c r="AE22" i="12"/>
  <c r="AC22" i="12"/>
  <c r="AD22" i="12" s="1"/>
  <c r="AG22" i="12" s="1"/>
  <c r="AH22" i="12" s="1"/>
  <c r="AA22" i="12"/>
  <c r="AB22" i="12" s="1"/>
  <c r="AJ22" i="12" s="1"/>
  <c r="AK22" i="12" s="1"/>
  <c r="AE21" i="12"/>
  <c r="AC21" i="12"/>
  <c r="AD21" i="12" s="1"/>
  <c r="AG21" i="12" s="1"/>
  <c r="AH21" i="12" s="1"/>
  <c r="AA21" i="12"/>
  <c r="AB21" i="12" s="1"/>
  <c r="AJ21" i="12" s="1"/>
  <c r="AK21" i="12" s="1"/>
  <c r="AE20" i="12"/>
  <c r="AC20" i="12"/>
  <c r="AD20" i="12" s="1"/>
  <c r="AG20" i="12" s="1"/>
  <c r="AH20" i="12" s="1"/>
  <c r="AA20" i="12"/>
  <c r="AB20" i="12" s="1"/>
  <c r="AJ20" i="12" s="1"/>
  <c r="AK20" i="12" s="1"/>
  <c r="AE19" i="12"/>
  <c r="AC19" i="12"/>
  <c r="AD19" i="12" s="1"/>
  <c r="AG19" i="12" s="1"/>
  <c r="AH19" i="12" s="1"/>
  <c r="AA19" i="12"/>
  <c r="AB19" i="12" s="1"/>
  <c r="AJ19" i="12" s="1"/>
  <c r="AK19" i="12" s="1"/>
  <c r="AE18" i="12"/>
  <c r="AC18" i="12"/>
  <c r="AD18" i="12" s="1"/>
  <c r="AG18" i="12" s="1"/>
  <c r="AH18" i="12" s="1"/>
  <c r="AA18" i="12"/>
  <c r="AB18" i="12" s="1"/>
  <c r="AJ18" i="12" s="1"/>
  <c r="AK18" i="12" s="1"/>
  <c r="AE17" i="12"/>
  <c r="AC17" i="12"/>
  <c r="AD17" i="12" s="1"/>
  <c r="AG17" i="12" s="1"/>
  <c r="AH17" i="12" s="1"/>
  <c r="AA17" i="12"/>
  <c r="AB17" i="12" s="1"/>
  <c r="AJ17" i="12" s="1"/>
  <c r="AK17" i="12" s="1"/>
  <c r="AE16" i="12"/>
  <c r="AC16" i="12"/>
  <c r="AD16" i="12" s="1"/>
  <c r="AG16" i="12" s="1"/>
  <c r="AH16" i="12" s="1"/>
  <c r="AA16" i="12"/>
  <c r="AB16" i="12" s="1"/>
  <c r="AJ16" i="12" s="1"/>
  <c r="AK16" i="12" s="1"/>
  <c r="AE15" i="12"/>
  <c r="AC15" i="12"/>
  <c r="AD15" i="12" s="1"/>
  <c r="AG15" i="12" s="1"/>
  <c r="AH15" i="12" s="1"/>
  <c r="AA15" i="12"/>
  <c r="AB15" i="12" s="1"/>
  <c r="AJ15" i="12" s="1"/>
  <c r="AK15" i="12" s="1"/>
  <c r="AE14" i="12"/>
  <c r="AC14" i="12"/>
  <c r="AD14" i="12" s="1"/>
  <c r="AG14" i="12" s="1"/>
  <c r="AH14" i="12" s="1"/>
  <c r="AA14" i="12"/>
  <c r="AB14" i="12" s="1"/>
  <c r="AJ14" i="12" s="1"/>
  <c r="AK14" i="12" s="1"/>
  <c r="AE13" i="12"/>
  <c r="AC13" i="12"/>
  <c r="AD13" i="12" s="1"/>
  <c r="AG13" i="12" s="1"/>
  <c r="AH13" i="12" s="1"/>
  <c r="AA13" i="12"/>
  <c r="AB13" i="12" s="1"/>
  <c r="AJ13" i="12" s="1"/>
  <c r="AK13" i="12" s="1"/>
  <c r="AE12" i="12"/>
  <c r="AC12" i="12"/>
  <c r="AD12" i="12" s="1"/>
  <c r="AG12" i="12" s="1"/>
  <c r="AH12" i="12" s="1"/>
  <c r="AA12" i="12"/>
  <c r="AB12" i="12" s="1"/>
  <c r="AJ12" i="12" s="1"/>
  <c r="AK12" i="12" s="1"/>
  <c r="AE11" i="12"/>
  <c r="AC11" i="12"/>
  <c r="AD11" i="12" s="1"/>
  <c r="AG11" i="12" s="1"/>
  <c r="AH11" i="12" s="1"/>
  <c r="AA11" i="12"/>
  <c r="AB11" i="12" s="1"/>
  <c r="AJ11" i="12" s="1"/>
  <c r="AK11" i="12" s="1"/>
  <c r="AE10" i="12"/>
  <c r="AC10" i="12"/>
  <c r="AD10" i="12" s="1"/>
  <c r="AG10" i="12" s="1"/>
  <c r="AH10" i="12" s="1"/>
  <c r="AA10" i="12"/>
  <c r="AB10" i="12" s="1"/>
  <c r="AJ10" i="12" s="1"/>
  <c r="AK10" i="12" s="1"/>
  <c r="AE9" i="12"/>
  <c r="AC9" i="12"/>
  <c r="AD9" i="12" s="1"/>
  <c r="AG9" i="12" s="1"/>
  <c r="AH9" i="12" s="1"/>
  <c r="AA9" i="12"/>
  <c r="AB9" i="12" s="1"/>
  <c r="AJ9" i="12" s="1"/>
  <c r="AK9" i="12" s="1"/>
  <c r="AE8" i="12"/>
  <c r="AC8" i="12"/>
  <c r="AD8" i="12" s="1"/>
  <c r="AG8" i="12" s="1"/>
  <c r="AH8" i="12" s="1"/>
  <c r="AA8" i="12"/>
  <c r="AB8" i="12" s="1"/>
  <c r="AJ8" i="12" s="1"/>
  <c r="AK8" i="12" s="1"/>
  <c r="AJ7" i="12"/>
  <c r="AK7" i="12" s="1"/>
  <c r="AG7" i="12"/>
  <c r="AH7" i="12" s="1"/>
  <c r="AJ6" i="12"/>
  <c r="AK6" i="12" s="1"/>
  <c r="AG6" i="12"/>
  <c r="AH6" i="12" s="1"/>
  <c r="AJ5" i="12"/>
  <c r="AK5" i="12" s="1"/>
  <c r="AG5" i="12"/>
  <c r="AH5" i="12" s="1"/>
  <c r="Y6" i="4"/>
  <c r="V2" i="4"/>
  <c r="Y28" i="42"/>
  <c r="X31" i="42" s="1"/>
  <c r="Y6" i="42"/>
  <c r="X32" i="42" s="1"/>
  <c r="X30" i="42"/>
  <c r="X29" i="42"/>
  <c r="AE55" i="4"/>
  <c r="AC55" i="4"/>
  <c r="AD55" i="4" s="1"/>
  <c r="AG55" i="4" s="1"/>
  <c r="AH55" i="4" s="1"/>
  <c r="AA55" i="4"/>
  <c r="AB55" i="4" s="1"/>
  <c r="AJ55" i="4" s="1"/>
  <c r="AK55" i="4" s="1"/>
  <c r="AE54" i="4"/>
  <c r="AC54" i="4"/>
  <c r="AD54" i="4" s="1"/>
  <c r="AG54" i="4" s="1"/>
  <c r="AH54" i="4" s="1"/>
  <c r="AA54" i="4"/>
  <c r="AB54" i="4" s="1"/>
  <c r="AJ54" i="4" s="1"/>
  <c r="AK54" i="4" s="1"/>
  <c r="AE53" i="4"/>
  <c r="AC53" i="4"/>
  <c r="AD53" i="4" s="1"/>
  <c r="AG53" i="4" s="1"/>
  <c r="AH53" i="4" s="1"/>
  <c r="AA53" i="4"/>
  <c r="AB53" i="4" s="1"/>
  <c r="AJ53" i="4" s="1"/>
  <c r="AK53" i="4" s="1"/>
  <c r="AE52" i="4"/>
  <c r="AC52" i="4"/>
  <c r="AD52" i="4" s="1"/>
  <c r="AG52" i="4" s="1"/>
  <c r="AH52" i="4" s="1"/>
  <c r="AA52" i="4"/>
  <c r="AB52" i="4" s="1"/>
  <c r="AJ52" i="4" s="1"/>
  <c r="AK52" i="4" s="1"/>
  <c r="AE51" i="4"/>
  <c r="AC51" i="4"/>
  <c r="AD51" i="4" s="1"/>
  <c r="AG51" i="4" s="1"/>
  <c r="AH51" i="4" s="1"/>
  <c r="AA51" i="4"/>
  <c r="AB51" i="4" s="1"/>
  <c r="AJ51" i="4" s="1"/>
  <c r="AK51" i="4" s="1"/>
  <c r="AE50" i="4"/>
  <c r="AC50" i="4"/>
  <c r="AD50" i="4" s="1"/>
  <c r="AG50" i="4" s="1"/>
  <c r="AH50" i="4" s="1"/>
  <c r="AA50" i="4"/>
  <c r="AB50" i="4" s="1"/>
  <c r="AJ50" i="4" s="1"/>
  <c r="AK50" i="4" s="1"/>
  <c r="AE49" i="4"/>
  <c r="AC49" i="4"/>
  <c r="AD49" i="4" s="1"/>
  <c r="AG49" i="4" s="1"/>
  <c r="AH49" i="4" s="1"/>
  <c r="AA49" i="4"/>
  <c r="AB49" i="4" s="1"/>
  <c r="AJ49" i="4" s="1"/>
  <c r="AK49" i="4" s="1"/>
  <c r="AE48" i="4"/>
  <c r="AC48" i="4"/>
  <c r="AD48" i="4" s="1"/>
  <c r="AG48" i="4" s="1"/>
  <c r="AH48" i="4" s="1"/>
  <c r="AA48" i="4"/>
  <c r="AB48" i="4" s="1"/>
  <c r="AJ48" i="4" s="1"/>
  <c r="AK48" i="4" s="1"/>
  <c r="AE47" i="4"/>
  <c r="AC47" i="4"/>
  <c r="AD47" i="4" s="1"/>
  <c r="AG47" i="4" s="1"/>
  <c r="AH47" i="4" s="1"/>
  <c r="AA47" i="4"/>
  <c r="AB47" i="4" s="1"/>
  <c r="AJ47" i="4" s="1"/>
  <c r="AK47" i="4" s="1"/>
  <c r="AE46" i="4"/>
  <c r="AC46" i="4"/>
  <c r="AD46" i="4" s="1"/>
  <c r="AG46" i="4" s="1"/>
  <c r="AH46" i="4" s="1"/>
  <c r="AA46" i="4"/>
  <c r="AB46" i="4" s="1"/>
  <c r="AJ46" i="4" s="1"/>
  <c r="AK46" i="4" s="1"/>
  <c r="AE45" i="4"/>
  <c r="AC45" i="4"/>
  <c r="AD45" i="4" s="1"/>
  <c r="AG45" i="4" s="1"/>
  <c r="AH45" i="4" s="1"/>
  <c r="AA45" i="4"/>
  <c r="AB45" i="4" s="1"/>
  <c r="AJ45" i="4" s="1"/>
  <c r="AK45" i="4" s="1"/>
  <c r="AE44" i="4"/>
  <c r="AC44" i="4"/>
  <c r="AD44" i="4" s="1"/>
  <c r="AG44" i="4" s="1"/>
  <c r="AH44" i="4" s="1"/>
  <c r="AA44" i="4"/>
  <c r="AB44" i="4" s="1"/>
  <c r="AJ44" i="4" s="1"/>
  <c r="AK44" i="4" s="1"/>
  <c r="AE43" i="4"/>
  <c r="AC43" i="4"/>
  <c r="AD43" i="4" s="1"/>
  <c r="AG43" i="4" s="1"/>
  <c r="AH43" i="4" s="1"/>
  <c r="AA43" i="4"/>
  <c r="AB43" i="4" s="1"/>
  <c r="AJ43" i="4" s="1"/>
  <c r="AK43" i="4" s="1"/>
  <c r="AE42" i="4"/>
  <c r="AC42" i="4"/>
  <c r="AD42" i="4" s="1"/>
  <c r="AG42" i="4" s="1"/>
  <c r="AH42" i="4" s="1"/>
  <c r="AA42" i="4"/>
  <c r="AB42" i="4" s="1"/>
  <c r="AJ42" i="4" s="1"/>
  <c r="AK42" i="4" s="1"/>
  <c r="AE41" i="4"/>
  <c r="AC41" i="4"/>
  <c r="AD41" i="4" s="1"/>
  <c r="AG41" i="4" s="1"/>
  <c r="AH41" i="4" s="1"/>
  <c r="AA41" i="4"/>
  <c r="AB41" i="4" s="1"/>
  <c r="AJ41" i="4" s="1"/>
  <c r="AK41" i="4" s="1"/>
  <c r="AE40" i="4"/>
  <c r="AC40" i="4"/>
  <c r="AD40" i="4" s="1"/>
  <c r="AG40" i="4" s="1"/>
  <c r="AH40" i="4" s="1"/>
  <c r="AA40" i="4"/>
  <c r="AB40" i="4" s="1"/>
  <c r="AJ40" i="4" s="1"/>
  <c r="AK40" i="4" s="1"/>
  <c r="AE39" i="4"/>
  <c r="AC39" i="4"/>
  <c r="AD39" i="4" s="1"/>
  <c r="AG39" i="4" s="1"/>
  <c r="AH39" i="4" s="1"/>
  <c r="AA39" i="4"/>
  <c r="AB39" i="4" s="1"/>
  <c r="AJ39" i="4" s="1"/>
  <c r="AK39" i="4" s="1"/>
  <c r="AE38" i="4"/>
  <c r="AC38" i="4"/>
  <c r="AD38" i="4" s="1"/>
  <c r="AG38" i="4" s="1"/>
  <c r="AH38" i="4" s="1"/>
  <c r="AA38" i="4"/>
  <c r="AB38" i="4" s="1"/>
  <c r="AJ38" i="4" s="1"/>
  <c r="AK38" i="4" s="1"/>
  <c r="AE37" i="4"/>
  <c r="AC37" i="4"/>
  <c r="AD37" i="4" s="1"/>
  <c r="AG37" i="4" s="1"/>
  <c r="AH37" i="4" s="1"/>
  <c r="AA37" i="4"/>
  <c r="AB37" i="4" s="1"/>
  <c r="AJ37" i="4" s="1"/>
  <c r="AK37" i="4" s="1"/>
  <c r="AE36" i="4"/>
  <c r="AC36" i="4"/>
  <c r="AD36" i="4" s="1"/>
  <c r="AG36" i="4" s="1"/>
  <c r="AH36" i="4" s="1"/>
  <c r="AA36" i="4"/>
  <c r="AB36" i="4" s="1"/>
  <c r="AJ36" i="4" s="1"/>
  <c r="AK36" i="4" s="1"/>
  <c r="AE35" i="4"/>
  <c r="AC35" i="4"/>
  <c r="AD35" i="4" s="1"/>
  <c r="AG35" i="4" s="1"/>
  <c r="AH35" i="4" s="1"/>
  <c r="AA35" i="4"/>
  <c r="AB35" i="4" s="1"/>
  <c r="AJ35" i="4" s="1"/>
  <c r="AK35" i="4" s="1"/>
  <c r="AE34" i="4"/>
  <c r="AC34" i="4"/>
  <c r="AD34" i="4" s="1"/>
  <c r="AG34" i="4" s="1"/>
  <c r="AH34" i="4" s="1"/>
  <c r="AA34" i="4"/>
  <c r="AB34" i="4" s="1"/>
  <c r="AJ34" i="4" s="1"/>
  <c r="AK34" i="4" s="1"/>
  <c r="AE33" i="4"/>
  <c r="AC33" i="4"/>
  <c r="AD33" i="4" s="1"/>
  <c r="AG33" i="4" s="1"/>
  <c r="AH33" i="4" s="1"/>
  <c r="AA33" i="4"/>
  <c r="AB33" i="4" s="1"/>
  <c r="AJ33" i="4" s="1"/>
  <c r="AK33" i="4" s="1"/>
  <c r="AE32" i="4"/>
  <c r="AC32" i="4"/>
  <c r="AD32" i="4" s="1"/>
  <c r="AG32" i="4" s="1"/>
  <c r="AH32" i="4" s="1"/>
  <c r="AA32" i="4"/>
  <c r="AB32" i="4" s="1"/>
  <c r="AJ32" i="4" s="1"/>
  <c r="AK32" i="4" s="1"/>
  <c r="AE31" i="4"/>
  <c r="AC31" i="4"/>
  <c r="AD31" i="4" s="1"/>
  <c r="AG31" i="4" s="1"/>
  <c r="AH31" i="4" s="1"/>
  <c r="AA31" i="4"/>
  <c r="AB31" i="4" s="1"/>
  <c r="AJ31" i="4" s="1"/>
  <c r="AK31" i="4" s="1"/>
  <c r="AE30" i="4"/>
  <c r="AC30" i="4"/>
  <c r="AD30" i="4" s="1"/>
  <c r="AG30" i="4" s="1"/>
  <c r="AH30" i="4" s="1"/>
  <c r="AA30" i="4"/>
  <c r="AB30" i="4" s="1"/>
  <c r="AJ30" i="4" s="1"/>
  <c r="AK30" i="4" s="1"/>
  <c r="AE29" i="4"/>
  <c r="AC29" i="4"/>
  <c r="AD29" i="4" s="1"/>
  <c r="AG29" i="4" s="1"/>
  <c r="AH29" i="4" s="1"/>
  <c r="AA29" i="4"/>
  <c r="AB29" i="4" s="1"/>
  <c r="AJ29" i="4" s="1"/>
  <c r="AK29" i="4" s="1"/>
  <c r="AE28" i="4"/>
  <c r="AC28" i="4"/>
  <c r="AD28" i="4" s="1"/>
  <c r="AG28" i="4" s="1"/>
  <c r="AH28" i="4" s="1"/>
  <c r="AA28" i="4"/>
  <c r="AB28" i="4" s="1"/>
  <c r="AJ28" i="4" s="1"/>
  <c r="AK28" i="4" s="1"/>
  <c r="AE27" i="4"/>
  <c r="AC27" i="4"/>
  <c r="AD27" i="4" s="1"/>
  <c r="AG27" i="4" s="1"/>
  <c r="AH27" i="4" s="1"/>
  <c r="AA27" i="4"/>
  <c r="AB27" i="4" s="1"/>
  <c r="AJ27" i="4" s="1"/>
  <c r="AK27" i="4" s="1"/>
  <c r="AE26" i="4"/>
  <c r="AC26" i="4"/>
  <c r="AD26" i="4" s="1"/>
  <c r="AG26" i="4" s="1"/>
  <c r="AH26" i="4" s="1"/>
  <c r="AA26" i="4"/>
  <c r="AB26" i="4" s="1"/>
  <c r="AJ26" i="4" s="1"/>
  <c r="AK26" i="4" s="1"/>
  <c r="AE25" i="4"/>
  <c r="AC25" i="4"/>
  <c r="AD25" i="4" s="1"/>
  <c r="AG25" i="4" s="1"/>
  <c r="AH25" i="4" s="1"/>
  <c r="AA25" i="4"/>
  <c r="AB25" i="4" s="1"/>
  <c r="AJ25" i="4" s="1"/>
  <c r="AK25" i="4" s="1"/>
  <c r="AE24" i="4"/>
  <c r="AC24" i="4"/>
  <c r="AD24" i="4" s="1"/>
  <c r="AG24" i="4" s="1"/>
  <c r="AH24" i="4" s="1"/>
  <c r="AA24" i="4"/>
  <c r="AB24" i="4" s="1"/>
  <c r="AJ24" i="4" s="1"/>
  <c r="AK24" i="4" s="1"/>
  <c r="AE23" i="4"/>
  <c r="AC23" i="4"/>
  <c r="AD23" i="4" s="1"/>
  <c r="AG23" i="4" s="1"/>
  <c r="AH23" i="4" s="1"/>
  <c r="AA23" i="4"/>
  <c r="AB23" i="4" s="1"/>
  <c r="AJ23" i="4" s="1"/>
  <c r="AK23" i="4" s="1"/>
  <c r="AE22" i="4"/>
  <c r="AC22" i="4"/>
  <c r="AD22" i="4" s="1"/>
  <c r="AG22" i="4" s="1"/>
  <c r="AH22" i="4" s="1"/>
  <c r="AA22" i="4"/>
  <c r="AB22" i="4" s="1"/>
  <c r="AJ22" i="4" s="1"/>
  <c r="AK22" i="4" s="1"/>
  <c r="AE21" i="4"/>
  <c r="AC21" i="4"/>
  <c r="AD21" i="4" s="1"/>
  <c r="AG21" i="4" s="1"/>
  <c r="AH21" i="4" s="1"/>
  <c r="AA21" i="4"/>
  <c r="AB21" i="4" s="1"/>
  <c r="AJ21" i="4" s="1"/>
  <c r="AK21" i="4" s="1"/>
  <c r="AE20" i="4"/>
  <c r="AC20" i="4"/>
  <c r="AD20" i="4" s="1"/>
  <c r="AG20" i="4" s="1"/>
  <c r="AH20" i="4" s="1"/>
  <c r="AA20" i="4"/>
  <c r="AB20" i="4" s="1"/>
  <c r="AJ20" i="4" s="1"/>
  <c r="AK20" i="4" s="1"/>
  <c r="AE19" i="4"/>
  <c r="AC19" i="4"/>
  <c r="AD19" i="4" s="1"/>
  <c r="AG19" i="4" s="1"/>
  <c r="AH19" i="4" s="1"/>
  <c r="AA19" i="4"/>
  <c r="AB19" i="4" s="1"/>
  <c r="AJ19" i="4" s="1"/>
  <c r="AK19" i="4" s="1"/>
  <c r="AE18" i="4"/>
  <c r="AC18" i="4"/>
  <c r="AD18" i="4" s="1"/>
  <c r="AG18" i="4" s="1"/>
  <c r="AH18" i="4" s="1"/>
  <c r="AA18" i="4"/>
  <c r="AB18" i="4" s="1"/>
  <c r="AJ18" i="4" s="1"/>
  <c r="AK18" i="4" s="1"/>
  <c r="AE17" i="4"/>
  <c r="AC17" i="4"/>
  <c r="AD17" i="4" s="1"/>
  <c r="AG17" i="4" s="1"/>
  <c r="AH17" i="4" s="1"/>
  <c r="AA17" i="4"/>
  <c r="AB17" i="4" s="1"/>
  <c r="AJ17" i="4" s="1"/>
  <c r="AK17" i="4" s="1"/>
  <c r="AE16" i="4"/>
  <c r="AC16" i="4"/>
  <c r="AD16" i="4" s="1"/>
  <c r="AG16" i="4" s="1"/>
  <c r="AH16" i="4" s="1"/>
  <c r="AA16" i="4"/>
  <c r="AB16" i="4" s="1"/>
  <c r="AJ16" i="4" s="1"/>
  <c r="AK16" i="4" s="1"/>
  <c r="AE15" i="4"/>
  <c r="AC15" i="4"/>
  <c r="AD15" i="4" s="1"/>
  <c r="AG15" i="4" s="1"/>
  <c r="AH15" i="4" s="1"/>
  <c r="AA15" i="4"/>
  <c r="AB15" i="4" s="1"/>
  <c r="AJ15" i="4" s="1"/>
  <c r="AK15" i="4" s="1"/>
  <c r="AE14" i="4"/>
  <c r="AC14" i="4"/>
  <c r="AD14" i="4" s="1"/>
  <c r="AG14" i="4" s="1"/>
  <c r="AH14" i="4" s="1"/>
  <c r="AA14" i="4"/>
  <c r="AB14" i="4" s="1"/>
  <c r="AJ14" i="4" s="1"/>
  <c r="AK14" i="4" s="1"/>
  <c r="AE13" i="4"/>
  <c r="AC13" i="4"/>
  <c r="AD13" i="4" s="1"/>
  <c r="AG13" i="4" s="1"/>
  <c r="AH13" i="4" s="1"/>
  <c r="AA13" i="4"/>
  <c r="AB13" i="4" s="1"/>
  <c r="AJ13" i="4" s="1"/>
  <c r="AK13" i="4" s="1"/>
  <c r="AE12" i="4"/>
  <c r="AC12" i="4"/>
  <c r="AD12" i="4" s="1"/>
  <c r="AG12" i="4" s="1"/>
  <c r="AH12" i="4" s="1"/>
  <c r="AA12" i="4"/>
  <c r="AB12" i="4" s="1"/>
  <c r="AJ12" i="4" s="1"/>
  <c r="AK12" i="4" s="1"/>
  <c r="AE11" i="4"/>
  <c r="AC11" i="4"/>
  <c r="AD11" i="4" s="1"/>
  <c r="AG11" i="4" s="1"/>
  <c r="AH11" i="4" s="1"/>
  <c r="AA11" i="4"/>
  <c r="AB11" i="4" s="1"/>
  <c r="AJ11" i="4" s="1"/>
  <c r="AK11" i="4" s="1"/>
  <c r="AE10" i="4"/>
  <c r="AC10" i="4"/>
  <c r="AD10" i="4" s="1"/>
  <c r="AG10" i="4" s="1"/>
  <c r="AH10" i="4" s="1"/>
  <c r="AA10" i="4"/>
  <c r="AB10" i="4" s="1"/>
  <c r="AJ10" i="4" s="1"/>
  <c r="AK10" i="4" s="1"/>
  <c r="AE9" i="4"/>
  <c r="AC9" i="4"/>
  <c r="AD9" i="4" s="1"/>
  <c r="AG9" i="4" s="1"/>
  <c r="AH9" i="4" s="1"/>
  <c r="AA9" i="4"/>
  <c r="AB9" i="4" s="1"/>
  <c r="AJ9" i="4" s="1"/>
  <c r="AK9" i="4" s="1"/>
  <c r="AE8" i="4"/>
  <c r="AC8" i="4"/>
  <c r="AD8" i="4" s="1"/>
  <c r="AG8" i="4" s="1"/>
  <c r="AH8" i="4" s="1"/>
  <c r="AA8" i="4"/>
  <c r="AB8" i="4" s="1"/>
  <c r="AJ8" i="4" s="1"/>
  <c r="AK8" i="4" s="1"/>
  <c r="AJ7" i="4"/>
  <c r="AK7" i="4" s="1"/>
  <c r="AG7" i="4"/>
  <c r="AH7" i="4" s="1"/>
  <c r="AJ6" i="4"/>
  <c r="AK6" i="4" s="1"/>
  <c r="AG6" i="4"/>
  <c r="AH6" i="4" s="1"/>
  <c r="AJ5" i="4"/>
  <c r="AK5" i="4" s="1"/>
  <c r="AG5" i="4"/>
  <c r="AH5" i="4" s="1"/>
  <c r="I2" i="38"/>
  <c r="AE9" i="42"/>
  <c r="AE10" i="42"/>
  <c r="AE11" i="42"/>
  <c r="AE12" i="42"/>
  <c r="AE13" i="42"/>
  <c r="AE14" i="42"/>
  <c r="AE15" i="42"/>
  <c r="AE16" i="42"/>
  <c r="AE17" i="42"/>
  <c r="AE18" i="42"/>
  <c r="AE19" i="42"/>
  <c r="AE20" i="42"/>
  <c r="AE21" i="42"/>
  <c r="AE22" i="42"/>
  <c r="AE23" i="42"/>
  <c r="AE24" i="42"/>
  <c r="AE25" i="42"/>
  <c r="AE26" i="42"/>
  <c r="AE27" i="42"/>
  <c r="AE28" i="42"/>
  <c r="AE29" i="42"/>
  <c r="AE30" i="42"/>
  <c r="AE31" i="42"/>
  <c r="AE32" i="42"/>
  <c r="AE33" i="42"/>
  <c r="AE34" i="42"/>
  <c r="AE35" i="42"/>
  <c r="AE36" i="42"/>
  <c r="AE37" i="42"/>
  <c r="AE38" i="42"/>
  <c r="AE39" i="42"/>
  <c r="AE40" i="42"/>
  <c r="AE41" i="42"/>
  <c r="AE42" i="42"/>
  <c r="AE43" i="42"/>
  <c r="AE44" i="42"/>
  <c r="AE45" i="42"/>
  <c r="AE46" i="42"/>
  <c r="AE47" i="42"/>
  <c r="AE48" i="42"/>
  <c r="AE49" i="42"/>
  <c r="AE50" i="42"/>
  <c r="AE51" i="42"/>
  <c r="AE52" i="42"/>
  <c r="AE53" i="42"/>
  <c r="AE54" i="42"/>
  <c r="AE55" i="42"/>
  <c r="AE8" i="42"/>
  <c r="AC8" i="42"/>
  <c r="AC9" i="42"/>
  <c r="AC10" i="42"/>
  <c r="AC11" i="42"/>
  <c r="AC12" i="42"/>
  <c r="AC13" i="42"/>
  <c r="AC14" i="42"/>
  <c r="AC15" i="42"/>
  <c r="AC16" i="42"/>
  <c r="AC17" i="42"/>
  <c r="AC18" i="42"/>
  <c r="AC19" i="42"/>
  <c r="AC20" i="42"/>
  <c r="AC21" i="42"/>
  <c r="AC22" i="42"/>
  <c r="AC23" i="42"/>
  <c r="AC24" i="42"/>
  <c r="AC25" i="42"/>
  <c r="AC26" i="42"/>
  <c r="AC27" i="42"/>
  <c r="AC28" i="42"/>
  <c r="AC29" i="42"/>
  <c r="AC30" i="42"/>
  <c r="AC31" i="42"/>
  <c r="AC32" i="42"/>
  <c r="AC33" i="42"/>
  <c r="AC34" i="42"/>
  <c r="AC35" i="42"/>
  <c r="AC36" i="42"/>
  <c r="AC37" i="42"/>
  <c r="AC38" i="42"/>
  <c r="AD38" i="42" s="1"/>
  <c r="AG38" i="42" s="1"/>
  <c r="AH38" i="42" s="1"/>
  <c r="AC39" i="42"/>
  <c r="AD39" i="42" s="1"/>
  <c r="AG39" i="42" s="1"/>
  <c r="AH39" i="42" s="1"/>
  <c r="AC40" i="42"/>
  <c r="AD40" i="42" s="1"/>
  <c r="AG40" i="42" s="1"/>
  <c r="AH40" i="42" s="1"/>
  <c r="AC41" i="42"/>
  <c r="AD41" i="42" s="1"/>
  <c r="AG41" i="42" s="1"/>
  <c r="AH41" i="42" s="1"/>
  <c r="AC42" i="42"/>
  <c r="AD42" i="42" s="1"/>
  <c r="AG42" i="42" s="1"/>
  <c r="AH42" i="42" s="1"/>
  <c r="AC43" i="42"/>
  <c r="AD43" i="42" s="1"/>
  <c r="AG43" i="42" s="1"/>
  <c r="AH43" i="42" s="1"/>
  <c r="AC44" i="42"/>
  <c r="AD44" i="42" s="1"/>
  <c r="AG44" i="42" s="1"/>
  <c r="AH44" i="42" s="1"/>
  <c r="AC45" i="42"/>
  <c r="AD45" i="42" s="1"/>
  <c r="AG45" i="42" s="1"/>
  <c r="AH45" i="42" s="1"/>
  <c r="AC46" i="42"/>
  <c r="AD46" i="42" s="1"/>
  <c r="AG46" i="42" s="1"/>
  <c r="AH46" i="42" s="1"/>
  <c r="AC47" i="42"/>
  <c r="AD47" i="42" s="1"/>
  <c r="AG47" i="42" s="1"/>
  <c r="AH47" i="42" s="1"/>
  <c r="AC48" i="42"/>
  <c r="AD48" i="42" s="1"/>
  <c r="AG48" i="42" s="1"/>
  <c r="AH48" i="42" s="1"/>
  <c r="AC49" i="42"/>
  <c r="AD49" i="42" s="1"/>
  <c r="AG49" i="42" s="1"/>
  <c r="AH49" i="42" s="1"/>
  <c r="AC50" i="42"/>
  <c r="AD50" i="42" s="1"/>
  <c r="AG50" i="42" s="1"/>
  <c r="AH50" i="42" s="1"/>
  <c r="AC51" i="42"/>
  <c r="AD51" i="42" s="1"/>
  <c r="AG51" i="42" s="1"/>
  <c r="AH51" i="42" s="1"/>
  <c r="AC52" i="42"/>
  <c r="AD52" i="42" s="1"/>
  <c r="AG52" i="42" s="1"/>
  <c r="AH52" i="42" s="1"/>
  <c r="AC53" i="42"/>
  <c r="AD53" i="42" s="1"/>
  <c r="AG53" i="42" s="1"/>
  <c r="AH53" i="42" s="1"/>
  <c r="AC54" i="42"/>
  <c r="AD54" i="42" s="1"/>
  <c r="AG54" i="42" s="1"/>
  <c r="AH54" i="42" s="1"/>
  <c r="AC55" i="42"/>
  <c r="AD55" i="42" s="1"/>
  <c r="AG55" i="42" s="1"/>
  <c r="AH55" i="42" s="1"/>
  <c r="AA8" i="42"/>
  <c r="AA10" i="42"/>
  <c r="AA11" i="42"/>
  <c r="AA12" i="42"/>
  <c r="AA13" i="42"/>
  <c r="AA14" i="42"/>
  <c r="AA15" i="42"/>
  <c r="AA16" i="42"/>
  <c r="AA17" i="42"/>
  <c r="AA18" i="42"/>
  <c r="AA19" i="42"/>
  <c r="AA20" i="42"/>
  <c r="AA21" i="42"/>
  <c r="AA22" i="42"/>
  <c r="AA23" i="42"/>
  <c r="AA24" i="42"/>
  <c r="AA25" i="42"/>
  <c r="AA26" i="42"/>
  <c r="AA27" i="42"/>
  <c r="AA28" i="42"/>
  <c r="AA29" i="42"/>
  <c r="AA30" i="42"/>
  <c r="AA31" i="42"/>
  <c r="AA32" i="42"/>
  <c r="AA33" i="42"/>
  <c r="AA34" i="42"/>
  <c r="AA35" i="42"/>
  <c r="AA36" i="42"/>
  <c r="AA37" i="42"/>
  <c r="AA38" i="42"/>
  <c r="AB38" i="42" s="1"/>
  <c r="AJ38" i="42" s="1"/>
  <c r="AK38" i="42" s="1"/>
  <c r="AA39" i="42"/>
  <c r="AB39" i="42" s="1"/>
  <c r="AJ39" i="42" s="1"/>
  <c r="AK39" i="42" s="1"/>
  <c r="AA40" i="42"/>
  <c r="AB40" i="42" s="1"/>
  <c r="AJ40" i="42" s="1"/>
  <c r="AK40" i="42" s="1"/>
  <c r="AA41" i="42"/>
  <c r="AB41" i="42" s="1"/>
  <c r="AJ41" i="42" s="1"/>
  <c r="AK41" i="42" s="1"/>
  <c r="AA42" i="42"/>
  <c r="AB42" i="42" s="1"/>
  <c r="AJ42" i="42" s="1"/>
  <c r="AK42" i="42" s="1"/>
  <c r="AA43" i="42"/>
  <c r="AB43" i="42" s="1"/>
  <c r="AJ43" i="42" s="1"/>
  <c r="AK43" i="42" s="1"/>
  <c r="AA44" i="42"/>
  <c r="AB44" i="42" s="1"/>
  <c r="AJ44" i="42" s="1"/>
  <c r="AK44" i="42" s="1"/>
  <c r="AA45" i="42"/>
  <c r="AB45" i="42" s="1"/>
  <c r="AJ45" i="42" s="1"/>
  <c r="AK45" i="42" s="1"/>
  <c r="AA46" i="42"/>
  <c r="AB46" i="42" s="1"/>
  <c r="AJ46" i="42" s="1"/>
  <c r="AK46" i="42" s="1"/>
  <c r="AA47" i="42"/>
  <c r="AB47" i="42" s="1"/>
  <c r="AJ47" i="42" s="1"/>
  <c r="AK47" i="42" s="1"/>
  <c r="AA48" i="42"/>
  <c r="AB48" i="42" s="1"/>
  <c r="AJ48" i="42" s="1"/>
  <c r="AK48" i="42" s="1"/>
  <c r="AA49" i="42"/>
  <c r="AB49" i="42" s="1"/>
  <c r="AJ49" i="42" s="1"/>
  <c r="AK49" i="42" s="1"/>
  <c r="AA50" i="42"/>
  <c r="AB50" i="42" s="1"/>
  <c r="AJ50" i="42" s="1"/>
  <c r="AK50" i="42" s="1"/>
  <c r="AA51" i="42"/>
  <c r="AB51" i="42" s="1"/>
  <c r="AJ51" i="42" s="1"/>
  <c r="AK51" i="42" s="1"/>
  <c r="AA52" i="42"/>
  <c r="AB52" i="42" s="1"/>
  <c r="AJ52" i="42" s="1"/>
  <c r="AK52" i="42" s="1"/>
  <c r="AA53" i="42"/>
  <c r="AB53" i="42" s="1"/>
  <c r="AJ53" i="42" s="1"/>
  <c r="AK53" i="42" s="1"/>
  <c r="AA54" i="42"/>
  <c r="AB54" i="42" s="1"/>
  <c r="AJ54" i="42" s="1"/>
  <c r="AK54" i="42" s="1"/>
  <c r="AA55" i="42"/>
  <c r="AB55" i="42" s="1"/>
  <c r="AJ55" i="42" s="1"/>
  <c r="AK55" i="42" s="1"/>
  <c r="AA9" i="42"/>
  <c r="J3" i="38" l="1"/>
  <c r="AB3" i="46"/>
  <c r="J4" i="38"/>
  <c r="K4" i="38"/>
  <c r="K3" i="38"/>
  <c r="AD3" i="46"/>
  <c r="AB4" i="10"/>
  <c r="AD4" i="10"/>
  <c r="AD4" i="12"/>
  <c r="AB4" i="12"/>
  <c r="AB4" i="8"/>
  <c r="AB4" i="46"/>
  <c r="AD4" i="46"/>
  <c r="AD3" i="4"/>
  <c r="AD3" i="8"/>
  <c r="AD3" i="10"/>
  <c r="AD4" i="8"/>
  <c r="AB4" i="9"/>
  <c r="AB4" i="4"/>
  <c r="AD4" i="4"/>
  <c r="AD4" i="9"/>
  <c r="AV4" i="17"/>
  <c r="AW4" i="17"/>
  <c r="AB3" i="9" l="1"/>
  <c r="AB3" i="8"/>
  <c r="AB3" i="12"/>
  <c r="AB3" i="4"/>
  <c r="AB3" i="10"/>
  <c r="AD3" i="12"/>
  <c r="AD3" i="9"/>
  <c r="AD9" i="42"/>
  <c r="AD8" i="42"/>
  <c r="AG8" i="42" s="1"/>
  <c r="W7" i="46"/>
  <c r="I3" i="17" l="1"/>
  <c r="F3" i="17"/>
  <c r="E3" i="17"/>
  <c r="P3" i="17"/>
  <c r="O3" i="17"/>
  <c r="K3" i="16" l="1"/>
  <c r="D3" i="16"/>
  <c r="M3" i="16"/>
  <c r="X15" i="42" l="1"/>
  <c r="Y9" i="42"/>
  <c r="X6" i="42"/>
  <c r="Y5" i="42"/>
  <c r="X12" i="42" l="1"/>
  <c r="AA3" i="16"/>
  <c r="Z3" i="16"/>
  <c r="AW3" i="15"/>
  <c r="W7" i="42"/>
  <c r="Y12" i="42"/>
  <c r="Y14" i="42"/>
  <c r="K3" i="17" l="1"/>
  <c r="AJ6" i="42" l="1"/>
  <c r="AK6" i="42" s="1"/>
  <c r="AJ7" i="42"/>
  <c r="AK7" i="42" s="1"/>
  <c r="AJ5" i="42"/>
  <c r="AK5" i="42" s="1"/>
  <c r="AG6" i="42"/>
  <c r="AH6" i="42" s="1"/>
  <c r="AG7" i="42"/>
  <c r="AH7" i="42" s="1"/>
  <c r="AG5" i="42"/>
  <c r="AH5" i="42" s="1"/>
  <c r="AD13" i="42"/>
  <c r="AG13" i="42" s="1"/>
  <c r="AH13" i="42" s="1"/>
  <c r="AD14" i="42"/>
  <c r="AG14" i="42" s="1"/>
  <c r="AH14" i="42" s="1"/>
  <c r="AD15" i="42"/>
  <c r="AG15" i="42" s="1"/>
  <c r="AH15" i="42" s="1"/>
  <c r="AD16" i="42"/>
  <c r="AG16" i="42" s="1"/>
  <c r="AH16" i="42" s="1"/>
  <c r="AD17" i="42"/>
  <c r="AG17" i="42" s="1"/>
  <c r="AH17" i="42" s="1"/>
  <c r="AD18" i="42"/>
  <c r="AG18" i="42" s="1"/>
  <c r="AH18" i="42" s="1"/>
  <c r="AD19" i="42"/>
  <c r="AG19" i="42" s="1"/>
  <c r="AH19" i="42" s="1"/>
  <c r="AD20" i="42"/>
  <c r="AG20" i="42" s="1"/>
  <c r="AH20" i="42" s="1"/>
  <c r="AD21" i="42"/>
  <c r="AG21" i="42" s="1"/>
  <c r="AH21" i="42" s="1"/>
  <c r="AD22" i="42"/>
  <c r="AG22" i="42" s="1"/>
  <c r="AH22" i="42" s="1"/>
  <c r="AD23" i="42"/>
  <c r="AG23" i="42" s="1"/>
  <c r="AH23" i="42" s="1"/>
  <c r="AD24" i="42"/>
  <c r="AG24" i="42" s="1"/>
  <c r="AH24" i="42" s="1"/>
  <c r="AD25" i="42"/>
  <c r="AG25" i="42" s="1"/>
  <c r="AH25" i="42" s="1"/>
  <c r="AD26" i="42"/>
  <c r="AG26" i="42" s="1"/>
  <c r="AH26" i="42" s="1"/>
  <c r="AD27" i="42"/>
  <c r="AG27" i="42" s="1"/>
  <c r="AH27" i="42" s="1"/>
  <c r="AD28" i="42"/>
  <c r="AG28" i="42" s="1"/>
  <c r="AH28" i="42" s="1"/>
  <c r="AD29" i="42"/>
  <c r="AG29" i="42" s="1"/>
  <c r="AH29" i="42" s="1"/>
  <c r="AD30" i="42"/>
  <c r="AG30" i="42" s="1"/>
  <c r="AH30" i="42" s="1"/>
  <c r="AD31" i="42"/>
  <c r="AG31" i="42" s="1"/>
  <c r="AH31" i="42" s="1"/>
  <c r="AD32" i="42"/>
  <c r="AG32" i="42" s="1"/>
  <c r="AH32" i="42" s="1"/>
  <c r="AD33" i="42"/>
  <c r="AG33" i="42" s="1"/>
  <c r="AH33" i="42" s="1"/>
  <c r="AD34" i="42"/>
  <c r="AG34" i="42" s="1"/>
  <c r="AH34" i="42" s="1"/>
  <c r="AD35" i="42"/>
  <c r="AG35" i="42" s="1"/>
  <c r="AH35" i="42" s="1"/>
  <c r="AD36" i="42"/>
  <c r="AG36" i="42" s="1"/>
  <c r="AH36" i="42" s="1"/>
  <c r="AD37" i="42"/>
  <c r="AG37" i="42" s="1"/>
  <c r="AH37" i="42" s="1"/>
  <c r="AG9" i="42"/>
  <c r="AH9" i="42" s="1"/>
  <c r="AD10" i="42"/>
  <c r="AD11" i="42"/>
  <c r="AG11" i="42" s="1"/>
  <c r="AH11" i="42" s="1"/>
  <c r="AD12" i="42"/>
  <c r="AG12" i="42" s="1"/>
  <c r="AH12" i="42" s="1"/>
  <c r="AH8" i="42"/>
  <c r="C3" i="45"/>
  <c r="Y3" i="18"/>
  <c r="X3" i="18"/>
  <c r="W3" i="18"/>
  <c r="V3" i="18"/>
  <c r="L3" i="18"/>
  <c r="I3" i="18"/>
  <c r="I4" i="18" s="1"/>
  <c r="J3" i="18"/>
  <c r="J4" i="18" s="1"/>
  <c r="H3" i="18"/>
  <c r="H4" i="18" s="1"/>
  <c r="E3" i="18"/>
  <c r="E4" i="18" s="1"/>
  <c r="D3" i="18"/>
  <c r="D4" i="18" s="1"/>
  <c r="A2" i="44"/>
  <c r="H334" i="42"/>
  <c r="G334" i="42"/>
  <c r="H333" i="42"/>
  <c r="G333" i="42"/>
  <c r="H332" i="42"/>
  <c r="G332" i="42"/>
  <c r="V133" i="42"/>
  <c r="V131" i="42"/>
  <c r="V129" i="42"/>
  <c r="V128" i="42"/>
  <c r="V130" i="42"/>
  <c r="V132" i="42"/>
  <c r="V134" i="42"/>
  <c r="Y5" i="9"/>
  <c r="X6" i="9"/>
  <c r="W7" i="9"/>
  <c r="Y12" i="9"/>
  <c r="G320" i="42"/>
  <c r="G321" i="42"/>
  <c r="G322" i="42"/>
  <c r="G323" i="42"/>
  <c r="G324" i="42"/>
  <c r="G325" i="42"/>
  <c r="G326" i="42"/>
  <c r="G327" i="42"/>
  <c r="G328" i="42"/>
  <c r="G329" i="42"/>
  <c r="G330" i="42"/>
  <c r="G331" i="42"/>
  <c r="G335" i="42"/>
  <c r="G336" i="42"/>
  <c r="G337" i="42"/>
  <c r="G338" i="42"/>
  <c r="G339" i="42"/>
  <c r="G340" i="42"/>
  <c r="G341" i="42"/>
  <c r="G342" i="42"/>
  <c r="G343" i="42"/>
  <c r="G344" i="42"/>
  <c r="G345" i="42"/>
  <c r="G346" i="42"/>
  <c r="G347" i="42"/>
  <c r="G348" i="42"/>
  <c r="G349" i="42"/>
  <c r="G350" i="42"/>
  <c r="G351" i="42"/>
  <c r="G352" i="42"/>
  <c r="G353" i="42"/>
  <c r="G354" i="42"/>
  <c r="G355" i="42"/>
  <c r="G356" i="42"/>
  <c r="G357" i="42"/>
  <c r="G358" i="42"/>
  <c r="G359" i="42"/>
  <c r="G360" i="42"/>
  <c r="G361" i="42"/>
  <c r="G362" i="42"/>
  <c r="G363" i="42"/>
  <c r="G364" i="42"/>
  <c r="G365" i="42"/>
  <c r="G366" i="42"/>
  <c r="G367" i="42"/>
  <c r="G368" i="42"/>
  <c r="G369" i="42"/>
  <c r="G370" i="42"/>
  <c r="G371" i="42"/>
  <c r="G372" i="42"/>
  <c r="G373" i="42"/>
  <c r="G319" i="42"/>
  <c r="AI333" i="42"/>
  <c r="B75" i="8"/>
  <c r="B86" i="8"/>
  <c r="B76" i="9"/>
  <c r="B75" i="9"/>
  <c r="B59" i="8"/>
  <c r="Z4" i="45" l="1"/>
  <c r="AB4" i="45"/>
  <c r="AG10" i="42"/>
  <c r="AH10" i="42" s="1"/>
  <c r="O29" i="42" s="1"/>
  <c r="S29" i="42" s="1"/>
  <c r="V135" i="42"/>
  <c r="BP3" i="15"/>
  <c r="M11" i="48"/>
  <c r="N11" i="48" s="1"/>
  <c r="P11" i="48" s="1"/>
  <c r="D11" i="48"/>
  <c r="E11" i="48" s="1"/>
  <c r="G11" i="48" s="1"/>
  <c r="M10" i="48"/>
  <c r="N10" i="48" s="1"/>
  <c r="P10" i="48" s="1"/>
  <c r="D10" i="48"/>
  <c r="E10" i="48" s="1"/>
  <c r="G10" i="48" s="1"/>
  <c r="M9" i="48"/>
  <c r="N9" i="48" s="1"/>
  <c r="P9" i="48" s="1"/>
  <c r="D9" i="48"/>
  <c r="E9" i="48" s="1"/>
  <c r="G9" i="48" s="1"/>
  <c r="M8" i="48"/>
  <c r="N8" i="48" s="1"/>
  <c r="P8" i="48" s="1"/>
  <c r="D8" i="48"/>
  <c r="E8" i="48" s="1"/>
  <c r="G8" i="48" s="1"/>
  <c r="M7" i="48"/>
  <c r="N7" i="48" s="1"/>
  <c r="P7" i="48" s="1"/>
  <c r="D7" i="48"/>
  <c r="E7" i="48" s="1"/>
  <c r="G7" i="48" s="1"/>
  <c r="M6" i="48"/>
  <c r="N6" i="48" s="1"/>
  <c r="P6" i="48" s="1"/>
  <c r="D6" i="48"/>
  <c r="E6" i="48" s="1"/>
  <c r="G6" i="48" s="1"/>
  <c r="O43" i="42" l="1"/>
  <c r="S43" i="42" s="1"/>
  <c r="O32" i="42"/>
  <c r="S32" i="42" s="1"/>
  <c r="O48" i="42"/>
  <c r="S48" i="42" s="1"/>
  <c r="O46" i="42"/>
  <c r="S46" i="42" s="1"/>
  <c r="O28" i="42"/>
  <c r="S28" i="42" s="1"/>
  <c r="O44" i="42"/>
  <c r="S44" i="42" s="1"/>
  <c r="O47" i="42"/>
  <c r="S47" i="42" s="1"/>
  <c r="O27" i="42"/>
  <c r="S27" i="42" s="1"/>
  <c r="O21" i="42"/>
  <c r="U21" i="42" s="1"/>
  <c r="O26" i="42"/>
  <c r="S26" i="42" s="1"/>
  <c r="O45" i="42"/>
  <c r="S45" i="42" s="1"/>
  <c r="O25" i="42"/>
  <c r="S25" i="42" s="1"/>
  <c r="O23" i="42"/>
  <c r="S23" i="42" s="1"/>
  <c r="O42" i="42"/>
  <c r="S42" i="42" s="1"/>
  <c r="O22" i="42"/>
  <c r="O39" i="42"/>
  <c r="S39" i="42" s="1"/>
  <c r="O41" i="42"/>
  <c r="S41" i="42" s="1"/>
  <c r="O37" i="42"/>
  <c r="S37" i="42" s="1"/>
  <c r="O40" i="42"/>
  <c r="S40" i="42" s="1"/>
  <c r="O20" i="42"/>
  <c r="U20" i="42" s="1"/>
  <c r="O36" i="42"/>
  <c r="S36" i="42" s="1"/>
  <c r="O35" i="42"/>
  <c r="S35" i="42" s="1"/>
  <c r="O34" i="42"/>
  <c r="S34" i="42" s="1"/>
  <c r="O33" i="42"/>
  <c r="S33" i="42" s="1"/>
  <c r="O24" i="42"/>
  <c r="S24" i="42" s="1"/>
  <c r="O38" i="42"/>
  <c r="S38" i="42" s="1"/>
  <c r="O31" i="42"/>
  <c r="S31" i="42" s="1"/>
  <c r="O30" i="42"/>
  <c r="S30" i="42" s="1"/>
  <c r="O19" i="42"/>
  <c r="S19" i="42" s="1"/>
  <c r="V30" i="42"/>
  <c r="U28" i="42"/>
  <c r="U29" i="42"/>
  <c r="U32" i="42"/>
  <c r="G12" i="48"/>
  <c r="P12" i="48"/>
  <c r="U43" i="42" l="1"/>
  <c r="U48" i="42"/>
  <c r="U46" i="42"/>
  <c r="U25" i="42"/>
  <c r="U27" i="42"/>
  <c r="U44" i="42"/>
  <c r="U45" i="42"/>
  <c r="S22" i="42"/>
  <c r="U22" i="42"/>
  <c r="U47" i="42"/>
  <c r="U42" i="42"/>
  <c r="S21" i="42"/>
  <c r="U26" i="42"/>
  <c r="U40" i="42"/>
  <c r="U23" i="42"/>
  <c r="U37" i="42"/>
  <c r="S20" i="42"/>
  <c r="U36" i="42"/>
  <c r="U39" i="42"/>
  <c r="U34" i="42"/>
  <c r="U41" i="42"/>
  <c r="U38" i="42"/>
  <c r="U24" i="42"/>
  <c r="U35" i="42"/>
  <c r="U33" i="42"/>
  <c r="U31" i="42"/>
  <c r="U19" i="42"/>
  <c r="U30" i="42"/>
  <c r="AD4" i="42" l="1"/>
  <c r="AB4" i="42"/>
  <c r="AD3" i="42"/>
  <c r="K2" i="38"/>
  <c r="J2" i="38"/>
  <c r="A74" i="12"/>
  <c r="I3" i="15"/>
  <c r="AB3" i="42" l="1"/>
  <c r="Y5" i="46"/>
  <c r="X3" i="45"/>
  <c r="R3" i="45"/>
  <c r="S3" i="45"/>
  <c r="T3" i="45"/>
  <c r="U3" i="45"/>
  <c r="P3" i="45"/>
  <c r="Q3" i="45"/>
  <c r="L3" i="45"/>
  <c r="M3" i="45"/>
  <c r="N3" i="45"/>
  <c r="O3" i="45"/>
  <c r="H3" i="45"/>
  <c r="I3" i="45"/>
  <c r="J3" i="45"/>
  <c r="K3" i="45"/>
  <c r="G3" i="45"/>
  <c r="F3" i="45"/>
  <c r="E3" i="45"/>
  <c r="D3" i="45"/>
  <c r="B3" i="45"/>
  <c r="A3" i="45"/>
  <c r="Z3" i="45" l="1"/>
  <c r="BB3" i="21"/>
  <c r="BA3" i="21"/>
  <c r="AZ3" i="21"/>
  <c r="AY3" i="21"/>
  <c r="AX3" i="21"/>
  <c r="AW1" i="21"/>
  <c r="AV4" i="21" s="1"/>
  <c r="AW4" i="21" s="1"/>
  <c r="AV1" i="21"/>
  <c r="P3" i="18"/>
  <c r="O3" i="18"/>
  <c r="N3" i="18"/>
  <c r="M3" i="18"/>
  <c r="K3" i="18" s="1"/>
  <c r="C3" i="18"/>
  <c r="B3" i="18"/>
  <c r="A3" i="18"/>
  <c r="Q1" i="18"/>
  <c r="S1" i="18" s="1"/>
  <c r="P1" i="18"/>
  <c r="AA3" i="17"/>
  <c r="Z3" i="17"/>
  <c r="Q3" i="17"/>
  <c r="J3" i="17"/>
  <c r="H3" i="17"/>
  <c r="G3" i="17"/>
  <c r="D3" i="17"/>
  <c r="C3" i="17"/>
  <c r="B3" i="17"/>
  <c r="A3" i="17"/>
  <c r="AC1" i="17"/>
  <c r="AE1" i="17" s="1"/>
  <c r="AB1" i="17"/>
  <c r="P3" i="16"/>
  <c r="O3" i="16"/>
  <c r="N3" i="16"/>
  <c r="H3" i="16"/>
  <c r="G3" i="16"/>
  <c r="E3" i="16"/>
  <c r="U3" i="16"/>
  <c r="C3" i="16"/>
  <c r="B3" i="16"/>
  <c r="A3" i="16"/>
  <c r="Q1" i="16"/>
  <c r="P1" i="16"/>
  <c r="W3" i="15"/>
  <c r="V3" i="15"/>
  <c r="U3" i="15"/>
  <c r="T3" i="15"/>
  <c r="S3" i="15"/>
  <c r="R3" i="15"/>
  <c r="Q3" i="15"/>
  <c r="P3" i="15"/>
  <c r="AX3" i="15" s="1"/>
  <c r="O3" i="15"/>
  <c r="N3" i="15"/>
  <c r="M3" i="15"/>
  <c r="J3" i="15"/>
  <c r="AI3" i="15" s="1"/>
  <c r="G3" i="15"/>
  <c r="AD3" i="15" s="1"/>
  <c r="E3" i="15"/>
  <c r="D3" i="15"/>
  <c r="C3" i="15"/>
  <c r="B3" i="15"/>
  <c r="A3" i="15"/>
  <c r="AN4" i="16" s="1"/>
  <c r="AD1" i="15"/>
  <c r="AC1" i="15"/>
  <c r="B77" i="9"/>
  <c r="B74" i="9"/>
  <c r="B73" i="9"/>
  <c r="B72" i="9"/>
  <c r="B71" i="9"/>
  <c r="B70" i="9"/>
  <c r="B69" i="9"/>
  <c r="B67" i="9"/>
  <c r="A3" i="9"/>
  <c r="A2" i="9"/>
  <c r="B112" i="8"/>
  <c r="B102" i="8"/>
  <c r="B92" i="8"/>
  <c r="B74" i="8"/>
  <c r="Z12" i="8"/>
  <c r="Y12" i="8"/>
  <c r="W7" i="8"/>
  <c r="Y5" i="8"/>
  <c r="A3" i="8"/>
  <c r="A2" i="8"/>
  <c r="Y12" i="10"/>
  <c r="W7" i="10"/>
  <c r="X6" i="10"/>
  <c r="Y5" i="10"/>
  <c r="A3" i="10"/>
  <c r="A2" i="10"/>
  <c r="A77" i="12"/>
  <c r="A76" i="12"/>
  <c r="A75" i="12"/>
  <c r="A73" i="12"/>
  <c r="A72" i="12"/>
  <c r="A71" i="12"/>
  <c r="A70" i="12"/>
  <c r="Y12" i="12"/>
  <c r="W7" i="12"/>
  <c r="X6" i="12"/>
  <c r="Y5" i="12"/>
  <c r="A3" i="12"/>
  <c r="A2" i="12"/>
  <c r="G165" i="4"/>
  <c r="B165" i="4"/>
  <c r="G164" i="4"/>
  <c r="B164" i="4"/>
  <c r="G163" i="4"/>
  <c r="B163" i="4"/>
  <c r="G162" i="4"/>
  <c r="B162" i="4" s="1"/>
  <c r="G161" i="4"/>
  <c r="B161" i="4"/>
  <c r="M154" i="4"/>
  <c r="M153" i="4"/>
  <c r="M152" i="4"/>
  <c r="M151" i="4"/>
  <c r="M150" i="4"/>
  <c r="M149" i="4"/>
  <c r="M148" i="4"/>
  <c r="M147" i="4"/>
  <c r="M146" i="4"/>
  <c r="M145" i="4"/>
  <c r="M144" i="4"/>
  <c r="M143" i="4"/>
  <c r="M142" i="4"/>
  <c r="M141" i="4"/>
  <c r="M140" i="4"/>
  <c r="M139" i="4"/>
  <c r="M138" i="4"/>
  <c r="M130" i="4"/>
  <c r="M129" i="4"/>
  <c r="M128" i="4"/>
  <c r="M127" i="4"/>
  <c r="M126" i="4"/>
  <c r="M124" i="4"/>
  <c r="M123" i="4"/>
  <c r="M122" i="4"/>
  <c r="M121" i="4"/>
  <c r="M120" i="4"/>
  <c r="M119" i="4"/>
  <c r="M118" i="4"/>
  <c r="M117" i="4"/>
  <c r="M116" i="4"/>
  <c r="M115" i="4"/>
  <c r="M114" i="4"/>
  <c r="M113" i="4"/>
  <c r="M112" i="4"/>
  <c r="M111" i="4"/>
  <c r="M110" i="4"/>
  <c r="M109" i="4"/>
  <c r="M108" i="4"/>
  <c r="M107" i="4"/>
  <c r="G89" i="4"/>
  <c r="G88" i="4"/>
  <c r="G87" i="4"/>
  <c r="G13" i="4"/>
  <c r="Y12" i="4"/>
  <c r="X10" i="4"/>
  <c r="W7" i="4"/>
  <c r="X6" i="4"/>
  <c r="Y5" i="4"/>
  <c r="A3" i="44"/>
  <c r="Y12" i="46"/>
  <c r="X6" i="46"/>
  <c r="A3" i="46"/>
  <c r="A2" i="46"/>
  <c r="AD3" i="45"/>
  <c r="AB3" i="45"/>
  <c r="AA3" i="45"/>
  <c r="AA4" i="45" s="1"/>
  <c r="W317" i="42"/>
  <c r="W316" i="42"/>
  <c r="W292" i="42"/>
  <c r="W290" i="42"/>
  <c r="W289" i="42"/>
  <c r="W288" i="42"/>
  <c r="W275" i="42"/>
  <c r="W273" i="42"/>
  <c r="W272" i="42"/>
  <c r="W271" i="42"/>
  <c r="W269" i="42"/>
  <c r="W252" i="42"/>
  <c r="W251" i="42"/>
  <c r="W250" i="42"/>
  <c r="W249" i="42"/>
  <c r="W248" i="42"/>
  <c r="W247" i="42"/>
  <c r="W232" i="42"/>
  <c r="W231" i="42"/>
  <c r="W230" i="42"/>
  <c r="W229" i="42"/>
  <c r="W228" i="42"/>
  <c r="W227" i="42"/>
  <c r="W226" i="42"/>
  <c r="W207" i="42"/>
  <c r="W206" i="42"/>
  <c r="W205" i="42"/>
  <c r="W204" i="42"/>
  <c r="W203" i="42"/>
  <c r="W202" i="42"/>
  <c r="F181" i="42"/>
  <c r="AB37" i="42"/>
  <c r="AJ37" i="42" s="1"/>
  <c r="AK37" i="42" s="1"/>
  <c r="AB36" i="42"/>
  <c r="AJ36" i="42" s="1"/>
  <c r="AK36" i="42" s="1"/>
  <c r="AB35" i="42"/>
  <c r="AJ35" i="42" s="1"/>
  <c r="AK35" i="42" s="1"/>
  <c r="AB34" i="42"/>
  <c r="AJ34" i="42" s="1"/>
  <c r="AK34" i="42" s="1"/>
  <c r="AB33" i="42"/>
  <c r="AJ33" i="42" s="1"/>
  <c r="AK33" i="42" s="1"/>
  <c r="AB32" i="42"/>
  <c r="AJ32" i="42" s="1"/>
  <c r="AK32" i="42" s="1"/>
  <c r="AB31" i="42"/>
  <c r="AJ31" i="42" s="1"/>
  <c r="AK31" i="42" s="1"/>
  <c r="AB30" i="42"/>
  <c r="AJ30" i="42" s="1"/>
  <c r="AK30" i="42" s="1"/>
  <c r="AB29" i="42"/>
  <c r="AJ29" i="42" s="1"/>
  <c r="AK29" i="42" s="1"/>
  <c r="AB28" i="42"/>
  <c r="AJ28" i="42" s="1"/>
  <c r="AK28" i="42" s="1"/>
  <c r="AB27" i="42"/>
  <c r="AJ27" i="42" s="1"/>
  <c r="AK27" i="42" s="1"/>
  <c r="AB26" i="42"/>
  <c r="AJ26" i="42" s="1"/>
  <c r="AK26" i="42" s="1"/>
  <c r="AB25" i="42"/>
  <c r="AJ25" i="42" s="1"/>
  <c r="AK25" i="42" s="1"/>
  <c r="AB24" i="42"/>
  <c r="AJ24" i="42" s="1"/>
  <c r="AK24" i="42" s="1"/>
  <c r="AB23" i="42"/>
  <c r="AJ23" i="42" s="1"/>
  <c r="AK23" i="42" s="1"/>
  <c r="AB22" i="42"/>
  <c r="AJ22" i="42" s="1"/>
  <c r="AK22" i="42" s="1"/>
  <c r="AB21" i="42"/>
  <c r="AJ21" i="42" s="1"/>
  <c r="AK21" i="42" s="1"/>
  <c r="AB20" i="42"/>
  <c r="AJ20" i="42" s="1"/>
  <c r="AK20" i="42" s="1"/>
  <c r="AB19" i="42"/>
  <c r="AJ19" i="42" s="1"/>
  <c r="AK19" i="42" s="1"/>
  <c r="AB18" i="42"/>
  <c r="AJ18" i="42" s="1"/>
  <c r="AK18" i="42" s="1"/>
  <c r="AB17" i="42"/>
  <c r="AJ17" i="42" s="1"/>
  <c r="AK17" i="42" s="1"/>
  <c r="AB16" i="42"/>
  <c r="AJ16" i="42" s="1"/>
  <c r="AK16" i="42" s="1"/>
  <c r="AB15" i="42"/>
  <c r="AJ15" i="42" s="1"/>
  <c r="AK15" i="42" s="1"/>
  <c r="AB14" i="42"/>
  <c r="AJ14" i="42" s="1"/>
  <c r="AK14" i="42" s="1"/>
  <c r="AB13" i="42"/>
  <c r="AJ13" i="42" s="1"/>
  <c r="AK13" i="42" s="1"/>
  <c r="X13" i="42"/>
  <c r="AB12" i="42"/>
  <c r="AJ12" i="42" s="1"/>
  <c r="AK12" i="42" s="1"/>
  <c r="AB11" i="42"/>
  <c r="AJ11" i="42" s="1"/>
  <c r="AK11" i="42" s="1"/>
  <c r="AB10" i="42"/>
  <c r="AJ10" i="42" s="1"/>
  <c r="AK10" i="42" s="1"/>
  <c r="AB9" i="42"/>
  <c r="AJ9" i="42" s="1"/>
  <c r="AK9" i="42" s="1"/>
  <c r="G1" i="42"/>
  <c r="AB8" i="42"/>
  <c r="A3" i="42"/>
  <c r="A2" i="42"/>
  <c r="AN3" i="16" l="1"/>
  <c r="AO4" i="16"/>
  <c r="AJ3" i="45"/>
  <c r="AO3" i="16"/>
  <c r="L3" i="16"/>
  <c r="AF3" i="16"/>
  <c r="AZ4" i="15"/>
  <c r="BA4" i="15" s="1"/>
  <c r="BB4" i="15" s="1"/>
  <c r="R4" i="16"/>
  <c r="R4" i="18"/>
  <c r="Q4" i="18"/>
  <c r="AI4" i="17"/>
  <c r="AU4" i="21"/>
  <c r="Y4" i="45"/>
  <c r="AF4" i="45"/>
  <c r="AJ4" i="45"/>
  <c r="L4" i="17"/>
  <c r="R4" i="17"/>
  <c r="N4" i="17" s="1"/>
  <c r="Y4" i="17"/>
  <c r="AC4" i="17" s="1"/>
  <c r="AD4" i="17" s="1"/>
  <c r="L4" i="16"/>
  <c r="V4" i="45"/>
  <c r="V4" i="16"/>
  <c r="AF4" i="16"/>
  <c r="AM4" i="16"/>
  <c r="BG4" i="15"/>
  <c r="BF4" i="15"/>
  <c r="AK4" i="17"/>
  <c r="AL4" i="17"/>
  <c r="AU4" i="15"/>
  <c r="AV4" i="15" s="1"/>
  <c r="Y4" i="16"/>
  <c r="BE4" i="15"/>
  <c r="F4" i="18"/>
  <c r="AF4" i="15"/>
  <c r="AG4" i="15" s="1"/>
  <c r="Q4" i="16"/>
  <c r="AF3" i="45"/>
  <c r="E65" i="46"/>
  <c r="V3" i="45"/>
  <c r="AJ8" i="42"/>
  <c r="AK8" i="42" s="1"/>
  <c r="O56" i="42" s="1"/>
  <c r="V29" i="42"/>
  <c r="Y3" i="16"/>
  <c r="R3" i="17"/>
  <c r="N3" i="17" s="1"/>
  <c r="L3" i="17"/>
  <c r="A22" i="4"/>
  <c r="A12" i="4"/>
  <c r="R1" i="18"/>
  <c r="F3" i="18"/>
  <c r="AQ3" i="17"/>
  <c r="S3" i="16"/>
  <c r="Q3" i="16" s="1"/>
  <c r="AM3" i="16"/>
  <c r="X10" i="9"/>
  <c r="AV3" i="21"/>
  <c r="AW3" i="21" s="1"/>
  <c r="AU3" i="21" s="1"/>
  <c r="AB3" i="17"/>
  <c r="AT3" i="17" s="1"/>
  <c r="C1" i="44"/>
  <c r="AC3" i="15"/>
  <c r="S1" i="16"/>
  <c r="X10" i="10"/>
  <c r="I103" i="10" s="1"/>
  <c r="R1" i="16"/>
  <c r="X10" i="46"/>
  <c r="B8" i="46" s="1"/>
  <c r="Y3" i="45"/>
  <c r="W6" i="42"/>
  <c r="BF3" i="15"/>
  <c r="X10" i="42"/>
  <c r="X10" i="8"/>
  <c r="A169" i="8" s="1"/>
  <c r="AZ3" i="15"/>
  <c r="BA3" i="15" s="1"/>
  <c r="BB3" i="15" s="1"/>
  <c r="AL3" i="17"/>
  <c r="X10" i="12"/>
  <c r="N10" i="12" s="1"/>
  <c r="F75" i="4"/>
  <c r="A32" i="4"/>
  <c r="A157" i="4"/>
  <c r="A134" i="4"/>
  <c r="G160" i="4" s="1"/>
  <c r="A74" i="4"/>
  <c r="F33" i="4"/>
  <c r="E157" i="4"/>
  <c r="A104" i="4"/>
  <c r="B160" i="4" s="1"/>
  <c r="A61" i="4"/>
  <c r="V3" i="16"/>
  <c r="BE3" i="15"/>
  <c r="BG3" i="15"/>
  <c r="AU3" i="15"/>
  <c r="AV3" i="15" s="1"/>
  <c r="AE1" i="15"/>
  <c r="AF1" i="15"/>
  <c r="AB3" i="16"/>
  <c r="AB4" i="16" s="1"/>
  <c r="AU3" i="17"/>
  <c r="AK3" i="17"/>
  <c r="Y3" i="17"/>
  <c r="AC3" i="17" s="1"/>
  <c r="AR3" i="17"/>
  <c r="AR4" i="17" s="1"/>
  <c r="AS4" i="17" s="1"/>
  <c r="AD1" i="17"/>
  <c r="R3" i="18"/>
  <c r="Q3" i="18"/>
  <c r="B127" i="9" l="1"/>
  <c r="A11" i="9"/>
  <c r="T4" i="18"/>
  <c r="AE4" i="18" s="1" a="1"/>
  <c r="AE4" i="18" s="1"/>
  <c r="S4" i="18"/>
  <c r="AO4" i="18" s="1"/>
  <c r="A52" i="8"/>
  <c r="AE4" i="45"/>
  <c r="X4" i="16"/>
  <c r="AG4" i="17"/>
  <c r="AJ4" i="16"/>
  <c r="AK4" i="16"/>
  <c r="AL4" i="16" s="1"/>
  <c r="AH4" i="15"/>
  <c r="BC4" i="21"/>
  <c r="AE4" i="17"/>
  <c r="O53" i="42"/>
  <c r="U53" i="42" s="1"/>
  <c r="O81" i="42"/>
  <c r="S81" i="42" s="1"/>
  <c r="O68" i="42"/>
  <c r="U68" i="42" s="1"/>
  <c r="O59" i="42"/>
  <c r="U59" i="42" s="1"/>
  <c r="O55" i="42"/>
  <c r="U55" i="42" s="1"/>
  <c r="O54" i="42"/>
  <c r="S54" i="42" s="1"/>
  <c r="O75" i="42"/>
  <c r="S75" i="42" s="1"/>
  <c r="S3" i="18"/>
  <c r="O57" i="42"/>
  <c r="S57" i="42" s="1"/>
  <c r="O62" i="42"/>
  <c r="U62" i="42" s="1"/>
  <c r="O66" i="42"/>
  <c r="U66" i="42" s="1"/>
  <c r="O76" i="42"/>
  <c r="S76" i="42" s="1"/>
  <c r="O77" i="42"/>
  <c r="S77" i="42" s="1"/>
  <c r="O82" i="42"/>
  <c r="S82" i="42" s="1"/>
  <c r="O64" i="42"/>
  <c r="S64" i="42" s="1"/>
  <c r="O73" i="42"/>
  <c r="S73" i="42" s="1"/>
  <c r="O67" i="42"/>
  <c r="S67" i="42" s="1"/>
  <c r="O58" i="42"/>
  <c r="S58" i="42" s="1"/>
  <c r="O65" i="42"/>
  <c r="U65" i="42" s="1"/>
  <c r="O63" i="42"/>
  <c r="U63" i="42" s="1"/>
  <c r="O71" i="42"/>
  <c r="U71" i="42" s="1"/>
  <c r="O78" i="42"/>
  <c r="S78" i="42" s="1"/>
  <c r="O61" i="42"/>
  <c r="S61" i="42" s="1"/>
  <c r="O70" i="42"/>
  <c r="S70" i="42" s="1"/>
  <c r="O74" i="42"/>
  <c r="S74" i="42" s="1"/>
  <c r="O79" i="42"/>
  <c r="U79" i="42" s="1"/>
  <c r="O60" i="42"/>
  <c r="U60" i="42" s="1"/>
  <c r="O72" i="42"/>
  <c r="S72" i="42" s="1"/>
  <c r="O80" i="42"/>
  <c r="S80" i="42" s="1"/>
  <c r="O69" i="42"/>
  <c r="U69" i="42" s="1"/>
  <c r="O14" i="42"/>
  <c r="O49" i="42"/>
  <c r="S56" i="42"/>
  <c r="U56" i="42"/>
  <c r="A94" i="12"/>
  <c r="AE3" i="45"/>
  <c r="A11" i="12"/>
  <c r="A66" i="12" s="1"/>
  <c r="AC3" i="16"/>
  <c r="AC4" i="16" s="1"/>
  <c r="T3" i="16"/>
  <c r="R3" i="16" s="1"/>
  <c r="AS3" i="17"/>
  <c r="AY4" i="15" s="1"/>
  <c r="AD3" i="17"/>
  <c r="AF3" i="15"/>
  <c r="AG3" i="15" s="1"/>
  <c r="F4" i="16" s="1"/>
  <c r="AE3" i="15"/>
  <c r="AE3" i="17"/>
  <c r="AI3" i="17"/>
  <c r="AJ4" i="17" s="1"/>
  <c r="BC3" i="21"/>
  <c r="C36" i="44" s="1"/>
  <c r="X3" i="16"/>
  <c r="T3" i="18"/>
  <c r="A55" i="10"/>
  <c r="Q103" i="10"/>
  <c r="I55" i="10"/>
  <c r="I10" i="10"/>
  <c r="A31" i="10"/>
  <c r="A103" i="10"/>
  <c r="Q55" i="10"/>
  <c r="Q10" i="10"/>
  <c r="A77" i="10"/>
  <c r="I77" i="10"/>
  <c r="Q77" i="10"/>
  <c r="I31" i="10"/>
  <c r="Q31" i="10"/>
  <c r="A10" i="10"/>
  <c r="A129" i="8"/>
  <c r="H169" i="8"/>
  <c r="H129" i="8"/>
  <c r="H149" i="8"/>
  <c r="A149" i="8"/>
  <c r="R4" i="46"/>
  <c r="G3" i="42"/>
  <c r="AG3" i="17"/>
  <c r="H112" i="9"/>
  <c r="B66" i="9"/>
  <c r="G67" i="9" s="1"/>
  <c r="G128" i="9"/>
  <c r="B103" i="9"/>
  <c r="G89" i="9"/>
  <c r="B88" i="9"/>
  <c r="B111" i="9"/>
  <c r="AF4" i="18" l="1" a="1"/>
  <c r="AF4" i="18" s="1"/>
  <c r="AS4" i="18"/>
  <c r="AP4" i="18"/>
  <c r="AQ4" i="18" s="1"/>
  <c r="AH4" i="18" a="1"/>
  <c r="AH4" i="18" s="1"/>
  <c r="AG4" i="18" a="1"/>
  <c r="AG4" i="18" s="1"/>
  <c r="AI4" i="18" a="1"/>
  <c r="AI4" i="18" s="1"/>
  <c r="AR4" i="18"/>
  <c r="AO4" i="17"/>
  <c r="AP4" i="17" s="1"/>
  <c r="AM4" i="17"/>
  <c r="AH4" i="16"/>
  <c r="M4" i="17"/>
  <c r="AH4" i="17"/>
  <c r="U4" i="17"/>
  <c r="W4" i="17"/>
  <c r="X4" i="17"/>
  <c r="AF4" i="17"/>
  <c r="AG4" i="45"/>
  <c r="W4" i="45"/>
  <c r="AJ3" i="17"/>
  <c r="W3" i="17"/>
  <c r="U70" i="42"/>
  <c r="S53" i="42"/>
  <c r="U78" i="42"/>
  <c r="U81" i="42"/>
  <c r="S71" i="42"/>
  <c r="U74" i="42"/>
  <c r="S55" i="42"/>
  <c r="S68" i="42"/>
  <c r="S59" i="42"/>
  <c r="U54" i="42"/>
  <c r="U67" i="42"/>
  <c r="U77" i="42"/>
  <c r="S62" i="42"/>
  <c r="S79" i="42"/>
  <c r="S69" i="42"/>
  <c r="U61" i="42"/>
  <c r="U75" i="42"/>
  <c r="U57" i="42"/>
  <c r="U80" i="42"/>
  <c r="U82" i="42"/>
  <c r="S63" i="42"/>
  <c r="U73" i="42"/>
  <c r="U72" i="42"/>
  <c r="U64" i="42"/>
  <c r="S60" i="42"/>
  <c r="S65" i="42"/>
  <c r="U58" i="42"/>
  <c r="U76" i="42"/>
  <c r="S66" i="42"/>
  <c r="G3" i="18"/>
  <c r="G4" i="18"/>
  <c r="AT4" i="18" l="1"/>
  <c r="H4" i="15"/>
  <c r="BN4" i="15"/>
  <c r="BO4" i="15" s="1"/>
  <c r="AT4" i="15"/>
  <c r="L4" i="15"/>
  <c r="J4" i="16"/>
  <c r="F4" i="15"/>
  <c r="I4" i="16"/>
  <c r="AN4" i="17"/>
  <c r="S4" i="17"/>
  <c r="T4" i="17" s="1"/>
  <c r="H3" i="15"/>
  <c r="F3" i="16"/>
  <c r="M3" i="17"/>
  <c r="BB3" i="17"/>
  <c r="BB4" i="17"/>
  <c r="X3" i="17"/>
  <c r="U3" i="17"/>
  <c r="AO3" i="18"/>
  <c r="AE3" i="18" a="1"/>
  <c r="AE3" i="18" s="1"/>
  <c r="AO4" i="15" s="1"/>
  <c r="AG3" i="18" a="1"/>
  <c r="AG3" i="18" s="1"/>
  <c r="AQ4" i="15" s="1"/>
  <c r="AF3" i="18" a="1"/>
  <c r="AF3" i="18" s="1"/>
  <c r="AP4" i="15" s="1"/>
  <c r="AH3" i="18" a="1"/>
  <c r="AH3" i="18" s="1"/>
  <c r="AR4" i="15" s="1"/>
  <c r="AI3" i="18" a="1"/>
  <c r="AI3" i="18" s="1"/>
  <c r="AS4" i="15" s="1"/>
  <c r="AY3" i="15"/>
  <c r="AM3" i="17"/>
  <c r="BC4" i="15" s="1"/>
  <c r="C12" i="44"/>
  <c r="C13" i="44"/>
  <c r="C10" i="44"/>
  <c r="AH3" i="15"/>
  <c r="AO3" i="17"/>
  <c r="AP3" i="17" s="1"/>
  <c r="AF3" i="17"/>
  <c r="AA4" i="15" s="1"/>
  <c r="AB4" i="15" s="1"/>
  <c r="AK3" i="16"/>
  <c r="AL3" i="16" s="1"/>
  <c r="AH3" i="16"/>
  <c r="C14" i="44"/>
  <c r="C35" i="44" s="1"/>
  <c r="C31" i="44"/>
  <c r="C25" i="44"/>
  <c r="C26" i="44"/>
  <c r="C17" i="44"/>
  <c r="C32" i="44"/>
  <c r="C30" i="44"/>
  <c r="C19" i="44"/>
  <c r="C20" i="44" s="1"/>
  <c r="C18" i="44"/>
  <c r="AH3" i="17"/>
  <c r="Y4" i="15" s="1"/>
  <c r="Z4" i="15" s="1"/>
  <c r="AR3" i="18"/>
  <c r="AP3" i="18"/>
  <c r="C11" i="44"/>
  <c r="C21" i="44"/>
  <c r="C22" i="44" s="1"/>
  <c r="C27" i="44"/>
  <c r="D36" i="44"/>
  <c r="C28" i="44"/>
  <c r="C29" i="44"/>
  <c r="C24" i="44"/>
  <c r="C16" i="44"/>
  <c r="AS3" i="18"/>
  <c r="U3" i="18"/>
  <c r="U4" i="18"/>
  <c r="Z4" i="18" l="1" a="1"/>
  <c r="Z4" i="18" s="1"/>
  <c r="AC4" i="18" a="1"/>
  <c r="AC4" i="18" s="1"/>
  <c r="AA4" i="18" a="1"/>
  <c r="AA4" i="18" s="1"/>
  <c r="AK4" i="18" s="1"/>
  <c r="AB4" i="18" a="1"/>
  <c r="AB4" i="18" s="1"/>
  <c r="AD4" i="18" a="1"/>
  <c r="AD4" i="18" s="1"/>
  <c r="AN4" i="18" s="1"/>
  <c r="N23" i="12"/>
  <c r="P23" i="12"/>
  <c r="Q23" i="12"/>
  <c r="R23" i="12"/>
  <c r="V4" i="17"/>
  <c r="W4" i="16"/>
  <c r="AI4" i="45"/>
  <c r="AH4" i="45"/>
  <c r="AM4" i="18"/>
  <c r="AL4" i="18"/>
  <c r="AZ4" i="17"/>
  <c r="BA4" i="17" s="1"/>
  <c r="AJ4" i="18"/>
  <c r="P40" i="12"/>
  <c r="Q40" i="12"/>
  <c r="I120" i="42"/>
  <c r="R40" i="12"/>
  <c r="I106" i="42"/>
  <c r="P37" i="12"/>
  <c r="I102" i="42"/>
  <c r="Q37" i="12"/>
  <c r="R37" i="12"/>
  <c r="N19" i="12"/>
  <c r="P19" i="12"/>
  <c r="Q19" i="12"/>
  <c r="R19" i="12"/>
  <c r="N40" i="12"/>
  <c r="N37" i="12"/>
  <c r="Z3" i="18" a="1"/>
  <c r="Z3" i="18" s="1"/>
  <c r="AJ4" i="15" s="1"/>
  <c r="AC3" i="18" a="1"/>
  <c r="AC3" i="18" s="1"/>
  <c r="AM4" i="15" s="1"/>
  <c r="AA3" i="18" a="1"/>
  <c r="AA3" i="18" s="1"/>
  <c r="AK4" i="15" s="1"/>
  <c r="AD3" i="18" a="1"/>
  <c r="AD3" i="18" s="1"/>
  <c r="AN4" i="15" s="1"/>
  <c r="AB3" i="18" a="1"/>
  <c r="AB3" i="18" s="1"/>
  <c r="AL4" i="15" s="1"/>
  <c r="V3" i="17"/>
  <c r="W3" i="45"/>
  <c r="J3" i="16"/>
  <c r="L3" i="15"/>
  <c r="F3" i="15"/>
  <c r="I3" i="16"/>
  <c r="BM4" i="15" s="1"/>
  <c r="AQ3" i="18"/>
  <c r="AZ3" i="17"/>
  <c r="BA3" i="17" s="1"/>
  <c r="S3" i="17"/>
  <c r="T3" i="17" s="1"/>
  <c r="AS3" i="15"/>
  <c r="R46" i="12"/>
  <c r="Q54" i="12"/>
  <c r="Q56" i="12"/>
  <c r="N61" i="12"/>
  <c r="Q43" i="12"/>
  <c r="P27" i="12"/>
  <c r="P53" i="12"/>
  <c r="N45" i="12"/>
  <c r="N41" i="12"/>
  <c r="P47" i="12"/>
  <c r="P49" i="12"/>
  <c r="Q44" i="12"/>
  <c r="Q52" i="12"/>
  <c r="R61" i="12"/>
  <c r="P44" i="12"/>
  <c r="Q15" i="12"/>
  <c r="N38" i="12"/>
  <c r="R57" i="12"/>
  <c r="P51" i="12"/>
  <c r="P61" i="12"/>
  <c r="R35" i="12"/>
  <c r="N51" i="12"/>
  <c r="P25" i="12"/>
  <c r="R39" i="12"/>
  <c r="P58" i="12"/>
  <c r="N26" i="12"/>
  <c r="N32" i="12"/>
  <c r="N34" i="12"/>
  <c r="R32" i="12"/>
  <c r="P16" i="12"/>
  <c r="Q49" i="12"/>
  <c r="N49" i="12"/>
  <c r="N29" i="12"/>
  <c r="N56" i="12"/>
  <c r="N58" i="12"/>
  <c r="Q41" i="12"/>
  <c r="R47" i="12"/>
  <c r="R49" i="12"/>
  <c r="R20" i="12"/>
  <c r="N53" i="12"/>
  <c r="P18" i="12"/>
  <c r="Q17" i="12"/>
  <c r="P48" i="12"/>
  <c r="N44" i="12"/>
  <c r="N47" i="12"/>
  <c r="R27" i="12"/>
  <c r="R18" i="12"/>
  <c r="Q29" i="12"/>
  <c r="P30" i="12"/>
  <c r="R56" i="12"/>
  <c r="R22" i="12"/>
  <c r="R34" i="12"/>
  <c r="Q35" i="12"/>
  <c r="R28" i="12"/>
  <c r="P38" i="12"/>
  <c r="R38" i="12"/>
  <c r="R16" i="12"/>
  <c r="R25" i="12"/>
  <c r="R58" i="12"/>
  <c r="R45" i="12"/>
  <c r="Q46" i="12"/>
  <c r="Q16" i="12"/>
  <c r="Q33" i="12"/>
  <c r="N25" i="12"/>
  <c r="R51" i="12"/>
  <c r="P45" i="12"/>
  <c r="Q53" i="12"/>
  <c r="P54" i="12"/>
  <c r="N62" i="12"/>
  <c r="P32" i="12"/>
  <c r="P43" i="12"/>
  <c r="N48" i="12"/>
  <c r="Q59" i="12"/>
  <c r="R52" i="12"/>
  <c r="P22" i="12"/>
  <c r="Q26" i="12"/>
  <c r="P62" i="12"/>
  <c r="P15" i="12"/>
  <c r="R48" i="12"/>
  <c r="P21" i="12"/>
  <c r="P34" i="12"/>
  <c r="Q61" i="12"/>
  <c r="Q34" i="12"/>
  <c r="R26" i="12"/>
  <c r="Q62" i="12"/>
  <c r="P41" i="12"/>
  <c r="Q57" i="12"/>
  <c r="Q27" i="12"/>
  <c r="R59" i="12"/>
  <c r="R21" i="12"/>
  <c r="P28" i="12"/>
  <c r="N27" i="12"/>
  <c r="R62" i="12"/>
  <c r="N43" i="12"/>
  <c r="Q39" i="12"/>
  <c r="P35" i="12"/>
  <c r="N46" i="12"/>
  <c r="Q20" i="12"/>
  <c r="N33" i="12"/>
  <c r="N35" i="12"/>
  <c r="R54" i="12"/>
  <c r="R15" i="12"/>
  <c r="P56" i="12"/>
  <c r="R44" i="12"/>
  <c r="P52" i="12"/>
  <c r="N30" i="12"/>
  <c r="N57" i="12"/>
  <c r="N59" i="12"/>
  <c r="Q25" i="12"/>
  <c r="Q32" i="12"/>
  <c r="Q51" i="12"/>
  <c r="N28" i="12"/>
  <c r="N54" i="12"/>
  <c r="R17" i="12"/>
  <c r="P17" i="12"/>
  <c r="R30" i="12"/>
  <c r="P33" i="12"/>
  <c r="P59" i="12"/>
  <c r="N52" i="12"/>
  <c r="Q18" i="12"/>
  <c r="R29" i="12"/>
  <c r="Q30" i="12"/>
  <c r="N15" i="12"/>
  <c r="R41" i="12"/>
  <c r="Q22" i="12"/>
  <c r="R43" i="12"/>
  <c r="P20" i="12"/>
  <c r="P29" i="12"/>
  <c r="Q38" i="12"/>
  <c r="P39" i="12"/>
  <c r="Q47" i="12"/>
  <c r="Q48" i="12"/>
  <c r="P26" i="12"/>
  <c r="Q58" i="12"/>
  <c r="Q28" i="12"/>
  <c r="P46" i="12"/>
  <c r="N39" i="12"/>
  <c r="P57" i="12"/>
  <c r="R33" i="12"/>
  <c r="Q21" i="12"/>
  <c r="Q45" i="12"/>
  <c r="R53" i="12"/>
  <c r="I98" i="42"/>
  <c r="N22" i="12"/>
  <c r="N21" i="12"/>
  <c r="N20" i="12"/>
  <c r="N18" i="12"/>
  <c r="N17" i="12"/>
  <c r="N16" i="12"/>
  <c r="I138" i="42"/>
  <c r="I121" i="42"/>
  <c r="I99" i="42"/>
  <c r="I122" i="42"/>
  <c r="I100" i="42"/>
  <c r="I123" i="42"/>
  <c r="I131" i="42"/>
  <c r="I101" i="42"/>
  <c r="I103" i="42"/>
  <c r="I124" i="42"/>
  <c r="I126" i="42"/>
  <c r="I104" i="42"/>
  <c r="I125" i="42"/>
  <c r="I105" i="42"/>
  <c r="I107" i="42"/>
  <c r="I127" i="42"/>
  <c r="I132" i="42"/>
  <c r="I108" i="42"/>
  <c r="I128" i="42"/>
  <c r="I109" i="42"/>
  <c r="I129" i="42"/>
  <c r="I110" i="42"/>
  <c r="I130" i="42"/>
  <c r="I111" i="42"/>
  <c r="I112" i="42"/>
  <c r="I113" i="42"/>
  <c r="I133" i="42"/>
  <c r="I114" i="42"/>
  <c r="I134" i="42"/>
  <c r="I118" i="42"/>
  <c r="I119" i="42"/>
  <c r="I115" i="42"/>
  <c r="I135" i="42"/>
  <c r="I117" i="42"/>
  <c r="I116" i="42"/>
  <c r="I136" i="42"/>
  <c r="I137" i="42"/>
  <c r="AJ3" i="16"/>
  <c r="BC3" i="15"/>
  <c r="AN3" i="17"/>
  <c r="BD4" i="15" s="1"/>
  <c r="C34" i="44"/>
  <c r="C37" i="44"/>
  <c r="C8" i="44" s="1"/>
  <c r="BN3" i="15"/>
  <c r="AA3" i="15"/>
  <c r="AB3" i="15" s="1"/>
  <c r="AD4" i="16" s="1"/>
  <c r="AQ3" i="15"/>
  <c r="W3" i="16"/>
  <c r="AR3" i="15"/>
  <c r="AT3" i="18"/>
  <c r="Y3" i="15"/>
  <c r="Z3" i="15" s="1"/>
  <c r="AP3" i="15"/>
  <c r="D10" i="44"/>
  <c r="D28" i="44"/>
  <c r="D18" i="44"/>
  <c r="D32" i="44"/>
  <c r="E36" i="44"/>
  <c r="D16" i="44"/>
  <c r="D30" i="44"/>
  <c r="D29" i="44"/>
  <c r="D27" i="44"/>
  <c r="D26" i="44"/>
  <c r="D25" i="44"/>
  <c r="D12" i="44"/>
  <c r="D31" i="44"/>
  <c r="D13" i="44"/>
  <c r="D19" i="44"/>
  <c r="D20" i="44" s="1"/>
  <c r="D24" i="44"/>
  <c r="D21" i="44"/>
  <c r="D22" i="44" s="1"/>
  <c r="D17" i="44"/>
  <c r="D14" i="44"/>
  <c r="D35" i="44" s="1"/>
  <c r="D11" i="44"/>
  <c r="AT3" i="15"/>
  <c r="P50" i="12" l="1"/>
  <c r="P36" i="12"/>
  <c r="N14" i="12"/>
  <c r="P14" i="12"/>
  <c r="Q14" i="12"/>
  <c r="P42" i="12"/>
  <c r="P31" i="12"/>
  <c r="P55" i="12"/>
  <c r="P24" i="12"/>
  <c r="R14" i="12"/>
  <c r="P60" i="12"/>
  <c r="E56" i="46"/>
  <c r="E21" i="46"/>
  <c r="E26" i="46"/>
  <c r="AL3" i="15"/>
  <c r="AN3" i="15"/>
  <c r="AK3" i="15"/>
  <c r="AM3" i="15"/>
  <c r="E38" i="46"/>
  <c r="C63" i="46"/>
  <c r="E42" i="46"/>
  <c r="F11" i="46"/>
  <c r="C21" i="46"/>
  <c r="E25" i="46"/>
  <c r="E62" i="46"/>
  <c r="E60" i="46"/>
  <c r="E28" i="46"/>
  <c r="F25" i="46"/>
  <c r="F30" i="46"/>
  <c r="F21" i="46"/>
  <c r="C25" i="46"/>
  <c r="E40" i="46"/>
  <c r="C41" i="46"/>
  <c r="E45" i="46"/>
  <c r="E43" i="46"/>
  <c r="E63" i="46"/>
  <c r="E39" i="46"/>
  <c r="C59" i="46"/>
  <c r="C47" i="46"/>
  <c r="E61" i="46"/>
  <c r="C65" i="46"/>
  <c r="E58" i="46"/>
  <c r="E57" i="46"/>
  <c r="C24" i="46"/>
  <c r="C22" i="46"/>
  <c r="E24" i="46"/>
  <c r="C30" i="46"/>
  <c r="E23" i="46"/>
  <c r="E30" i="46"/>
  <c r="C23" i="46"/>
  <c r="E22" i="46"/>
  <c r="C60" i="46"/>
  <c r="C42" i="46"/>
  <c r="C38" i="46"/>
  <c r="C56" i="46"/>
  <c r="F24" i="46"/>
  <c r="F23" i="46"/>
  <c r="C26" i="46"/>
  <c r="F26" i="46"/>
  <c r="C28" i="46"/>
  <c r="F28" i="46"/>
  <c r="E59" i="46"/>
  <c r="E64" i="46"/>
  <c r="C61" i="46"/>
  <c r="E46" i="46"/>
  <c r="E44" i="46"/>
  <c r="C45" i="46"/>
  <c r="E47" i="46"/>
  <c r="E41" i="46"/>
  <c r="C43" i="46"/>
  <c r="F29" i="46"/>
  <c r="F22" i="46"/>
  <c r="C40" i="46"/>
  <c r="C64" i="46"/>
  <c r="C62" i="46"/>
  <c r="C39" i="46"/>
  <c r="C57" i="46"/>
  <c r="C58" i="46"/>
  <c r="C44" i="46"/>
  <c r="C46" i="46"/>
  <c r="F27" i="46"/>
  <c r="AK3" i="18"/>
  <c r="AM3" i="18"/>
  <c r="AN3" i="18"/>
  <c r="AL3" i="18"/>
  <c r="AH3" i="45"/>
  <c r="C29" i="46" s="1"/>
  <c r="P71" i="42"/>
  <c r="BM3" i="15"/>
  <c r="P72" i="42"/>
  <c r="P73" i="42"/>
  <c r="P76" i="42"/>
  <c r="P55" i="42"/>
  <c r="P69" i="42"/>
  <c r="P79" i="42"/>
  <c r="P60" i="42"/>
  <c r="P70" i="42"/>
  <c r="P57" i="42"/>
  <c r="P77" i="42"/>
  <c r="P78" i="42"/>
  <c r="P80" i="42"/>
  <c r="P82" i="42"/>
  <c r="P68" i="42"/>
  <c r="P63" i="42"/>
  <c r="P81" i="42"/>
  <c r="P74" i="42"/>
  <c r="P65" i="42"/>
  <c r="P61" i="42"/>
  <c r="P59" i="42"/>
  <c r="P66" i="42"/>
  <c r="P58" i="42"/>
  <c r="P64" i="42"/>
  <c r="P67" i="42"/>
  <c r="P62" i="42"/>
  <c r="P75" i="42"/>
  <c r="P56" i="42"/>
  <c r="D102" i="12"/>
  <c r="B102" i="12"/>
  <c r="I139" i="42"/>
  <c r="BO3" i="15"/>
  <c r="B98" i="12"/>
  <c r="D98" i="12"/>
  <c r="BD3" i="15"/>
  <c r="D34" i="44"/>
  <c r="D37" i="44"/>
  <c r="D8" i="44" s="1"/>
  <c r="E26" i="44"/>
  <c r="E18" i="44"/>
  <c r="E11" i="44"/>
  <c r="E29" i="44"/>
  <c r="E31" i="44"/>
  <c r="E10" i="44"/>
  <c r="F36" i="44"/>
  <c r="E32" i="44"/>
  <c r="E19" i="44"/>
  <c r="E20" i="44" s="1"/>
  <c r="E17" i="44"/>
  <c r="E12" i="44"/>
  <c r="E27" i="44"/>
  <c r="E24" i="44"/>
  <c r="E13" i="44"/>
  <c r="E30" i="44"/>
  <c r="E25" i="44"/>
  <c r="E21" i="44"/>
  <c r="E22" i="44" s="1"/>
  <c r="E28" i="44"/>
  <c r="E14" i="44"/>
  <c r="E35" i="44" s="1"/>
  <c r="E16" i="44"/>
  <c r="D97" i="12"/>
  <c r="D101" i="12"/>
  <c r="B101" i="12"/>
  <c r="B97" i="12"/>
  <c r="B99" i="12"/>
  <c r="D99" i="12"/>
  <c r="AD3" i="16"/>
  <c r="D100" i="12"/>
  <c r="B100" i="12"/>
  <c r="P63" i="12" l="1"/>
  <c r="F23" i="12"/>
  <c r="AR44" i="12"/>
  <c r="B44" i="12" s="1"/>
  <c r="AI4" i="16"/>
  <c r="C91" i="9"/>
  <c r="E54" i="8"/>
  <c r="F56" i="8"/>
  <c r="E56" i="8"/>
  <c r="C56" i="8"/>
  <c r="F54" i="8"/>
  <c r="C54" i="8"/>
  <c r="G56" i="8"/>
  <c r="G54" i="8"/>
  <c r="D100" i="4"/>
  <c r="C86" i="4"/>
  <c r="B45" i="4"/>
  <c r="D95" i="4"/>
  <c r="E81" i="4"/>
  <c r="E40" i="4"/>
  <c r="B93" i="4"/>
  <c r="B69" i="4"/>
  <c r="D37" i="4"/>
  <c r="B90" i="4"/>
  <c r="E50" i="4"/>
  <c r="D16" i="4"/>
  <c r="C87" i="4"/>
  <c r="B46" i="4"/>
  <c r="C96" i="4"/>
  <c r="D84" i="4"/>
  <c r="E41" i="4"/>
  <c r="E93" i="4"/>
  <c r="B80" i="4"/>
  <c r="D38" i="4"/>
  <c r="E90" i="4"/>
  <c r="B57" i="4"/>
  <c r="B35" i="4"/>
  <c r="C88" i="4"/>
  <c r="D47" i="4"/>
  <c r="B99" i="4"/>
  <c r="C85" i="4"/>
  <c r="E42" i="4"/>
  <c r="D94" i="4"/>
  <c r="E80" i="4"/>
  <c r="D39" i="4"/>
  <c r="D91" i="4"/>
  <c r="B65" i="4"/>
  <c r="B36" i="4"/>
  <c r="B89" i="4"/>
  <c r="E48" i="4"/>
  <c r="E99" i="4"/>
  <c r="B86" i="4"/>
  <c r="E44" i="4"/>
  <c r="C95" i="4"/>
  <c r="D81" i="4"/>
  <c r="D40" i="4"/>
  <c r="E92" i="4"/>
  <c r="D66" i="4"/>
  <c r="B37" i="4"/>
  <c r="E89" i="4"/>
  <c r="D50" i="4"/>
  <c r="D93" i="4"/>
  <c r="E86" i="4"/>
  <c r="E45" i="4"/>
  <c r="B96" i="4"/>
  <c r="C84" i="4"/>
  <c r="D41" i="4"/>
  <c r="B88" i="4"/>
  <c r="F69" i="4"/>
  <c r="B38" i="4"/>
  <c r="D90" i="4"/>
  <c r="D54" i="4"/>
  <c r="D26" i="4"/>
  <c r="D80" i="4"/>
  <c r="E46" i="4"/>
  <c r="E96" i="4"/>
  <c r="B85" i="4"/>
  <c r="D42" i="4"/>
  <c r="C94" i="4"/>
  <c r="D48" i="4"/>
  <c r="B39" i="4"/>
  <c r="C91" i="4"/>
  <c r="E57" i="4"/>
  <c r="E35" i="4"/>
  <c r="E88" i="4"/>
  <c r="B40" i="4"/>
  <c r="D99" i="4"/>
  <c r="E85" i="4"/>
  <c r="D44" i="4"/>
  <c r="B95" i="4"/>
  <c r="C81" i="4"/>
  <c r="C93" i="4"/>
  <c r="C92" i="4"/>
  <c r="F65" i="4"/>
  <c r="E36" i="4"/>
  <c r="D89" i="4"/>
  <c r="B50" i="4"/>
  <c r="E87" i="4"/>
  <c r="D86" i="4"/>
  <c r="D45" i="4"/>
  <c r="E95" i="4"/>
  <c r="B84" i="4"/>
  <c r="B41" i="4"/>
  <c r="C80" i="4"/>
  <c r="D69" i="4"/>
  <c r="E37" i="4"/>
  <c r="C90" i="4"/>
  <c r="D52" i="4"/>
  <c r="F16" i="4"/>
  <c r="B48" i="4"/>
  <c r="D46" i="4"/>
  <c r="D96" i="4"/>
  <c r="E84" i="4"/>
  <c r="B42" i="4"/>
  <c r="B94" i="4"/>
  <c r="E39" i="4"/>
  <c r="E38" i="4"/>
  <c r="B91" i="4"/>
  <c r="D57" i="4"/>
  <c r="D35" i="4"/>
  <c r="D88" i="4"/>
  <c r="C99" i="4"/>
  <c r="D85" i="4"/>
  <c r="B44" i="4"/>
  <c r="E94" i="4"/>
  <c r="B81" i="4"/>
  <c r="E91" i="4"/>
  <c r="D65" i="4"/>
  <c r="D36" i="4"/>
  <c r="C89" i="4"/>
  <c r="D49" i="4"/>
  <c r="E47" i="4"/>
  <c r="F71" i="4"/>
  <c r="E56" i="4"/>
  <c r="D56" i="4"/>
  <c r="B47" i="4"/>
  <c r="F17" i="4"/>
  <c r="D11" i="46"/>
  <c r="B56" i="4"/>
  <c r="E55" i="4"/>
  <c r="E59" i="4"/>
  <c r="D12" i="46"/>
  <c r="C100" i="4"/>
  <c r="D67" i="4"/>
  <c r="B71" i="4"/>
  <c r="C116" i="9"/>
  <c r="B100" i="4"/>
  <c r="D51" i="4"/>
  <c r="B59" i="4"/>
  <c r="F67" i="4"/>
  <c r="D55" i="4"/>
  <c r="B43" i="4"/>
  <c r="B67" i="4"/>
  <c r="B55" i="4"/>
  <c r="D64" i="4"/>
  <c r="D15" i="4"/>
  <c r="E52" i="4"/>
  <c r="C79" i="4"/>
  <c r="B64" i="4"/>
  <c r="D25" i="4"/>
  <c r="B52" i="4"/>
  <c r="D68" i="4"/>
  <c r="D43" i="4"/>
  <c r="B68" i="4"/>
  <c r="D92" i="4"/>
  <c r="E26" i="4"/>
  <c r="E43" i="4"/>
  <c r="E54" i="4"/>
  <c r="B92" i="4"/>
  <c r="E53" i="4"/>
  <c r="F64" i="4"/>
  <c r="B27" i="4"/>
  <c r="E51" i="4"/>
  <c r="B26" i="4"/>
  <c r="D87" i="4"/>
  <c r="B54" i="4"/>
  <c r="B51" i="4"/>
  <c r="B53" i="4"/>
  <c r="B87" i="4"/>
  <c r="D79" i="4"/>
  <c r="E15" i="4"/>
  <c r="B16" i="4"/>
  <c r="F68" i="4"/>
  <c r="E25" i="4"/>
  <c r="E16" i="4"/>
  <c r="B15" i="4"/>
  <c r="B79" i="4"/>
  <c r="B25" i="4"/>
  <c r="E49" i="4"/>
  <c r="B17" i="4"/>
  <c r="B49" i="4"/>
  <c r="E100" i="4"/>
  <c r="D71" i="4"/>
  <c r="F15" i="4"/>
  <c r="F66" i="4"/>
  <c r="D59" i="4"/>
  <c r="D53" i="4"/>
  <c r="B66" i="4"/>
  <c r="E79" i="4"/>
  <c r="F12" i="46"/>
  <c r="E138" i="4"/>
  <c r="F153" i="4"/>
  <c r="B119" i="4"/>
  <c r="B121" i="4"/>
  <c r="E109" i="4"/>
  <c r="O109" i="4" s="1"/>
  <c r="E130" i="4"/>
  <c r="B126" i="4"/>
  <c r="E142" i="4"/>
  <c r="O143" i="4" s="1"/>
  <c r="D114" i="4"/>
  <c r="E115" i="4"/>
  <c r="O115" i="4" s="1"/>
  <c r="F110" i="4"/>
  <c r="D113" i="4"/>
  <c r="N113" i="4" s="1"/>
  <c r="E149" i="4"/>
  <c r="O150" i="4" s="1"/>
  <c r="E144" i="4"/>
  <c r="E108" i="4"/>
  <c r="E122" i="4"/>
  <c r="O122" i="4" s="1"/>
  <c r="F117" i="4"/>
  <c r="D119" i="4"/>
  <c r="N119" i="4" s="1"/>
  <c r="D140" i="4"/>
  <c r="E152" i="4"/>
  <c r="E114" i="4"/>
  <c r="E129" i="4"/>
  <c r="F123" i="4"/>
  <c r="D126" i="4"/>
  <c r="N126" i="4" s="1"/>
  <c r="F142" i="4"/>
  <c r="F138" i="4"/>
  <c r="E121" i="4"/>
  <c r="O121" i="4" s="1"/>
  <c r="F109" i="4"/>
  <c r="F130" i="4"/>
  <c r="B114" i="4"/>
  <c r="F149" i="4"/>
  <c r="F144" i="4"/>
  <c r="E127" i="4"/>
  <c r="O127" i="4" s="1"/>
  <c r="F115" i="4"/>
  <c r="B112" i="4"/>
  <c r="E113" i="4"/>
  <c r="O113" i="4" s="1"/>
  <c r="B140" i="4"/>
  <c r="F152" i="4"/>
  <c r="F108" i="4"/>
  <c r="F122" i="4"/>
  <c r="B118" i="4"/>
  <c r="E119" i="4"/>
  <c r="B143" i="4"/>
  <c r="B139" i="4"/>
  <c r="F114" i="4"/>
  <c r="F129" i="4"/>
  <c r="B125" i="4"/>
  <c r="E126" i="4"/>
  <c r="O126" i="4" s="1"/>
  <c r="B150" i="4"/>
  <c r="B146" i="4"/>
  <c r="F121" i="4"/>
  <c r="D121" i="4"/>
  <c r="D112" i="4"/>
  <c r="D127" i="4"/>
  <c r="N127" i="4" s="1"/>
  <c r="D143" i="4"/>
  <c r="N144" i="4" s="1"/>
  <c r="B153" i="4"/>
  <c r="F127" i="4"/>
  <c r="B110" i="4"/>
  <c r="D118" i="4"/>
  <c r="F113" i="4"/>
  <c r="D150" i="4"/>
  <c r="D139" i="4"/>
  <c r="B109" i="4"/>
  <c r="B117" i="4"/>
  <c r="D125" i="4"/>
  <c r="F119" i="4"/>
  <c r="E143" i="4"/>
  <c r="O144" i="4" s="1"/>
  <c r="D146" i="4"/>
  <c r="N147" i="4" s="1"/>
  <c r="B115" i="4"/>
  <c r="B123" i="4"/>
  <c r="E112" i="4"/>
  <c r="O112" i="4" s="1"/>
  <c r="F126" i="4"/>
  <c r="E150" i="4"/>
  <c r="O151" i="4" s="1"/>
  <c r="D153" i="4"/>
  <c r="B122" i="4"/>
  <c r="B130" i="4"/>
  <c r="E118" i="4"/>
  <c r="E140" i="4"/>
  <c r="F143" i="4"/>
  <c r="D147" i="4"/>
  <c r="N148" i="4" s="1"/>
  <c r="B129" i="4"/>
  <c r="D110" i="4"/>
  <c r="E125" i="4"/>
  <c r="E147" i="4"/>
  <c r="O148" i="4" s="1"/>
  <c r="F150" i="4"/>
  <c r="E139" i="4"/>
  <c r="O140" i="4" s="1"/>
  <c r="B127" i="4"/>
  <c r="D117" i="4"/>
  <c r="F112" i="4"/>
  <c r="F140" i="4"/>
  <c r="B138" i="4"/>
  <c r="E146" i="4"/>
  <c r="O147" i="4" s="1"/>
  <c r="D108" i="4"/>
  <c r="D123" i="4"/>
  <c r="N123" i="4" s="1"/>
  <c r="F118" i="4"/>
  <c r="F147" i="4"/>
  <c r="B144" i="4"/>
  <c r="E153" i="4"/>
  <c r="D109" i="4"/>
  <c r="N109" i="4" s="1"/>
  <c r="D130" i="4"/>
  <c r="F125" i="4"/>
  <c r="B142" i="4"/>
  <c r="B152" i="4"/>
  <c r="B147" i="4"/>
  <c r="D115" i="4"/>
  <c r="N115" i="4" s="1"/>
  <c r="E110" i="4"/>
  <c r="B108" i="4"/>
  <c r="B149" i="4"/>
  <c r="D138" i="4"/>
  <c r="F139" i="4"/>
  <c r="D122" i="4"/>
  <c r="N122" i="4" s="1"/>
  <c r="E117" i="4"/>
  <c r="B113" i="4"/>
  <c r="D142" i="4"/>
  <c r="D144" i="4"/>
  <c r="N145" i="4" s="1"/>
  <c r="F146" i="4"/>
  <c r="D129" i="4"/>
  <c r="N129" i="4" s="1"/>
  <c r="E123" i="4"/>
  <c r="D149" i="4"/>
  <c r="N150" i="4" s="1"/>
  <c r="D152" i="4"/>
  <c r="N153" i="4" s="1"/>
  <c r="E27" i="46"/>
  <c r="C27" i="46"/>
  <c r="E29" i="46"/>
  <c r="AX37" i="9"/>
  <c r="I108" i="9"/>
  <c r="AU40" i="9"/>
  <c r="AX58" i="9"/>
  <c r="AX60" i="9"/>
  <c r="AR34" i="9"/>
  <c r="AW33" i="9"/>
  <c r="C19" i="9"/>
  <c r="F123" i="9"/>
  <c r="F107" i="9"/>
  <c r="AS62" i="9"/>
  <c r="AS38" i="9"/>
  <c r="E116" i="9"/>
  <c r="E130" i="9"/>
  <c r="E19" i="9"/>
  <c r="N19" i="9" s="1"/>
  <c r="AV39" i="9"/>
  <c r="AU36" i="9"/>
  <c r="AV28" i="9"/>
  <c r="AU35" i="9"/>
  <c r="AQ44" i="9"/>
  <c r="AQ34" i="9"/>
  <c r="AS47" i="9"/>
  <c r="AW49" i="9"/>
  <c r="E91" i="9"/>
  <c r="E114" i="9"/>
  <c r="E119" i="9"/>
  <c r="AR53" i="9"/>
  <c r="AV60" i="9"/>
  <c r="AP49" i="9"/>
  <c r="M106" i="9"/>
  <c r="AR55" i="9"/>
  <c r="AU30" i="9"/>
  <c r="K108" i="9"/>
  <c r="F121" i="9"/>
  <c r="E139" i="9"/>
  <c r="E141" i="9"/>
  <c r="AQ35" i="9"/>
  <c r="AW39" i="9"/>
  <c r="G115" i="9"/>
  <c r="AW55" i="9"/>
  <c r="AV53" i="9"/>
  <c r="AR40" i="9"/>
  <c r="AQ51" i="9"/>
  <c r="AW43" i="9"/>
  <c r="AW24" i="9"/>
  <c r="AU59" i="9"/>
  <c r="AU56" i="9"/>
  <c r="AP33" i="9"/>
  <c r="AV31" i="9"/>
  <c r="AS25" i="9"/>
  <c r="AP37" i="9"/>
  <c r="AR39" i="9"/>
  <c r="AX51" i="9"/>
  <c r="AQ56" i="9"/>
  <c r="AU49" i="9"/>
  <c r="AW38" i="9"/>
  <c r="C123" i="9"/>
  <c r="AV30" i="9"/>
  <c r="AQ32" i="9"/>
  <c r="AX59" i="9"/>
  <c r="AX34" i="9"/>
  <c r="AW58" i="9"/>
  <c r="AR31" i="9"/>
  <c r="C137" i="9"/>
  <c r="AX28" i="9"/>
  <c r="G117" i="9"/>
  <c r="AP54" i="9"/>
  <c r="AW47" i="9"/>
  <c r="G20" i="9"/>
  <c r="AW36" i="9"/>
  <c r="AW40" i="9"/>
  <c r="E140" i="9"/>
  <c r="F115" i="9"/>
  <c r="F119" i="9"/>
  <c r="AQ25" i="9"/>
  <c r="E137" i="9"/>
  <c r="G116" i="9"/>
  <c r="AW53" i="9"/>
  <c r="AS24" i="9"/>
  <c r="AX40" i="9"/>
  <c r="AS54" i="9"/>
  <c r="AU37" i="9"/>
  <c r="AX47" i="9"/>
  <c r="H107" i="9"/>
  <c r="AR61" i="9"/>
  <c r="AV24" i="9"/>
  <c r="AS26" i="9"/>
  <c r="AS46" i="9"/>
  <c r="AS43" i="9"/>
  <c r="AS28" i="9"/>
  <c r="AQ50" i="9"/>
  <c r="C121" i="9"/>
  <c r="C14" i="9"/>
  <c r="C20" i="9"/>
  <c r="AU60" i="9"/>
  <c r="AR54" i="9"/>
  <c r="G107" i="9"/>
  <c r="C131" i="9"/>
  <c r="AX48" i="9"/>
  <c r="D108" i="9"/>
  <c r="AQ30" i="9"/>
  <c r="AP46" i="9"/>
  <c r="AS45" i="9"/>
  <c r="AX56" i="9"/>
  <c r="AQ48" i="9"/>
  <c r="AS50" i="9"/>
  <c r="AU61" i="9"/>
  <c r="AU34" i="9"/>
  <c r="AP41" i="9"/>
  <c r="F18" i="9"/>
  <c r="O18" i="9" s="1"/>
  <c r="AV45" i="9"/>
  <c r="AR60" i="9"/>
  <c r="F122" i="9"/>
  <c r="AW57" i="9"/>
  <c r="AS33" i="9"/>
  <c r="AS32" i="9"/>
  <c r="C135" i="9"/>
  <c r="AW30" i="9"/>
  <c r="AP52" i="9"/>
  <c r="I107" i="9"/>
  <c r="E115" i="9"/>
  <c r="AR56" i="9"/>
  <c r="AQ37" i="9"/>
  <c r="AX53" i="9"/>
  <c r="G114" i="9"/>
  <c r="AU29" i="9"/>
  <c r="AR43" i="9"/>
  <c r="F43" i="9" s="1"/>
  <c r="J107" i="9"/>
  <c r="AX46" i="9"/>
  <c r="AQ61" i="9"/>
  <c r="AP34" i="9"/>
  <c r="C117" i="9"/>
  <c r="E133" i="9"/>
  <c r="AV25" i="9"/>
  <c r="F108" i="9"/>
  <c r="E16" i="9"/>
  <c r="N16" i="9" s="1"/>
  <c r="AW35" i="9"/>
  <c r="AU26" i="9"/>
  <c r="AR42" i="9"/>
  <c r="AR52" i="9"/>
  <c r="AW54" i="9"/>
  <c r="AW32" i="9"/>
  <c r="AQ54" i="9"/>
  <c r="AV56" i="9"/>
  <c r="C15" i="9"/>
  <c r="AX36" i="9"/>
  <c r="AS56" i="9"/>
  <c r="AU62" i="9"/>
  <c r="F14" i="9"/>
  <c r="AW34" i="9"/>
  <c r="C119" i="9"/>
  <c r="AP48" i="9"/>
  <c r="F117" i="9"/>
  <c r="E138" i="9"/>
  <c r="G122" i="9"/>
  <c r="AV55" i="9"/>
  <c r="AR35" i="9"/>
  <c r="AR57" i="9"/>
  <c r="AU43" i="9"/>
  <c r="AR45" i="9"/>
  <c r="AW27" i="9"/>
  <c r="M107" i="9"/>
  <c r="E20" i="9"/>
  <c r="N20" i="9" s="1"/>
  <c r="AP39" i="9"/>
  <c r="AR51" i="9"/>
  <c r="AV47" i="9"/>
  <c r="AU45" i="9"/>
  <c r="AP28" i="9"/>
  <c r="AS29" i="9"/>
  <c r="AV34" i="9"/>
  <c r="F118" i="9"/>
  <c r="AW62" i="9"/>
  <c r="C141" i="9"/>
  <c r="AX43" i="9"/>
  <c r="AU57" i="9"/>
  <c r="H108" i="9"/>
  <c r="E136" i="9"/>
  <c r="AV48" i="9"/>
  <c r="AQ36" i="9"/>
  <c r="G106" i="9"/>
  <c r="G108" i="9"/>
  <c r="AV37" i="9"/>
  <c r="AX25" i="9"/>
  <c r="AQ28" i="9"/>
  <c r="E132" i="9"/>
  <c r="F116" i="9"/>
  <c r="AS44" i="9"/>
  <c r="H106" i="9"/>
  <c r="E60" i="9"/>
  <c r="E77" i="9" s="1"/>
  <c r="AX35" i="9"/>
  <c r="G16" i="9"/>
  <c r="AX24" i="9"/>
  <c r="E122" i="9"/>
  <c r="C16" i="9"/>
  <c r="C134" i="9"/>
  <c r="AP57" i="9"/>
  <c r="C92" i="9"/>
  <c r="AP26" i="9"/>
  <c r="C26" i="9" s="1"/>
  <c r="AQ59" i="9"/>
  <c r="E92" i="9"/>
  <c r="AR25" i="9"/>
  <c r="AW61" i="9"/>
  <c r="AQ38" i="9"/>
  <c r="AP42" i="9"/>
  <c r="AR44" i="9"/>
  <c r="AU46" i="9"/>
  <c r="AR26" i="9"/>
  <c r="E117" i="9"/>
  <c r="AU54" i="9"/>
  <c r="AS37" i="9"/>
  <c r="AX49" i="9"/>
  <c r="G121" i="9"/>
  <c r="AR41" i="9"/>
  <c r="AV43" i="9"/>
  <c r="AS55" i="9"/>
  <c r="F15" i="9"/>
  <c r="AW28" i="9"/>
  <c r="AV50" i="9"/>
  <c r="G19" i="9"/>
  <c r="AX42" i="9"/>
  <c r="K107" i="9"/>
  <c r="G120" i="9"/>
  <c r="AR37" i="9"/>
  <c r="AQ47" i="9"/>
  <c r="AP51" i="9"/>
  <c r="C60" i="9"/>
  <c r="C18" i="9"/>
  <c r="J108" i="9"/>
  <c r="AP58" i="9"/>
  <c r="AP60" i="9"/>
  <c r="AV26" i="9"/>
  <c r="AX39" i="9"/>
  <c r="AP35" i="9"/>
  <c r="AS61" i="9"/>
  <c r="AU32" i="9"/>
  <c r="AS52" i="9"/>
  <c r="AR28" i="9"/>
  <c r="AQ60" i="9"/>
  <c r="AQ26" i="9"/>
  <c r="E18" i="9"/>
  <c r="N18" i="9" s="1"/>
  <c r="G123" i="9"/>
  <c r="AR59" i="9"/>
  <c r="AP24" i="9"/>
  <c r="AV32" i="9"/>
  <c r="AV57" i="9"/>
  <c r="AX61" i="9"/>
  <c r="AU55" i="9"/>
  <c r="AU38" i="9"/>
  <c r="AQ40" i="9"/>
  <c r="AW48" i="9"/>
  <c r="AU24" i="9"/>
  <c r="AV59" i="9"/>
  <c r="AQ33" i="9"/>
  <c r="BB39" i="9"/>
  <c r="AS35" i="9"/>
  <c r="E121" i="9"/>
  <c r="E134" i="9"/>
  <c r="AR48" i="9"/>
  <c r="G119" i="9"/>
  <c r="AS58" i="9"/>
  <c r="AX55" i="9"/>
  <c r="AV27" i="9"/>
  <c r="AU41" i="9"/>
  <c r="AP38" i="9"/>
  <c r="AV38" i="9"/>
  <c r="AU28" i="9"/>
  <c r="F106" i="9"/>
  <c r="AV61" i="9"/>
  <c r="AS30" i="9"/>
  <c r="AR47" i="9"/>
  <c r="G14" i="9"/>
  <c r="AS42" i="9"/>
  <c r="AQ31" i="9"/>
  <c r="E135" i="9"/>
  <c r="AQ55" i="9"/>
  <c r="BC39" i="9"/>
  <c r="AR46" i="9"/>
  <c r="G18" i="9"/>
  <c r="AQ27" i="9"/>
  <c r="AR62" i="9"/>
  <c r="AW41" i="9"/>
  <c r="AS31" i="9"/>
  <c r="AR33" i="9"/>
  <c r="AX57" i="9"/>
  <c r="F60" i="9"/>
  <c r="AR50" i="9"/>
  <c r="AQ52" i="9"/>
  <c r="AU27" i="9"/>
  <c r="AW51" i="9"/>
  <c r="AV58" i="9"/>
  <c r="AP31" i="9"/>
  <c r="AP61" i="9"/>
  <c r="E15" i="9"/>
  <c r="N15" i="9" s="1"/>
  <c r="AV41" i="9"/>
  <c r="AW45" i="9"/>
  <c r="F19" i="9"/>
  <c r="AS34" i="9"/>
  <c r="D107" i="9"/>
  <c r="AU39" i="9"/>
  <c r="E106" i="9"/>
  <c r="AP40" i="9"/>
  <c r="G118" i="9"/>
  <c r="L107" i="9"/>
  <c r="AS40" i="9"/>
  <c r="AS36" i="9"/>
  <c r="AR24" i="9"/>
  <c r="AV52" i="9"/>
  <c r="AW26" i="9"/>
  <c r="AR38" i="9"/>
  <c r="C130" i="9"/>
  <c r="C140" i="9"/>
  <c r="AU42" i="9"/>
  <c r="AP29" i="9"/>
  <c r="AU31" i="9"/>
  <c r="AQ62" i="9"/>
  <c r="E118" i="9"/>
  <c r="E123" i="9"/>
  <c r="AX30" i="9"/>
  <c r="AX32" i="9"/>
  <c r="AQ45" i="9"/>
  <c r="C138" i="9"/>
  <c r="AX38" i="9"/>
  <c r="AX54" i="9"/>
  <c r="AP27" i="9"/>
  <c r="AQ24" i="9"/>
  <c r="AU50" i="9"/>
  <c r="AS49" i="9"/>
  <c r="AU53" i="9"/>
  <c r="AW29" i="9"/>
  <c r="AV49" i="9"/>
  <c r="AW50" i="9"/>
  <c r="I106" i="9"/>
  <c r="AQ53" i="9"/>
  <c r="AS60" i="9"/>
  <c r="AV62" i="9"/>
  <c r="AV29" i="9"/>
  <c r="AQ29" i="9"/>
  <c r="G60" i="9"/>
  <c r="AV35" i="9"/>
  <c r="AW31" i="9"/>
  <c r="AP44" i="9"/>
  <c r="AS57" i="9"/>
  <c r="AW59" i="9"/>
  <c r="AS41" i="9"/>
  <c r="M108" i="9"/>
  <c r="E131" i="9"/>
  <c r="F120" i="9"/>
  <c r="AU47" i="9"/>
  <c r="AU52" i="9"/>
  <c r="AU58" i="9"/>
  <c r="AW42" i="9"/>
  <c r="AP59" i="9"/>
  <c r="AR30" i="9"/>
  <c r="AX31" i="9"/>
  <c r="AR27" i="9"/>
  <c r="AW25" i="9"/>
  <c r="C133" i="9"/>
  <c r="AX27" i="9"/>
  <c r="AS48" i="9"/>
  <c r="AQ42" i="9"/>
  <c r="AV33" i="9"/>
  <c r="AX44" i="9"/>
  <c r="AR49" i="9"/>
  <c r="F49" i="9" s="1"/>
  <c r="E107" i="9"/>
  <c r="AP53" i="9"/>
  <c r="L108" i="9"/>
  <c r="AX52" i="9"/>
  <c r="AQ58" i="9"/>
  <c r="AU48" i="9"/>
  <c r="AZ39" i="9"/>
  <c r="AX41" i="9"/>
  <c r="AQ57" i="9"/>
  <c r="AQ49" i="9"/>
  <c r="AP45" i="9"/>
  <c r="AS39" i="9"/>
  <c r="AW44" i="9"/>
  <c r="AR58" i="9"/>
  <c r="AV51" i="9"/>
  <c r="AP25" i="9"/>
  <c r="C115" i="9"/>
  <c r="C122" i="9"/>
  <c r="F20" i="9"/>
  <c r="O20" i="9" s="1"/>
  <c r="AU33" i="9"/>
  <c r="E14" i="9"/>
  <c r="C120" i="9"/>
  <c r="E120" i="9"/>
  <c r="E93" i="9"/>
  <c r="AQ39" i="9"/>
  <c r="C132" i="9"/>
  <c r="AP55" i="9"/>
  <c r="AV46" i="9"/>
  <c r="AR32" i="9"/>
  <c r="AQ46" i="9"/>
  <c r="AR29" i="9"/>
  <c r="C114" i="9"/>
  <c r="AV40" i="9"/>
  <c r="AP43" i="9"/>
  <c r="AS51" i="9"/>
  <c r="L106" i="9"/>
  <c r="AW46" i="9"/>
  <c r="K106" i="9"/>
  <c r="AV44" i="9"/>
  <c r="AP62" i="9"/>
  <c r="AX50" i="9"/>
  <c r="AW52" i="9"/>
  <c r="E108" i="9"/>
  <c r="AV36" i="9"/>
  <c r="AS59" i="9"/>
  <c r="AQ43" i="9"/>
  <c r="F114" i="9"/>
  <c r="AW56" i="9"/>
  <c r="C93" i="9"/>
  <c r="AX45" i="9"/>
  <c r="AU51" i="9"/>
  <c r="AW37" i="9"/>
  <c r="AV54" i="9"/>
  <c r="AS53" i="9"/>
  <c r="BA39" i="9"/>
  <c r="F16" i="9"/>
  <c r="AP56" i="9"/>
  <c r="AP30" i="9"/>
  <c r="AP32" i="9"/>
  <c r="AP47" i="9"/>
  <c r="AU44" i="9"/>
  <c r="AR36" i="9"/>
  <c r="AX26" i="9"/>
  <c r="AX33" i="9"/>
  <c r="AP36" i="9"/>
  <c r="J106" i="9"/>
  <c r="C118" i="9"/>
  <c r="C136" i="9"/>
  <c r="AU25" i="9"/>
  <c r="AP50" i="9"/>
  <c r="D106" i="9"/>
  <c r="AV42" i="9"/>
  <c r="AW60" i="9"/>
  <c r="AS27" i="9"/>
  <c r="G15" i="9"/>
  <c r="AQ41" i="9"/>
  <c r="AX62" i="9"/>
  <c r="AX29" i="9"/>
  <c r="C139" i="9"/>
  <c r="D83" i="10"/>
  <c r="F67" i="10"/>
  <c r="F84" i="10"/>
  <c r="B39" i="10"/>
  <c r="B37" i="10"/>
  <c r="M88" i="10"/>
  <c r="E63" i="10"/>
  <c r="B108" i="10"/>
  <c r="N52" i="10"/>
  <c r="E88" i="10"/>
  <c r="L93" i="10"/>
  <c r="B48" i="10"/>
  <c r="F94" i="10"/>
  <c r="E24" i="10"/>
  <c r="B85" i="10"/>
  <c r="M41" i="10"/>
  <c r="B15" i="10"/>
  <c r="F20" i="10"/>
  <c r="M19" i="10"/>
  <c r="D59" i="10"/>
  <c r="B62" i="10"/>
  <c r="F109" i="10"/>
  <c r="M62" i="10"/>
  <c r="M71" i="10"/>
  <c r="L19" i="10"/>
  <c r="D99" i="10"/>
  <c r="B19" i="10"/>
  <c r="N95" i="10"/>
  <c r="M116" i="10"/>
  <c r="M81" i="10"/>
  <c r="B47" i="10"/>
  <c r="M99" i="10"/>
  <c r="M114" i="10"/>
  <c r="N71" i="10"/>
  <c r="N68" i="10"/>
  <c r="M15" i="10"/>
  <c r="D82" i="10"/>
  <c r="B17" i="10"/>
  <c r="M68" i="10"/>
  <c r="E15" i="10"/>
  <c r="B114" i="10"/>
  <c r="F62" i="10"/>
  <c r="M96" i="10"/>
  <c r="D46" i="10"/>
  <c r="N107" i="10"/>
  <c r="L52" i="10"/>
  <c r="F22" i="10"/>
  <c r="E59" i="10"/>
  <c r="L41" i="10"/>
  <c r="J95" i="10"/>
  <c r="N85" i="10"/>
  <c r="F18" i="10"/>
  <c r="D84" i="10"/>
  <c r="L94" i="10"/>
  <c r="J24" i="10"/>
  <c r="B69" i="10"/>
  <c r="B88" i="10"/>
  <c r="N22" i="10"/>
  <c r="E111" i="10"/>
  <c r="M20" i="10"/>
  <c r="N87" i="10"/>
  <c r="M25" i="10"/>
  <c r="M40" i="10"/>
  <c r="M112" i="10"/>
  <c r="M110" i="10"/>
  <c r="D45" i="10"/>
  <c r="B92" i="10"/>
  <c r="N38" i="10"/>
  <c r="L92" i="10"/>
  <c r="L108" i="10"/>
  <c r="B23" i="10"/>
  <c r="M69" i="10"/>
  <c r="D118" i="10"/>
  <c r="B68" i="10"/>
  <c r="N16" i="10"/>
  <c r="J82" i="10"/>
  <c r="M24" i="10"/>
  <c r="L85" i="10"/>
  <c r="J63" i="10"/>
  <c r="N110" i="10"/>
  <c r="M119" i="10"/>
  <c r="M37" i="10"/>
  <c r="J86" i="10"/>
  <c r="J107" i="10"/>
  <c r="F46" i="10"/>
  <c r="N82" i="10"/>
  <c r="M16" i="10"/>
  <c r="M92" i="10"/>
  <c r="D37" i="10"/>
  <c r="E37" i="10"/>
  <c r="N14" i="10"/>
  <c r="D62" i="10"/>
  <c r="D71" i="10"/>
  <c r="M38" i="10"/>
  <c r="M36" i="10"/>
  <c r="J83" i="10"/>
  <c r="N114" i="10"/>
  <c r="M60" i="10"/>
  <c r="J98" i="10"/>
  <c r="B59" i="10"/>
  <c r="N44" i="10"/>
  <c r="D91" i="10"/>
  <c r="D27" i="10"/>
  <c r="N91" i="10"/>
  <c r="M21" i="10"/>
  <c r="F98" i="10"/>
  <c r="L46" i="10"/>
  <c r="D93" i="10"/>
  <c r="F82" i="10"/>
  <c r="M115" i="10"/>
  <c r="M44" i="10"/>
  <c r="D40" i="10"/>
  <c r="N99" i="10"/>
  <c r="J16" i="10"/>
  <c r="E68" i="10"/>
  <c r="E85" i="10"/>
  <c r="J114" i="10"/>
  <c r="B115" i="10"/>
  <c r="L119" i="10"/>
  <c r="D42" i="10"/>
  <c r="AT41" i="12"/>
  <c r="E41" i="12" s="1"/>
  <c r="AS52" i="12"/>
  <c r="D52" i="12" s="1"/>
  <c r="AR40" i="12"/>
  <c r="B40" i="12" s="1"/>
  <c r="F28" i="12"/>
  <c r="AR27" i="12"/>
  <c r="B27" i="12" s="1"/>
  <c r="F45" i="12"/>
  <c r="F37" i="12"/>
  <c r="AR56" i="12"/>
  <c r="B56" i="12" s="1"/>
  <c r="AT35" i="12"/>
  <c r="E35" i="12" s="1"/>
  <c r="M46" i="10"/>
  <c r="J93" i="10"/>
  <c r="J109" i="10"/>
  <c r="L71" i="10"/>
  <c r="L68" i="10"/>
  <c r="F116" i="10"/>
  <c r="N23" i="10"/>
  <c r="L65" i="10"/>
  <c r="J14" i="10"/>
  <c r="F49" i="10"/>
  <c r="M85" i="10"/>
  <c r="J111" i="10"/>
  <c r="J45" i="10"/>
  <c r="E94" i="10"/>
  <c r="L43" i="10"/>
  <c r="E115" i="10"/>
  <c r="J68" i="10"/>
  <c r="D111" i="10"/>
  <c r="E92" i="10"/>
  <c r="E17" i="10"/>
  <c r="L39" i="10"/>
  <c r="J59" i="10"/>
  <c r="N15" i="10"/>
  <c r="F38" i="10"/>
  <c r="D92" i="10"/>
  <c r="M107" i="10"/>
  <c r="B67" i="10"/>
  <c r="N116" i="10"/>
  <c r="D116" i="10"/>
  <c r="N94" i="10"/>
  <c r="AS22" i="12"/>
  <c r="D22" i="12" s="1"/>
  <c r="AT29" i="12"/>
  <c r="E29" i="12" s="1"/>
  <c r="F19" i="12"/>
  <c r="AR52" i="12"/>
  <c r="B52" i="12" s="1"/>
  <c r="AT44" i="12"/>
  <c r="E44" i="12" s="1"/>
  <c r="AS40" i="12"/>
  <c r="D40" i="12" s="1"/>
  <c r="AS34" i="12"/>
  <c r="D34" i="12" s="1"/>
  <c r="F34" i="12"/>
  <c r="L87" i="10"/>
  <c r="J20" i="10"/>
  <c r="J35" i="10"/>
  <c r="J112" i="10"/>
  <c r="J110" i="10"/>
  <c r="J108" i="10"/>
  <c r="E38" i="10"/>
  <c r="J89" i="10"/>
  <c r="F36" i="10"/>
  <c r="E66" i="10"/>
  <c r="L49" i="10"/>
  <c r="J15" i="10"/>
  <c r="N47" i="10"/>
  <c r="L114" i="10"/>
  <c r="J65" i="10"/>
  <c r="E19" i="10"/>
  <c r="F92" i="10"/>
  <c r="F119" i="10"/>
  <c r="D115" i="10"/>
  <c r="D39" i="10"/>
  <c r="B93" i="10"/>
  <c r="F83" i="10"/>
  <c r="E35" i="10"/>
  <c r="M51" i="10"/>
  <c r="B98" i="10"/>
  <c r="L67" i="10"/>
  <c r="J17" i="10"/>
  <c r="N90" i="10"/>
  <c r="D17" i="10"/>
  <c r="E60" i="10"/>
  <c r="AT52" i="12"/>
  <c r="E52" i="12" s="1"/>
  <c r="F57" i="12"/>
  <c r="AS44" i="12"/>
  <c r="D44" i="12" s="1"/>
  <c r="AS39" i="12"/>
  <c r="D39" i="12" s="1"/>
  <c r="F58" i="12"/>
  <c r="AT39" i="12"/>
  <c r="E39" i="12" s="1"/>
  <c r="AT33" i="12"/>
  <c r="E33" i="12" s="1"/>
  <c r="F17" i="12"/>
  <c r="AS53" i="12"/>
  <c r="D53" i="12" s="1"/>
  <c r="L14" i="10"/>
  <c r="J119" i="10"/>
  <c r="N64" i="10"/>
  <c r="J38" i="10"/>
  <c r="J36" i="10"/>
  <c r="B99" i="10"/>
  <c r="L45" i="10"/>
  <c r="F112" i="10"/>
  <c r="E52" i="10"/>
  <c r="D90" i="10"/>
  <c r="J49" i="10"/>
  <c r="F42" i="10"/>
  <c r="E67" i="10"/>
  <c r="L23" i="10"/>
  <c r="F89" i="10"/>
  <c r="D41" i="10"/>
  <c r="E98" i="10"/>
  <c r="E22" i="10"/>
  <c r="D24" i="10"/>
  <c r="B61" i="10"/>
  <c r="F108" i="10"/>
  <c r="E116" i="10"/>
  <c r="L37" i="10"/>
  <c r="D60" i="10"/>
  <c r="B14" i="10"/>
  <c r="D35" i="10"/>
  <c r="D98" i="10"/>
  <c r="D47" i="10"/>
  <c r="N40" i="10"/>
  <c r="L111" i="10"/>
  <c r="O114" i="4"/>
  <c r="F41" i="12"/>
  <c r="AR47" i="12"/>
  <c r="B47" i="12" s="1"/>
  <c r="F22" i="12"/>
  <c r="AS47" i="12"/>
  <c r="D47" i="12" s="1"/>
  <c r="AR39" i="12"/>
  <c r="B39" i="12" s="1"/>
  <c r="F53" i="12"/>
  <c r="AR26" i="12"/>
  <c r="B26" i="12" s="1"/>
  <c r="J46" i="10"/>
  <c r="J44" i="10"/>
  <c r="E96" i="10"/>
  <c r="F71" i="10"/>
  <c r="F68" i="10"/>
  <c r="B25" i="10"/>
  <c r="B65" i="10"/>
  <c r="F21" i="10"/>
  <c r="D63" i="10"/>
  <c r="B95" i="10"/>
  <c r="N46" i="10"/>
  <c r="E83" i="10"/>
  <c r="L88" i="10"/>
  <c r="B43" i="10"/>
  <c r="M91" i="10"/>
  <c r="B63" i="10"/>
  <c r="E14" i="10"/>
  <c r="D44" i="10"/>
  <c r="B41" i="10"/>
  <c r="N65" i="10"/>
  <c r="E108" i="10"/>
  <c r="E42" i="10"/>
  <c r="B51" i="10"/>
  <c r="J81" i="10"/>
  <c r="N35" i="10"/>
  <c r="L28" i="10"/>
  <c r="B84" i="10"/>
  <c r="E28" i="10"/>
  <c r="E109" i="10"/>
  <c r="M22" i="10"/>
  <c r="AS17" i="12"/>
  <c r="D17" i="12" s="1"/>
  <c r="F56" i="12"/>
  <c r="AR17" i="12"/>
  <c r="B17" i="12" s="1"/>
  <c r="AR51" i="12"/>
  <c r="B51" i="12" s="1"/>
  <c r="AT21" i="12"/>
  <c r="E21" i="12" s="1"/>
  <c r="AT19" i="12"/>
  <c r="E19" i="12" s="1"/>
  <c r="F29" i="12"/>
  <c r="F87" i="10"/>
  <c r="F85" i="10"/>
  <c r="E23" i="10"/>
  <c r="M109" i="10"/>
  <c r="E110" i="10"/>
  <c r="N63" i="10"/>
  <c r="F86" i="10"/>
  <c r="M23" i="10"/>
  <c r="B87" i="10"/>
  <c r="N118" i="10"/>
  <c r="M63" i="10"/>
  <c r="L17" i="10"/>
  <c r="B109" i="10"/>
  <c r="F45" i="10"/>
  <c r="D112" i="10"/>
  <c r="N81" i="10"/>
  <c r="D36" i="10"/>
  <c r="B66" i="10"/>
  <c r="N51" i="10"/>
  <c r="M89" i="10"/>
  <c r="M14" i="10"/>
  <c r="J90" i="10"/>
  <c r="N72" i="10"/>
  <c r="N93" i="10"/>
  <c r="E48" i="10"/>
  <c r="L61" i="10"/>
  <c r="J47" i="10"/>
  <c r="J94" i="10"/>
  <c r="M95" i="10"/>
  <c r="L22" i="10"/>
  <c r="D62" i="12"/>
  <c r="AT54" i="12"/>
  <c r="E54" i="12" s="1"/>
  <c r="AS38" i="12"/>
  <c r="D38" i="12" s="1"/>
  <c r="B62" i="12"/>
  <c r="AT38" i="12"/>
  <c r="E38" i="12" s="1"/>
  <c r="AT28" i="12"/>
  <c r="E28" i="12" s="1"/>
  <c r="AS23" i="12"/>
  <c r="D23" i="12" s="1"/>
  <c r="F14" i="10"/>
  <c r="E119" i="10"/>
  <c r="L59" i="10"/>
  <c r="M35" i="10"/>
  <c r="E36" i="10"/>
  <c r="M98" i="10"/>
  <c r="M93" i="10"/>
  <c r="D43" i="10"/>
  <c r="N109" i="10"/>
  <c r="N27" i="10"/>
  <c r="L82" i="10"/>
  <c r="D64" i="10"/>
  <c r="N113" i="10"/>
  <c r="M64" i="10"/>
  <c r="D21" i="10"/>
  <c r="E89" i="10"/>
  <c r="B52" i="10"/>
  <c r="N89" i="10"/>
  <c r="E71" i="10"/>
  <c r="L112" i="10"/>
  <c r="L36" i="10"/>
  <c r="N98" i="10"/>
  <c r="M113" i="10"/>
  <c r="E114" i="10"/>
  <c r="L51" i="10"/>
  <c r="N88" i="10"/>
  <c r="L113" i="10"/>
  <c r="F96" i="10"/>
  <c r="N43" i="10"/>
  <c r="F52" i="10"/>
  <c r="AR54" i="12"/>
  <c r="B54" i="12" s="1"/>
  <c r="AS46" i="12"/>
  <c r="D46" i="12" s="1"/>
  <c r="AS32" i="12"/>
  <c r="D32" i="12" s="1"/>
  <c r="AT20" i="12"/>
  <c r="E20" i="12" s="1"/>
  <c r="AT46" i="12"/>
  <c r="E46" i="12" s="1"/>
  <c r="AR37" i="12"/>
  <c r="B37" i="12" s="1"/>
  <c r="AS19" i="12"/>
  <c r="D19" i="12" s="1"/>
  <c r="AS20" i="12"/>
  <c r="D20" i="12" s="1"/>
  <c r="E46" i="10"/>
  <c r="E44" i="10"/>
  <c r="B91" i="10"/>
  <c r="D65" i="10"/>
  <c r="D68" i="10"/>
  <c r="J72" i="10"/>
  <c r="D109" i="10"/>
  <c r="J62" i="10"/>
  <c r="N18" i="10"/>
  <c r="M48" i="10"/>
  <c r="J92" i="10"/>
  <c r="B42" i="10"/>
  <c r="N39" i="10"/>
  <c r="D86" i="10"/>
  <c r="J40" i="10"/>
  <c r="L109" i="10"/>
  <c r="N62" i="10"/>
  <c r="M94" i="10"/>
  <c r="L91" i="10"/>
  <c r="L21" i="10"/>
  <c r="J52" i="10"/>
  <c r="E95" i="10"/>
  <c r="M39" i="10"/>
  <c r="L116" i="10"/>
  <c r="B71" i="10"/>
  <c r="E82" i="10"/>
  <c r="J67" i="10"/>
  <c r="F69" i="10"/>
  <c r="B72" i="10"/>
  <c r="M45" i="10"/>
  <c r="AS16" i="12"/>
  <c r="D16" i="12" s="1"/>
  <c r="F46" i="12"/>
  <c r="AS18" i="12"/>
  <c r="D18" i="12" s="1"/>
  <c r="AR16" i="12"/>
  <c r="B16" i="12" s="1"/>
  <c r="AS49" i="12"/>
  <c r="D49" i="12" s="1"/>
  <c r="AT27" i="12"/>
  <c r="E27" i="12" s="1"/>
  <c r="AS21" i="12"/>
  <c r="D21" i="12" s="1"/>
  <c r="AT18" i="12"/>
  <c r="E18" i="12" s="1"/>
  <c r="D87" i="10"/>
  <c r="D85" i="10"/>
  <c r="B18" i="10"/>
  <c r="J96" i="10"/>
  <c r="B110" i="10"/>
  <c r="F113" i="10"/>
  <c r="D18" i="10"/>
  <c r="N83" i="10"/>
  <c r="E21" i="10"/>
  <c r="L60" i="10"/>
  <c r="F115" i="10"/>
  <c r="F44" i="10"/>
  <c r="M72" i="10"/>
  <c r="J99" i="10"/>
  <c r="N42" i="10"/>
  <c r="L18" i="10"/>
  <c r="E84" i="10"/>
  <c r="L118" i="10"/>
  <c r="B107" i="10"/>
  <c r="J27" i="10"/>
  <c r="F63" i="10"/>
  <c r="D119" i="10"/>
  <c r="D69" i="10"/>
  <c r="L25" i="10"/>
  <c r="F91" i="10"/>
  <c r="D48" i="10"/>
  <c r="D88" i="10"/>
  <c r="L115" i="10"/>
  <c r="F27" i="10"/>
  <c r="L69" i="10"/>
  <c r="F16" i="12"/>
  <c r="AT53" i="12"/>
  <c r="E53" i="12" s="1"/>
  <c r="AS27" i="12"/>
  <c r="D27" i="12" s="1"/>
  <c r="AT40" i="12"/>
  <c r="E40" i="12" s="1"/>
  <c r="AS59" i="12"/>
  <c r="D59" i="12" s="1"/>
  <c r="AT37" i="12"/>
  <c r="E37" i="12" s="1"/>
  <c r="AT48" i="12"/>
  <c r="E48" i="12" s="1"/>
  <c r="F20" i="12"/>
  <c r="F59" i="12"/>
  <c r="AR20" i="12"/>
  <c r="B20" i="12" s="1"/>
  <c r="D14" i="10"/>
  <c r="B119" i="10"/>
  <c r="L66" i="10"/>
  <c r="J23" i="10"/>
  <c r="B36" i="10"/>
  <c r="F39" i="10"/>
  <c r="J37" i="10"/>
  <c r="E86" i="10"/>
  <c r="L40" i="10"/>
  <c r="J84" i="10"/>
  <c r="F24" i="10"/>
  <c r="E61" i="10"/>
  <c r="L90" i="10"/>
  <c r="F111" i="10"/>
  <c r="E62" i="10"/>
  <c r="B27" i="10"/>
  <c r="L96" i="10"/>
  <c r="L27" i="10"/>
  <c r="F114" i="10"/>
  <c r="F48" i="10"/>
  <c r="E87" i="10"/>
  <c r="D28" i="10"/>
  <c r="L72" i="10"/>
  <c r="B45" i="10"/>
  <c r="M111" i="10"/>
  <c r="L20" i="10"/>
  <c r="J60" i="10"/>
  <c r="L64" i="10"/>
  <c r="E51" i="10"/>
  <c r="B46" i="10"/>
  <c r="B44" i="10"/>
  <c r="J113" i="10"/>
  <c r="N59" i="10"/>
  <c r="N67" i="10"/>
  <c r="J66" i="10"/>
  <c r="F59" i="10"/>
  <c r="L99" i="10"/>
  <c r="B60" i="10"/>
  <c r="F107" i="10"/>
  <c r="E41" i="10"/>
  <c r="D66" i="10"/>
  <c r="J28" i="10"/>
  <c r="F37" i="10"/>
  <c r="L83" i="10"/>
  <c r="F40" i="10"/>
  <c r="B118" i="10"/>
  <c r="J48" i="10"/>
  <c r="F23" i="10"/>
  <c r="M67" i="10"/>
  <c r="D110" i="10"/>
  <c r="B49" i="10"/>
  <c r="J85" i="10"/>
  <c r="N66" i="10"/>
  <c r="D114" i="10"/>
  <c r="L89" i="10"/>
  <c r="N61" i="10"/>
  <c r="D108" i="10"/>
  <c r="M61" i="10"/>
  <c r="N86" i="10"/>
  <c r="N84" i="10"/>
  <c r="J39" i="10"/>
  <c r="E91" i="10"/>
  <c r="E107" i="10"/>
  <c r="F66" i="10"/>
  <c r="E93" i="10"/>
  <c r="L15" i="10"/>
  <c r="F81" i="10"/>
  <c r="F16" i="10"/>
  <c r="D52" i="10"/>
  <c r="B90" i="10"/>
  <c r="N41" i="10"/>
  <c r="E69" i="10"/>
  <c r="B96" i="10"/>
  <c r="M59" i="10"/>
  <c r="B16" i="10"/>
  <c r="F60" i="10"/>
  <c r="M42" i="10"/>
  <c r="D89" i="10"/>
  <c r="D19" i="10"/>
  <c r="N60" i="10"/>
  <c r="N92" i="10"/>
  <c r="M108" i="10"/>
  <c r="D23" i="10"/>
  <c r="M65" i="10"/>
  <c r="N37" i="10"/>
  <c r="D49" i="10"/>
  <c r="J41" i="10"/>
  <c r="E118" i="10"/>
  <c r="M118" i="10"/>
  <c r="F72" i="10"/>
  <c r="E18" i="10"/>
  <c r="E27" i="10"/>
  <c r="M82" i="10"/>
  <c r="E20" i="10"/>
  <c r="B35" i="10"/>
  <c r="M83" i="10"/>
  <c r="M18" i="10"/>
  <c r="B82" i="10"/>
  <c r="N112" i="10"/>
  <c r="M52" i="10"/>
  <c r="L44" i="10"/>
  <c r="N108" i="10"/>
  <c r="D81" i="10"/>
  <c r="F35" i="10"/>
  <c r="D94" i="10"/>
  <c r="D51" i="10"/>
  <c r="J91" i="10"/>
  <c r="B24" i="10"/>
  <c r="M84" i="10"/>
  <c r="E90" i="10"/>
  <c r="M28" i="10"/>
  <c r="J42" i="10"/>
  <c r="D16" i="10"/>
  <c r="F95" i="10"/>
  <c r="F118" i="10"/>
  <c r="M86" i="10"/>
  <c r="E43" i="10"/>
  <c r="M43" i="10"/>
  <c r="E113" i="10"/>
  <c r="L47" i="10"/>
  <c r="L62" i="10"/>
  <c r="L98" i="10"/>
  <c r="B64" i="10"/>
  <c r="N49" i="10"/>
  <c r="D96" i="10"/>
  <c r="D38" i="10"/>
  <c r="N96" i="10"/>
  <c r="N21" i="10"/>
  <c r="L63" i="10"/>
  <c r="J22" i="10"/>
  <c r="N28" i="10"/>
  <c r="J88" i="10"/>
  <c r="M47" i="10"/>
  <c r="N19" i="10"/>
  <c r="J64" i="10"/>
  <c r="N111" i="10"/>
  <c r="N45" i="10"/>
  <c r="L107" i="10"/>
  <c r="D113" i="10"/>
  <c r="B83" i="10"/>
  <c r="F64" i="10"/>
  <c r="B81" i="10"/>
  <c r="D107" i="10"/>
  <c r="N25" i="10"/>
  <c r="E45" i="10"/>
  <c r="L81" i="10"/>
  <c r="L84" i="10"/>
  <c r="E39" i="10"/>
  <c r="B86" i="10"/>
  <c r="B94" i="10"/>
  <c r="J115" i="10"/>
  <c r="F61" i="10"/>
  <c r="M90" i="10"/>
  <c r="J116" i="10"/>
  <c r="J51" i="10"/>
  <c r="E112" i="10"/>
  <c r="M27" i="10"/>
  <c r="J87" i="10"/>
  <c r="N36" i="10"/>
  <c r="M66" i="10"/>
  <c r="F99" i="10"/>
  <c r="D67" i="10"/>
  <c r="B116" i="10"/>
  <c r="F88" i="10"/>
  <c r="N20" i="10"/>
  <c r="E65" i="10"/>
  <c r="L16" i="10"/>
  <c r="D22" i="10"/>
  <c r="F90" i="10"/>
  <c r="E99" i="10"/>
  <c r="B40" i="10"/>
  <c r="N24" i="10"/>
  <c r="N17" i="10"/>
  <c r="M49" i="10"/>
  <c r="B112" i="10"/>
  <c r="J118" i="10"/>
  <c r="D72" i="10"/>
  <c r="N119" i="10"/>
  <c r="B21" i="10"/>
  <c r="J19" i="10"/>
  <c r="E72" i="10"/>
  <c r="M17" i="10"/>
  <c r="J25" i="10"/>
  <c r="N69" i="10"/>
  <c r="E16" i="10"/>
  <c r="L48" i="10"/>
  <c r="F110" i="10"/>
  <c r="E49" i="10"/>
  <c r="B20" i="10"/>
  <c r="F25" i="10"/>
  <c r="J69" i="10"/>
  <c r="N115" i="10"/>
  <c r="F15" i="10"/>
  <c r="E40" i="10"/>
  <c r="L86" i="10"/>
  <c r="J21" i="10"/>
  <c r="B28" i="10"/>
  <c r="M87" i="10"/>
  <c r="E25" i="10"/>
  <c r="D20" i="10"/>
  <c r="L38" i="10"/>
  <c r="L24" i="10"/>
  <c r="L95" i="10"/>
  <c r="B38" i="10"/>
  <c r="J43" i="10"/>
  <c r="B113" i="10"/>
  <c r="B111" i="10"/>
  <c r="F51" i="10"/>
  <c r="F41" i="10"/>
  <c r="D95" i="10"/>
  <c r="J61" i="10"/>
  <c r="F47" i="10"/>
  <c r="E81" i="10"/>
  <c r="L35" i="10"/>
  <c r="J71" i="10"/>
  <c r="F19" i="10"/>
  <c r="D61" i="10"/>
  <c r="F28" i="10"/>
  <c r="E64" i="10"/>
  <c r="F93" i="10"/>
  <c r="F17" i="10"/>
  <c r="E47" i="10"/>
  <c r="L42" i="10"/>
  <c r="B89" i="10"/>
  <c r="F43" i="10"/>
  <c r="N48" i="10"/>
  <c r="L110" i="10"/>
  <c r="D15" i="10"/>
  <c r="D25" i="10"/>
  <c r="J18" i="10"/>
  <c r="F65" i="10"/>
  <c r="B22" i="10"/>
  <c r="F62" i="12"/>
  <c r="AS15" i="12"/>
  <c r="D15" i="12" s="1"/>
  <c r="AR32" i="12"/>
  <c r="B32" i="12" s="1"/>
  <c r="F40" i="12"/>
  <c r="AS56" i="12"/>
  <c r="D56" i="12" s="1"/>
  <c r="AT34" i="12"/>
  <c r="E34" i="12" s="1"/>
  <c r="AS58" i="12"/>
  <c r="D58" i="12" s="1"/>
  <c r="AR18" i="12"/>
  <c r="B18" i="12" s="1"/>
  <c r="F54" i="12"/>
  <c r="O108" i="4"/>
  <c r="N110" i="4"/>
  <c r="AT61" i="12"/>
  <c r="E61" i="12" s="1"/>
  <c r="F44" i="12"/>
  <c r="AS41" i="12"/>
  <c r="D41" i="12" s="1"/>
  <c r="AR35" i="12"/>
  <c r="B35" i="12" s="1"/>
  <c r="AT30" i="12"/>
  <c r="E30" i="12" s="1"/>
  <c r="AR61" i="12"/>
  <c r="B61" i="12" s="1"/>
  <c r="F39" i="12"/>
  <c r="AR57" i="12"/>
  <c r="B57" i="12" s="1"/>
  <c r="AS45" i="12"/>
  <c r="D45" i="12" s="1"/>
  <c r="AS26" i="12"/>
  <c r="D26" i="12" s="1"/>
  <c r="AT59" i="12"/>
  <c r="E59" i="12" s="1"/>
  <c r="AS43" i="12"/>
  <c r="D43" i="12" s="1"/>
  <c r="AT56" i="12"/>
  <c r="E56" i="12" s="1"/>
  <c r="AS48" i="12"/>
  <c r="D48" i="12" s="1"/>
  <c r="F61" i="12"/>
  <c r="AR59" i="12"/>
  <c r="B59" i="12" s="1"/>
  <c r="F43" i="12"/>
  <c r="AT51" i="12"/>
  <c r="E51" i="12" s="1"/>
  <c r="F30" i="12"/>
  <c r="AR38" i="12"/>
  <c r="B38" i="12" s="1"/>
  <c r="AT58" i="12"/>
  <c r="E58" i="12" s="1"/>
  <c r="F38" i="12"/>
  <c r="AS61" i="12"/>
  <c r="D61" i="12" s="1"/>
  <c r="AR21" i="12"/>
  <c r="B21" i="12" s="1"/>
  <c r="AS29" i="12"/>
  <c r="D29" i="12" s="1"/>
  <c r="AS37" i="12"/>
  <c r="D37" i="12" s="1"/>
  <c r="AR23" i="12"/>
  <c r="B23" i="12" s="1"/>
  <c r="AS54" i="12"/>
  <c r="D54" i="12" s="1"/>
  <c r="F26" i="12"/>
  <c r="AT32" i="12"/>
  <c r="E32" i="12" s="1"/>
  <c r="F18" i="12"/>
  <c r="AR45" i="12"/>
  <c r="B45" i="12" s="1"/>
  <c r="AS57" i="12"/>
  <c r="D57" i="12" s="1"/>
  <c r="F35" i="12"/>
  <c r="AS25" i="12"/>
  <c r="D25" i="12" s="1"/>
  <c r="AR19" i="12"/>
  <c r="B19" i="12" s="1"/>
  <c r="F52" i="12"/>
  <c r="AR34" i="12"/>
  <c r="B34" i="12" s="1"/>
  <c r="F49" i="12"/>
  <c r="F25" i="12"/>
  <c r="AT47" i="12"/>
  <c r="E47" i="12" s="1"/>
  <c r="AT22" i="12"/>
  <c r="E22" i="12" s="1"/>
  <c r="AT23" i="12"/>
  <c r="E23" i="12" s="1"/>
  <c r="AS51" i="12"/>
  <c r="D51" i="12" s="1"/>
  <c r="AS33" i="12"/>
  <c r="D33" i="12" s="1"/>
  <c r="AT57" i="12"/>
  <c r="E57" i="12" s="1"/>
  <c r="F51" i="12"/>
  <c r="F33" i="12"/>
  <c r="F48" i="12"/>
  <c r="AT45" i="12"/>
  <c r="E45" i="12" s="1"/>
  <c r="AT16" i="12"/>
  <c r="E16" i="12" s="1"/>
  <c r="AS35" i="12"/>
  <c r="D35" i="12" s="1"/>
  <c r="AS30" i="12"/>
  <c r="D30" i="12" s="1"/>
  <c r="F15" i="12"/>
  <c r="AT49" i="12"/>
  <c r="E49" i="12" s="1"/>
  <c r="AT26" i="12"/>
  <c r="E26" i="12" s="1"/>
  <c r="AR33" i="12"/>
  <c r="B33" i="12" s="1"/>
  <c r="AR30" i="12"/>
  <c r="B30" i="12" s="1"/>
  <c r="AT15" i="12"/>
  <c r="E15" i="12" s="1"/>
  <c r="AR49" i="12"/>
  <c r="B49" i="12" s="1"/>
  <c r="F21" i="12"/>
  <c r="F47" i="12"/>
  <c r="AR28" i="12"/>
  <c r="B28" i="12" s="1"/>
  <c r="AR58" i="12"/>
  <c r="B58" i="12" s="1"/>
  <c r="AR15" i="12"/>
  <c r="B15" i="12" s="1"/>
  <c r="F32" i="12"/>
  <c r="AR29" i="12"/>
  <c r="B29" i="12" s="1"/>
  <c r="AT43" i="12"/>
  <c r="E43" i="12" s="1"/>
  <c r="E62" i="12"/>
  <c r="AT17" i="12"/>
  <c r="E17" i="12" s="1"/>
  <c r="AR53" i="12"/>
  <c r="B53" i="12" s="1"/>
  <c r="AR22" i="12"/>
  <c r="B22" i="12" s="1"/>
  <c r="AT25" i="12"/>
  <c r="E25" i="12" s="1"/>
  <c r="AR43" i="12"/>
  <c r="B43" i="12" s="1"/>
  <c r="AR25" i="12"/>
  <c r="B25" i="12" s="1"/>
  <c r="F27" i="12"/>
  <c r="AR48" i="12"/>
  <c r="B48" i="12" s="1"/>
  <c r="AS28" i="12"/>
  <c r="D28" i="12" s="1"/>
  <c r="AR46" i="12"/>
  <c r="B46" i="12" s="1"/>
  <c r="AR41" i="12"/>
  <c r="B41" i="12" s="1"/>
  <c r="J106" i="42"/>
  <c r="J120" i="42"/>
  <c r="J122" i="42"/>
  <c r="J102" i="42"/>
  <c r="P29" i="42"/>
  <c r="P22" i="42"/>
  <c r="P45" i="42"/>
  <c r="P26" i="42"/>
  <c r="P39" i="42"/>
  <c r="P48" i="42"/>
  <c r="P40" i="42"/>
  <c r="P21" i="42"/>
  <c r="P28" i="42"/>
  <c r="P36" i="42"/>
  <c r="P37" i="42"/>
  <c r="P41" i="42"/>
  <c r="P46" i="42"/>
  <c r="P19" i="42"/>
  <c r="P31" i="42"/>
  <c r="P44" i="42"/>
  <c r="P25" i="42"/>
  <c r="P54" i="42"/>
  <c r="P42" i="42"/>
  <c r="P43" i="42"/>
  <c r="P33" i="42"/>
  <c r="P23" i="42"/>
  <c r="P38" i="42"/>
  <c r="P34" i="42"/>
  <c r="P53" i="42"/>
  <c r="P35" i="42"/>
  <c r="P30" i="42"/>
  <c r="P32" i="42"/>
  <c r="P47" i="42"/>
  <c r="P27" i="42"/>
  <c r="P24" i="42"/>
  <c r="P20" i="42"/>
  <c r="X56" i="46"/>
  <c r="V14" i="42"/>
  <c r="AG3" i="45"/>
  <c r="AB299" i="42"/>
  <c r="AA299" i="42"/>
  <c r="J132" i="42"/>
  <c r="J114" i="42"/>
  <c r="N42" i="12"/>
  <c r="N24" i="12"/>
  <c r="Q60" i="12"/>
  <c r="J129" i="42"/>
  <c r="J118" i="42"/>
  <c r="J119" i="42"/>
  <c r="J100" i="42"/>
  <c r="J127" i="42"/>
  <c r="J115" i="42"/>
  <c r="J108" i="42"/>
  <c r="J112" i="42"/>
  <c r="J131" i="42"/>
  <c r="J109" i="42"/>
  <c r="J101" i="42"/>
  <c r="J137" i="42"/>
  <c r="J113" i="42"/>
  <c r="J126" i="42"/>
  <c r="J136" i="42"/>
  <c r="J125" i="42"/>
  <c r="J117" i="42"/>
  <c r="J111" i="42"/>
  <c r="J138" i="42"/>
  <c r="J130" i="42"/>
  <c r="J110" i="42"/>
  <c r="J121" i="42"/>
  <c r="J116" i="42"/>
  <c r="J134" i="42"/>
  <c r="J103" i="42"/>
  <c r="J107" i="42"/>
  <c r="J105" i="42"/>
  <c r="J128" i="42"/>
  <c r="J104" i="42"/>
  <c r="J135" i="42"/>
  <c r="J124" i="42"/>
  <c r="J133" i="42"/>
  <c r="J123" i="42"/>
  <c r="J99" i="42"/>
  <c r="J98" i="42"/>
  <c r="AI3" i="16"/>
  <c r="V166" i="42"/>
  <c r="AA295" i="42"/>
  <c r="V59" i="42"/>
  <c r="V164" i="42"/>
  <c r="V159" i="42"/>
  <c r="V161" i="42"/>
  <c r="V148" i="42"/>
  <c r="V58" i="42"/>
  <c r="V37" i="42"/>
  <c r="V36" i="42" s="1"/>
  <c r="V38" i="42" s="1"/>
  <c r="V168" i="42"/>
  <c r="V149" i="42"/>
  <c r="V167" i="42"/>
  <c r="V169" i="42"/>
  <c r="V152" i="42"/>
  <c r="V165" i="42"/>
  <c r="V170" i="42"/>
  <c r="V151" i="42"/>
  <c r="V60" i="42"/>
  <c r="V172" i="42"/>
  <c r="V176" i="42"/>
  <c r="V155" i="42"/>
  <c r="V156" i="42"/>
  <c r="V147" i="42"/>
  <c r="V154" i="42"/>
  <c r="V162" i="42"/>
  <c r="AO10" i="9"/>
  <c r="V173" i="42"/>
  <c r="V171" i="42"/>
  <c r="V153" i="42"/>
  <c r="V158" i="42"/>
  <c r="V174" i="42"/>
  <c r="V160" i="42"/>
  <c r="V157" i="42"/>
  <c r="V146" i="42"/>
  <c r="AB295" i="42"/>
  <c r="E98" i="12"/>
  <c r="F98" i="12"/>
  <c r="G98" i="12" s="1"/>
  <c r="Y17" i="42"/>
  <c r="Y18" i="42" s="1" a="1"/>
  <c r="Y18" i="42" s="1"/>
  <c r="Y15" i="42" s="1"/>
  <c r="E34" i="44"/>
  <c r="E37" i="44"/>
  <c r="E8" i="44" s="1"/>
  <c r="AE3" i="16"/>
  <c r="AE4" i="16" s="1"/>
  <c r="F102" i="12"/>
  <c r="G102" i="12" s="1"/>
  <c r="E102" i="12"/>
  <c r="F21" i="44"/>
  <c r="F22" i="44" s="1"/>
  <c r="F17" i="44"/>
  <c r="F19" i="44"/>
  <c r="F20" i="44" s="1"/>
  <c r="F32" i="44"/>
  <c r="F31" i="44"/>
  <c r="F16" i="44"/>
  <c r="F30" i="44"/>
  <c r="F14" i="44"/>
  <c r="F35" i="44" s="1"/>
  <c r="F29" i="44"/>
  <c r="F13" i="44"/>
  <c r="F10" i="44"/>
  <c r="F28" i="44"/>
  <c r="F12" i="44"/>
  <c r="F27" i="44"/>
  <c r="F11" i="44"/>
  <c r="F26" i="44"/>
  <c r="F25" i="44"/>
  <c r="G36" i="44"/>
  <c r="F24" i="44"/>
  <c r="F18" i="44"/>
  <c r="E101" i="12"/>
  <c r="E97" i="12"/>
  <c r="F97" i="12"/>
  <c r="G97" i="12" s="1"/>
  <c r="E99" i="12"/>
  <c r="F101" i="12"/>
  <c r="G101" i="12" s="1"/>
  <c r="AB294" i="42"/>
  <c r="AA294" i="42"/>
  <c r="F100" i="12"/>
  <c r="G100" i="12" s="1"/>
  <c r="E100" i="12"/>
  <c r="F99" i="12"/>
  <c r="G99" i="12" s="1"/>
  <c r="B103" i="12"/>
  <c r="D103" i="12"/>
  <c r="AE102" i="8" l="1"/>
  <c r="AG78" i="8"/>
  <c r="AF98" i="8"/>
  <c r="V72" i="8"/>
  <c r="M109" i="8"/>
  <c r="O85" i="8"/>
  <c r="K60" i="8"/>
  <c r="V96" i="8"/>
  <c r="J70" i="8"/>
  <c r="N60" i="8"/>
  <c r="N96" i="8"/>
  <c r="AG106" i="8"/>
  <c r="N117" i="8"/>
  <c r="AD67" i="8"/>
  <c r="Y105" i="8"/>
  <c r="AE81" i="8"/>
  <c r="J116" i="8"/>
  <c r="AF92" i="8"/>
  <c r="V66" i="8"/>
  <c r="M103" i="8"/>
  <c r="O79" i="8"/>
  <c r="K101" i="8"/>
  <c r="L65" i="8"/>
  <c r="Y87" i="8"/>
  <c r="AG61" i="8"/>
  <c r="AD108" i="8"/>
  <c r="AF84" i="8"/>
  <c r="Y115" i="8"/>
  <c r="AG95" i="8"/>
  <c r="W69" i="8"/>
  <c r="AF115" i="8"/>
  <c r="V92" i="8"/>
  <c r="J66" i="8"/>
  <c r="L82" i="8"/>
  <c r="X71" i="8"/>
  <c r="X62" i="8"/>
  <c r="Y72" i="8"/>
  <c r="O104" i="8"/>
  <c r="AE77" i="8"/>
  <c r="W61" i="8"/>
  <c r="AD97" i="8"/>
  <c r="N71" i="8"/>
  <c r="K108" i="8"/>
  <c r="M84" i="8"/>
  <c r="AD118" i="8"/>
  <c r="N95" i="8"/>
  <c r="AG105" i="8"/>
  <c r="X118" i="8"/>
  <c r="L95" i="8"/>
  <c r="AE105" i="8"/>
  <c r="AG81" i="8"/>
  <c r="L116" i="8"/>
  <c r="X66" i="8"/>
  <c r="W104" i="8"/>
  <c r="Y80" i="8"/>
  <c r="J91" i="8"/>
  <c r="N65" i="8"/>
  <c r="Y101" i="8"/>
  <c r="M78" i="8"/>
  <c r="AG97" i="8"/>
  <c r="AF113" i="8"/>
  <c r="J64" i="8"/>
  <c r="AG109" i="8"/>
  <c r="W86" i="8"/>
  <c r="AE60" i="8"/>
  <c r="X107" i="8"/>
  <c r="AD83" i="8"/>
  <c r="AE94" i="8"/>
  <c r="O68" i="8"/>
  <c r="AD114" i="8"/>
  <c r="AF90" i="8"/>
  <c r="M101" i="8"/>
  <c r="V71" i="8"/>
  <c r="AF96" i="8"/>
  <c r="V70" i="8"/>
  <c r="AG117" i="8"/>
  <c r="L117" i="8"/>
  <c r="Y76" i="8"/>
  <c r="N108" i="8"/>
  <c r="X96" i="8"/>
  <c r="F96" i="8" s="1"/>
  <c r="L70" i="8"/>
  <c r="K83" i="8"/>
  <c r="X117" i="8"/>
  <c r="L94" i="8"/>
  <c r="AE104" i="8"/>
  <c r="AG80" i="8"/>
  <c r="V117" i="8"/>
  <c r="J94" i="8"/>
  <c r="AF67" i="8"/>
  <c r="Y104" i="8"/>
  <c r="AE80" i="8"/>
  <c r="J115" i="8"/>
  <c r="L91" i="8"/>
  <c r="V65" i="8"/>
  <c r="O103" i="8"/>
  <c r="W79" i="8"/>
  <c r="L64" i="8"/>
  <c r="W100" i="8"/>
  <c r="K77" i="8"/>
  <c r="AE91" i="8"/>
  <c r="AD112" i="8"/>
  <c r="AF88" i="8"/>
  <c r="AE108" i="8"/>
  <c r="AG84" i="8"/>
  <c r="W114" i="8"/>
  <c r="V106" i="8"/>
  <c r="X82" i="8"/>
  <c r="Y93" i="8"/>
  <c r="M67" i="8"/>
  <c r="X113" i="8"/>
  <c r="F113" i="8" s="1"/>
  <c r="AD89" i="8"/>
  <c r="K100" i="8"/>
  <c r="AG76" i="8"/>
  <c r="AF64" i="8"/>
  <c r="AD95" i="8"/>
  <c r="N69" i="8"/>
  <c r="X97" i="8"/>
  <c r="K106" i="8"/>
  <c r="AG98" i="8"/>
  <c r="W72" i="8"/>
  <c r="AF118" i="8"/>
  <c r="V95" i="8"/>
  <c r="J69" i="8"/>
  <c r="V116" i="8"/>
  <c r="J93" i="8"/>
  <c r="AF66" i="8"/>
  <c r="Y103" i="8"/>
  <c r="AE79" i="8"/>
  <c r="N116" i="8"/>
  <c r="AD66" i="8"/>
  <c r="W103" i="8"/>
  <c r="Y79" i="8"/>
  <c r="J90" i="8"/>
  <c r="N64" i="8"/>
  <c r="AE101" i="8"/>
  <c r="O78" i="8"/>
  <c r="AF112" i="8"/>
  <c r="J63" i="8"/>
  <c r="O99" i="8"/>
  <c r="W89" i="8"/>
  <c r="AD87" i="8"/>
  <c r="Y107" i="8"/>
  <c r="AE83" i="8"/>
  <c r="M107" i="8"/>
  <c r="N105" i="8"/>
  <c r="V81" i="8"/>
  <c r="AG115" i="8"/>
  <c r="W92" i="8"/>
  <c r="K66" i="8"/>
  <c r="V112" i="8"/>
  <c r="X88" i="8"/>
  <c r="F88" i="8" s="1"/>
  <c r="AF62" i="8"/>
  <c r="AE72" i="8"/>
  <c r="X94" i="8"/>
  <c r="L68" i="8"/>
  <c r="M69" i="8"/>
  <c r="AE97" i="8"/>
  <c r="O71" i="8"/>
  <c r="AD117" i="8"/>
  <c r="N94" i="8"/>
  <c r="AG104" i="8"/>
  <c r="N115" i="8"/>
  <c r="V91" i="8"/>
  <c r="AD65" i="8"/>
  <c r="W102" i="8"/>
  <c r="Y78" i="8"/>
  <c r="G78" i="8" s="1"/>
  <c r="L115" i="8"/>
  <c r="N91" i="8"/>
  <c r="X65" i="8"/>
  <c r="AG101" i="8"/>
  <c r="W78" i="8"/>
  <c r="L63" i="8"/>
  <c r="Y100" i="8"/>
  <c r="M77" i="8"/>
  <c r="J111" i="8"/>
  <c r="AF87" i="8"/>
  <c r="M98" i="8"/>
  <c r="M82" i="8"/>
  <c r="X86" i="8"/>
  <c r="AF60" i="8"/>
  <c r="W106" i="8"/>
  <c r="Y82" i="8"/>
  <c r="L104" i="8"/>
  <c r="N80" i="8"/>
  <c r="AE114" i="8"/>
  <c r="AG90" i="8"/>
  <c r="AF110" i="8"/>
  <c r="V87" i="8"/>
  <c r="C87" i="8" s="1"/>
  <c r="AD61" i="8"/>
  <c r="Y71" i="8"/>
  <c r="AF116" i="8"/>
  <c r="V93" i="8"/>
  <c r="J67" i="8"/>
  <c r="L107" i="8"/>
  <c r="AD115" i="8"/>
  <c r="K84" i="8"/>
  <c r="AF109" i="8"/>
  <c r="Y96" i="8"/>
  <c r="M70" i="8"/>
  <c r="X116" i="8"/>
  <c r="F116" i="8" s="1"/>
  <c r="L93" i="8"/>
  <c r="AE103" i="8"/>
  <c r="AG79" i="8"/>
  <c r="L114" i="8"/>
  <c r="N90" i="8"/>
  <c r="X64" i="8"/>
  <c r="F64" i="8" s="1"/>
  <c r="AG100" i="8"/>
  <c r="W77" i="8"/>
  <c r="J114" i="8"/>
  <c r="L90" i="8"/>
  <c r="V64" i="8"/>
  <c r="AE100" i="8"/>
  <c r="O77" i="8"/>
  <c r="L111" i="8"/>
  <c r="J62" i="8"/>
  <c r="W99" i="8"/>
  <c r="K76" i="8"/>
  <c r="AD86" i="8"/>
  <c r="K97" i="8"/>
  <c r="AG70" i="8"/>
  <c r="AE76" i="8"/>
  <c r="AF108" i="8"/>
  <c r="O105" i="8"/>
  <c r="W81" i="8"/>
  <c r="AE96" i="8"/>
  <c r="J103" i="8"/>
  <c r="L79" i="8"/>
  <c r="Y113" i="8"/>
  <c r="AE89" i="8"/>
  <c r="AD109" i="8"/>
  <c r="AF85" i="8"/>
  <c r="X60" i="8"/>
  <c r="AG96" i="8"/>
  <c r="W70" i="8"/>
  <c r="AF91" i="8"/>
  <c r="X72" i="8"/>
  <c r="AF68" i="8"/>
  <c r="Y70" i="8"/>
  <c r="AG118" i="8"/>
  <c r="W95" i="8"/>
  <c r="K69" i="8"/>
  <c r="V115" i="8"/>
  <c r="X91" i="8"/>
  <c r="AF65" i="8"/>
  <c r="Y102" i="8"/>
  <c r="AE78" i="8"/>
  <c r="J113" i="8"/>
  <c r="L89" i="8"/>
  <c r="V63" i="8"/>
  <c r="AE99" i="8"/>
  <c r="O76" i="8"/>
  <c r="J89" i="8"/>
  <c r="N63" i="8"/>
  <c r="Y99" i="8"/>
  <c r="M76" i="8"/>
  <c r="J110" i="8"/>
  <c r="AF86" i="8"/>
  <c r="O98" i="8"/>
  <c r="O93" i="8"/>
  <c r="AE69" i="8"/>
  <c r="K68" i="8"/>
  <c r="AD107" i="8"/>
  <c r="AF83" i="8"/>
  <c r="AG64" i="8"/>
  <c r="M104" i="8"/>
  <c r="O80" i="8"/>
  <c r="Y90" i="8"/>
  <c r="V101" i="8"/>
  <c r="J78" i="8"/>
  <c r="W112" i="8"/>
  <c r="Y88" i="8"/>
  <c r="AG62" i="8"/>
  <c r="X108" i="8"/>
  <c r="F108" i="8" s="1"/>
  <c r="AD84" i="8"/>
  <c r="W84" i="8"/>
  <c r="AE95" i="8"/>
  <c r="O69" i="8"/>
  <c r="X114" i="8"/>
  <c r="AD90" i="8"/>
  <c r="AF117" i="8"/>
  <c r="J71" i="8"/>
  <c r="AE117" i="8"/>
  <c r="O94" i="8"/>
  <c r="N114" i="8"/>
  <c r="V90" i="8"/>
  <c r="AD64" i="8"/>
  <c r="Y77" i="8"/>
  <c r="V111" i="8"/>
  <c r="J88" i="8"/>
  <c r="N62" i="8"/>
  <c r="Y98" i="8"/>
  <c r="M72" i="8"/>
  <c r="N111" i="8"/>
  <c r="L62" i="8"/>
  <c r="W98" i="8"/>
  <c r="K72" i="8"/>
  <c r="J85" i="8"/>
  <c r="M97" i="8"/>
  <c r="AF107" i="8"/>
  <c r="M118" i="8"/>
  <c r="Y68" i="8"/>
  <c r="Y62" i="8"/>
  <c r="X106" i="8"/>
  <c r="AD82" i="8"/>
  <c r="X110" i="8"/>
  <c r="F110" i="8" s="1"/>
  <c r="K103" i="8"/>
  <c r="M79" i="8"/>
  <c r="O83" i="8"/>
  <c r="N100" i="8"/>
  <c r="AG110" i="8"/>
  <c r="W87" i="8"/>
  <c r="AE61" i="8"/>
  <c r="V107" i="8"/>
  <c r="C107" i="8" s="1"/>
  <c r="X83" i="8"/>
  <c r="F83" i="8" s="1"/>
  <c r="Y94" i="8"/>
  <c r="M68" i="8"/>
  <c r="V113" i="8"/>
  <c r="X89" i="8"/>
  <c r="AF63" i="8"/>
  <c r="V109" i="8"/>
  <c r="AD116" i="8"/>
  <c r="AE88" i="8"/>
  <c r="Y116" i="8"/>
  <c r="M93" i="8"/>
  <c r="L113" i="8"/>
  <c r="N89" i="8"/>
  <c r="X63" i="8"/>
  <c r="AG99" i="8"/>
  <c r="W76" i="8"/>
  <c r="E76" i="8" s="1"/>
  <c r="N110" i="8"/>
  <c r="L61" i="8"/>
  <c r="W97" i="8"/>
  <c r="K71" i="8"/>
  <c r="L110" i="8"/>
  <c r="J61" i="8"/>
  <c r="O97" i="8"/>
  <c r="J81" i="8"/>
  <c r="K96" i="8"/>
  <c r="AG69" i="8"/>
  <c r="AD106" i="8"/>
  <c r="AF82" i="8"/>
  <c r="K117" i="8"/>
  <c r="AG93" i="8"/>
  <c r="W67" i="8"/>
  <c r="X115" i="8"/>
  <c r="F115" i="8" s="1"/>
  <c r="V105" i="8"/>
  <c r="X81" i="8"/>
  <c r="W101" i="8"/>
  <c r="K78" i="8"/>
  <c r="W71" i="8"/>
  <c r="L99" i="8"/>
  <c r="AE109" i="8"/>
  <c r="AG85" i="8"/>
  <c r="Y60" i="8"/>
  <c r="N106" i="8"/>
  <c r="V82" i="8"/>
  <c r="C82" i="8" s="1"/>
  <c r="AG116" i="8"/>
  <c r="W93" i="8"/>
  <c r="K67" i="8"/>
  <c r="AF111" i="8"/>
  <c r="V88" i="8"/>
  <c r="AD62" i="8"/>
  <c r="J106" i="8"/>
  <c r="X90" i="8"/>
  <c r="F90" i="8" s="1"/>
  <c r="W115" i="8"/>
  <c r="Y91" i="8"/>
  <c r="AG65" i="8"/>
  <c r="X111" i="8"/>
  <c r="L88" i="8"/>
  <c r="V62" i="8"/>
  <c r="C62" i="8" s="1"/>
  <c r="AE98" i="8"/>
  <c r="O72" i="8"/>
  <c r="L109" i="8"/>
  <c r="N85" i="8"/>
  <c r="J60" i="8"/>
  <c r="O96" i="8"/>
  <c r="J109" i="8"/>
  <c r="L85" i="8"/>
  <c r="M96" i="8"/>
  <c r="AF106" i="8"/>
  <c r="O118" i="8"/>
  <c r="AE68" i="8"/>
  <c r="X105" i="8"/>
  <c r="AD81" i="8"/>
  <c r="AE92" i="8"/>
  <c r="O66" i="8"/>
  <c r="N104" i="8"/>
  <c r="V80" i="8"/>
  <c r="AD91" i="8"/>
  <c r="O100" i="8"/>
  <c r="AE63" i="8"/>
  <c r="J98" i="8"/>
  <c r="AF71" i="8"/>
  <c r="Y108" i="8"/>
  <c r="AE84" i="8"/>
  <c r="O113" i="8"/>
  <c r="L105" i="8"/>
  <c r="N81" i="8"/>
  <c r="AE115" i="8"/>
  <c r="AG91" i="8"/>
  <c r="AD110" i="8"/>
  <c r="N87" i="8"/>
  <c r="X61" i="8"/>
  <c r="AF102" i="8"/>
  <c r="O110" i="8"/>
  <c r="X93" i="8"/>
  <c r="O114" i="8"/>
  <c r="W90" i="8"/>
  <c r="AE64" i="8"/>
  <c r="V110" i="8"/>
  <c r="C110" i="8" s="1"/>
  <c r="J87" i="8"/>
  <c r="N61" i="8"/>
  <c r="Y97" i="8"/>
  <c r="M71" i="8"/>
  <c r="J108" i="8"/>
  <c r="L84" i="8"/>
  <c r="Y118" i="8"/>
  <c r="M95" i="8"/>
  <c r="J84" i="8"/>
  <c r="W118" i="8"/>
  <c r="K95" i="8"/>
  <c r="AG68" i="8"/>
  <c r="AD105" i="8"/>
  <c r="AF81" i="8"/>
  <c r="M117" i="8"/>
  <c r="Y67" i="8"/>
  <c r="V104" i="8"/>
  <c r="X80" i="8"/>
  <c r="M65" i="8"/>
  <c r="L103" i="8"/>
  <c r="N79" i="8"/>
  <c r="X85" i="8"/>
  <c r="F85" i="8" s="1"/>
  <c r="M99" i="8"/>
  <c r="X95" i="8"/>
  <c r="AD70" i="8"/>
  <c r="W107" i="8"/>
  <c r="Y83" i="8"/>
  <c r="AG102" i="8"/>
  <c r="J104" i="8"/>
  <c r="L80" i="8"/>
  <c r="Y114" i="8"/>
  <c r="AE90" i="8"/>
  <c r="X109" i="8"/>
  <c r="AD85" i="8"/>
  <c r="V60" i="8"/>
  <c r="AD96" i="8"/>
  <c r="AE106" i="8"/>
  <c r="K80" i="8"/>
  <c r="M113" i="8"/>
  <c r="O89" i="8"/>
  <c r="Y63" i="8"/>
  <c r="N109" i="8"/>
  <c r="V85" i="8"/>
  <c r="C85" i="8" s="1"/>
  <c r="L60" i="8"/>
  <c r="W96" i="8"/>
  <c r="E96" i="8" s="1"/>
  <c r="K70" i="8"/>
  <c r="J83" i="8"/>
  <c r="W117" i="8"/>
  <c r="E117" i="8" s="1"/>
  <c r="K94" i="8"/>
  <c r="AG67" i="8"/>
  <c r="O117" i="8"/>
  <c r="AE67" i="8"/>
  <c r="X104" i="8"/>
  <c r="AD80" i="8"/>
  <c r="K116" i="8"/>
  <c r="AG92" i="8"/>
  <c r="W66" i="8"/>
  <c r="N103" i="8"/>
  <c r="V79" i="8"/>
  <c r="AG113" i="8"/>
  <c r="K64" i="8"/>
  <c r="N93" i="8"/>
  <c r="X101" i="8"/>
  <c r="L78" i="8"/>
  <c r="K98" i="8"/>
  <c r="AG71" i="8"/>
  <c r="N70" i="8"/>
  <c r="X69" i="8"/>
  <c r="O106" i="8"/>
  <c r="W82" i="8"/>
  <c r="W94" i="8"/>
  <c r="E94" i="8" s="1"/>
  <c r="J79" i="8"/>
  <c r="W113" i="8"/>
  <c r="Y89" i="8"/>
  <c r="AG63" i="8"/>
  <c r="V108" i="8"/>
  <c r="C108" i="8" s="1"/>
  <c r="X84" i="8"/>
  <c r="F84" i="8" s="1"/>
  <c r="Y85" i="8"/>
  <c r="L87" i="8"/>
  <c r="N101" i="8"/>
  <c r="AG111" i="8"/>
  <c r="AE62" i="8"/>
  <c r="V83" i="8"/>
  <c r="C83" i="8" s="1"/>
  <c r="O60" i="8"/>
  <c r="L106" i="8"/>
  <c r="N113" i="8"/>
  <c r="V118" i="8"/>
  <c r="C118" i="8" s="1"/>
  <c r="X67" i="8"/>
  <c r="F67" i="8" s="1"/>
  <c r="AD72" i="8"/>
  <c r="Y111" i="8"/>
  <c r="G111" i="8" s="1"/>
  <c r="M88" i="8"/>
  <c r="W62" i="8"/>
  <c r="L108" i="8"/>
  <c r="N84" i="8"/>
  <c r="AE118" i="8"/>
  <c r="O95" i="8"/>
  <c r="O116" i="8"/>
  <c r="AE66" i="8"/>
  <c r="AF105" i="8"/>
  <c r="M116" i="8"/>
  <c r="Y66" i="8"/>
  <c r="V103" i="8"/>
  <c r="C103" i="8" s="1"/>
  <c r="X79" i="8"/>
  <c r="K91" i="8"/>
  <c r="O65" i="8"/>
  <c r="AD101" i="8"/>
  <c r="N78" i="8"/>
  <c r="AE112" i="8"/>
  <c r="AG88" i="8"/>
  <c r="N88" i="8"/>
  <c r="V100" i="8"/>
  <c r="J77" i="8"/>
  <c r="L69" i="8"/>
  <c r="AE70" i="8"/>
  <c r="J118" i="8"/>
  <c r="AF94" i="8"/>
  <c r="V68" i="8"/>
  <c r="M105" i="8"/>
  <c r="O81" i="8"/>
  <c r="M87" i="8"/>
  <c r="W88" i="8"/>
  <c r="E88" i="8" s="1"/>
  <c r="N107" i="8"/>
  <c r="AF77" i="8"/>
  <c r="Y61" i="8"/>
  <c r="G61" i="8" s="1"/>
  <c r="J101" i="8"/>
  <c r="X76" i="8"/>
  <c r="AD92" i="8"/>
  <c r="W110" i="8"/>
  <c r="K87" i="8"/>
  <c r="O61" i="8"/>
  <c r="J107" i="8"/>
  <c r="L83" i="8"/>
  <c r="Y117" i="8"/>
  <c r="M94" i="8"/>
  <c r="AF104" i="8"/>
  <c r="M115" i="8"/>
  <c r="O91" i="8"/>
  <c r="Y65" i="8"/>
  <c r="G65" i="8" s="1"/>
  <c r="AD104" i="8"/>
  <c r="AF80" i="8"/>
  <c r="K115" i="8"/>
  <c r="M91" i="8"/>
  <c r="W65" i="8"/>
  <c r="AF101" i="8"/>
  <c r="V78" i="8"/>
  <c r="C78" i="8" s="1"/>
  <c r="M64" i="8"/>
  <c r="X100" i="8"/>
  <c r="L77" i="8"/>
  <c r="AE87" i="8"/>
  <c r="V84" i="8"/>
  <c r="C84" i="8" s="1"/>
  <c r="N99" i="8"/>
  <c r="AD63" i="8"/>
  <c r="Y69" i="8"/>
  <c r="AD93" i="8"/>
  <c r="N67" i="8"/>
  <c r="K104" i="8"/>
  <c r="M80" i="8"/>
  <c r="K81" i="8"/>
  <c r="L100" i="8"/>
  <c r="AE110" i="8"/>
  <c r="O87" i="8"/>
  <c r="N82" i="8"/>
  <c r="L71" i="8"/>
  <c r="W80" i="8"/>
  <c r="E80" i="8" s="1"/>
  <c r="O109" i="8"/>
  <c r="W85" i="8"/>
  <c r="E85" i="8" s="1"/>
  <c r="M60" i="8"/>
  <c r="J82" i="8"/>
  <c r="W116" i="8"/>
  <c r="K93" i="8"/>
  <c r="AG66" i="8"/>
  <c r="AD103" i="8"/>
  <c r="AF79" i="8"/>
  <c r="K114" i="8"/>
  <c r="M90" i="8"/>
  <c r="W64" i="8"/>
  <c r="E64" i="8" s="1"/>
  <c r="X103" i="8"/>
  <c r="AD79" i="8"/>
  <c r="K90" i="8"/>
  <c r="O64" i="8"/>
  <c r="AD100" i="8"/>
  <c r="N77" i="8"/>
  <c r="AG112" i="8"/>
  <c r="K63" i="8"/>
  <c r="V99" i="8"/>
  <c r="J76" i="8"/>
  <c r="Y86" i="8"/>
  <c r="AG60" i="8"/>
  <c r="L98" i="8"/>
  <c r="K118" i="8"/>
  <c r="AG94" i="8"/>
  <c r="W68" i="8"/>
  <c r="E68" i="8" s="1"/>
  <c r="X92" i="8"/>
  <c r="L66" i="8"/>
  <c r="K79" i="8"/>
  <c r="J99" i="8"/>
  <c r="AF72" i="8"/>
  <c r="Y109" i="8"/>
  <c r="G109" i="8" s="1"/>
  <c r="AE85" i="8"/>
  <c r="W60" i="8"/>
  <c r="E60" i="8" s="1"/>
  <c r="J105" i="8"/>
  <c r="L81" i="8"/>
  <c r="J95" i="8"/>
  <c r="Y112" i="8"/>
  <c r="M108" i="8"/>
  <c r="O84" i="8"/>
  <c r="AE111" i="8"/>
  <c r="O115" i="8"/>
  <c r="W91" i="8"/>
  <c r="AE65" i="8"/>
  <c r="X102" i="8"/>
  <c r="AD78" i="8"/>
  <c r="K89" i="8"/>
  <c r="O63" i="8"/>
  <c r="V102" i="8"/>
  <c r="X78" i="8"/>
  <c r="M63" i="8"/>
  <c r="X99" i="8"/>
  <c r="L76" i="8"/>
  <c r="K111" i="8"/>
  <c r="AG87" i="8"/>
  <c r="N98" i="8"/>
  <c r="AG108" i="8"/>
  <c r="AE116" i="8"/>
  <c r="J68" i="8"/>
  <c r="J97" i="8"/>
  <c r="AF70" i="8"/>
  <c r="AE93" i="8"/>
  <c r="O67" i="8"/>
  <c r="AF114" i="8"/>
  <c r="J65" i="8"/>
  <c r="O101" i="8"/>
  <c r="O70" i="8"/>
  <c r="AD71" i="8"/>
  <c r="W108" i="8"/>
  <c r="E108" i="8" s="1"/>
  <c r="Y84" i="8"/>
  <c r="G84" i="8" s="1"/>
  <c r="AG77" i="8"/>
  <c r="J80" i="8"/>
  <c r="V94" i="8"/>
  <c r="AG82" i="8"/>
  <c r="AD60" i="8"/>
  <c r="K107" i="8"/>
  <c r="M83" i="8"/>
  <c r="Y95" i="8"/>
  <c r="G95" i="8" s="1"/>
  <c r="AF103" i="8"/>
  <c r="M114" i="8"/>
  <c r="O90" i="8"/>
  <c r="Y64" i="8"/>
  <c r="G64" i="8" s="1"/>
  <c r="X77" i="8"/>
  <c r="O111" i="8"/>
  <c r="M62" i="8"/>
  <c r="AF100" i="8"/>
  <c r="V77" i="8"/>
  <c r="M111" i="8"/>
  <c r="K62" i="8"/>
  <c r="V98" i="8"/>
  <c r="J72" i="8"/>
  <c r="AE86" i="8"/>
  <c r="L97" i="8"/>
  <c r="AE107" i="8"/>
  <c r="AG83" i="8"/>
  <c r="Y110" i="8"/>
  <c r="V61" i="8"/>
  <c r="C61" i="8" s="1"/>
  <c r="AD69" i="8"/>
  <c r="Y92" i="8"/>
  <c r="M66" i="8"/>
  <c r="AD113" i="8"/>
  <c r="AF89" i="8"/>
  <c r="M100" i="8"/>
  <c r="X70" i="8"/>
  <c r="O107" i="8"/>
  <c r="W83" i="8"/>
  <c r="E83" i="8" s="1"/>
  <c r="V114" i="8"/>
  <c r="V89" i="8"/>
  <c r="C89" i="8" s="1"/>
  <c r="AG103" i="8"/>
  <c r="L67" i="8"/>
  <c r="K82" i="8"/>
  <c r="O88" i="8"/>
  <c r="AD102" i="8"/>
  <c r="AF78" i="8"/>
  <c r="K113" i="8"/>
  <c r="M89" i="8"/>
  <c r="W63" i="8"/>
  <c r="E63" i="8" s="1"/>
  <c r="AF99" i="8"/>
  <c r="V76" i="8"/>
  <c r="M110" i="8"/>
  <c r="K61" i="8"/>
  <c r="AD99" i="8"/>
  <c r="N76" i="8"/>
  <c r="K110" i="8"/>
  <c r="AG86" i="8"/>
  <c r="N97" i="8"/>
  <c r="J96" i="8"/>
  <c r="AF69" i="8"/>
  <c r="Y106" i="8"/>
  <c r="G106" i="8" s="1"/>
  <c r="AE82" i="8"/>
  <c r="W109" i="8"/>
  <c r="E109" i="8" s="1"/>
  <c r="L118" i="8"/>
  <c r="X68" i="8"/>
  <c r="AG114" i="8"/>
  <c r="K65" i="8"/>
  <c r="X112" i="8"/>
  <c r="AD88" i="8"/>
  <c r="K99" i="8"/>
  <c r="AG72" i="8"/>
  <c r="AD111" i="8"/>
  <c r="AF95" i="8"/>
  <c r="V69" i="8"/>
  <c r="C69" i="8" s="1"/>
  <c r="M106" i="8"/>
  <c r="O82" i="8"/>
  <c r="L101" i="8"/>
  <c r="N83" i="8"/>
  <c r="V97" i="8"/>
  <c r="C97" i="8" s="1"/>
  <c r="V86" i="8"/>
  <c r="AD77" i="8"/>
  <c r="W111" i="8"/>
  <c r="K88" i="8"/>
  <c r="O62" i="8"/>
  <c r="AD98" i="8"/>
  <c r="N72" i="8"/>
  <c r="K109" i="8"/>
  <c r="M85" i="8"/>
  <c r="X98" i="8"/>
  <c r="F98" i="8" s="1"/>
  <c r="L72" i="8"/>
  <c r="K85" i="8"/>
  <c r="L96" i="8"/>
  <c r="AG107" i="8"/>
  <c r="N118" i="8"/>
  <c r="AD68" i="8"/>
  <c r="W105" i="8"/>
  <c r="E105" i="8" s="1"/>
  <c r="Y81" i="8"/>
  <c r="G81" i="8" s="1"/>
  <c r="O108" i="8"/>
  <c r="J117" i="8"/>
  <c r="AF93" i="8"/>
  <c r="V67" i="8"/>
  <c r="C67" i="8" s="1"/>
  <c r="AE113" i="8"/>
  <c r="AG89" i="8"/>
  <c r="X87" i="8"/>
  <c r="AF61" i="8"/>
  <c r="AE71" i="8"/>
  <c r="AD94" i="8"/>
  <c r="N68" i="8"/>
  <c r="K105" i="8"/>
  <c r="M81" i="8"/>
  <c r="AF97" i="8"/>
  <c r="J100" i="8"/>
  <c r="AF76" i="8"/>
  <c r="AD76" i="8"/>
  <c r="M61" i="8"/>
  <c r="N66" i="8"/>
  <c r="F24" i="9"/>
  <c r="E14" i="12"/>
  <c r="F14" i="12"/>
  <c r="D14" i="12"/>
  <c r="B14" i="12"/>
  <c r="G40" i="9"/>
  <c r="U118" i="10"/>
  <c r="F27" i="9"/>
  <c r="O27" i="9" s="1"/>
  <c r="C40" i="9"/>
  <c r="G53" i="9"/>
  <c r="F58" i="9"/>
  <c r="E53" i="9"/>
  <c r="E31" i="9"/>
  <c r="N31" i="9" s="1"/>
  <c r="F31" i="9"/>
  <c r="O31" i="9" s="1"/>
  <c r="G34" i="9"/>
  <c r="F32" i="9"/>
  <c r="O32" i="9" s="1"/>
  <c r="G42" i="9"/>
  <c r="G58" i="9"/>
  <c r="C34" i="9"/>
  <c r="F47" i="9"/>
  <c r="O47" i="9" s="1"/>
  <c r="G37" i="9"/>
  <c r="E37" i="9"/>
  <c r="N37" i="9" s="1"/>
  <c r="F29" i="9"/>
  <c r="O29" i="9" s="1"/>
  <c r="C55" i="9"/>
  <c r="C54" i="9" s="1"/>
  <c r="C74" i="9" s="1"/>
  <c r="C43" i="9"/>
  <c r="U47" i="10"/>
  <c r="C50" i="9"/>
  <c r="C29" i="9"/>
  <c r="E57" i="9"/>
  <c r="C39" i="9"/>
  <c r="G55" i="9"/>
  <c r="E27" i="9"/>
  <c r="N27" i="9" s="1"/>
  <c r="G32" i="9"/>
  <c r="G61" i="9"/>
  <c r="C37" i="9"/>
  <c r="E29" i="9"/>
  <c r="E49" i="9"/>
  <c r="N49" i="9" s="1"/>
  <c r="E24" i="9"/>
  <c r="N24" i="9" s="1"/>
  <c r="E47" i="9"/>
  <c r="N47" i="9" s="1"/>
  <c r="C47" i="9"/>
  <c r="G25" i="9"/>
  <c r="F36" i="9"/>
  <c r="O36" i="9" s="1"/>
  <c r="C32" i="9"/>
  <c r="G57" i="9"/>
  <c r="E43" i="9"/>
  <c r="N43" i="9" s="1"/>
  <c r="G49" i="9"/>
  <c r="G36" i="9"/>
  <c r="C27" i="9"/>
  <c r="C30" i="9"/>
  <c r="C36" i="9"/>
  <c r="C53" i="9"/>
  <c r="C38" i="9"/>
  <c r="E45" i="9"/>
  <c r="N45" i="9" s="1"/>
  <c r="F38" i="9"/>
  <c r="O38" i="9" s="1"/>
  <c r="G51" i="9"/>
  <c r="F48" i="9"/>
  <c r="O48" i="9" s="1"/>
  <c r="F57" i="9"/>
  <c r="E32" i="9"/>
  <c r="N32" i="9" s="1"/>
  <c r="F44" i="9"/>
  <c r="G52" i="9"/>
  <c r="C57" i="9"/>
  <c r="E55" i="9"/>
  <c r="E54" i="9" s="1"/>
  <c r="E74" i="9" s="1"/>
  <c r="G27" i="9"/>
  <c r="G39" i="9"/>
  <c r="G33" i="9"/>
  <c r="E25" i="9"/>
  <c r="F30" i="9"/>
  <c r="O30" i="9" s="1"/>
  <c r="E33" i="9"/>
  <c r="N33" i="9" s="1"/>
  <c r="C48" i="9"/>
  <c r="C31" i="9"/>
  <c r="E50" i="9"/>
  <c r="N50" i="9" s="1"/>
  <c r="F39" i="9"/>
  <c r="O39" i="9" s="1"/>
  <c r="E61" i="9"/>
  <c r="N61" i="9" s="1"/>
  <c r="G38" i="9"/>
  <c r="G30" i="9"/>
  <c r="E40" i="9"/>
  <c r="N40" i="9" s="1"/>
  <c r="C58" i="9"/>
  <c r="G29" i="9"/>
  <c r="G43" i="9"/>
  <c r="F55" i="9"/>
  <c r="O55" i="9" s="1"/>
  <c r="E39" i="9"/>
  <c r="E58" i="9"/>
  <c r="E52" i="9"/>
  <c r="N52" i="9" s="1"/>
  <c r="F26" i="9"/>
  <c r="O26" i="9" s="1"/>
  <c r="G44" i="9"/>
  <c r="C45" i="9"/>
  <c r="C61" i="9"/>
  <c r="G26" i="9"/>
  <c r="C33" i="9"/>
  <c r="C49" i="9"/>
  <c r="F50" i="9"/>
  <c r="O50" i="9" s="1"/>
  <c r="G50" i="9"/>
  <c r="C51" i="9"/>
  <c r="F51" i="9"/>
  <c r="O51" i="9" s="1"/>
  <c r="E48" i="9"/>
  <c r="N48" i="9" s="1"/>
  <c r="F61" i="9"/>
  <c r="O61" i="9" s="1"/>
  <c r="F53" i="9"/>
  <c r="O53" i="9" s="1"/>
  <c r="F33" i="9"/>
  <c r="O33" i="9" s="1"/>
  <c r="C42" i="9"/>
  <c r="F34" i="9"/>
  <c r="O34" i="9" s="1"/>
  <c r="C24" i="9"/>
  <c r="F37" i="9"/>
  <c r="O37" i="9" s="1"/>
  <c r="E38" i="9"/>
  <c r="N38" i="9" s="1"/>
  <c r="G45" i="9"/>
  <c r="E44" i="9"/>
  <c r="N44" i="9" s="1"/>
  <c r="G31" i="9"/>
  <c r="C44" i="9"/>
  <c r="F25" i="9"/>
  <c r="O25" i="9" s="1"/>
  <c r="E30" i="9"/>
  <c r="N30" i="9" s="1"/>
  <c r="E51" i="9"/>
  <c r="N51" i="9" s="1"/>
  <c r="E42" i="9"/>
  <c r="N42" i="9" s="1"/>
  <c r="F45" i="9"/>
  <c r="O45" i="9" s="1"/>
  <c r="F52" i="9"/>
  <c r="O52" i="9" s="1"/>
  <c r="F40" i="9"/>
  <c r="O40" i="9" s="1"/>
  <c r="G47" i="9"/>
  <c r="C25" i="9"/>
  <c r="E26" i="9"/>
  <c r="N26" i="9" s="1"/>
  <c r="E36" i="9"/>
  <c r="F42" i="9"/>
  <c r="C52" i="9"/>
  <c r="G48" i="9"/>
  <c r="G24" i="9"/>
  <c r="E34" i="9"/>
  <c r="N34" i="9" s="1"/>
  <c r="U20" i="10"/>
  <c r="T46" i="10"/>
  <c r="R20" i="10"/>
  <c r="T20" i="10"/>
  <c r="V20" i="10"/>
  <c r="B36" i="12"/>
  <c r="B73" i="12" s="1"/>
  <c r="V23" i="10"/>
  <c r="G63" i="46"/>
  <c r="U86" i="10"/>
  <c r="U113" i="10"/>
  <c r="G58" i="46"/>
  <c r="G56" i="46"/>
  <c r="G60" i="46"/>
  <c r="G61" i="46"/>
  <c r="G64" i="46"/>
  <c r="G59" i="46"/>
  <c r="G62" i="46"/>
  <c r="G65" i="46"/>
  <c r="G57" i="46"/>
  <c r="C67" i="46"/>
  <c r="C66" i="46"/>
  <c r="C48" i="46"/>
  <c r="C49" i="46"/>
  <c r="E49" i="46"/>
  <c r="E48" i="46"/>
  <c r="F31" i="46"/>
  <c r="F32" i="46"/>
  <c r="T48" i="10"/>
  <c r="V84" i="10"/>
  <c r="T98" i="10"/>
  <c r="T51" i="10"/>
  <c r="U115" i="10"/>
  <c r="R65" i="10"/>
  <c r="V22" i="10"/>
  <c r="U91" i="10"/>
  <c r="T118" i="10"/>
  <c r="T87" i="10"/>
  <c r="V48" i="10"/>
  <c r="R41" i="10"/>
  <c r="V62" i="10"/>
  <c r="T19" i="10"/>
  <c r="V98" i="10"/>
  <c r="U65" i="10"/>
  <c r="R115" i="10"/>
  <c r="T71" i="10"/>
  <c r="U46" i="10"/>
  <c r="T66" i="10"/>
  <c r="V63" i="10"/>
  <c r="V91" i="10"/>
  <c r="R92" i="10"/>
  <c r="U51" i="10"/>
  <c r="R22" i="10"/>
  <c r="M50" i="10"/>
  <c r="V87" i="10"/>
  <c r="U23" i="10"/>
  <c r="U66" i="10"/>
  <c r="V21" i="10"/>
  <c r="V49" i="10"/>
  <c r="V96" i="10"/>
  <c r="U81" i="10"/>
  <c r="V47" i="10"/>
  <c r="V112" i="10"/>
  <c r="U48" i="10"/>
  <c r="V42" i="10"/>
  <c r="R93" i="10"/>
  <c r="V14" i="10"/>
  <c r="V61" i="10"/>
  <c r="J109" i="9"/>
  <c r="V86" i="10"/>
  <c r="T91" i="10"/>
  <c r="D124" i="4"/>
  <c r="V116" i="10"/>
  <c r="R47" i="10"/>
  <c r="T68" i="10"/>
  <c r="R24" i="10"/>
  <c r="V46" i="10"/>
  <c r="U95" i="10"/>
  <c r="T65" i="10"/>
  <c r="U110" i="10"/>
  <c r="V107" i="10"/>
  <c r="U62" i="10"/>
  <c r="V111" i="10"/>
  <c r="V43" i="10"/>
  <c r="V93" i="10"/>
  <c r="U108" i="10"/>
  <c r="V24" i="10"/>
  <c r="R55" i="12"/>
  <c r="R50" i="12"/>
  <c r="T93" i="10"/>
  <c r="R42" i="12"/>
  <c r="T86" i="10"/>
  <c r="R36" i="12"/>
  <c r="F124" i="4"/>
  <c r="R60" i="12"/>
  <c r="T82" i="10"/>
  <c r="V66" i="10"/>
  <c r="R68" i="10"/>
  <c r="V114" i="10"/>
  <c r="B145" i="4"/>
  <c r="V25" i="10"/>
  <c r="T83" i="10"/>
  <c r="U87" i="10"/>
  <c r="R91" i="10"/>
  <c r="T112" i="10"/>
  <c r="T27" i="10"/>
  <c r="R87" i="10"/>
  <c r="V115" i="10"/>
  <c r="U41" i="10"/>
  <c r="V36" i="10"/>
  <c r="I109" i="9"/>
  <c r="V82" i="10"/>
  <c r="V71" i="10"/>
  <c r="U42" i="10"/>
  <c r="T90" i="10"/>
  <c r="T61" i="10"/>
  <c r="U21" i="10"/>
  <c r="T85" i="10"/>
  <c r="T111" i="10"/>
  <c r="R85" i="10"/>
  <c r="V92" i="10"/>
  <c r="T36" i="10"/>
  <c r="V45" i="10"/>
  <c r="V118" i="10"/>
  <c r="U93" i="10"/>
  <c r="T47" i="10"/>
  <c r="U111" i="10"/>
  <c r="R86" i="10"/>
  <c r="V83" i="10"/>
  <c r="U84" i="10"/>
  <c r="T22" i="10"/>
  <c r="U94" i="10"/>
  <c r="M109" i="9"/>
  <c r="R51" i="10"/>
  <c r="R23" i="10"/>
  <c r="R66" i="10"/>
  <c r="V64" i="10"/>
  <c r="F148" i="4"/>
  <c r="U24" i="10"/>
  <c r="B124" i="4"/>
  <c r="F145" i="4"/>
  <c r="T114" i="10"/>
  <c r="V90" i="10"/>
  <c r="V63" i="42"/>
  <c r="V61" i="42" s="1"/>
  <c r="V57" i="42" s="1"/>
  <c r="V62" i="42" s="1"/>
  <c r="R114" i="10"/>
  <c r="E69" i="4"/>
  <c r="U67" i="10"/>
  <c r="V88" i="10"/>
  <c r="R118" i="10"/>
  <c r="V35" i="10"/>
  <c r="R67" i="10"/>
  <c r="U114" i="10"/>
  <c r="U85" i="10"/>
  <c r="T115" i="10"/>
  <c r="V113" i="10"/>
  <c r="T95" i="10"/>
  <c r="F120" i="4"/>
  <c r="V110" i="10"/>
  <c r="F141" i="4"/>
  <c r="U92" i="10"/>
  <c r="V81" i="10"/>
  <c r="R46" i="10"/>
  <c r="U116" i="10"/>
  <c r="F36" i="12"/>
  <c r="V108" i="10"/>
  <c r="U25" i="10"/>
  <c r="R95" i="10"/>
  <c r="V68" i="10"/>
  <c r="V38" i="10"/>
  <c r="V69" i="10"/>
  <c r="R94" i="10"/>
  <c r="U68" i="10"/>
  <c r="T41" i="10"/>
  <c r="V67" i="10"/>
  <c r="V16" i="10"/>
  <c r="R42" i="10"/>
  <c r="T23" i="10"/>
  <c r="U38" i="10"/>
  <c r="V39" i="10"/>
  <c r="R111" i="10"/>
  <c r="T42" i="10"/>
  <c r="U96" i="10"/>
  <c r="T67" i="10"/>
  <c r="T63" i="10"/>
  <c r="R48" i="10"/>
  <c r="E97" i="4"/>
  <c r="V15" i="10"/>
  <c r="V41" i="10"/>
  <c r="T94" i="10"/>
  <c r="F107" i="4"/>
  <c r="T92" i="10"/>
  <c r="O24" i="9"/>
  <c r="R113" i="10"/>
  <c r="E60" i="12"/>
  <c r="D120" i="4"/>
  <c r="V94" i="10"/>
  <c r="U35" i="10"/>
  <c r="V95" i="10"/>
  <c r="T113" i="10"/>
  <c r="T24" i="10"/>
  <c r="T45" i="10"/>
  <c r="N121" i="4"/>
  <c r="G65" i="9"/>
  <c r="V65" i="10"/>
  <c r="V51" i="10"/>
  <c r="R21" i="10"/>
  <c r="F50" i="12"/>
  <c r="F55" i="12"/>
  <c r="F60" i="12"/>
  <c r="D145" i="4"/>
  <c r="T39" i="10"/>
  <c r="U22" i="10"/>
  <c r="D55" i="12"/>
  <c r="V37" i="10"/>
  <c r="T21" i="10"/>
  <c r="F116" i="4"/>
  <c r="N114" i="4"/>
  <c r="V27" i="10"/>
  <c r="G17" i="9"/>
  <c r="B97" i="4"/>
  <c r="B120" i="4"/>
  <c r="E65" i="9"/>
  <c r="F77" i="9"/>
  <c r="C77" i="9"/>
  <c r="D97" i="4"/>
  <c r="C97" i="4"/>
  <c r="F42" i="12"/>
  <c r="O49" i="9"/>
  <c r="E111" i="4"/>
  <c r="E145" i="4"/>
  <c r="E124" i="4"/>
  <c r="E148" i="4"/>
  <c r="N53" i="9"/>
  <c r="O43" i="9"/>
  <c r="G69" i="4"/>
  <c r="E109" i="9"/>
  <c r="C100" i="12"/>
  <c r="C98" i="12"/>
  <c r="E17" i="9"/>
  <c r="N14" i="9"/>
  <c r="F34" i="44"/>
  <c r="F37" i="44"/>
  <c r="F8" i="44" s="1"/>
  <c r="G18" i="44"/>
  <c r="G11" i="44"/>
  <c r="G31" i="44"/>
  <c r="G26" i="44"/>
  <c r="G25" i="44"/>
  <c r="G17" i="44"/>
  <c r="G29" i="44"/>
  <c r="G30" i="44"/>
  <c r="G27" i="44"/>
  <c r="G13" i="44"/>
  <c r="G21" i="44"/>
  <c r="G22" i="44" s="1"/>
  <c r="G24" i="44"/>
  <c r="G16" i="44"/>
  <c r="G14" i="44"/>
  <c r="G35" i="44" s="1"/>
  <c r="G32" i="44"/>
  <c r="G28" i="44"/>
  <c r="G19" i="44"/>
  <c r="G20" i="44" s="1"/>
  <c r="H36" i="44"/>
  <c r="G10" i="44"/>
  <c r="G12" i="44"/>
  <c r="U39" i="10"/>
  <c r="R39" i="10"/>
  <c r="R82" i="10"/>
  <c r="U82" i="10"/>
  <c r="E120" i="4"/>
  <c r="O123" i="4"/>
  <c r="U112" i="10"/>
  <c r="E103" i="12"/>
  <c r="F103" i="12"/>
  <c r="G103" i="12" s="1"/>
  <c r="U63" i="10"/>
  <c r="U69" i="10"/>
  <c r="U90" i="10"/>
  <c r="O145" i="4"/>
  <c r="E141" i="4"/>
  <c r="C101" i="12"/>
  <c r="C102" i="12"/>
  <c r="C97" i="12"/>
  <c r="R63" i="10"/>
  <c r="O119" i="4"/>
  <c r="R112" i="10"/>
  <c r="C99" i="12"/>
  <c r="R90" i="10"/>
  <c r="U99" i="10"/>
  <c r="F70" i="8" l="1"/>
  <c r="E118" i="8"/>
  <c r="C109" i="8"/>
  <c r="E95" i="8"/>
  <c r="E89" i="8"/>
  <c r="E72" i="8"/>
  <c r="E110" i="8"/>
  <c r="G110" i="8"/>
  <c r="C114" i="8"/>
  <c r="E82" i="8"/>
  <c r="E61" i="8"/>
  <c r="G66" i="8"/>
  <c r="F77" i="8"/>
  <c r="E116" i="8"/>
  <c r="C66" i="8"/>
  <c r="F69" i="8"/>
  <c r="G96" i="8"/>
  <c r="E100" i="8"/>
  <c r="G76" i="8"/>
  <c r="G101" i="8"/>
  <c r="F100" i="8"/>
  <c r="G83" i="8"/>
  <c r="F97" i="8"/>
  <c r="G72" i="8"/>
  <c r="E107" i="8"/>
  <c r="F72" i="8"/>
  <c r="E99" i="8"/>
  <c r="E79" i="8"/>
  <c r="F62" i="8"/>
  <c r="G94" i="8"/>
  <c r="E98" i="8"/>
  <c r="G80" i="8"/>
  <c r="F71" i="8"/>
  <c r="G105" i="8"/>
  <c r="G79" i="8"/>
  <c r="G63" i="8"/>
  <c r="E103" i="8"/>
  <c r="G85" i="8"/>
  <c r="E90" i="8"/>
  <c r="C98" i="8"/>
  <c r="F78" i="8"/>
  <c r="C105" i="8"/>
  <c r="E91" i="8"/>
  <c r="F76" i="8"/>
  <c r="F95" i="8"/>
  <c r="G108" i="8"/>
  <c r="G60" i="8"/>
  <c r="G99" i="8"/>
  <c r="E70" i="8"/>
  <c r="F94" i="8"/>
  <c r="C65" i="8"/>
  <c r="E104" i="8"/>
  <c r="E65" i="8"/>
  <c r="F79" i="8"/>
  <c r="F101" i="8"/>
  <c r="G97" i="8"/>
  <c r="G100" i="8"/>
  <c r="C71" i="8"/>
  <c r="F66" i="8"/>
  <c r="E97" i="8"/>
  <c r="F60" i="8"/>
  <c r="C93" i="8"/>
  <c r="E87" i="8"/>
  <c r="G98" i="8"/>
  <c r="G88" i="8"/>
  <c r="C64" i="8"/>
  <c r="E78" i="8"/>
  <c r="F114" i="8"/>
  <c r="G118" i="8"/>
  <c r="E71" i="8"/>
  <c r="G71" i="8"/>
  <c r="G104" i="8"/>
  <c r="E69" i="8"/>
  <c r="F68" i="8"/>
  <c r="C94" i="8"/>
  <c r="C79" i="8"/>
  <c r="C63" i="8"/>
  <c r="F65" i="8"/>
  <c r="C70" i="8"/>
  <c r="F87" i="8"/>
  <c r="F99" i="8"/>
  <c r="F80" i="8"/>
  <c r="C80" i="8"/>
  <c r="F111" i="8"/>
  <c r="E101" i="8"/>
  <c r="C111" i="8"/>
  <c r="C101" i="8"/>
  <c r="G113" i="8"/>
  <c r="E77" i="8"/>
  <c r="G93" i="8"/>
  <c r="F118" i="8"/>
  <c r="G115" i="8"/>
  <c r="C96" i="8"/>
  <c r="F103" i="8"/>
  <c r="C68" i="8"/>
  <c r="E66" i="8"/>
  <c r="C104" i="8"/>
  <c r="F81" i="8"/>
  <c r="F63" i="8"/>
  <c r="G77" i="8"/>
  <c r="G90" i="8"/>
  <c r="G103" i="8"/>
  <c r="F82" i="8"/>
  <c r="C117" i="8"/>
  <c r="E93" i="8"/>
  <c r="C76" i="8"/>
  <c r="E84" i="8"/>
  <c r="E111" i="8"/>
  <c r="G67" i="8"/>
  <c r="F93" i="8"/>
  <c r="G91" i="8"/>
  <c r="C81" i="8"/>
  <c r="C106" i="8"/>
  <c r="F107" i="8"/>
  <c r="G70" i="8"/>
  <c r="C113" i="8"/>
  <c r="C60" i="8"/>
  <c r="E115" i="8"/>
  <c r="C90" i="8"/>
  <c r="E114" i="8"/>
  <c r="G89" i="8"/>
  <c r="E67" i="8"/>
  <c r="E81" i="8"/>
  <c r="C116" i="8"/>
  <c r="G87" i="8"/>
  <c r="C72" i="8"/>
  <c r="F89" i="8"/>
  <c r="C77" i="8"/>
  <c r="G69" i="8"/>
  <c r="G117" i="8"/>
  <c r="E113" i="8"/>
  <c r="F104" i="8"/>
  <c r="F109" i="8"/>
  <c r="F61" i="8"/>
  <c r="F105" i="8"/>
  <c r="G116" i="8"/>
  <c r="F106" i="8"/>
  <c r="F91" i="8"/>
  <c r="C91" i="8"/>
  <c r="F117" i="8"/>
  <c r="C99" i="8"/>
  <c r="E62" i="8"/>
  <c r="G62" i="8"/>
  <c r="C115" i="8"/>
  <c r="G82" i="8"/>
  <c r="G107" i="8"/>
  <c r="C95" i="8"/>
  <c r="C100" i="8"/>
  <c r="G114" i="8"/>
  <c r="C88" i="8"/>
  <c r="G68" i="8"/>
  <c r="E106" i="8"/>
  <c r="C75" i="9"/>
  <c r="E21" i="9"/>
  <c r="N21" i="9" s="1"/>
  <c r="G21" i="9"/>
  <c r="G22" i="9" s="1"/>
  <c r="J102" i="8"/>
  <c r="K86" i="8"/>
  <c r="K92" i="8"/>
  <c r="K102" i="8"/>
  <c r="K112" i="8"/>
  <c r="J112" i="8"/>
  <c r="E66" i="46"/>
  <c r="E67" i="46"/>
  <c r="G66" i="46"/>
  <c r="G67" i="46"/>
  <c r="L86" i="8"/>
  <c r="L92" i="8"/>
  <c r="N86" i="8"/>
  <c r="L102" i="8"/>
  <c r="N112" i="8"/>
  <c r="L112" i="8"/>
  <c r="O112" i="8"/>
  <c r="L75" i="8"/>
  <c r="N75" i="8"/>
  <c r="O102" i="8"/>
  <c r="N59" i="8"/>
  <c r="J86" i="8"/>
  <c r="L59" i="8"/>
  <c r="N55" i="9"/>
  <c r="O86" i="8"/>
  <c r="N92" i="8"/>
  <c r="G23" i="9"/>
  <c r="F23" i="9"/>
  <c r="F71" i="9" s="1"/>
  <c r="F54" i="9"/>
  <c r="F74" i="9" s="1"/>
  <c r="C23" i="9"/>
  <c r="C71" i="9" s="1"/>
  <c r="F35" i="9"/>
  <c r="F70" i="9" s="1"/>
  <c r="N25" i="9"/>
  <c r="E23" i="9"/>
  <c r="E71" i="9" s="1"/>
  <c r="G54" i="9"/>
  <c r="G46" i="9"/>
  <c r="G41" i="9"/>
  <c r="C46" i="9"/>
  <c r="C73" i="9" s="1"/>
  <c r="G35" i="9"/>
  <c r="J75" i="8"/>
  <c r="E41" i="9"/>
  <c r="E72" i="9" s="1"/>
  <c r="O92" i="8"/>
  <c r="F46" i="9"/>
  <c r="O59" i="8"/>
  <c r="F28" i="9"/>
  <c r="F69" i="9" s="1"/>
  <c r="N102" i="8"/>
  <c r="E46" i="9"/>
  <c r="E73" i="9" s="1"/>
  <c r="G34" i="44"/>
  <c r="G37" i="44"/>
  <c r="G8" i="44" s="1"/>
  <c r="H16" i="44"/>
  <c r="H17" i="44"/>
  <c r="H19" i="44"/>
  <c r="H20" i="44" s="1"/>
  <c r="H12" i="44"/>
  <c r="H14" i="44"/>
  <c r="H35" i="44" s="1"/>
  <c r="H29" i="44"/>
  <c r="H27" i="44"/>
  <c r="H26" i="44"/>
  <c r="H25" i="44"/>
  <c r="H30" i="44"/>
  <c r="H11" i="44"/>
  <c r="I36" i="44"/>
  <c r="H13" i="44"/>
  <c r="H24" i="44"/>
  <c r="H21" i="44"/>
  <c r="H22" i="44" s="1"/>
  <c r="H18" i="44"/>
  <c r="H32" i="44"/>
  <c r="H28" i="44"/>
  <c r="H10" i="44"/>
  <c r="H31" i="44"/>
  <c r="C103" i="12"/>
  <c r="E22" i="9" l="1"/>
  <c r="L74" i="8"/>
  <c r="N74" i="8"/>
  <c r="F73" i="9"/>
  <c r="J92" i="8"/>
  <c r="J74" i="8" s="1"/>
  <c r="H34" i="44"/>
  <c r="H37" i="44"/>
  <c r="H8" i="44" s="1"/>
  <c r="I32" i="44"/>
  <c r="I17" i="44"/>
  <c r="J36" i="44"/>
  <c r="I18" i="44"/>
  <c r="I14" i="44"/>
  <c r="I35" i="44" s="1"/>
  <c r="I31" i="44"/>
  <c r="I26" i="44"/>
  <c r="I11" i="44"/>
  <c r="I16" i="44"/>
  <c r="I30" i="44"/>
  <c r="I28" i="44"/>
  <c r="I10" i="44"/>
  <c r="I12" i="44"/>
  <c r="I24" i="44"/>
  <c r="I13" i="44"/>
  <c r="I19" i="44"/>
  <c r="I20" i="44" s="1"/>
  <c r="I21" i="44"/>
  <c r="I22" i="44" s="1"/>
  <c r="I29" i="44"/>
  <c r="I27" i="44"/>
  <c r="I25" i="44"/>
  <c r="I34" i="44" l="1"/>
  <c r="I37" i="44"/>
  <c r="I8" i="44" s="1"/>
  <c r="J21" i="44"/>
  <c r="J22" i="44" s="1"/>
  <c r="K36" i="44"/>
  <c r="J12" i="44"/>
  <c r="J17" i="44"/>
  <c r="J14" i="44"/>
  <c r="J35" i="44" s="1"/>
  <c r="J18" i="44"/>
  <c r="J32" i="44"/>
  <c r="J16" i="44"/>
  <c r="J11" i="44"/>
  <c r="J29" i="44"/>
  <c r="J27" i="44"/>
  <c r="J25" i="44"/>
  <c r="J24" i="44"/>
  <c r="J31" i="44"/>
  <c r="J30" i="44"/>
  <c r="J19" i="44"/>
  <c r="J20" i="44" s="1"/>
  <c r="J28" i="44"/>
  <c r="J26" i="44"/>
  <c r="J10" i="44"/>
  <c r="J13" i="44"/>
  <c r="J34" i="44" l="1"/>
  <c r="J37" i="44"/>
  <c r="J8" i="44" s="1"/>
  <c r="L36" i="44"/>
  <c r="K32" i="44"/>
  <c r="K27" i="44"/>
  <c r="K18" i="44"/>
  <c r="K21" i="44"/>
  <c r="K22" i="44" s="1"/>
  <c r="K30" i="44"/>
  <c r="K24" i="44"/>
  <c r="K29" i="44"/>
  <c r="K26" i="44"/>
  <c r="K25" i="44"/>
  <c r="K14" i="44"/>
  <c r="K35" i="44" s="1"/>
  <c r="K28" i="44"/>
  <c r="K12" i="44"/>
  <c r="K10" i="44"/>
  <c r="K17" i="44"/>
  <c r="K19" i="44"/>
  <c r="K20" i="44" s="1"/>
  <c r="K31" i="44"/>
  <c r="K16" i="44"/>
  <c r="K13" i="44"/>
  <c r="K11" i="44"/>
  <c r="K34" i="44" l="1"/>
  <c r="K37" i="44"/>
  <c r="K8" i="44" s="1"/>
  <c r="L25" i="44"/>
  <c r="L21" i="44"/>
  <c r="L22" i="44" s="1"/>
  <c r="L14" i="44"/>
  <c r="L35" i="44" s="1"/>
  <c r="L32" i="44"/>
  <c r="L26" i="44"/>
  <c r="L18" i="44"/>
  <c r="L29" i="44"/>
  <c r="L31" i="44"/>
  <c r="L30" i="44"/>
  <c r="L16" i="44"/>
  <c r="L27" i="44"/>
  <c r="L19" i="44"/>
  <c r="L20" i="44" s="1"/>
  <c r="L13" i="44"/>
  <c r="M36" i="44"/>
  <c r="L17" i="44"/>
  <c r="L10" i="44"/>
  <c r="L12" i="44"/>
  <c r="L24" i="44"/>
  <c r="L28" i="44"/>
  <c r="L11" i="44"/>
  <c r="L34" i="44" l="1"/>
  <c r="L37" i="44"/>
  <c r="L8" i="44" s="1"/>
  <c r="M26" i="44"/>
  <c r="M31" i="44"/>
  <c r="M24" i="44"/>
  <c r="M18" i="44"/>
  <c r="M29" i="44"/>
  <c r="M12" i="44"/>
  <c r="M32" i="44"/>
  <c r="M30" i="44"/>
  <c r="N36" i="44"/>
  <c r="M25" i="44"/>
  <c r="M10" i="44"/>
  <c r="M11" i="44"/>
  <c r="M17" i="44"/>
  <c r="M14" i="44"/>
  <c r="M35" i="44" s="1"/>
  <c r="M19" i="44"/>
  <c r="M20" i="44" s="1"/>
  <c r="M21" i="44"/>
  <c r="M22" i="44" s="1"/>
  <c r="M16" i="44"/>
  <c r="M27" i="44"/>
  <c r="M13" i="44"/>
  <c r="M28" i="44"/>
  <c r="M34" i="44" l="1"/>
  <c r="M37" i="44"/>
  <c r="M8" i="44" s="1"/>
  <c r="N18" i="44"/>
  <c r="N21" i="44"/>
  <c r="N22" i="44" s="1"/>
  <c r="N28" i="44"/>
  <c r="N10" i="44"/>
  <c r="N29" i="44"/>
  <c r="N11" i="44"/>
  <c r="N26" i="44"/>
  <c r="N19" i="44"/>
  <c r="N20" i="44" s="1"/>
  <c r="N14" i="44"/>
  <c r="N35" i="44" s="1"/>
  <c r="N12" i="44"/>
  <c r="N16" i="44"/>
  <c r="N32" i="44"/>
  <c r="N25" i="44"/>
  <c r="N27" i="44"/>
  <c r="N30" i="44"/>
  <c r="O36" i="44"/>
  <c r="N13" i="44"/>
  <c r="N17" i="44"/>
  <c r="N31" i="44"/>
  <c r="N24" i="44"/>
  <c r="N34" i="44" l="1"/>
  <c r="N37" i="44"/>
  <c r="N8" i="44" s="1"/>
  <c r="O10" i="44"/>
  <c r="O29" i="44"/>
  <c r="O18" i="44"/>
  <c r="O26" i="44"/>
  <c r="O13" i="44"/>
  <c r="P36" i="44"/>
  <c r="O27" i="44"/>
  <c r="O14" i="44"/>
  <c r="O35" i="44" s="1"/>
  <c r="O21" i="44"/>
  <c r="O22" i="44" s="1"/>
  <c r="O11" i="44"/>
  <c r="O30" i="44"/>
  <c r="O25" i="44"/>
  <c r="O17" i="44"/>
  <c r="O19" i="44"/>
  <c r="O20" i="44" s="1"/>
  <c r="O24" i="44"/>
  <c r="O12" i="44"/>
  <c r="O31" i="44"/>
  <c r="O16" i="44"/>
  <c r="O32" i="44"/>
  <c r="O28" i="44"/>
  <c r="O34" i="44" l="1"/>
  <c r="O37" i="44"/>
  <c r="O8" i="44" s="1"/>
  <c r="P13" i="44"/>
  <c r="P26" i="44"/>
  <c r="P18" i="44"/>
  <c r="P14" i="44"/>
  <c r="P35" i="44" s="1"/>
  <c r="P31" i="44"/>
  <c r="P32" i="44"/>
  <c r="P17" i="44"/>
  <c r="P28" i="44"/>
  <c r="P10" i="44"/>
  <c r="P27" i="44"/>
  <c r="Q36" i="44"/>
  <c r="P30" i="44"/>
  <c r="P24" i="44"/>
  <c r="P11" i="44"/>
  <c r="P25" i="44"/>
  <c r="P21" i="44"/>
  <c r="P22" i="44" s="1"/>
  <c r="P16" i="44"/>
  <c r="P19" i="44"/>
  <c r="P20" i="44" s="1"/>
  <c r="P12" i="44"/>
  <c r="P29" i="44"/>
  <c r="P34" i="44" l="1"/>
  <c r="P37" i="44"/>
  <c r="P8" i="44" s="1"/>
  <c r="Q27" i="44"/>
  <c r="Q21" i="44"/>
  <c r="Q22" i="44" s="1"/>
  <c r="Q18" i="44"/>
  <c r="Q11" i="44"/>
  <c r="Q19" i="44"/>
  <c r="Q20" i="44" s="1"/>
  <c r="Q14" i="44"/>
  <c r="Q35" i="44" s="1"/>
  <c r="Q25" i="44"/>
  <c r="Q16" i="44"/>
  <c r="Q28" i="44"/>
  <c r="Q26" i="44"/>
  <c r="Q13" i="44"/>
  <c r="Q17" i="44"/>
  <c r="Q12" i="44"/>
  <c r="Q10" i="44"/>
  <c r="Q24" i="44"/>
  <c r="Q32" i="44"/>
  <c r="R36" i="44"/>
  <c r="Q30" i="44"/>
  <c r="Q31" i="44"/>
  <c r="Q29" i="44"/>
  <c r="Q34" i="44" l="1"/>
  <c r="Q37" i="44"/>
  <c r="Q8" i="44" s="1"/>
  <c r="R21" i="44"/>
  <c r="R22" i="44" s="1"/>
  <c r="R31" i="44"/>
  <c r="R30" i="44"/>
  <c r="R16" i="44"/>
  <c r="R11" i="44"/>
  <c r="R10" i="44"/>
  <c r="S36" i="44"/>
  <c r="R19" i="44"/>
  <c r="R20" i="44" s="1"/>
  <c r="R32" i="44"/>
  <c r="R18" i="44"/>
  <c r="R17" i="44"/>
  <c r="R29" i="44"/>
  <c r="R14" i="44"/>
  <c r="R35" i="44" s="1"/>
  <c r="R28" i="44"/>
  <c r="R13" i="44"/>
  <c r="R12" i="44"/>
  <c r="R24" i="44"/>
  <c r="R27" i="44"/>
  <c r="R25" i="44"/>
  <c r="R26" i="44"/>
  <c r="R34" i="44" l="1"/>
  <c r="R37" i="44"/>
  <c r="R8" i="44" s="1"/>
  <c r="S28" i="44"/>
  <c r="S26" i="44"/>
  <c r="S18" i="44"/>
  <c r="S32" i="44"/>
  <c r="S14" i="44"/>
  <c r="S35" i="44" s="1"/>
  <c r="S29" i="44"/>
  <c r="T36" i="44"/>
  <c r="S11" i="44"/>
  <c r="S31" i="44"/>
  <c r="S16" i="44"/>
  <c r="S27" i="44"/>
  <c r="S24" i="44"/>
  <c r="S30" i="44"/>
  <c r="S10" i="44"/>
  <c r="S19" i="44"/>
  <c r="S20" i="44" s="1"/>
  <c r="S12" i="44"/>
  <c r="S25" i="44"/>
  <c r="S21" i="44"/>
  <c r="S22" i="44" s="1"/>
  <c r="S13" i="44"/>
  <c r="S17" i="44"/>
  <c r="S34" i="44" l="1"/>
  <c r="S37" i="44"/>
  <c r="S8" i="44" s="1"/>
  <c r="T12" i="44"/>
  <c r="T28" i="44"/>
  <c r="T21" i="44"/>
  <c r="T22" i="44" s="1"/>
  <c r="T32" i="44"/>
  <c r="T31" i="44"/>
  <c r="T13" i="44"/>
  <c r="T25" i="44"/>
  <c r="T30" i="44"/>
  <c r="T24" i="44"/>
  <c r="T18" i="44"/>
  <c r="T11" i="44"/>
  <c r="T29" i="44"/>
  <c r="T10" i="44"/>
  <c r="T14" i="44"/>
  <c r="T35" i="44" s="1"/>
  <c r="T19" i="44"/>
  <c r="T20" i="44" s="1"/>
  <c r="T16" i="44"/>
  <c r="T27" i="44"/>
  <c r="T17" i="44"/>
  <c r="U36" i="44"/>
  <c r="T26" i="44"/>
  <c r="T34" i="44" l="1"/>
  <c r="T37" i="44"/>
  <c r="T8" i="44" s="1"/>
  <c r="U30" i="44"/>
  <c r="U28" i="44"/>
  <c r="U10" i="44"/>
  <c r="U31" i="44"/>
  <c r="V36" i="44"/>
  <c r="U19" i="44"/>
  <c r="U20" i="44" s="1"/>
  <c r="U27" i="44"/>
  <c r="U24" i="44"/>
  <c r="U17" i="44"/>
  <c r="U13" i="44"/>
  <c r="U11" i="44"/>
  <c r="U25" i="44"/>
  <c r="U32" i="44"/>
  <c r="U21" i="44"/>
  <c r="U22" i="44" s="1"/>
  <c r="U29" i="44"/>
  <c r="U14" i="44"/>
  <c r="U35" i="44" s="1"/>
  <c r="U26" i="44"/>
  <c r="U16" i="44"/>
  <c r="U18" i="44"/>
  <c r="U12" i="44"/>
  <c r="U34" i="44" l="1"/>
  <c r="U37" i="44"/>
  <c r="U8" i="44" s="1"/>
  <c r="V16" i="44"/>
  <c r="V21" i="44"/>
  <c r="V22" i="44" s="1"/>
  <c r="V11" i="44"/>
  <c r="V12" i="44"/>
  <c r="V26" i="44"/>
  <c r="V25" i="44"/>
  <c r="W36" i="44"/>
  <c r="V17" i="44"/>
  <c r="V19" i="44"/>
  <c r="V20" i="44" s="1"/>
  <c r="V13" i="44"/>
  <c r="V30" i="44"/>
  <c r="V31" i="44"/>
  <c r="V18" i="44"/>
  <c r="V28" i="44"/>
  <c r="V27" i="44"/>
  <c r="V24" i="44"/>
  <c r="V32" i="44"/>
  <c r="V14" i="44"/>
  <c r="V35" i="44" s="1"/>
  <c r="V10" i="44"/>
  <c r="V29" i="44"/>
  <c r="AW3" i="17"/>
  <c r="BH4" i="15" l="1"/>
  <c r="BH3" i="15"/>
  <c r="BI3" i="15" s="1"/>
  <c r="V34" i="44"/>
  <c r="V37" i="44"/>
  <c r="V8" i="44" s="1"/>
  <c r="W14" i="44"/>
  <c r="W35" i="44" s="1"/>
  <c r="W11" i="44"/>
  <c r="W16" i="44"/>
  <c r="W32" i="44"/>
  <c r="W24" i="44"/>
  <c r="W28" i="44"/>
  <c r="W21" i="44"/>
  <c r="W22" i="44" s="1"/>
  <c r="W26" i="44"/>
  <c r="X36" i="44"/>
  <c r="W17" i="44"/>
  <c r="W13" i="44"/>
  <c r="W25" i="44"/>
  <c r="W12" i="44"/>
  <c r="W10" i="44"/>
  <c r="W18" i="44"/>
  <c r="W29" i="44"/>
  <c r="W27" i="44"/>
  <c r="W30" i="44"/>
  <c r="W31" i="44"/>
  <c r="W19" i="44"/>
  <c r="W20" i="44" s="1"/>
  <c r="BI4" i="15" l="1"/>
  <c r="BJ4" i="15"/>
  <c r="W34" i="44"/>
  <c r="W37" i="44"/>
  <c r="W8" i="44" s="1"/>
  <c r="X21" i="44"/>
  <c r="X22" i="44" s="1"/>
  <c r="X32" i="44"/>
  <c r="X16" i="44"/>
  <c r="X14" i="44"/>
  <c r="X35" i="44" s="1"/>
  <c r="X27" i="44"/>
  <c r="X24" i="44"/>
  <c r="X25" i="44"/>
  <c r="X19" i="44"/>
  <c r="X20" i="44" s="1"/>
  <c r="X17" i="44"/>
  <c r="X10" i="44"/>
  <c r="X26" i="44"/>
  <c r="X28" i="44"/>
  <c r="X11" i="44"/>
  <c r="X13" i="44"/>
  <c r="X29" i="44"/>
  <c r="X30" i="44"/>
  <c r="X18" i="44"/>
  <c r="Y36" i="44"/>
  <c r="X31" i="44"/>
  <c r="X12" i="44"/>
  <c r="BL4" i="15" l="1"/>
  <c r="BK4" i="15"/>
  <c r="X4" i="15" s="1"/>
  <c r="X34" i="44"/>
  <c r="X37" i="44"/>
  <c r="X8" i="44" s="1"/>
  <c r="Y32" i="44"/>
  <c r="Y21" i="44"/>
  <c r="Y22" i="44" s="1"/>
  <c r="Y26" i="44"/>
  <c r="Y14" i="44"/>
  <c r="Y35" i="44" s="1"/>
  <c r="Y17" i="44"/>
  <c r="Y10" i="44"/>
  <c r="Y30" i="44"/>
  <c r="Y24" i="44"/>
  <c r="Y19" i="44"/>
  <c r="Y20" i="44" s="1"/>
  <c r="Y13" i="44"/>
  <c r="Y11" i="44"/>
  <c r="Y16" i="44"/>
  <c r="Y25" i="44"/>
  <c r="Y12" i="44"/>
  <c r="Y28" i="44"/>
  <c r="Z36" i="44"/>
  <c r="Y31" i="44"/>
  <c r="Y29" i="44"/>
  <c r="Y18" i="44"/>
  <c r="Y27" i="44"/>
  <c r="AV3" i="17"/>
  <c r="BJ3" i="15" l="1"/>
  <c r="Y34" i="44"/>
  <c r="Y37" i="44"/>
  <c r="Y8" i="44" s="1"/>
  <c r="Z11" i="44"/>
  <c r="Z29" i="44"/>
  <c r="Z24" i="44"/>
  <c r="Z28" i="44"/>
  <c r="Z32" i="44"/>
  <c r="Z26" i="44"/>
  <c r="Z19" i="44"/>
  <c r="Z20" i="44" s="1"/>
  <c r="Z21" i="44"/>
  <c r="Z22" i="44" s="1"/>
  <c r="Z25" i="44"/>
  <c r="Z16" i="44"/>
  <c r="Z12" i="44"/>
  <c r="Z27" i="44"/>
  <c r="Z14" i="44"/>
  <c r="Z35" i="44" s="1"/>
  <c r="D3" i="44" s="1"/>
  <c r="Z18" i="44"/>
  <c r="Z17" i="44"/>
  <c r="Z10" i="44"/>
  <c r="Z31" i="44"/>
  <c r="Z30" i="44"/>
  <c r="BK3" i="15" l="1"/>
  <c r="AX4" i="17" s="1"/>
  <c r="BL3" i="15"/>
  <c r="H5" i="42"/>
  <c r="Z34" i="44"/>
  <c r="D4" i="44" s="1"/>
  <c r="Z37" i="44"/>
  <c r="Z8" i="44" s="1"/>
  <c r="E4" i="44"/>
  <c r="E3" i="44"/>
  <c r="X3" i="15" l="1"/>
  <c r="AX3" i="17"/>
  <c r="I5" i="42"/>
  <c r="I6" i="42"/>
  <c r="H6" i="42"/>
  <c r="AG4" i="16" l="1"/>
  <c r="AY4" i="17"/>
  <c r="B111" i="4"/>
  <c r="O153" i="4"/>
  <c r="C107" i="9"/>
  <c r="AY3" i="17"/>
  <c r="R81" i="42" l="1"/>
  <c r="R69" i="42"/>
  <c r="Q23" i="42"/>
  <c r="Q33" i="42"/>
  <c r="Q65" i="42"/>
  <c r="R53" i="42"/>
  <c r="Q47" i="42"/>
  <c r="Q24" i="42"/>
  <c r="R54" i="42"/>
  <c r="R71" i="42"/>
  <c r="R59" i="42"/>
  <c r="R37" i="42"/>
  <c r="R27" i="42"/>
  <c r="Q55" i="42"/>
  <c r="R39" i="42"/>
  <c r="R61" i="42"/>
  <c r="R45" i="42"/>
  <c r="Q78" i="42"/>
  <c r="Q41" i="42"/>
  <c r="R48" i="42"/>
  <c r="Q79" i="42"/>
  <c r="R38" i="42"/>
  <c r="Q37" i="42"/>
  <c r="R64" i="42"/>
  <c r="Q81" i="42"/>
  <c r="R35" i="42"/>
  <c r="Q68" i="42"/>
  <c r="R66" i="42"/>
  <c r="Q21" i="42"/>
  <c r="R19" i="42"/>
  <c r="Q61" i="42"/>
  <c r="Q25" i="42"/>
  <c r="Q44" i="42"/>
  <c r="Q66" i="42"/>
  <c r="Q69" i="42"/>
  <c r="Q71" i="42"/>
  <c r="R25" i="42"/>
  <c r="Q58" i="42"/>
  <c r="Q76" i="42"/>
  <c r="R62" i="42"/>
  <c r="R72" i="42"/>
  <c r="Q26" i="42"/>
  <c r="Q42" i="42"/>
  <c r="R70" i="42"/>
  <c r="Q59" i="42"/>
  <c r="R77" i="42"/>
  <c r="Q22" i="42"/>
  <c r="R40" i="42"/>
  <c r="Q39" i="42"/>
  <c r="R60" i="42"/>
  <c r="Q45" i="42"/>
  <c r="R67" i="42"/>
  <c r="Q27" i="42"/>
  <c r="R30" i="42"/>
  <c r="Q29" i="42"/>
  <c r="R57" i="42"/>
  <c r="R28" i="42"/>
  <c r="R36" i="42"/>
  <c r="R65" i="42"/>
  <c r="R47" i="42"/>
  <c r="Q43" i="42"/>
  <c r="Q64" i="42"/>
  <c r="R44" i="42"/>
  <c r="Q54" i="42"/>
  <c r="R46" i="42"/>
  <c r="Q35" i="42"/>
  <c r="R75" i="42"/>
  <c r="R20" i="42"/>
  <c r="R42" i="42"/>
  <c r="R43" i="42"/>
  <c r="R56" i="42"/>
  <c r="R58" i="42"/>
  <c r="R21" i="42"/>
  <c r="Q20" i="42"/>
  <c r="Q32" i="42"/>
  <c r="R26" i="42"/>
  <c r="R78" i="42"/>
  <c r="R33" i="42"/>
  <c r="R55" i="42"/>
  <c r="Q38" i="42"/>
  <c r="Q19" i="42"/>
  <c r="R82" i="42"/>
  <c r="Q36" i="42"/>
  <c r="R68" i="42"/>
  <c r="R23" i="42"/>
  <c r="R41" i="42"/>
  <c r="Q74" i="42"/>
  <c r="Q80" i="42"/>
  <c r="R31" i="42"/>
  <c r="Q82" i="42"/>
  <c r="Q70" i="42"/>
  <c r="R22" i="42"/>
  <c r="Q72" i="42"/>
  <c r="Q60" i="42"/>
  <c r="R34" i="42"/>
  <c r="Q77" i="42"/>
  <c r="Q31" i="42"/>
  <c r="Q40" i="42"/>
  <c r="R76" i="42"/>
  <c r="R29" i="42"/>
  <c r="Q28" i="42"/>
  <c r="R74" i="42"/>
  <c r="Q73" i="42"/>
  <c r="R32" i="42"/>
  <c r="Q63" i="42"/>
  <c r="Q62" i="42"/>
  <c r="Q46" i="42"/>
  <c r="R24" i="42"/>
  <c r="Q67" i="42"/>
  <c r="Q30" i="42"/>
  <c r="R73" i="42"/>
  <c r="Q56" i="42"/>
  <c r="Q48" i="42"/>
  <c r="R79" i="42"/>
  <c r="Q34" i="42"/>
  <c r="Q57" i="42"/>
  <c r="Q75" i="42"/>
  <c r="R63" i="42"/>
  <c r="R80" i="42"/>
  <c r="Q53" i="42"/>
  <c r="N140" i="4"/>
  <c r="R108" i="10"/>
  <c r="R84" i="10"/>
  <c r="N112" i="4"/>
  <c r="D111" i="4"/>
  <c r="T108" i="10"/>
  <c r="T84" i="10"/>
  <c r="T37" i="10"/>
  <c r="C65" i="9"/>
  <c r="C21" i="9" s="1"/>
  <c r="O19" i="9"/>
  <c r="F65" i="9"/>
  <c r="F21" i="9" l="1"/>
  <c r="O21" i="9" s="1"/>
  <c r="C22" i="9"/>
  <c r="D21" i="9" l="1"/>
  <c r="F22" i="9"/>
  <c r="D20" i="9"/>
  <c r="D18" i="9"/>
  <c r="D19" i="9"/>
  <c r="D22" i="9" l="1"/>
  <c r="J139" i="42" l="1"/>
  <c r="N31" i="12" l="1"/>
  <c r="N36" i="12"/>
  <c r="N50" i="12"/>
  <c r="N55" i="12"/>
  <c r="N60" i="12"/>
  <c r="N63" i="12" l="1"/>
  <c r="O14" i="12" s="1"/>
  <c r="O40" i="12" l="1"/>
  <c r="O23" i="12"/>
  <c r="O19" i="12"/>
  <c r="O37" i="12"/>
  <c r="O61" i="12"/>
  <c r="O62" i="12"/>
  <c r="O42" i="12"/>
  <c r="O50" i="12"/>
  <c r="O41" i="12"/>
  <c r="O38" i="12"/>
  <c r="O55" i="12"/>
  <c r="O15" i="12"/>
  <c r="O58" i="12"/>
  <c r="O49" i="12"/>
  <c r="O52" i="12"/>
  <c r="O28" i="12"/>
  <c r="O36" i="12"/>
  <c r="O51" i="12"/>
  <c r="O59" i="12"/>
  <c r="O34" i="12"/>
  <c r="O32" i="12"/>
  <c r="O47" i="12"/>
  <c r="O57" i="12"/>
  <c r="O46" i="12"/>
  <c r="O44" i="12"/>
  <c r="O29" i="12"/>
  <c r="O43" i="12"/>
  <c r="O16" i="12"/>
  <c r="O31" i="12"/>
  <c r="O22" i="12"/>
  <c r="O27" i="12"/>
  <c r="O48" i="12"/>
  <c r="O24" i="12"/>
  <c r="O33" i="12"/>
  <c r="O25" i="12"/>
  <c r="O39" i="12"/>
  <c r="O20" i="12"/>
  <c r="O53" i="12"/>
  <c r="O26" i="12"/>
  <c r="O45" i="12"/>
  <c r="O18" i="12"/>
  <c r="O35" i="12"/>
  <c r="O21" i="12"/>
  <c r="O54" i="12"/>
  <c r="O30" i="12"/>
  <c r="O17" i="12"/>
  <c r="O56" i="12"/>
  <c r="O60" i="12"/>
  <c r="O63" i="12" l="1"/>
  <c r="R24" i="12"/>
  <c r="Q24" i="12"/>
  <c r="Q31" i="12"/>
  <c r="R31" i="12"/>
  <c r="Q36" i="12"/>
  <c r="Q42" i="12"/>
  <c r="Q50" i="12"/>
  <c r="Q55" i="12"/>
  <c r="R63" i="12" l="1"/>
  <c r="Q63" i="12"/>
  <c r="M70" i="10" l="1"/>
  <c r="U71" i="10"/>
  <c r="U14" i="10"/>
  <c r="R71" i="10"/>
  <c r="U40" i="10"/>
  <c r="U72" i="10"/>
  <c r="E70" i="10" l="1"/>
  <c r="U70" i="10" s="1"/>
  <c r="U52" i="10"/>
  <c r="E50" i="10"/>
  <c r="U50" i="10" s="1"/>
  <c r="U28" i="10"/>
  <c r="E26" i="10"/>
  <c r="O42" i="9"/>
  <c r="G42" i="46" l="1"/>
  <c r="T40" i="10"/>
  <c r="N39" i="9"/>
  <c r="R40" i="10" l="1"/>
  <c r="T64" i="10" l="1"/>
  <c r="N151" i="4"/>
  <c r="D148" i="4"/>
  <c r="N29" i="9"/>
  <c r="E28" i="9"/>
  <c r="B148" i="4"/>
  <c r="C28" i="9"/>
  <c r="C69" i="9" l="1"/>
  <c r="E69" i="9"/>
  <c r="E36" i="12" l="1"/>
  <c r="O16" i="9"/>
  <c r="O15" i="9"/>
  <c r="E117" i="10"/>
  <c r="E42" i="12"/>
  <c r="T25" i="10"/>
  <c r="N58" i="9"/>
  <c r="T49" i="10"/>
  <c r="T69" i="10"/>
  <c r="T116" i="10"/>
  <c r="T96" i="10"/>
  <c r="AA296" i="42"/>
  <c r="AB296" i="42"/>
  <c r="K109" i="9"/>
  <c r="F70" i="10"/>
  <c r="F50" i="10"/>
  <c r="V150" i="42"/>
  <c r="V178" i="42" s="1"/>
  <c r="V175" i="42" s="1"/>
  <c r="V177" i="42" s="1"/>
  <c r="G28" i="9"/>
  <c r="G64" i="9" s="1"/>
  <c r="F97" i="10"/>
  <c r="F128" i="4"/>
  <c r="F26" i="10"/>
  <c r="O58" i="9"/>
  <c r="B24" i="12"/>
  <c r="B71" i="12" s="1"/>
  <c r="U37" i="10"/>
  <c r="U49" i="10"/>
  <c r="K59" i="8"/>
  <c r="U61" i="10"/>
  <c r="G109" i="9"/>
  <c r="D31" i="12"/>
  <c r="AA298" i="42"/>
  <c r="AB298" i="42"/>
  <c r="D117" i="10"/>
  <c r="O141" i="4"/>
  <c r="E97" i="10"/>
  <c r="H109" i="9"/>
  <c r="D24" i="12"/>
  <c r="AG3" i="16"/>
  <c r="AI3" i="45"/>
  <c r="D50" i="12"/>
  <c r="G59" i="9" l="1"/>
  <c r="G56" i="9" s="1"/>
  <c r="G62" i="9" s="1"/>
  <c r="G63" i="9" s="1"/>
  <c r="B42" i="12"/>
  <c r="T16" i="10"/>
  <c r="U18" i="10"/>
  <c r="R45" i="10"/>
  <c r="K75" i="8"/>
  <c r="K74" i="8" s="1"/>
  <c r="J117" i="10"/>
  <c r="T110" i="10"/>
  <c r="B117" i="10"/>
  <c r="U60" i="10"/>
  <c r="L117" i="10"/>
  <c r="T117" i="10" s="1"/>
  <c r="T43" i="10"/>
  <c r="N154" i="4"/>
  <c r="U88" i="10"/>
  <c r="E24" i="12"/>
  <c r="U45" i="10"/>
  <c r="T60" i="10"/>
  <c r="U19" i="10"/>
  <c r="O14" i="9"/>
  <c r="F17" i="9"/>
  <c r="B107" i="4"/>
  <c r="U107" i="10"/>
  <c r="O117" i="4"/>
  <c r="R96" i="10"/>
  <c r="O75" i="8"/>
  <c r="O74" i="8" s="1"/>
  <c r="D97" i="10"/>
  <c r="J97" i="10"/>
  <c r="D70" i="10"/>
  <c r="D50" i="10"/>
  <c r="J26" i="10"/>
  <c r="D26" i="10"/>
  <c r="U98" i="10"/>
  <c r="M97" i="10"/>
  <c r="U97" i="10" s="1"/>
  <c r="M13" i="10"/>
  <c r="R49" i="10"/>
  <c r="D42" i="12"/>
  <c r="B141" i="4"/>
  <c r="R61" i="10"/>
  <c r="U64" i="10"/>
  <c r="R25" i="10"/>
  <c r="E106" i="10"/>
  <c r="R110" i="10"/>
  <c r="E80" i="10"/>
  <c r="U17" i="10"/>
  <c r="N108" i="4"/>
  <c r="D107" i="4"/>
  <c r="E116" i="4"/>
  <c r="R69" i="10"/>
  <c r="O139" i="4"/>
  <c r="E137" i="4"/>
  <c r="N143" i="4"/>
  <c r="D141" i="4"/>
  <c r="T38" i="10"/>
  <c r="R37" i="10"/>
  <c r="U36" i="10"/>
  <c r="J59" i="8"/>
  <c r="C41" i="9"/>
  <c r="E53" i="10"/>
  <c r="O129" i="4"/>
  <c r="T62" i="10"/>
  <c r="N97" i="10"/>
  <c r="V97" i="10" s="1"/>
  <c r="V99" i="10"/>
  <c r="R64" i="10"/>
  <c r="U15" i="10"/>
  <c r="T14" i="10"/>
  <c r="G68" i="4"/>
  <c r="E17" i="4"/>
  <c r="R36" i="10"/>
  <c r="N50" i="10"/>
  <c r="V50" i="10" s="1"/>
  <c r="V52" i="10"/>
  <c r="N36" i="9"/>
  <c r="E35" i="9"/>
  <c r="R19" i="10"/>
  <c r="C35" i="9"/>
  <c r="C17" i="9"/>
  <c r="D14" i="9" s="1"/>
  <c r="M26" i="10"/>
  <c r="U26" i="10" s="1"/>
  <c r="U27" i="10"/>
  <c r="R116" i="10"/>
  <c r="U83" i="10"/>
  <c r="E27" i="4"/>
  <c r="R83" i="10"/>
  <c r="R60" i="10"/>
  <c r="E68" i="4"/>
  <c r="V72" i="10"/>
  <c r="N70" i="10"/>
  <c r="V70" i="10" s="1"/>
  <c r="AB297" i="42"/>
  <c r="AB300" i="42" s="1"/>
  <c r="R43" i="10"/>
  <c r="R98" i="10"/>
  <c r="R38" i="10"/>
  <c r="V28" i="10"/>
  <c r="N26" i="10"/>
  <c r="V26" i="10" s="1"/>
  <c r="O44" i="9"/>
  <c r="F41" i="9"/>
  <c r="R27" i="10"/>
  <c r="V80" i="42"/>
  <c r="V79" i="42"/>
  <c r="U43" i="10"/>
  <c r="U119" i="10"/>
  <c r="M117" i="10"/>
  <c r="U117" i="10" s="1"/>
  <c r="R62" i="10"/>
  <c r="R14" i="10"/>
  <c r="E107" i="4"/>
  <c r="O110" i="4"/>
  <c r="O57" i="9"/>
  <c r="F75" i="9"/>
  <c r="E32" i="46" l="1"/>
  <c r="E31" i="46"/>
  <c r="C31" i="46"/>
  <c r="C32" i="46"/>
  <c r="R119" i="10"/>
  <c r="D151" i="4"/>
  <c r="M59" i="8"/>
  <c r="M75" i="8"/>
  <c r="T119" i="10"/>
  <c r="E120" i="10"/>
  <c r="M112" i="8"/>
  <c r="C112" i="8"/>
  <c r="V81" i="42"/>
  <c r="F55" i="8"/>
  <c r="U16" i="10"/>
  <c r="U109" i="10"/>
  <c r="E100" i="10"/>
  <c r="U89" i="10"/>
  <c r="M92" i="8"/>
  <c r="B70" i="10"/>
  <c r="M102" i="8"/>
  <c r="B50" i="10"/>
  <c r="D128" i="4"/>
  <c r="N130" i="4"/>
  <c r="E29" i="10"/>
  <c r="R99" i="10"/>
  <c r="R16" i="10"/>
  <c r="M29" i="10"/>
  <c r="E13" i="10"/>
  <c r="U13" i="10" s="1"/>
  <c r="L50" i="10"/>
  <c r="T50" i="10" s="1"/>
  <c r="T52" i="10"/>
  <c r="M120" i="10"/>
  <c r="F24" i="12"/>
  <c r="F137" i="4"/>
  <c r="F106" i="10"/>
  <c r="E82" i="4"/>
  <c r="B74" i="12"/>
  <c r="C72" i="9"/>
  <c r="R52" i="10"/>
  <c r="J50" i="10"/>
  <c r="M106" i="10"/>
  <c r="U106" i="10" s="1"/>
  <c r="L26" i="10"/>
  <c r="T26" i="10" s="1"/>
  <c r="T28" i="10"/>
  <c r="F72" i="9"/>
  <c r="F64" i="9"/>
  <c r="F59" i="9" s="1"/>
  <c r="U44" i="10"/>
  <c r="T99" i="10"/>
  <c r="L97" i="10"/>
  <c r="T97" i="10" s="1"/>
  <c r="R117" i="10"/>
  <c r="E31" i="12"/>
  <c r="B31" i="12"/>
  <c r="M34" i="10"/>
  <c r="B97" i="10"/>
  <c r="R97" i="10" s="1"/>
  <c r="C70" i="9"/>
  <c r="E70" i="9"/>
  <c r="M53" i="10"/>
  <c r="U53" i="10" s="1"/>
  <c r="D15" i="9"/>
  <c r="E34" i="10"/>
  <c r="B26" i="10"/>
  <c r="R26" i="10" s="1"/>
  <c r="R28" i="10"/>
  <c r="D16" i="9"/>
  <c r="M86" i="8"/>
  <c r="M80" i="10"/>
  <c r="U80" i="10" s="1"/>
  <c r="E73" i="10"/>
  <c r="E58" i="10"/>
  <c r="O118" i="4"/>
  <c r="R72" i="10"/>
  <c r="J70" i="10"/>
  <c r="M58" i="10"/>
  <c r="M73" i="10"/>
  <c r="U59" i="10"/>
  <c r="M100" i="10"/>
  <c r="T72" i="10"/>
  <c r="L70" i="10"/>
  <c r="T70" i="10" s="1"/>
  <c r="U120" i="10" l="1"/>
  <c r="U100" i="10"/>
  <c r="V44" i="10"/>
  <c r="V18" i="10"/>
  <c r="D17" i="9"/>
  <c r="G124" i="9"/>
  <c r="F73" i="10"/>
  <c r="F111" i="4"/>
  <c r="F131" i="4" s="1"/>
  <c r="V89" i="10"/>
  <c r="V85" i="10"/>
  <c r="F31" i="12"/>
  <c r="F63" i="12" s="1"/>
  <c r="V19" i="10"/>
  <c r="AB301" i="42"/>
  <c r="F18" i="4"/>
  <c r="G71" i="4"/>
  <c r="F117" i="10"/>
  <c r="F120" i="10" s="1"/>
  <c r="AA301" i="42"/>
  <c r="F151" i="4"/>
  <c r="F154" i="4" s="1"/>
  <c r="R70" i="10"/>
  <c r="V59" i="10"/>
  <c r="O59" i="9"/>
  <c r="F76" i="9"/>
  <c r="F78" i="9" s="1"/>
  <c r="F56" i="9"/>
  <c r="F62" i="9" s="1"/>
  <c r="F63" i="9" s="1"/>
  <c r="E55" i="12"/>
  <c r="B55" i="12"/>
  <c r="U29" i="10"/>
  <c r="G64" i="4"/>
  <c r="M74" i="8"/>
  <c r="D60" i="12"/>
  <c r="C82" i="4"/>
  <c r="T18" i="10"/>
  <c r="G38" i="46"/>
  <c r="E64" i="4"/>
  <c r="R3" i="46"/>
  <c r="R50" i="10"/>
  <c r="U73" i="10"/>
  <c r="U34" i="10"/>
  <c r="V109" i="10"/>
  <c r="N106" i="10"/>
  <c r="V106" i="10" s="1"/>
  <c r="U58" i="10"/>
  <c r="F58" i="10" l="1"/>
  <c r="D36" i="12"/>
  <c r="N100" i="10"/>
  <c r="N80" i="10"/>
  <c r="V60" i="10"/>
  <c r="N73" i="10"/>
  <c r="V73" i="10" s="1"/>
  <c r="F13" i="10"/>
  <c r="B60" i="12"/>
  <c r="E101" i="4"/>
  <c r="E77" i="4"/>
  <c r="R107" i="10"/>
  <c r="V119" i="10"/>
  <c r="N117" i="10"/>
  <c r="N117" i="4"/>
  <c r="N29" i="10"/>
  <c r="V17" i="10"/>
  <c r="N13" i="10"/>
  <c r="R15" i="10"/>
  <c r="R35" i="10"/>
  <c r="D77" i="4"/>
  <c r="N58" i="10"/>
  <c r="B76" i="12"/>
  <c r="R7" i="46"/>
  <c r="T15" i="10"/>
  <c r="T107" i="10"/>
  <c r="N139" i="4"/>
  <c r="T81" i="10"/>
  <c r="F29" i="10"/>
  <c r="T88" i="10"/>
  <c r="V40" i="10"/>
  <c r="N34" i="10"/>
  <c r="N53" i="10"/>
  <c r="R18" i="10"/>
  <c r="R81" i="10"/>
  <c r="T35" i="10"/>
  <c r="F34" i="10"/>
  <c r="F53" i="10"/>
  <c r="R88" i="10"/>
  <c r="F100" i="10"/>
  <c r="F80" i="10"/>
  <c r="G65" i="4"/>
  <c r="F109" i="9"/>
  <c r="B72" i="12"/>
  <c r="E65" i="4"/>
  <c r="G55" i="8"/>
  <c r="E71" i="4"/>
  <c r="V80" i="10" l="1"/>
  <c r="V58" i="10"/>
  <c r="V100" i="10"/>
  <c r="V13" i="10"/>
  <c r="E78" i="4"/>
  <c r="V117" i="10"/>
  <c r="N120" i="10"/>
  <c r="V120" i="10" s="1"/>
  <c r="G46" i="46"/>
  <c r="G39" i="46"/>
  <c r="G45" i="46"/>
  <c r="E98" i="4"/>
  <c r="E83" i="4"/>
  <c r="B77" i="12"/>
  <c r="G47" i="46"/>
  <c r="G43" i="46"/>
  <c r="V29" i="10"/>
  <c r="V53" i="10"/>
  <c r="V34" i="10"/>
  <c r="Y13" i="42" l="1"/>
  <c r="E18" i="4"/>
  <c r="F124" i="9"/>
  <c r="E58" i="4"/>
  <c r="B82" i="4"/>
  <c r="B50" i="12"/>
  <c r="E50" i="12"/>
  <c r="E63" i="12" s="1"/>
  <c r="E28" i="4"/>
  <c r="Z123" i="42" l="1"/>
  <c r="G119" i="42"/>
  <c r="Z117" i="42"/>
  <c r="C18" i="42"/>
  <c r="G120" i="42"/>
  <c r="AA120" i="42"/>
  <c r="E120" i="42" s="1"/>
  <c r="AA121" i="42"/>
  <c r="Z120" i="42"/>
  <c r="C120" i="42" s="1"/>
  <c r="AB121" i="42"/>
  <c r="F121" i="42" s="1"/>
  <c r="AB120" i="42"/>
  <c r="F120" i="42" s="1"/>
  <c r="Z121" i="42"/>
  <c r="Z106" i="42"/>
  <c r="C106" i="42" s="1"/>
  <c r="AB106" i="42"/>
  <c r="F106" i="42" s="1"/>
  <c r="AA106" i="42"/>
  <c r="E106" i="42" s="1"/>
  <c r="Z102" i="42"/>
  <c r="C102" i="42" s="1"/>
  <c r="AA102" i="42"/>
  <c r="E102" i="42" s="1"/>
  <c r="AB102" i="42"/>
  <c r="F102" i="42" s="1"/>
  <c r="C240" i="42"/>
  <c r="G106" i="42"/>
  <c r="G102" i="42"/>
  <c r="C221" i="42"/>
  <c r="C220" i="42"/>
  <c r="C19" i="42"/>
  <c r="C69" i="42"/>
  <c r="D69" i="42"/>
  <c r="V45" i="42"/>
  <c r="C41" i="42" s="1"/>
  <c r="V26" i="42"/>
  <c r="C22" i="42" s="1"/>
  <c r="W26" i="42"/>
  <c r="D22" i="42" s="1"/>
  <c r="W258" i="42"/>
  <c r="C258" i="42" s="1"/>
  <c r="X88" i="42"/>
  <c r="E84" i="42" s="1"/>
  <c r="W88" i="42"/>
  <c r="V88" i="42"/>
  <c r="C84" i="42" s="1"/>
  <c r="X66" i="42"/>
  <c r="E62" i="42" s="1"/>
  <c r="W66" i="42"/>
  <c r="D62" i="42" s="1"/>
  <c r="W45" i="42"/>
  <c r="D41" i="42" s="1"/>
  <c r="V66" i="42"/>
  <c r="C62" i="42" s="1"/>
  <c r="X45" i="42"/>
  <c r="E41" i="42" s="1"/>
  <c r="Y26" i="42"/>
  <c r="F22" i="42" s="1"/>
  <c r="X26" i="42"/>
  <c r="E22" i="42" s="1"/>
  <c r="AF176" i="42"/>
  <c r="AD170" i="42"/>
  <c r="AE163" i="42"/>
  <c r="AF157" i="42"/>
  <c r="AD150" i="42"/>
  <c r="AE147" i="42"/>
  <c r="AF146" i="42"/>
  <c r="AF152" i="42"/>
  <c r="AD152" i="42"/>
  <c r="AE170" i="42"/>
  <c r="AE176" i="42"/>
  <c r="AF169" i="42"/>
  <c r="AD163" i="42"/>
  <c r="AE157" i="42"/>
  <c r="AF149" i="42"/>
  <c r="AE146" i="42"/>
  <c r="AE152" i="42"/>
  <c r="AF163" i="42"/>
  <c r="AD176" i="42"/>
  <c r="AE169" i="42"/>
  <c r="AF162" i="42"/>
  <c r="AD157" i="42"/>
  <c r="AE149" i="42"/>
  <c r="AE166" i="42"/>
  <c r="AF165" i="42"/>
  <c r="AE150" i="42"/>
  <c r="AF175" i="42"/>
  <c r="AD169" i="42"/>
  <c r="AE162" i="42"/>
  <c r="AF156" i="42"/>
  <c r="AD149" i="42"/>
  <c r="AD153" i="42"/>
  <c r="AE175" i="42"/>
  <c r="AF168" i="42"/>
  <c r="AD162" i="42"/>
  <c r="AE156" i="42"/>
  <c r="AF148" i="42"/>
  <c r="AD146" i="42"/>
  <c r="AD175" i="42"/>
  <c r="AE168" i="42"/>
  <c r="AF161" i="42"/>
  <c r="AD156" i="42"/>
  <c r="AE148" i="42"/>
  <c r="AE153" i="42"/>
  <c r="AD166" i="42"/>
  <c r="AF159" i="42"/>
  <c r="AF174" i="42"/>
  <c r="AD168" i="42"/>
  <c r="AE161" i="42"/>
  <c r="AF155" i="42"/>
  <c r="AD148" i="42"/>
  <c r="AF147" i="42"/>
  <c r="AD160" i="42"/>
  <c r="AI159" i="42"/>
  <c r="AE165" i="42"/>
  <c r="AD164" i="42"/>
  <c r="AE174" i="42"/>
  <c r="AF167" i="42"/>
  <c r="AD161" i="42"/>
  <c r="AE155" i="42"/>
  <c r="AF166" i="42"/>
  <c r="AH159" i="42"/>
  <c r="AE159" i="42"/>
  <c r="AD174" i="42"/>
  <c r="AE167" i="42"/>
  <c r="AF160" i="42"/>
  <c r="AD155" i="42"/>
  <c r="AJ159" i="42"/>
  <c r="AF173" i="42"/>
  <c r="AD167" i="42"/>
  <c r="AE160" i="42"/>
  <c r="AF153" i="42"/>
  <c r="AD147" i="42"/>
  <c r="AF151" i="42"/>
  <c r="AF150" i="42"/>
  <c r="AE173" i="42"/>
  <c r="AD173" i="42"/>
  <c r="AE158" i="42"/>
  <c r="AF172" i="42"/>
  <c r="AD158" i="42"/>
  <c r="AE172" i="42"/>
  <c r="AD172" i="42"/>
  <c r="AF171" i="42"/>
  <c r="AD165" i="42"/>
  <c r="AE171" i="42"/>
  <c r="AF164" i="42"/>
  <c r="AD159" i="42"/>
  <c r="AE151" i="42"/>
  <c r="AF170" i="42"/>
  <c r="AD171" i="42"/>
  <c r="AE164" i="42"/>
  <c r="AF158" i="42"/>
  <c r="AD151" i="42"/>
  <c r="AB176" i="42"/>
  <c r="Z170" i="42"/>
  <c r="AA163" i="42"/>
  <c r="AB156" i="42"/>
  <c r="Z149" i="42"/>
  <c r="AB151" i="42"/>
  <c r="AA176" i="42"/>
  <c r="AB169" i="42"/>
  <c r="Z163" i="42"/>
  <c r="AA156" i="42"/>
  <c r="AB148" i="42"/>
  <c r="Z151" i="42"/>
  <c r="AA150" i="42"/>
  <c r="Z176" i="42"/>
  <c r="AA169" i="42"/>
  <c r="AB162" i="42"/>
  <c r="Z156" i="42"/>
  <c r="AA148" i="42"/>
  <c r="AA159" i="42"/>
  <c r="AB175" i="42"/>
  <c r="Z169" i="42"/>
  <c r="AA162" i="42"/>
  <c r="AB155" i="42"/>
  <c r="Z148" i="42"/>
  <c r="AA151" i="42"/>
  <c r="AA158" i="42"/>
  <c r="Z150" i="42"/>
  <c r="AA175" i="42"/>
  <c r="AB168" i="42"/>
  <c r="Z162" i="42"/>
  <c r="AA155" i="42"/>
  <c r="AB147" i="42"/>
  <c r="AB158" i="42"/>
  <c r="Z158" i="42"/>
  <c r="Z157" i="42"/>
  <c r="Z175" i="42"/>
  <c r="AA168" i="42"/>
  <c r="AB161" i="42"/>
  <c r="Z155" i="42"/>
  <c r="AA147" i="42"/>
  <c r="AB174" i="42"/>
  <c r="Z168" i="42"/>
  <c r="AA161" i="42"/>
  <c r="AB153" i="42"/>
  <c r="Z147" i="42"/>
  <c r="AA174" i="42"/>
  <c r="AB167" i="42"/>
  <c r="Z161" i="42"/>
  <c r="AA153" i="42"/>
  <c r="AB146" i="42"/>
  <c r="Z152" i="42"/>
  <c r="Z174" i="42"/>
  <c r="AA167" i="42"/>
  <c r="AB160" i="42"/>
  <c r="Z153" i="42"/>
  <c r="AA146" i="42"/>
  <c r="AA170" i="42"/>
  <c r="AB173" i="42"/>
  <c r="Z167" i="42"/>
  <c r="AA160" i="42"/>
  <c r="AB152" i="42"/>
  <c r="Z146" i="42"/>
  <c r="AB159" i="42"/>
  <c r="AB157" i="42"/>
  <c r="AA173" i="42"/>
  <c r="AB166" i="42"/>
  <c r="Z160" i="42"/>
  <c r="AA152" i="42"/>
  <c r="AA166" i="42"/>
  <c r="Z159" i="42"/>
  <c r="AB150" i="42"/>
  <c r="AA164" i="42"/>
  <c r="Z173" i="42"/>
  <c r="AB165" i="42"/>
  <c r="Z165" i="42"/>
  <c r="AB172" i="42"/>
  <c r="Z166" i="42"/>
  <c r="AA165" i="42"/>
  <c r="AB164" i="42"/>
  <c r="AA149" i="42"/>
  <c r="AA172" i="42"/>
  <c r="Z172" i="42"/>
  <c r="AB163" i="42"/>
  <c r="AB171" i="42"/>
  <c r="AA171" i="42"/>
  <c r="Z171" i="42"/>
  <c r="AB170" i="42"/>
  <c r="Z164" i="42"/>
  <c r="AA157" i="42"/>
  <c r="AB149" i="42"/>
  <c r="W23" i="42"/>
  <c r="AB137" i="42"/>
  <c r="F137" i="42" s="1"/>
  <c r="Z131" i="42"/>
  <c r="C131" i="42" s="1"/>
  <c r="AA124" i="42"/>
  <c r="E124" i="42" s="1"/>
  <c r="AB117" i="42"/>
  <c r="F117" i="42" s="1"/>
  <c r="Z111" i="42"/>
  <c r="AA103" i="42"/>
  <c r="E103" i="42" s="1"/>
  <c r="AA107" i="42"/>
  <c r="E107" i="42" s="1"/>
  <c r="AB126" i="42"/>
  <c r="F126" i="42" s="1"/>
  <c r="Z105" i="42"/>
  <c r="C105" i="42" s="1"/>
  <c r="AA137" i="42"/>
  <c r="E137" i="42" s="1"/>
  <c r="AB130" i="42"/>
  <c r="F130" i="42" s="1"/>
  <c r="Z124" i="42"/>
  <c r="C124" i="42" s="1"/>
  <c r="AA117" i="42"/>
  <c r="E117" i="42" s="1"/>
  <c r="AB110" i="42"/>
  <c r="F110" i="42" s="1"/>
  <c r="Z103" i="42"/>
  <c r="C103" i="42" s="1"/>
  <c r="Z114" i="42"/>
  <c r="C114" i="42" s="1"/>
  <c r="Z98" i="42"/>
  <c r="C98" i="42" s="1"/>
  <c r="Z119" i="42"/>
  <c r="C119" i="42" s="1"/>
  <c r="AB103" i="42"/>
  <c r="F103" i="42" s="1"/>
  <c r="Z137" i="42"/>
  <c r="C137" i="42" s="1"/>
  <c r="AA130" i="42"/>
  <c r="E130" i="42" s="1"/>
  <c r="C117" i="42"/>
  <c r="AA110" i="42"/>
  <c r="E110" i="42" s="1"/>
  <c r="AB101" i="42"/>
  <c r="AB98" i="42"/>
  <c r="F98" i="42" s="1"/>
  <c r="AA113" i="42"/>
  <c r="AA119" i="42"/>
  <c r="AB136" i="42"/>
  <c r="F136" i="42" s="1"/>
  <c r="Z130" i="42"/>
  <c r="C130" i="42" s="1"/>
  <c r="AB116" i="42"/>
  <c r="F116" i="42" s="1"/>
  <c r="Z110" i="42"/>
  <c r="C110" i="42" s="1"/>
  <c r="AA101" i="42"/>
  <c r="E101" i="42" s="1"/>
  <c r="AB105" i="42"/>
  <c r="F105" i="42" s="1"/>
  <c r="AB104" i="42"/>
  <c r="F104" i="42" s="1"/>
  <c r="AB131" i="42"/>
  <c r="F131" i="42" s="1"/>
  <c r="AA136" i="42"/>
  <c r="E136" i="42" s="1"/>
  <c r="AB129" i="42"/>
  <c r="F129" i="42" s="1"/>
  <c r="AA116" i="42"/>
  <c r="E116" i="42" s="1"/>
  <c r="AB109" i="42"/>
  <c r="F109" i="42" s="1"/>
  <c r="Z101" i="42"/>
  <c r="C101" i="42" s="1"/>
  <c r="AA99" i="42"/>
  <c r="E99" i="42" s="1"/>
  <c r="AA98" i="42"/>
  <c r="E98" i="42" s="1"/>
  <c r="Z112" i="42"/>
  <c r="C112" i="42" s="1"/>
  <c r="Z136" i="42"/>
  <c r="C136" i="42" s="1"/>
  <c r="AA129" i="42"/>
  <c r="E129" i="42" s="1"/>
  <c r="AB123" i="42"/>
  <c r="F123" i="42" s="1"/>
  <c r="Z116" i="42"/>
  <c r="C116" i="42" s="1"/>
  <c r="AA109" i="42"/>
  <c r="E109" i="42" s="1"/>
  <c r="AB100" i="42"/>
  <c r="F100" i="42" s="1"/>
  <c r="AB114" i="42"/>
  <c r="F114" i="42" s="1"/>
  <c r="E121" i="42"/>
  <c r="AA105" i="42"/>
  <c r="E105" i="42" s="1"/>
  <c r="AA104" i="42"/>
  <c r="E104" i="42" s="1"/>
  <c r="AB124" i="42"/>
  <c r="F124" i="42" s="1"/>
  <c r="AB135" i="42"/>
  <c r="F135" i="42" s="1"/>
  <c r="Z129" i="42"/>
  <c r="C129" i="42" s="1"/>
  <c r="AA123" i="42"/>
  <c r="E123" i="42" s="1"/>
  <c r="AB115" i="42"/>
  <c r="F115" i="42" s="1"/>
  <c r="Z109" i="42"/>
  <c r="C109" i="42" s="1"/>
  <c r="AA100" i="42"/>
  <c r="E100" i="42" s="1"/>
  <c r="Z108" i="42"/>
  <c r="C108" i="42" s="1"/>
  <c r="AB113" i="42"/>
  <c r="F113" i="42" s="1"/>
  <c r="AA126" i="42"/>
  <c r="AA118" i="42"/>
  <c r="AA135" i="42"/>
  <c r="AB128" i="42"/>
  <c r="F128" i="42" s="1"/>
  <c r="C123" i="42"/>
  <c r="AA115" i="42"/>
  <c r="E115" i="42" s="1"/>
  <c r="AB108" i="42"/>
  <c r="F108" i="42" s="1"/>
  <c r="Z100" i="42"/>
  <c r="C100" i="42" s="1"/>
  <c r="AA122" i="42"/>
  <c r="E122" i="42" s="1"/>
  <c r="Z107" i="42"/>
  <c r="C107" i="42" s="1"/>
  <c r="AA112" i="42"/>
  <c r="E112" i="42" s="1"/>
  <c r="Z135" i="42"/>
  <c r="C135" i="42" s="1"/>
  <c r="AA128" i="42"/>
  <c r="E128" i="42" s="1"/>
  <c r="AB122" i="42"/>
  <c r="F122" i="42" s="1"/>
  <c r="Z115" i="42"/>
  <c r="C115" i="42" s="1"/>
  <c r="AA108" i="42"/>
  <c r="E108" i="42" s="1"/>
  <c r="AB99" i="42"/>
  <c r="F99" i="42" s="1"/>
  <c r="Z128" i="42"/>
  <c r="C128" i="42" s="1"/>
  <c r="Z127" i="42"/>
  <c r="C127" i="42" s="1"/>
  <c r="AB119" i="42"/>
  <c r="F119" i="42" s="1"/>
  <c r="AB134" i="42"/>
  <c r="F134" i="42" s="1"/>
  <c r="Z113" i="42"/>
  <c r="C113" i="42" s="1"/>
  <c r="AA132" i="42"/>
  <c r="E132" i="42" s="1"/>
  <c r="AB111" i="42"/>
  <c r="F111" i="42" s="1"/>
  <c r="AA134" i="42"/>
  <c r="E134" i="42" s="1"/>
  <c r="AB127" i="42"/>
  <c r="F127" i="42" s="1"/>
  <c r="Z122" i="42"/>
  <c r="C122" i="42" s="1"/>
  <c r="AA114" i="42"/>
  <c r="E114" i="42" s="1"/>
  <c r="AB107" i="42"/>
  <c r="F107" i="42" s="1"/>
  <c r="Z99" i="42"/>
  <c r="C99" i="42" s="1"/>
  <c r="C121" i="42"/>
  <c r="Z126" i="42"/>
  <c r="C126" i="42" s="1"/>
  <c r="AB118" i="42"/>
  <c r="F118" i="42" s="1"/>
  <c r="AA131" i="42"/>
  <c r="E131" i="42" s="1"/>
  <c r="Z134" i="42"/>
  <c r="C134" i="42" s="1"/>
  <c r="AA127" i="42"/>
  <c r="E127" i="42" s="1"/>
  <c r="AB112" i="42"/>
  <c r="F112" i="42" s="1"/>
  <c r="AA111" i="42"/>
  <c r="E111" i="42" s="1"/>
  <c r="AB133" i="42"/>
  <c r="F133" i="42" s="1"/>
  <c r="Z118" i="42"/>
  <c r="C118" i="42" s="1"/>
  <c r="AA133" i="42"/>
  <c r="E133" i="42" s="1"/>
  <c r="AB125" i="42"/>
  <c r="F125" i="42" s="1"/>
  <c r="Z125" i="42"/>
  <c r="C125" i="42" s="1"/>
  <c r="Z133" i="42"/>
  <c r="C133" i="42" s="1"/>
  <c r="AB132" i="42"/>
  <c r="Z104" i="42"/>
  <c r="C104" i="42" s="1"/>
  <c r="Z132" i="42"/>
  <c r="C132" i="42" s="1"/>
  <c r="AA125" i="42"/>
  <c r="E125" i="42" s="1"/>
  <c r="W21" i="42"/>
  <c r="W22" i="42"/>
  <c r="W19" i="42"/>
  <c r="W20" i="42"/>
  <c r="V10" i="42"/>
  <c r="B10" i="42" s="1"/>
  <c r="V11" i="42"/>
  <c r="E301" i="42"/>
  <c r="C282" i="42"/>
  <c r="C256" i="42"/>
  <c r="C301" i="42"/>
  <c r="C281" i="42"/>
  <c r="C255" i="42"/>
  <c r="C266" i="42"/>
  <c r="C264" i="42"/>
  <c r="C261" i="42"/>
  <c r="E299" i="42"/>
  <c r="C280" i="42"/>
  <c r="C254" i="42"/>
  <c r="C239" i="42"/>
  <c r="C299" i="42"/>
  <c r="C279" i="42"/>
  <c r="C247" i="42"/>
  <c r="C237" i="42"/>
  <c r="C234" i="42"/>
  <c r="E298" i="42"/>
  <c r="C278" i="42"/>
  <c r="C246" i="42"/>
  <c r="C298" i="42"/>
  <c r="C277" i="42"/>
  <c r="C245" i="42"/>
  <c r="C241" i="42"/>
  <c r="E297" i="42"/>
  <c r="C276" i="42"/>
  <c r="C244" i="42"/>
  <c r="C265" i="42"/>
  <c r="C236" i="42"/>
  <c r="C297" i="42"/>
  <c r="C269" i="42"/>
  <c r="C243" i="42"/>
  <c r="C267" i="42"/>
  <c r="C238" i="42"/>
  <c r="C259" i="42"/>
  <c r="E296" i="42"/>
  <c r="C268" i="42"/>
  <c r="C242" i="42"/>
  <c r="C263" i="42"/>
  <c r="C296" i="42"/>
  <c r="E295" i="42"/>
  <c r="C235" i="42"/>
  <c r="C295" i="42"/>
  <c r="C285" i="42"/>
  <c r="E294" i="42"/>
  <c r="C257" i="42"/>
  <c r="C294" i="42"/>
  <c r="C284" i="42"/>
  <c r="C288" i="42"/>
  <c r="C262" i="42"/>
  <c r="C283" i="42"/>
  <c r="C287" i="42"/>
  <c r="C286" i="42"/>
  <c r="C260" i="42"/>
  <c r="C226" i="42"/>
  <c r="C225" i="42"/>
  <c r="C214" i="42"/>
  <c r="C224" i="42"/>
  <c r="C212" i="42"/>
  <c r="C223" i="42"/>
  <c r="C222" i="42"/>
  <c r="C215" i="42"/>
  <c r="C209" i="42"/>
  <c r="C219" i="42"/>
  <c r="C218" i="42"/>
  <c r="C217" i="42"/>
  <c r="C213" i="42"/>
  <c r="C216" i="42"/>
  <c r="C211" i="42"/>
  <c r="C210" i="42"/>
  <c r="F202" i="42"/>
  <c r="C196" i="42"/>
  <c r="E189" i="42"/>
  <c r="C192" i="42"/>
  <c r="F197" i="42"/>
  <c r="E202" i="42"/>
  <c r="F195" i="42"/>
  <c r="C189" i="42"/>
  <c r="E185" i="42"/>
  <c r="E191" i="42"/>
  <c r="E197" i="42"/>
  <c r="F196" i="42"/>
  <c r="C202" i="42"/>
  <c r="E195" i="42"/>
  <c r="F188" i="42"/>
  <c r="C185" i="42"/>
  <c r="E196" i="42"/>
  <c r="F201" i="42"/>
  <c r="C195" i="42"/>
  <c r="E188" i="42"/>
  <c r="C191" i="42"/>
  <c r="E201" i="42"/>
  <c r="F194" i="42"/>
  <c r="C188" i="42"/>
  <c r="E198" i="42"/>
  <c r="C201" i="42"/>
  <c r="E194" i="42"/>
  <c r="F187" i="42"/>
  <c r="F200" i="42"/>
  <c r="C194" i="42"/>
  <c r="E187" i="42"/>
  <c r="C190" i="42"/>
  <c r="E200" i="42"/>
  <c r="F193" i="42"/>
  <c r="C187" i="42"/>
  <c r="F185" i="42"/>
  <c r="C200" i="42"/>
  <c r="E193" i="42"/>
  <c r="F186" i="42"/>
  <c r="F199" i="42"/>
  <c r="C193" i="42"/>
  <c r="E186" i="42"/>
  <c r="E192" i="42"/>
  <c r="F191" i="42"/>
  <c r="F190" i="42"/>
  <c r="F189" i="42"/>
  <c r="E199" i="42"/>
  <c r="F192" i="42"/>
  <c r="C186" i="42"/>
  <c r="C199" i="42"/>
  <c r="F198" i="42"/>
  <c r="C198" i="42"/>
  <c r="E190" i="42"/>
  <c r="C197" i="42"/>
  <c r="F154" i="42"/>
  <c r="E154" i="42"/>
  <c r="C154" i="42"/>
  <c r="G138" i="42"/>
  <c r="G133" i="42"/>
  <c r="G128" i="42"/>
  <c r="G118" i="42"/>
  <c r="G113" i="42"/>
  <c r="G108" i="42"/>
  <c r="G101" i="42"/>
  <c r="F138" i="42"/>
  <c r="E138" i="42"/>
  <c r="C138" i="42"/>
  <c r="G137" i="42"/>
  <c r="G132" i="42"/>
  <c r="G127" i="42"/>
  <c r="G123" i="42"/>
  <c r="G117" i="42"/>
  <c r="G112" i="42"/>
  <c r="G107" i="42"/>
  <c r="G100" i="42"/>
  <c r="G136" i="42"/>
  <c r="G131" i="42"/>
  <c r="G126" i="42"/>
  <c r="G122" i="42"/>
  <c r="G116" i="42"/>
  <c r="G111" i="42"/>
  <c r="G105" i="42"/>
  <c r="G99" i="42"/>
  <c r="G98" i="42"/>
  <c r="G135" i="42"/>
  <c r="G130" i="42"/>
  <c r="G125" i="42"/>
  <c r="G121" i="42"/>
  <c r="G115" i="42"/>
  <c r="G110" i="42"/>
  <c r="G104" i="42"/>
  <c r="G134" i="42"/>
  <c r="G129" i="42"/>
  <c r="G124" i="42"/>
  <c r="G114" i="42"/>
  <c r="G109" i="42"/>
  <c r="G103" i="42"/>
  <c r="E86" i="42"/>
  <c r="C79" i="42"/>
  <c r="C80" i="42"/>
  <c r="D86" i="42"/>
  <c r="C81" i="42"/>
  <c r="C86" i="42"/>
  <c r="D81" i="42"/>
  <c r="E83" i="42"/>
  <c r="E79" i="42"/>
  <c r="D83" i="42"/>
  <c r="E81" i="42"/>
  <c r="C83" i="42"/>
  <c r="E82" i="42"/>
  <c r="D82" i="42"/>
  <c r="C82" i="42"/>
  <c r="D79" i="42"/>
  <c r="E80" i="42"/>
  <c r="D80" i="42"/>
  <c r="D49" i="42"/>
  <c r="E37" i="42"/>
  <c r="E61" i="42"/>
  <c r="C49" i="42"/>
  <c r="D37" i="42"/>
  <c r="D61" i="42"/>
  <c r="E48" i="42"/>
  <c r="C37" i="42"/>
  <c r="C40" i="42"/>
  <c r="E38" i="42"/>
  <c r="E71" i="42"/>
  <c r="C61" i="42"/>
  <c r="D48" i="42"/>
  <c r="E36" i="42"/>
  <c r="D71" i="42"/>
  <c r="E60" i="42"/>
  <c r="C48" i="42"/>
  <c r="D36" i="42"/>
  <c r="C71" i="42"/>
  <c r="D60" i="42"/>
  <c r="E43" i="42"/>
  <c r="C36" i="42"/>
  <c r="C39" i="42"/>
  <c r="E70" i="42"/>
  <c r="C60" i="42"/>
  <c r="D43" i="42"/>
  <c r="D50" i="42"/>
  <c r="D70" i="42"/>
  <c r="E59" i="42"/>
  <c r="C43" i="42"/>
  <c r="D40" i="42"/>
  <c r="C70" i="42"/>
  <c r="D59" i="42"/>
  <c r="C58" i="42"/>
  <c r="D39" i="42"/>
  <c r="C64" i="42"/>
  <c r="E69" i="42"/>
  <c r="C59" i="42"/>
  <c r="E57" i="42"/>
  <c r="C50" i="42"/>
  <c r="E58" i="42"/>
  <c r="D58" i="42"/>
  <c r="E40" i="42"/>
  <c r="C38" i="42"/>
  <c r="D38" i="42"/>
  <c r="D57" i="42"/>
  <c r="E39" i="42"/>
  <c r="C57" i="42"/>
  <c r="E64" i="42"/>
  <c r="E49" i="42"/>
  <c r="D64" i="42"/>
  <c r="E50" i="42"/>
  <c r="E24" i="42"/>
  <c r="E18" i="42"/>
  <c r="D24" i="42"/>
  <c r="D18" i="42"/>
  <c r="F19" i="42"/>
  <c r="C24" i="42"/>
  <c r="F17" i="42"/>
  <c r="D20" i="42"/>
  <c r="E17" i="42"/>
  <c r="F18" i="42"/>
  <c r="D17" i="42"/>
  <c r="C17" i="42"/>
  <c r="F21" i="42"/>
  <c r="E21" i="42"/>
  <c r="E20" i="42"/>
  <c r="D21" i="42"/>
  <c r="C21" i="42"/>
  <c r="E19" i="42"/>
  <c r="F20" i="42"/>
  <c r="C20" i="42"/>
  <c r="D19" i="42"/>
  <c r="D84" i="42"/>
  <c r="C111" i="42"/>
  <c r="F101" i="42"/>
  <c r="E135" i="42"/>
  <c r="E113" i="42"/>
  <c r="E126" i="42"/>
  <c r="F132" i="42"/>
  <c r="E119" i="42"/>
  <c r="E118" i="42"/>
  <c r="Y16" i="42"/>
  <c r="U8" i="42"/>
  <c r="B7" i="42"/>
  <c r="D82" i="4"/>
  <c r="D101" i="4"/>
  <c r="B128" i="4"/>
  <c r="O154" i="4"/>
  <c r="E151" i="4"/>
  <c r="E154" i="4" s="1"/>
  <c r="AA297" i="42"/>
  <c r="AA300" i="42" s="1"/>
  <c r="D13" i="46"/>
  <c r="E142" i="9"/>
  <c r="D58" i="4"/>
  <c r="E124" i="9"/>
  <c r="B58" i="4"/>
  <c r="D27" i="4"/>
  <c r="D28" i="4" s="1"/>
  <c r="E94" i="9"/>
  <c r="D17" i="4"/>
  <c r="D18" i="4" s="1"/>
  <c r="B70" i="4"/>
  <c r="C66" i="4" s="1"/>
  <c r="B28" i="4"/>
  <c r="C25" i="4" s="1"/>
  <c r="D63" i="12"/>
  <c r="D109" i="9"/>
  <c r="C106" i="9"/>
  <c r="E128" i="4"/>
  <c r="E131" i="4" s="1"/>
  <c r="O130" i="4"/>
  <c r="F70" i="4"/>
  <c r="G66" i="4"/>
  <c r="E66" i="4"/>
  <c r="B151" i="4"/>
  <c r="E174" i="42" l="1"/>
  <c r="C148" i="42"/>
  <c r="F156" i="42"/>
  <c r="F155" i="42"/>
  <c r="F169" i="42"/>
  <c r="F162" i="42"/>
  <c r="F166" i="42"/>
  <c r="C227" i="42"/>
  <c r="C156" i="42"/>
  <c r="C166" i="42"/>
  <c r="AS373" i="42"/>
  <c r="AQ370" i="42"/>
  <c r="AN367" i="42"/>
  <c r="AS363" i="42"/>
  <c r="AQ360" i="42"/>
  <c r="AN357" i="42"/>
  <c r="AS353" i="42"/>
  <c r="AQ350" i="42"/>
  <c r="AN347" i="42"/>
  <c r="AS343" i="42"/>
  <c r="AQ340" i="42"/>
  <c r="AN337" i="42"/>
  <c r="AS333" i="42"/>
  <c r="AQ330" i="42"/>
  <c r="AN327" i="42"/>
  <c r="AS323" i="42"/>
  <c r="AQ320" i="42"/>
  <c r="AN362" i="42"/>
  <c r="AQ325" i="42"/>
  <c r="AO335" i="42"/>
  <c r="AM325" i="42"/>
  <c r="AR324" i="42"/>
  <c r="AS370" i="42"/>
  <c r="AO357" i="42"/>
  <c r="AR373" i="42"/>
  <c r="AO370" i="42"/>
  <c r="AM367" i="42"/>
  <c r="AR363" i="42"/>
  <c r="AO360" i="42"/>
  <c r="AM357" i="42"/>
  <c r="AR353" i="42"/>
  <c r="AO350" i="42"/>
  <c r="AM347" i="42"/>
  <c r="AR343" i="42"/>
  <c r="AO340" i="42"/>
  <c r="AM337" i="42"/>
  <c r="AR333" i="42"/>
  <c r="AO330" i="42"/>
  <c r="AM327" i="42"/>
  <c r="AR323" i="42"/>
  <c r="AO320" i="42"/>
  <c r="AS358" i="42"/>
  <c r="AN325" i="42"/>
  <c r="AM321" i="42"/>
  <c r="AS350" i="42"/>
  <c r="AQ373" i="42"/>
  <c r="AN370" i="42"/>
  <c r="AS366" i="42"/>
  <c r="AQ363" i="42"/>
  <c r="AN360" i="42"/>
  <c r="AS356" i="42"/>
  <c r="AQ353" i="42"/>
  <c r="AN350" i="42"/>
  <c r="AS346" i="42"/>
  <c r="AQ343" i="42"/>
  <c r="AN340" i="42"/>
  <c r="AS336" i="42"/>
  <c r="AQ333" i="42"/>
  <c r="AN330" i="42"/>
  <c r="AS326" i="42"/>
  <c r="AQ323" i="42"/>
  <c r="AN320" i="42"/>
  <c r="AQ365" i="42"/>
  <c r="AN335" i="42"/>
  <c r="AR337" i="42"/>
  <c r="AN324" i="42"/>
  <c r="AM334" i="42"/>
  <c r="AO373" i="42"/>
  <c r="AM370" i="42"/>
  <c r="AR366" i="42"/>
  <c r="AO363" i="42"/>
  <c r="AM360" i="42"/>
  <c r="AR356" i="42"/>
  <c r="AO353" i="42"/>
  <c r="AM350" i="42"/>
  <c r="AR346" i="42"/>
  <c r="AO343" i="42"/>
  <c r="AM340" i="42"/>
  <c r="AR336" i="42"/>
  <c r="AO333" i="42"/>
  <c r="AM330" i="42"/>
  <c r="AR326" i="42"/>
  <c r="AO323" i="42"/>
  <c r="AM320" i="42"/>
  <c r="AS338" i="42"/>
  <c r="AQ328" i="42"/>
  <c r="AM351" i="42"/>
  <c r="AR370" i="42"/>
  <c r="AN373" i="42"/>
  <c r="AS369" i="42"/>
  <c r="AQ366" i="42"/>
  <c r="AN363" i="42"/>
  <c r="AS359" i="42"/>
  <c r="AQ356" i="42"/>
  <c r="AN353" i="42"/>
  <c r="AS349" i="42"/>
  <c r="AQ346" i="42"/>
  <c r="AN343" i="42"/>
  <c r="AS339" i="42"/>
  <c r="AQ336" i="42"/>
  <c r="AN333" i="42"/>
  <c r="AS329" i="42"/>
  <c r="AQ326" i="42"/>
  <c r="AN323" i="42"/>
  <c r="AS319" i="42"/>
  <c r="AN342" i="42"/>
  <c r="AO324" i="42"/>
  <c r="AS340" i="42"/>
  <c r="AO327" i="42"/>
  <c r="AM373" i="42"/>
  <c r="AR369" i="42"/>
  <c r="AO366" i="42"/>
  <c r="AM363" i="42"/>
  <c r="AR359" i="42"/>
  <c r="AO356" i="42"/>
  <c r="AM353" i="42"/>
  <c r="AR349" i="42"/>
  <c r="AO346" i="42"/>
  <c r="AM343" i="42"/>
  <c r="AR339" i="42"/>
  <c r="AO336" i="42"/>
  <c r="AM333" i="42"/>
  <c r="AR329" i="42"/>
  <c r="AO326" i="42"/>
  <c r="AM323" i="42"/>
  <c r="AR319" i="42"/>
  <c r="AQ345" i="42"/>
  <c r="AO334" i="42"/>
  <c r="AS330" i="42"/>
  <c r="AR330" i="42"/>
  <c r="AS372" i="42"/>
  <c r="AQ369" i="42"/>
  <c r="AN366" i="42"/>
  <c r="AS362" i="42"/>
  <c r="AQ359" i="42"/>
  <c r="AN356" i="42"/>
  <c r="AS352" i="42"/>
  <c r="AQ349" i="42"/>
  <c r="AN346" i="42"/>
  <c r="AS342" i="42"/>
  <c r="AQ339" i="42"/>
  <c r="AN336" i="42"/>
  <c r="AS332" i="42"/>
  <c r="AQ329" i="42"/>
  <c r="AN326" i="42"/>
  <c r="AS322" i="42"/>
  <c r="AQ319" i="42"/>
  <c r="AS348" i="42"/>
  <c r="AR321" i="42"/>
  <c r="AO321" i="42"/>
  <c r="AN364" i="42"/>
  <c r="AR372" i="42"/>
  <c r="AO369" i="42"/>
  <c r="AM366" i="42"/>
  <c r="AR362" i="42"/>
  <c r="AO359" i="42"/>
  <c r="AM356" i="42"/>
  <c r="AR352" i="42"/>
  <c r="AO349" i="42"/>
  <c r="AM346" i="42"/>
  <c r="AR342" i="42"/>
  <c r="AO339" i="42"/>
  <c r="AM336" i="42"/>
  <c r="AR332" i="42"/>
  <c r="AO329" i="42"/>
  <c r="AM326" i="42"/>
  <c r="AR322" i="42"/>
  <c r="AO319" i="42"/>
  <c r="AQ355" i="42"/>
  <c r="AO328" i="42"/>
  <c r="AR347" i="42"/>
  <c r="AO367" i="42"/>
  <c r="AQ372" i="42"/>
  <c r="AN369" i="42"/>
  <c r="AS365" i="42"/>
  <c r="AQ362" i="42"/>
  <c r="AN359" i="42"/>
  <c r="AS355" i="42"/>
  <c r="AQ352" i="42"/>
  <c r="AN349" i="42"/>
  <c r="AS345" i="42"/>
  <c r="AQ342" i="42"/>
  <c r="AN339" i="42"/>
  <c r="AS335" i="42"/>
  <c r="AQ332" i="42"/>
  <c r="AN329" i="42"/>
  <c r="AS325" i="42"/>
  <c r="AQ322" i="42"/>
  <c r="AN319" i="42"/>
  <c r="AN352" i="42"/>
  <c r="AS331" i="42"/>
  <c r="AR327" i="42"/>
  <c r="AQ327" i="42"/>
  <c r="AM324" i="42"/>
  <c r="AO372" i="42"/>
  <c r="AM369" i="42"/>
  <c r="AR365" i="42"/>
  <c r="AO362" i="42"/>
  <c r="AM359" i="42"/>
  <c r="AR355" i="42"/>
  <c r="AO352" i="42"/>
  <c r="AM349" i="42"/>
  <c r="AR345" i="42"/>
  <c r="AO342" i="42"/>
  <c r="AM339" i="42"/>
  <c r="AR335" i="42"/>
  <c r="AO332" i="42"/>
  <c r="AM329" i="42"/>
  <c r="AR325" i="42"/>
  <c r="AO322" i="42"/>
  <c r="AM319" i="42"/>
  <c r="AS368" i="42"/>
  <c r="AQ335" i="42"/>
  <c r="AS328" i="42"/>
  <c r="AN322" i="42"/>
  <c r="AR328" i="42"/>
  <c r="AS321" i="42"/>
  <c r="AM361" i="42"/>
  <c r="AQ357" i="42"/>
  <c r="AR350" i="42"/>
  <c r="AN372" i="42"/>
  <c r="AN332" i="42"/>
  <c r="AQ338" i="42"/>
  <c r="AO354" i="42"/>
  <c r="AN344" i="42"/>
  <c r="AR360" i="42"/>
  <c r="AM372" i="42"/>
  <c r="AR368" i="42"/>
  <c r="AO365" i="42"/>
  <c r="AM362" i="42"/>
  <c r="AR358" i="42"/>
  <c r="AO355" i="42"/>
  <c r="AM352" i="42"/>
  <c r="AR348" i="42"/>
  <c r="AO345" i="42"/>
  <c r="AM342" i="42"/>
  <c r="AR338" i="42"/>
  <c r="AM332" i="42"/>
  <c r="AO325" i="42"/>
  <c r="AM322" i="42"/>
  <c r="AR331" i="42"/>
  <c r="AM331" i="42"/>
  <c r="AQ337" i="42"/>
  <c r="AM354" i="42"/>
  <c r="AS371" i="42"/>
  <c r="AQ368" i="42"/>
  <c r="AN365" i="42"/>
  <c r="AS361" i="42"/>
  <c r="AQ358" i="42"/>
  <c r="AN355" i="42"/>
  <c r="AS351" i="42"/>
  <c r="AQ348" i="42"/>
  <c r="AN345" i="42"/>
  <c r="AS341" i="42"/>
  <c r="AM341" i="42"/>
  <c r="AN354" i="42"/>
  <c r="AO337" i="42"/>
  <c r="AR371" i="42"/>
  <c r="AO368" i="42"/>
  <c r="AM365" i="42"/>
  <c r="AR361" i="42"/>
  <c r="AO358" i="42"/>
  <c r="F358" i="42" s="1"/>
  <c r="AM355" i="42"/>
  <c r="AR351" i="42"/>
  <c r="AO348" i="42"/>
  <c r="AM345" i="42"/>
  <c r="AR341" i="42"/>
  <c r="AO338" i="42"/>
  <c r="AM335" i="42"/>
  <c r="AO364" i="42"/>
  <c r="AN334" i="42"/>
  <c r="AM344" i="42"/>
  <c r="AQ371" i="42"/>
  <c r="AN368" i="42"/>
  <c r="AS364" i="42"/>
  <c r="AQ361" i="42"/>
  <c r="AN358" i="42"/>
  <c r="AS354" i="42"/>
  <c r="AQ351" i="42"/>
  <c r="AN348" i="42"/>
  <c r="AS344" i="42"/>
  <c r="AQ341" i="42"/>
  <c r="AN338" i="42"/>
  <c r="AS334" i="42"/>
  <c r="AQ331" i="42"/>
  <c r="AN328" i="42"/>
  <c r="AS324" i="42"/>
  <c r="F324" i="42" s="1"/>
  <c r="AQ321" i="42"/>
  <c r="AR357" i="42"/>
  <c r="AQ347" i="42"/>
  <c r="AM364" i="42"/>
  <c r="AO371" i="42"/>
  <c r="AM368" i="42"/>
  <c r="AR364" i="42"/>
  <c r="AO361" i="42"/>
  <c r="AM358" i="42"/>
  <c r="AR354" i="42"/>
  <c r="AO351" i="42"/>
  <c r="AM348" i="42"/>
  <c r="AR344" i="42"/>
  <c r="AO341" i="42"/>
  <c r="AM338" i="42"/>
  <c r="AR334" i="42"/>
  <c r="AO331" i="42"/>
  <c r="AM328" i="42"/>
  <c r="AQ367" i="42"/>
  <c r="AS320" i="42"/>
  <c r="AR340" i="42"/>
  <c r="AN371" i="42"/>
  <c r="AS367" i="42"/>
  <c r="AQ364" i="42"/>
  <c r="AN361" i="42"/>
  <c r="AS357" i="42"/>
  <c r="AQ354" i="42"/>
  <c r="AN351" i="42"/>
  <c r="AS347" i="42"/>
  <c r="AQ344" i="42"/>
  <c r="AN341" i="42"/>
  <c r="AS337" i="42"/>
  <c r="AQ334" i="42"/>
  <c r="AN331" i="42"/>
  <c r="E331" i="42" s="1"/>
  <c r="AS327" i="42"/>
  <c r="AQ324" i="42"/>
  <c r="AN321" i="42"/>
  <c r="AM371" i="42"/>
  <c r="AR367" i="42"/>
  <c r="AO344" i="42"/>
  <c r="AS360" i="42"/>
  <c r="AO347" i="42"/>
  <c r="AR320" i="42"/>
  <c r="C151" i="42"/>
  <c r="E171" i="42"/>
  <c r="E164" i="42"/>
  <c r="C163" i="42"/>
  <c r="F151" i="42"/>
  <c r="C159" i="42"/>
  <c r="F176" i="42"/>
  <c r="C147" i="42"/>
  <c r="F146" i="42"/>
  <c r="C155" i="42"/>
  <c r="C162" i="42"/>
  <c r="C169" i="42"/>
  <c r="C176" i="42"/>
  <c r="C168" i="42"/>
  <c r="E176" i="42"/>
  <c r="F159" i="42"/>
  <c r="F153" i="42"/>
  <c r="C153" i="42"/>
  <c r="C158" i="42"/>
  <c r="F158" i="42"/>
  <c r="E152" i="42"/>
  <c r="F157" i="42"/>
  <c r="C161" i="42"/>
  <c r="F161" i="42"/>
  <c r="F165" i="42"/>
  <c r="F172" i="42"/>
  <c r="F164" i="42"/>
  <c r="C165" i="42"/>
  <c r="F168" i="42"/>
  <c r="C172" i="42"/>
  <c r="E148" i="42"/>
  <c r="C174" i="42"/>
  <c r="F160" i="42"/>
  <c r="E151" i="42"/>
  <c r="E159" i="42"/>
  <c r="E166" i="42"/>
  <c r="C157" i="42"/>
  <c r="F149" i="42"/>
  <c r="C146" i="42"/>
  <c r="C150" i="42"/>
  <c r="F150" i="42"/>
  <c r="F167" i="42"/>
  <c r="F170" i="42"/>
  <c r="E155" i="42"/>
  <c r="E161" i="42"/>
  <c r="C152" i="42"/>
  <c r="E165" i="42"/>
  <c r="E172" i="42"/>
  <c r="F148" i="42"/>
  <c r="E168" i="42"/>
  <c r="F147" i="42"/>
  <c r="C173" i="42"/>
  <c r="C164" i="42"/>
  <c r="E156" i="42"/>
  <c r="C167" i="42"/>
  <c r="E147" i="42"/>
  <c r="E146" i="42"/>
  <c r="E150" i="42"/>
  <c r="E162" i="42"/>
  <c r="E169" i="42"/>
  <c r="C149" i="42"/>
  <c r="E153" i="42"/>
  <c r="E158" i="42"/>
  <c r="F152" i="42"/>
  <c r="E157" i="42"/>
  <c r="C160" i="42"/>
  <c r="F163" i="42"/>
  <c r="E167" i="42"/>
  <c r="C170" i="42"/>
  <c r="F173" i="42"/>
  <c r="E149" i="42"/>
  <c r="E160" i="42"/>
  <c r="E163" i="42"/>
  <c r="C171" i="42"/>
  <c r="F171" i="42"/>
  <c r="E170" i="42"/>
  <c r="F174" i="42"/>
  <c r="E173" i="42"/>
  <c r="A316" i="42"/>
  <c r="B304" i="42"/>
  <c r="G304" i="42" s="1"/>
  <c r="B292" i="42"/>
  <c r="B273" i="42"/>
  <c r="B251" i="42"/>
  <c r="B231" i="42"/>
  <c r="A206" i="42"/>
  <c r="A182" i="42"/>
  <c r="A95" i="42"/>
  <c r="B88" i="42"/>
  <c r="B77" i="42"/>
  <c r="G77" i="42" s="1"/>
  <c r="B66" i="42"/>
  <c r="B55" i="42"/>
  <c r="G55" i="42" s="1"/>
  <c r="B45" i="42"/>
  <c r="B34" i="42"/>
  <c r="G34" i="42" s="1"/>
  <c r="B26" i="42"/>
  <c r="B15" i="42"/>
  <c r="G15" i="42" s="1"/>
  <c r="E55" i="8"/>
  <c r="D70" i="4"/>
  <c r="E70" i="4" s="1"/>
  <c r="E67" i="4"/>
  <c r="F140" i="9"/>
  <c r="F132" i="9"/>
  <c r="F130" i="9"/>
  <c r="F136" i="9"/>
  <c r="F139" i="9"/>
  <c r="F131" i="9"/>
  <c r="F133" i="9"/>
  <c r="F134" i="9"/>
  <c r="F138" i="9"/>
  <c r="F141" i="9"/>
  <c r="F137" i="9"/>
  <c r="F135" i="9"/>
  <c r="R17" i="10"/>
  <c r="J29" i="10"/>
  <c r="K20" i="10" s="1"/>
  <c r="J13" i="10"/>
  <c r="B73" i="10"/>
  <c r="C59" i="10" s="1"/>
  <c r="B58" i="10"/>
  <c r="C49" i="4"/>
  <c r="C55" i="4"/>
  <c r="C48" i="4"/>
  <c r="C56" i="4"/>
  <c r="C52" i="4"/>
  <c r="C43" i="4"/>
  <c r="C51" i="4"/>
  <c r="C53" i="4"/>
  <c r="C45" i="4"/>
  <c r="C44" i="4"/>
  <c r="C59" i="4"/>
  <c r="C41" i="4"/>
  <c r="C42" i="4"/>
  <c r="C54" i="4"/>
  <c r="C57" i="4"/>
  <c r="C35" i="4"/>
  <c r="C38" i="4"/>
  <c r="C39" i="4"/>
  <c r="C40" i="4"/>
  <c r="C37" i="4"/>
  <c r="C36" i="4"/>
  <c r="C47" i="4"/>
  <c r="D64" i="8"/>
  <c r="D65" i="8"/>
  <c r="D120" i="10"/>
  <c r="D106" i="10"/>
  <c r="D80" i="10"/>
  <c r="D100" i="10"/>
  <c r="D73" i="10"/>
  <c r="D58" i="10"/>
  <c r="D107" i="8"/>
  <c r="D106" i="8"/>
  <c r="G67" i="4"/>
  <c r="C67" i="4"/>
  <c r="L34" i="10"/>
  <c r="L53" i="10"/>
  <c r="T44" i="10"/>
  <c r="D34" i="10"/>
  <c r="D53" i="10"/>
  <c r="C101" i="4"/>
  <c r="C77" i="4"/>
  <c r="R89" i="10"/>
  <c r="J80" i="10"/>
  <c r="J100" i="10"/>
  <c r="K89" i="10" s="1"/>
  <c r="B116" i="4"/>
  <c r="B131" i="4" s="1"/>
  <c r="L80" i="10"/>
  <c r="L100" i="10"/>
  <c r="T89" i="10"/>
  <c r="D66" i="8"/>
  <c r="T109" i="10"/>
  <c r="L120" i="10"/>
  <c r="L106" i="10"/>
  <c r="N118" i="4"/>
  <c r="D116" i="4"/>
  <c r="D131" i="4" s="1"/>
  <c r="D98" i="8"/>
  <c r="R59" i="10"/>
  <c r="J73" i="10"/>
  <c r="K59" i="10" s="1"/>
  <c r="J58" i="10"/>
  <c r="T17" i="10"/>
  <c r="L29" i="10"/>
  <c r="L13" i="10"/>
  <c r="N57" i="9"/>
  <c r="E75" i="9"/>
  <c r="E64" i="9"/>
  <c r="E59" i="9" s="1"/>
  <c r="D68" i="8"/>
  <c r="B18" i="4"/>
  <c r="C17" i="4" s="1"/>
  <c r="C50" i="4"/>
  <c r="B80" i="10"/>
  <c r="B100" i="10"/>
  <c r="C89" i="10" s="1"/>
  <c r="B137" i="4"/>
  <c r="B154" i="4" s="1"/>
  <c r="C140" i="4" s="1"/>
  <c r="E12" i="46"/>
  <c r="E11" i="46"/>
  <c r="E13" i="46"/>
  <c r="C64" i="9"/>
  <c r="C59" i="9" s="1"/>
  <c r="C124" i="9"/>
  <c r="B106" i="10"/>
  <c r="B120" i="10"/>
  <c r="B29" i="10"/>
  <c r="B13" i="10"/>
  <c r="D69" i="8"/>
  <c r="D93" i="8"/>
  <c r="D71" i="8"/>
  <c r="D108" i="8"/>
  <c r="D97" i="8"/>
  <c r="D81" i="8"/>
  <c r="D95" i="8"/>
  <c r="D103" i="8"/>
  <c r="D110" i="8"/>
  <c r="D111" i="8"/>
  <c r="D114" i="8"/>
  <c r="D105" i="8"/>
  <c r="D78" i="8"/>
  <c r="D117" i="8"/>
  <c r="D113" i="8"/>
  <c r="D88" i="8"/>
  <c r="D77" i="8"/>
  <c r="D101" i="8"/>
  <c r="H53" i="8"/>
  <c r="D87" i="8"/>
  <c r="D116" i="8"/>
  <c r="C55" i="8"/>
  <c r="D99" i="8"/>
  <c r="D85" i="8"/>
  <c r="D84" i="8"/>
  <c r="D91" i="8"/>
  <c r="D72" i="8"/>
  <c r="D62" i="8"/>
  <c r="D70" i="8"/>
  <c r="D109" i="8"/>
  <c r="D96" i="8"/>
  <c r="D115" i="8"/>
  <c r="D118" i="8"/>
  <c r="D80" i="8"/>
  <c r="D79" i="8"/>
  <c r="D67" i="8"/>
  <c r="D90" i="8"/>
  <c r="D83" i="8"/>
  <c r="D100" i="8"/>
  <c r="D82" i="8"/>
  <c r="D61" i="8"/>
  <c r="D63" i="8"/>
  <c r="B77" i="4"/>
  <c r="B101" i="4"/>
  <c r="D29" i="10"/>
  <c r="D13" i="10"/>
  <c r="C27" i="4"/>
  <c r="C26" i="4"/>
  <c r="G70" i="4"/>
  <c r="B70" i="12"/>
  <c r="L109" i="9"/>
  <c r="C109" i="9" s="1"/>
  <c r="C108" i="9"/>
  <c r="C142" i="9"/>
  <c r="D140" i="9" s="1"/>
  <c r="C94" i="9"/>
  <c r="D93" i="9" s="1"/>
  <c r="B53" i="10"/>
  <c r="C44" i="10" s="1"/>
  <c r="B34" i="10"/>
  <c r="B75" i="12"/>
  <c r="C46" i="4"/>
  <c r="F93" i="9"/>
  <c r="F92" i="9"/>
  <c r="F91" i="9"/>
  <c r="D98" i="4"/>
  <c r="D78" i="4"/>
  <c r="R44" i="10"/>
  <c r="J34" i="10"/>
  <c r="J53" i="10"/>
  <c r="K44" i="10" s="1"/>
  <c r="C68" i="4"/>
  <c r="C64" i="4"/>
  <c r="C65" i="4"/>
  <c r="C69" i="4"/>
  <c r="C70" i="4"/>
  <c r="R109" i="10"/>
  <c r="J106" i="10"/>
  <c r="J120" i="10"/>
  <c r="K109" i="10" s="1"/>
  <c r="L73" i="10"/>
  <c r="T59" i="10"/>
  <c r="L58" i="10"/>
  <c r="N141" i="4"/>
  <c r="D137" i="4"/>
  <c r="D154" i="4" s="1"/>
  <c r="D83" i="4"/>
  <c r="E367" i="42" l="1"/>
  <c r="B63" i="12"/>
  <c r="C14" i="12" s="1"/>
  <c r="C17" i="10"/>
  <c r="C20" i="10"/>
  <c r="S20" i="10" s="1"/>
  <c r="E340" i="42"/>
  <c r="C320" i="42"/>
  <c r="F360" i="42"/>
  <c r="E362" i="42"/>
  <c r="E347" i="42"/>
  <c r="C370" i="42"/>
  <c r="E346" i="42"/>
  <c r="F323" i="42"/>
  <c r="F353" i="42"/>
  <c r="C367" i="42"/>
  <c r="F357" i="42"/>
  <c r="C359" i="42"/>
  <c r="C343" i="42"/>
  <c r="E327" i="42"/>
  <c r="F365" i="42"/>
  <c r="F361" i="42"/>
  <c r="F340" i="42"/>
  <c r="C341" i="42"/>
  <c r="F343" i="42"/>
  <c r="C363" i="42"/>
  <c r="F320" i="42"/>
  <c r="C327" i="42"/>
  <c r="C360" i="42"/>
  <c r="C325" i="42"/>
  <c r="C321" i="42"/>
  <c r="F56" i="46"/>
  <c r="H63" i="46"/>
  <c r="H56" i="46"/>
  <c r="H58" i="46"/>
  <c r="H60" i="46"/>
  <c r="H61" i="46"/>
  <c r="H57" i="46"/>
  <c r="H65" i="46"/>
  <c r="H62" i="46"/>
  <c r="H59" i="46"/>
  <c r="H64" i="46"/>
  <c r="F363" i="42"/>
  <c r="C329" i="42"/>
  <c r="E335" i="42"/>
  <c r="F373" i="42"/>
  <c r="C323" i="42"/>
  <c r="E343" i="42"/>
  <c r="F346" i="42"/>
  <c r="C324" i="42"/>
  <c r="E353" i="42"/>
  <c r="E357" i="42"/>
  <c r="C369" i="42"/>
  <c r="C353" i="42"/>
  <c r="E337" i="42"/>
  <c r="F344" i="42"/>
  <c r="E348" i="42"/>
  <c r="F362" i="42"/>
  <c r="E359" i="42"/>
  <c r="C356" i="42"/>
  <c r="E371" i="42"/>
  <c r="F341" i="42"/>
  <c r="C330" i="42"/>
  <c r="E350" i="42"/>
  <c r="F359" i="42"/>
  <c r="E356" i="42"/>
  <c r="C347" i="42"/>
  <c r="C335" i="42"/>
  <c r="C372" i="42"/>
  <c r="C371" i="42"/>
  <c r="C339" i="42"/>
  <c r="E320" i="42"/>
  <c r="E324" i="42"/>
  <c r="C331" i="42"/>
  <c r="F329" i="42"/>
  <c r="E326" i="42"/>
  <c r="E368" i="42"/>
  <c r="C373" i="42"/>
  <c r="F349" i="42"/>
  <c r="E354" i="42"/>
  <c r="C362" i="42"/>
  <c r="F347" i="42"/>
  <c r="E328" i="42"/>
  <c r="C337" i="42"/>
  <c r="E352" i="42"/>
  <c r="E330" i="42"/>
  <c r="F339" i="42"/>
  <c r="E336" i="42"/>
  <c r="E349" i="42"/>
  <c r="C346" i="42"/>
  <c r="F337" i="42"/>
  <c r="E366" i="42"/>
  <c r="C365" i="42"/>
  <c r="E329" i="42"/>
  <c r="E373" i="42"/>
  <c r="F338" i="42"/>
  <c r="F319" i="42"/>
  <c r="C351" i="42"/>
  <c r="E372" i="42"/>
  <c r="F350" i="42"/>
  <c r="E370" i="42"/>
  <c r="C345" i="42"/>
  <c r="C348" i="42"/>
  <c r="F368" i="42"/>
  <c r="F367" i="42"/>
  <c r="F369" i="42"/>
  <c r="C357" i="42"/>
  <c r="E360" i="42"/>
  <c r="C368" i="42"/>
  <c r="E361" i="42"/>
  <c r="C358" i="42"/>
  <c r="E364" i="42"/>
  <c r="F372" i="42"/>
  <c r="E369" i="42"/>
  <c r="C366" i="42"/>
  <c r="F328" i="42"/>
  <c r="E342" i="42"/>
  <c r="C361" i="42"/>
  <c r="F356" i="42"/>
  <c r="C340" i="42"/>
  <c r="E341" i="42"/>
  <c r="E322" i="42"/>
  <c r="F322" i="42"/>
  <c r="C349" i="42"/>
  <c r="F330" i="42"/>
  <c r="F366" i="42"/>
  <c r="F327" i="42"/>
  <c r="C352" i="42"/>
  <c r="C328" i="42"/>
  <c r="F355" i="42"/>
  <c r="E321" i="42"/>
  <c r="F331" i="42"/>
  <c r="F354" i="42"/>
  <c r="C355" i="42"/>
  <c r="C326" i="42"/>
  <c r="F370" i="42"/>
  <c r="C342" i="42"/>
  <c r="C319" i="42"/>
  <c r="E325" i="42"/>
  <c r="F364" i="42"/>
  <c r="E358" i="42"/>
  <c r="F321" i="42"/>
  <c r="E363" i="42"/>
  <c r="E344" i="42"/>
  <c r="E355" i="42"/>
  <c r="F325" i="42"/>
  <c r="F351" i="42"/>
  <c r="C350" i="42"/>
  <c r="F342" i="42"/>
  <c r="E339" i="42"/>
  <c r="E351" i="42"/>
  <c r="C338" i="42"/>
  <c r="C322" i="42"/>
  <c r="F348" i="42"/>
  <c r="C336" i="42"/>
  <c r="F326" i="42"/>
  <c r="E323" i="42"/>
  <c r="F335" i="42"/>
  <c r="C344" i="42"/>
  <c r="E365" i="42"/>
  <c r="F352" i="42"/>
  <c r="F336" i="42"/>
  <c r="F371" i="42"/>
  <c r="C354" i="42"/>
  <c r="E345" i="42"/>
  <c r="F345" i="42"/>
  <c r="E338" i="42"/>
  <c r="E319" i="42"/>
  <c r="C364" i="42"/>
  <c r="A178" i="42"/>
  <c r="A204" i="42"/>
  <c r="C118" i="4"/>
  <c r="C128" i="4"/>
  <c r="C165" i="4" s="1"/>
  <c r="C151" i="4"/>
  <c r="H165" i="4" s="1"/>
  <c r="T58" i="10"/>
  <c r="T73" i="10"/>
  <c r="C28" i="4"/>
  <c r="C22" i="12"/>
  <c r="C50" i="12"/>
  <c r="C75" i="12" s="1"/>
  <c r="T100" i="10"/>
  <c r="D59" i="46"/>
  <c r="T80" i="10"/>
  <c r="T106" i="10"/>
  <c r="S89" i="10"/>
  <c r="F62" i="46"/>
  <c r="Z296" i="42"/>
  <c r="E308" i="42" s="1"/>
  <c r="Y298" i="42"/>
  <c r="D310" i="42" s="1"/>
  <c r="Y296" i="42"/>
  <c r="D308" i="42" s="1"/>
  <c r="Z297" i="42"/>
  <c r="E309" i="42" s="1"/>
  <c r="Y297" i="42"/>
  <c r="D309" i="42" s="1"/>
  <c r="Y301" i="42"/>
  <c r="D313" i="42" s="1"/>
  <c r="Y295" i="42"/>
  <c r="D307" i="42" s="1"/>
  <c r="Z295" i="42"/>
  <c r="E307" i="42" s="1"/>
  <c r="Z298" i="42"/>
  <c r="E310" i="42" s="1"/>
  <c r="B11" i="42"/>
  <c r="Z301" i="42"/>
  <c r="E313" i="42" s="1"/>
  <c r="G32" i="10"/>
  <c r="C34" i="10"/>
  <c r="D119" i="9"/>
  <c r="D120" i="9"/>
  <c r="D115" i="9"/>
  <c r="D123" i="9"/>
  <c r="D121" i="9"/>
  <c r="D117" i="9"/>
  <c r="D116" i="9"/>
  <c r="D118" i="9"/>
  <c r="D114" i="9"/>
  <c r="D137" i="9"/>
  <c r="D134" i="9"/>
  <c r="D135" i="9"/>
  <c r="D131" i="9"/>
  <c r="D141" i="9"/>
  <c r="D139" i="9"/>
  <c r="D133" i="9"/>
  <c r="D132" i="9"/>
  <c r="D130" i="9"/>
  <c r="D136" i="9"/>
  <c r="D138" i="9"/>
  <c r="S59" i="10"/>
  <c r="R13" i="10"/>
  <c r="K13" i="10"/>
  <c r="O11" i="10"/>
  <c r="G40" i="46"/>
  <c r="C58" i="4"/>
  <c r="K17" i="10"/>
  <c r="S17" i="10" s="1"/>
  <c r="K19" i="10"/>
  <c r="K22" i="10"/>
  <c r="K23" i="10"/>
  <c r="R29" i="10"/>
  <c r="K21" i="10"/>
  <c r="K24" i="10"/>
  <c r="K14" i="10"/>
  <c r="K27" i="10"/>
  <c r="K25" i="10"/>
  <c r="K18" i="10"/>
  <c r="K28" i="10"/>
  <c r="K16" i="10"/>
  <c r="K26" i="10"/>
  <c r="K15" i="10"/>
  <c r="G44" i="46"/>
  <c r="G104" i="10"/>
  <c r="C106" i="10"/>
  <c r="R8" i="46"/>
  <c r="F13" i="46"/>
  <c r="A18" i="46" s="1"/>
  <c r="K58" i="10"/>
  <c r="O56" i="10"/>
  <c r="R58" i="10"/>
  <c r="K60" i="10"/>
  <c r="K64" i="10"/>
  <c r="K72" i="10"/>
  <c r="K70" i="10"/>
  <c r="K68" i="10"/>
  <c r="K66" i="10"/>
  <c r="K61" i="10"/>
  <c r="K65" i="10"/>
  <c r="K63" i="10"/>
  <c r="R73" i="10"/>
  <c r="K67" i="10"/>
  <c r="K71" i="10"/>
  <c r="K62" i="10"/>
  <c r="K69" i="10"/>
  <c r="K84" i="4"/>
  <c r="B98" i="4"/>
  <c r="H89" i="4" s="1"/>
  <c r="B83" i="4"/>
  <c r="H88" i="4" s="1"/>
  <c r="G41" i="46"/>
  <c r="K115" i="10"/>
  <c r="K113" i="10"/>
  <c r="K112" i="10"/>
  <c r="K114" i="10"/>
  <c r="K111" i="10"/>
  <c r="R120" i="10"/>
  <c r="K118" i="10"/>
  <c r="K108" i="10"/>
  <c r="K119" i="10"/>
  <c r="K110" i="10"/>
  <c r="K116" i="10"/>
  <c r="K117" i="10"/>
  <c r="K107" i="10"/>
  <c r="D89" i="8"/>
  <c r="C86" i="8"/>
  <c r="B78" i="12"/>
  <c r="C70" i="12"/>
  <c r="B78" i="4"/>
  <c r="H87" i="4"/>
  <c r="C82" i="10"/>
  <c r="C84" i="10"/>
  <c r="C87" i="10"/>
  <c r="C90" i="10"/>
  <c r="C81" i="10"/>
  <c r="C83" i="10"/>
  <c r="C98" i="10"/>
  <c r="C99" i="10"/>
  <c r="C97" i="10"/>
  <c r="C88" i="10"/>
  <c r="C94" i="10"/>
  <c r="C96" i="10"/>
  <c r="C91" i="10"/>
  <c r="C95" i="10"/>
  <c r="C92" i="10"/>
  <c r="C85" i="10"/>
  <c r="C93" i="10"/>
  <c r="C86" i="10"/>
  <c r="D58" i="46"/>
  <c r="C52" i="10"/>
  <c r="C50" i="10"/>
  <c r="C42" i="10"/>
  <c r="C45" i="10"/>
  <c r="C41" i="10"/>
  <c r="C47" i="10"/>
  <c r="C49" i="10"/>
  <c r="C51" i="10"/>
  <c r="C48" i="10"/>
  <c r="C46" i="10"/>
  <c r="C37" i="10"/>
  <c r="C38" i="10"/>
  <c r="C39" i="10"/>
  <c r="C36" i="10"/>
  <c r="C35" i="10"/>
  <c r="C43" i="10"/>
  <c r="C40" i="10"/>
  <c r="S44" i="10"/>
  <c r="R34" i="10"/>
  <c r="O32" i="10"/>
  <c r="K34" i="10"/>
  <c r="C116" i="4"/>
  <c r="E56" i="9"/>
  <c r="E62" i="9" s="1"/>
  <c r="E63" i="9" s="1"/>
  <c r="N59" i="9"/>
  <c r="E76" i="9"/>
  <c r="E78" i="9" s="1"/>
  <c r="D92" i="9"/>
  <c r="D91" i="9"/>
  <c r="K45" i="10"/>
  <c r="K51" i="10"/>
  <c r="K40" i="10"/>
  <c r="K47" i="10"/>
  <c r="K36" i="10"/>
  <c r="K42" i="10"/>
  <c r="R53" i="10"/>
  <c r="K46" i="10"/>
  <c r="K39" i="10"/>
  <c r="K37" i="10"/>
  <c r="K48" i="10"/>
  <c r="K41" i="10"/>
  <c r="K49" i="10"/>
  <c r="K43" i="10"/>
  <c r="K38" i="10"/>
  <c r="K52" i="10"/>
  <c r="K50" i="10"/>
  <c r="K35" i="10"/>
  <c r="C80" i="10"/>
  <c r="G78" i="10"/>
  <c r="F94" i="9"/>
  <c r="AC119" i="4"/>
  <c r="C127" i="4"/>
  <c r="AC129" i="4"/>
  <c r="AC115" i="4"/>
  <c r="AB123" i="4"/>
  <c r="AB108" i="4"/>
  <c r="C126" i="4"/>
  <c r="AB121" i="4"/>
  <c r="C129" i="4"/>
  <c r="AB126" i="4"/>
  <c r="C113" i="4"/>
  <c r="AC110" i="4"/>
  <c r="AC109" i="4"/>
  <c r="AB127" i="4"/>
  <c r="C107" i="4"/>
  <c r="C161" i="4" s="1"/>
  <c r="C122" i="4"/>
  <c r="AB113" i="4"/>
  <c r="AC118" i="4"/>
  <c r="AC123" i="4"/>
  <c r="C115" i="4"/>
  <c r="AB130" i="4"/>
  <c r="C121" i="4"/>
  <c r="C123" i="4"/>
  <c r="AB117" i="4"/>
  <c r="C124" i="4"/>
  <c r="C164" i="4" s="1"/>
  <c r="C109" i="4"/>
  <c r="C117" i="4"/>
  <c r="AC108" i="4"/>
  <c r="C125" i="4"/>
  <c r="C114" i="4"/>
  <c r="AB110" i="4"/>
  <c r="C111" i="4"/>
  <c r="AB129" i="4"/>
  <c r="AC127" i="4"/>
  <c r="AB119" i="4"/>
  <c r="C120" i="4"/>
  <c r="C163" i="4" s="1"/>
  <c r="AB125" i="4"/>
  <c r="AC113" i="4"/>
  <c r="AB114" i="4"/>
  <c r="AB122" i="4"/>
  <c r="AC112" i="4"/>
  <c r="AC121" i="4"/>
  <c r="AB112" i="4"/>
  <c r="AB115" i="4"/>
  <c r="AC114" i="4"/>
  <c r="AC125" i="4"/>
  <c r="C119" i="4"/>
  <c r="C110" i="4"/>
  <c r="C112" i="4"/>
  <c r="AC126" i="4"/>
  <c r="C108" i="4"/>
  <c r="AB109" i="4"/>
  <c r="AC122" i="4"/>
  <c r="AC117" i="4"/>
  <c r="C130" i="4"/>
  <c r="AC130" i="4"/>
  <c r="AB118" i="4"/>
  <c r="K98" i="10"/>
  <c r="K96" i="10"/>
  <c r="K88" i="10"/>
  <c r="K83" i="10"/>
  <c r="K99" i="10"/>
  <c r="K97" i="10"/>
  <c r="K81" i="10"/>
  <c r="R100" i="10"/>
  <c r="K92" i="10"/>
  <c r="K91" i="10"/>
  <c r="K87" i="10"/>
  <c r="K84" i="10"/>
  <c r="K93" i="10"/>
  <c r="K90" i="10"/>
  <c r="K85" i="10"/>
  <c r="K82" i="10"/>
  <c r="K86" i="10"/>
  <c r="K94" i="10"/>
  <c r="K95" i="10"/>
  <c r="D104" i="8"/>
  <c r="C102" i="8"/>
  <c r="C75" i="8"/>
  <c r="D76" i="8"/>
  <c r="C137" i="4"/>
  <c r="H161" i="4" s="1"/>
  <c r="C148" i="4"/>
  <c r="H164" i="4" s="1"/>
  <c r="C143" i="4"/>
  <c r="C150" i="4"/>
  <c r="C142" i="4"/>
  <c r="C145" i="4"/>
  <c r="H163" i="4" s="1"/>
  <c r="C149" i="4"/>
  <c r="C139" i="4"/>
  <c r="C144" i="4"/>
  <c r="C147" i="4"/>
  <c r="C152" i="4"/>
  <c r="C138" i="4"/>
  <c r="C146" i="4"/>
  <c r="C141" i="4"/>
  <c r="H162" i="4" s="1"/>
  <c r="C153" i="4"/>
  <c r="C18" i="4"/>
  <c r="C16" i="4"/>
  <c r="C15" i="4"/>
  <c r="K80" i="10"/>
  <c r="O78" i="10"/>
  <c r="R80" i="10"/>
  <c r="C78" i="4"/>
  <c r="G11" i="10"/>
  <c r="C13" i="10"/>
  <c r="F142" i="9"/>
  <c r="T53" i="10"/>
  <c r="C56" i="9"/>
  <c r="C76" i="9"/>
  <c r="C78" i="9" s="1"/>
  <c r="T34" i="10"/>
  <c r="D94" i="8"/>
  <c r="C92" i="8"/>
  <c r="D65" i="46"/>
  <c r="D62" i="46"/>
  <c r="F57" i="46"/>
  <c r="F63" i="46"/>
  <c r="F58" i="46"/>
  <c r="D64" i="46"/>
  <c r="F61" i="46"/>
  <c r="A52" i="46"/>
  <c r="F65" i="46"/>
  <c r="D60" i="46"/>
  <c r="F60" i="46"/>
  <c r="F59" i="46"/>
  <c r="D61" i="46"/>
  <c r="D56" i="46"/>
  <c r="D57" i="46"/>
  <c r="D63" i="46"/>
  <c r="F64" i="46"/>
  <c r="T13" i="10"/>
  <c r="T120" i="10"/>
  <c r="D122" i="9"/>
  <c r="C98" i="4"/>
  <c r="C83" i="4"/>
  <c r="C109" i="10"/>
  <c r="S109" i="10" s="1"/>
  <c r="C117" i="10"/>
  <c r="C112" i="10"/>
  <c r="C113" i="10"/>
  <c r="C111" i="10"/>
  <c r="C115" i="10"/>
  <c r="C108" i="10"/>
  <c r="C114" i="10"/>
  <c r="C118" i="10"/>
  <c r="C116" i="10"/>
  <c r="C119" i="10"/>
  <c r="C110" i="10"/>
  <c r="C107" i="10"/>
  <c r="C59" i="8"/>
  <c r="D60" i="8"/>
  <c r="T29" i="10"/>
  <c r="C58" i="10"/>
  <c r="G56" i="10"/>
  <c r="O104" i="10"/>
  <c r="K106" i="10"/>
  <c r="R106" i="10"/>
  <c r="C17" i="12"/>
  <c r="C24" i="12"/>
  <c r="C71" i="12" s="1"/>
  <c r="C49" i="12"/>
  <c r="C35" i="12"/>
  <c r="C36" i="12"/>
  <c r="C73" i="12" s="1"/>
  <c r="C44" i="12"/>
  <c r="C32" i="12"/>
  <c r="C59" i="12"/>
  <c r="C41" i="12"/>
  <c r="C45" i="12"/>
  <c r="C57" i="12"/>
  <c r="C15" i="12"/>
  <c r="C61" i="12"/>
  <c r="C55" i="12"/>
  <c r="C76" i="12" s="1"/>
  <c r="C56" i="12"/>
  <c r="C62" i="12"/>
  <c r="C33" i="12"/>
  <c r="C18" i="12"/>
  <c r="C29" i="12"/>
  <c r="C34" i="12"/>
  <c r="C31" i="12"/>
  <c r="C72" i="12" s="1"/>
  <c r="C52" i="12"/>
  <c r="C51" i="12"/>
  <c r="C60" i="12"/>
  <c r="C58" i="12"/>
  <c r="C46" i="12"/>
  <c r="C43" i="12"/>
  <c r="C30" i="12"/>
  <c r="C53" i="12"/>
  <c r="C38" i="12"/>
  <c r="C26" i="12"/>
  <c r="C20" i="12"/>
  <c r="C48" i="12"/>
  <c r="C25" i="12"/>
  <c r="C39" i="12"/>
  <c r="C28" i="12"/>
  <c r="D66" i="12"/>
  <c r="C47" i="12"/>
  <c r="C27" i="12"/>
  <c r="C42" i="12"/>
  <c r="C74" i="12" s="1"/>
  <c r="C21" i="12"/>
  <c r="C54" i="12"/>
  <c r="C24" i="10"/>
  <c r="C21" i="10"/>
  <c r="C22" i="10"/>
  <c r="C23" i="10"/>
  <c r="C15" i="10"/>
  <c r="C14" i="10"/>
  <c r="C16" i="10"/>
  <c r="C28" i="10"/>
  <c r="C26" i="10"/>
  <c r="C18" i="10"/>
  <c r="C19" i="10"/>
  <c r="C25" i="10"/>
  <c r="C27" i="10"/>
  <c r="C69" i="10"/>
  <c r="C62" i="10"/>
  <c r="C68" i="10"/>
  <c r="C63" i="10"/>
  <c r="C67" i="10"/>
  <c r="C60" i="10"/>
  <c r="C61" i="10"/>
  <c r="C64" i="10"/>
  <c r="C65" i="10"/>
  <c r="C72" i="10"/>
  <c r="C70" i="10"/>
  <c r="C71" i="10"/>
  <c r="C66" i="10"/>
  <c r="C40" i="12" l="1"/>
  <c r="C23" i="12"/>
  <c r="C37" i="12"/>
  <c r="C19" i="12"/>
  <c r="Z42" i="10"/>
  <c r="Z41" i="10"/>
  <c r="Z43" i="10"/>
  <c r="Z44" i="10"/>
  <c r="Z45" i="10"/>
  <c r="Z46" i="10"/>
  <c r="Z47" i="10"/>
  <c r="Z48" i="10"/>
  <c r="Z49" i="10"/>
  <c r="Z50" i="10"/>
  <c r="Z51" i="10"/>
  <c r="Z35" i="10"/>
  <c r="Z37" i="10"/>
  <c r="Z36" i="10"/>
  <c r="Z38" i="10"/>
  <c r="Z39" i="10"/>
  <c r="Z40" i="10"/>
  <c r="H66" i="46"/>
  <c r="F66" i="46"/>
  <c r="D27" i="46"/>
  <c r="D66" i="46"/>
  <c r="G48" i="46"/>
  <c r="G49" i="46"/>
  <c r="B314" i="42"/>
  <c r="Y299" i="42"/>
  <c r="D311" i="42" s="1"/>
  <c r="Z299" i="42"/>
  <c r="E311" i="42" s="1"/>
  <c r="A141" i="42"/>
  <c r="B31" i="42"/>
  <c r="S98" i="10"/>
  <c r="B87" i="42"/>
  <c r="B93" i="42"/>
  <c r="B65" i="42"/>
  <c r="B74" i="42"/>
  <c r="B44" i="42"/>
  <c r="B52" i="42"/>
  <c r="B25" i="42"/>
  <c r="D301" i="42"/>
  <c r="C313" i="42" s="1"/>
  <c r="D295" i="42"/>
  <c r="C307" i="42" s="1"/>
  <c r="E74" i="42"/>
  <c r="E72" i="42" s="1"/>
  <c r="C23" i="42"/>
  <c r="G32" i="42" s="1"/>
  <c r="D94" i="9"/>
  <c r="S99" i="10"/>
  <c r="S117" i="10"/>
  <c r="C162" i="4"/>
  <c r="G12" i="46"/>
  <c r="S41" i="10"/>
  <c r="C120" i="10"/>
  <c r="S69" i="10"/>
  <c r="D298" i="42"/>
  <c r="C310" i="42" s="1"/>
  <c r="S39" i="10"/>
  <c r="S90" i="10"/>
  <c r="S34" i="10"/>
  <c r="S91" i="10"/>
  <c r="S37" i="10"/>
  <c r="S62" i="10"/>
  <c r="S46" i="10"/>
  <c r="S23" i="10"/>
  <c r="S38" i="10"/>
  <c r="S19" i="10"/>
  <c r="S114" i="10"/>
  <c r="S27" i="10"/>
  <c r="E23" i="42"/>
  <c r="F44" i="46"/>
  <c r="S50" i="10"/>
  <c r="S113" i="10"/>
  <c r="S64" i="10"/>
  <c r="S24" i="10"/>
  <c r="D142" i="9"/>
  <c r="S94" i="10"/>
  <c r="S72" i="10"/>
  <c r="S52" i="10"/>
  <c r="S115" i="10"/>
  <c r="S60" i="10"/>
  <c r="S21" i="10"/>
  <c r="S85" i="10"/>
  <c r="S43" i="10"/>
  <c r="D41" i="46"/>
  <c r="S93" i="10"/>
  <c r="H41" i="46"/>
  <c r="S22" i="10"/>
  <c r="D42" i="42"/>
  <c r="D47" i="42" s="1"/>
  <c r="H40" i="46"/>
  <c r="C73" i="10"/>
  <c r="H44" i="46"/>
  <c r="D24" i="46"/>
  <c r="D40" i="46"/>
  <c r="S80" i="10"/>
  <c r="S51" i="10"/>
  <c r="S111" i="10"/>
  <c r="S68" i="10"/>
  <c r="S83" i="10"/>
  <c r="S42" i="10"/>
  <c r="S116" i="10"/>
  <c r="S67" i="10"/>
  <c r="S13" i="10"/>
  <c r="C74" i="8"/>
  <c r="S96" i="10"/>
  <c r="S47" i="10"/>
  <c r="S119" i="10"/>
  <c r="S63" i="10"/>
  <c r="S26" i="10"/>
  <c r="K73" i="10"/>
  <c r="C77" i="12"/>
  <c r="C78" i="12" s="1"/>
  <c r="C63" i="12"/>
  <c r="C248" i="42"/>
  <c r="D240" i="42" s="1"/>
  <c r="D297" i="42"/>
  <c r="C309" i="42" s="1"/>
  <c r="C29" i="10"/>
  <c r="C62" i="9"/>
  <c r="S84" i="10"/>
  <c r="G139" i="42"/>
  <c r="E300" i="42"/>
  <c r="S81" i="10"/>
  <c r="K100" i="10"/>
  <c r="S106" i="10"/>
  <c r="C119" i="8"/>
  <c r="S40" i="10"/>
  <c r="S97" i="10"/>
  <c r="S108" i="10"/>
  <c r="S65" i="10"/>
  <c r="S16" i="10"/>
  <c r="C154" i="4"/>
  <c r="S118" i="10"/>
  <c r="S61" i="10"/>
  <c r="S28" i="10"/>
  <c r="S95" i="10"/>
  <c r="S45" i="10"/>
  <c r="S66" i="10"/>
  <c r="S18" i="10"/>
  <c r="D23" i="42"/>
  <c r="D74" i="42"/>
  <c r="D72" i="42" s="1"/>
  <c r="D63" i="42"/>
  <c r="C42" i="42"/>
  <c r="C47" i="42" s="1"/>
  <c r="S86" i="10"/>
  <c r="C131" i="4"/>
  <c r="C100" i="10"/>
  <c r="S70" i="10"/>
  <c r="S82" i="10"/>
  <c r="K53" i="10"/>
  <c r="S35" i="10"/>
  <c r="S112" i="10"/>
  <c r="S14" i="10"/>
  <c r="K29" i="10"/>
  <c r="F203" i="42"/>
  <c r="F139" i="42"/>
  <c r="E139" i="42"/>
  <c r="C289" i="42"/>
  <c r="D286" i="42" s="1"/>
  <c r="C74" i="42"/>
  <c r="C72" i="42" s="1"/>
  <c r="S25" i="10"/>
  <c r="C270" i="42"/>
  <c r="D260" i="42" s="1"/>
  <c r="C203" i="42"/>
  <c r="D186" i="42" s="1"/>
  <c r="Y294" i="42"/>
  <c r="S87" i="10"/>
  <c r="S49" i="10"/>
  <c r="S58" i="10"/>
  <c r="S92" i="10"/>
  <c r="S48" i="10"/>
  <c r="D23" i="46"/>
  <c r="F38" i="46"/>
  <c r="F40" i="46"/>
  <c r="F42" i="46"/>
  <c r="D46" i="46"/>
  <c r="G11" i="46"/>
  <c r="A34" i="46"/>
  <c r="D30" i="46"/>
  <c r="D28" i="46"/>
  <c r="D22" i="46"/>
  <c r="H42" i="46"/>
  <c r="F45" i="46"/>
  <c r="D21" i="46"/>
  <c r="D29" i="46"/>
  <c r="D43" i="46"/>
  <c r="H45" i="46"/>
  <c r="F47" i="46"/>
  <c r="H43" i="46"/>
  <c r="D26" i="46"/>
  <c r="H47" i="46"/>
  <c r="F41" i="46"/>
  <c r="H46" i="46"/>
  <c r="D38" i="46"/>
  <c r="H39" i="46"/>
  <c r="F46" i="46"/>
  <c r="D39" i="46"/>
  <c r="H38" i="46"/>
  <c r="D44" i="46"/>
  <c r="D45" i="46"/>
  <c r="D42" i="46"/>
  <c r="F43" i="46"/>
  <c r="G13" i="46"/>
  <c r="F39" i="46"/>
  <c r="D25" i="46"/>
  <c r="D47" i="46"/>
  <c r="D124" i="9"/>
  <c r="C63" i="42"/>
  <c r="E63" i="42"/>
  <c r="C139" i="42"/>
  <c r="Z294" i="42"/>
  <c r="E306" i="42" s="1"/>
  <c r="F23" i="42"/>
  <c r="E42" i="42"/>
  <c r="E47" i="42" s="1"/>
  <c r="D299" i="42"/>
  <c r="C311" i="42" s="1"/>
  <c r="C53" i="10"/>
  <c r="S107" i="10"/>
  <c r="K120" i="10"/>
  <c r="C300" i="42"/>
  <c r="A376" i="42" s="1"/>
  <c r="D294" i="42"/>
  <c r="C306" i="42" s="1"/>
  <c r="S71" i="10"/>
  <c r="S88" i="10"/>
  <c r="S36" i="10"/>
  <c r="S110" i="10"/>
  <c r="S15" i="10"/>
  <c r="E203" i="42"/>
  <c r="C85" i="42"/>
  <c r="D296" i="42"/>
  <c r="C308" i="42" s="1"/>
  <c r="E68" i="42" l="1"/>
  <c r="E73" i="42" s="1"/>
  <c r="D56" i="9"/>
  <c r="D57" i="9"/>
  <c r="D106" i="42"/>
  <c r="D120" i="42"/>
  <c r="H106" i="42"/>
  <c r="H120" i="42"/>
  <c r="D118" i="42"/>
  <c r="D102" i="42"/>
  <c r="H138" i="42"/>
  <c r="H102" i="42"/>
  <c r="D237" i="42"/>
  <c r="D218" i="42"/>
  <c r="D221" i="42"/>
  <c r="C68" i="42"/>
  <c r="C73" i="42" s="1"/>
  <c r="D68" i="42"/>
  <c r="D73" i="42" s="1"/>
  <c r="D31" i="46"/>
  <c r="D48" i="46"/>
  <c r="F48" i="46"/>
  <c r="H48" i="46"/>
  <c r="D85" i="42"/>
  <c r="Y300" i="42" s="1"/>
  <c r="E85" i="42"/>
  <c r="Z300" i="42" s="1"/>
  <c r="E312" i="42"/>
  <c r="E75" i="42"/>
  <c r="C75" i="42"/>
  <c r="D51" i="42"/>
  <c r="G317" i="42"/>
  <c r="D306" i="42"/>
  <c r="D312" i="42" s="1"/>
  <c r="D222" i="42"/>
  <c r="S120" i="10"/>
  <c r="H119" i="42"/>
  <c r="D220" i="42"/>
  <c r="H117" i="42"/>
  <c r="H131" i="42"/>
  <c r="D223" i="42"/>
  <c r="H137" i="42"/>
  <c r="H101" i="42"/>
  <c r="H111" i="42"/>
  <c r="H109" i="42"/>
  <c r="H114" i="42"/>
  <c r="H104" i="42"/>
  <c r="H134" i="42"/>
  <c r="H99" i="42"/>
  <c r="H100" i="42"/>
  <c r="H132" i="42"/>
  <c r="H122" i="42"/>
  <c r="H103" i="42"/>
  <c r="D226" i="42"/>
  <c r="H121" i="42"/>
  <c r="D254" i="42"/>
  <c r="H126" i="42"/>
  <c r="H118" i="42"/>
  <c r="D344" i="42"/>
  <c r="H344" i="42" s="1"/>
  <c r="D217" i="42"/>
  <c r="H110" i="42"/>
  <c r="H123" i="42"/>
  <c r="H107" i="42"/>
  <c r="H105" i="42"/>
  <c r="H135" i="42"/>
  <c r="H124" i="42"/>
  <c r="D112" i="42"/>
  <c r="F332" i="42"/>
  <c r="D135" i="42"/>
  <c r="D103" i="42"/>
  <c r="F374" i="42"/>
  <c r="D213" i="42"/>
  <c r="D242" i="42"/>
  <c r="D236" i="42"/>
  <c r="D109" i="42"/>
  <c r="D269" i="42"/>
  <c r="D241" i="42"/>
  <c r="D238" i="42"/>
  <c r="C374" i="42"/>
  <c r="D284" i="42"/>
  <c r="D136" i="42"/>
  <c r="D279" i="42"/>
  <c r="D281" i="42"/>
  <c r="D129" i="42"/>
  <c r="D193" i="42"/>
  <c r="D104" i="42"/>
  <c r="D329" i="42"/>
  <c r="H329" i="42" s="1"/>
  <c r="E332" i="42"/>
  <c r="D138" i="42"/>
  <c r="D246" i="42"/>
  <c r="D235" i="42"/>
  <c r="D287" i="42"/>
  <c r="D117" i="42"/>
  <c r="D110" i="42"/>
  <c r="D247" i="42"/>
  <c r="D277" i="42"/>
  <c r="D243" i="42"/>
  <c r="D124" i="42"/>
  <c r="D215" i="42"/>
  <c r="D356" i="42"/>
  <c r="H356" i="42" s="1"/>
  <c r="H130" i="42"/>
  <c r="H116" i="42"/>
  <c r="H133" i="42"/>
  <c r="D282" i="42"/>
  <c r="D214" i="42"/>
  <c r="D354" i="42"/>
  <c r="H354" i="42" s="1"/>
  <c r="D137" i="42"/>
  <c r="D288" i="42"/>
  <c r="E374" i="42"/>
  <c r="H136" i="42"/>
  <c r="S29" i="10"/>
  <c r="D224" i="42"/>
  <c r="H113" i="42"/>
  <c r="D187" i="42"/>
  <c r="D194" i="42"/>
  <c r="D283" i="42"/>
  <c r="D125" i="42"/>
  <c r="D101" i="42"/>
  <c r="D337" i="42"/>
  <c r="H337" i="42" s="1"/>
  <c r="D349" i="42"/>
  <c r="H349" i="42" s="1"/>
  <c r="D367" i="42"/>
  <c r="H367" i="42" s="1"/>
  <c r="D216" i="42"/>
  <c r="H129" i="42"/>
  <c r="H125" i="42"/>
  <c r="D225" i="42"/>
  <c r="D128" i="42"/>
  <c r="D276" i="42"/>
  <c r="D209" i="42"/>
  <c r="D345" i="42"/>
  <c r="H345" i="42" s="1"/>
  <c r="D188" i="42"/>
  <c r="D285" i="42"/>
  <c r="S53" i="10"/>
  <c r="D127" i="42"/>
  <c r="D331" i="42"/>
  <c r="H331" i="42" s="1"/>
  <c r="D371" i="42"/>
  <c r="H371" i="42" s="1"/>
  <c r="D359" i="42"/>
  <c r="H359" i="42" s="1"/>
  <c r="D212" i="42"/>
  <c r="H108" i="42"/>
  <c r="H115" i="42"/>
  <c r="D370" i="42"/>
  <c r="H370" i="42" s="1"/>
  <c r="H128" i="42"/>
  <c r="D219" i="42"/>
  <c r="H127" i="42"/>
  <c r="D280" i="42"/>
  <c r="D210" i="42"/>
  <c r="S73" i="10"/>
  <c r="D258" i="42"/>
  <c r="D372" i="42"/>
  <c r="H372" i="42" s="1"/>
  <c r="D259" i="42"/>
  <c r="D115" i="42"/>
  <c r="D350" i="42"/>
  <c r="H350" i="42" s="1"/>
  <c r="D195" i="42"/>
  <c r="A34" i="42"/>
  <c r="A35" i="42" s="1"/>
  <c r="G53" i="42"/>
  <c r="C51" i="42"/>
  <c r="D364" i="42"/>
  <c r="H364" i="42" s="1"/>
  <c r="D320" i="42"/>
  <c r="H320" i="42" s="1"/>
  <c r="D373" i="42"/>
  <c r="H373" i="42" s="1"/>
  <c r="D119" i="42"/>
  <c r="D268" i="42"/>
  <c r="D368" i="42"/>
  <c r="H368" i="42" s="1"/>
  <c r="D131" i="42"/>
  <c r="D114" i="42"/>
  <c r="D132" i="42"/>
  <c r="D123" i="42"/>
  <c r="D361" i="42"/>
  <c r="H361" i="42" s="1"/>
  <c r="D365" i="42"/>
  <c r="H365" i="42" s="1"/>
  <c r="D201" i="42"/>
  <c r="D323" i="42"/>
  <c r="H323" i="42" s="1"/>
  <c r="D358" i="42"/>
  <c r="H358" i="42" s="1"/>
  <c r="D330" i="42"/>
  <c r="H330" i="42" s="1"/>
  <c r="D335" i="42"/>
  <c r="H335" i="42" s="1"/>
  <c r="D346" i="42"/>
  <c r="H346" i="42" s="1"/>
  <c r="L139" i="42"/>
  <c r="F178" i="42"/>
  <c r="F175" i="42" s="1"/>
  <c r="D357" i="42"/>
  <c r="H357" i="42" s="1"/>
  <c r="S100" i="10"/>
  <c r="D59" i="9"/>
  <c r="D76" i="9" s="1"/>
  <c r="D43" i="9"/>
  <c r="D23" i="9"/>
  <c r="D71" i="9" s="1"/>
  <c r="D38" i="9"/>
  <c r="D37" i="9"/>
  <c r="D55" i="9"/>
  <c r="D48" i="9"/>
  <c r="D32" i="9"/>
  <c r="D52" i="9"/>
  <c r="D29" i="9"/>
  <c r="D36" i="9"/>
  <c r="D61" i="9"/>
  <c r="D26" i="9"/>
  <c r="D53" i="9"/>
  <c r="D42" i="9"/>
  <c r="D45" i="9"/>
  <c r="D28" i="9"/>
  <c r="D69" i="9" s="1"/>
  <c r="D51" i="9"/>
  <c r="D49" i="9"/>
  <c r="D24" i="9"/>
  <c r="D39" i="9"/>
  <c r="D46" i="9"/>
  <c r="D73" i="9" s="1"/>
  <c r="D27" i="9"/>
  <c r="D41" i="9"/>
  <c r="D72" i="9" s="1"/>
  <c r="D47" i="9"/>
  <c r="D60" i="9"/>
  <c r="D58" i="9"/>
  <c r="D35" i="9"/>
  <c r="D70" i="9" s="1"/>
  <c r="D44" i="9"/>
  <c r="D30" i="9"/>
  <c r="D54" i="9"/>
  <c r="D74" i="9" s="1"/>
  <c r="D62" i="9"/>
  <c r="C63" i="9"/>
  <c r="D63" i="9" s="1"/>
  <c r="D40" i="9"/>
  <c r="D25" i="9"/>
  <c r="D50" i="9"/>
  <c r="D31" i="9"/>
  <c r="D34" i="9"/>
  <c r="D33" i="9"/>
  <c r="D185" i="42"/>
  <c r="D255" i="42"/>
  <c r="D108" i="42"/>
  <c r="D126" i="42"/>
  <c r="D339" i="42"/>
  <c r="H339" i="42" s="1"/>
  <c r="D262" i="42"/>
  <c r="C312" i="42"/>
  <c r="D300" i="42"/>
  <c r="G94" i="42"/>
  <c r="D338" i="42"/>
  <c r="H338" i="42" s="1"/>
  <c r="D343" i="42"/>
  <c r="H343" i="42" s="1"/>
  <c r="D327" i="42"/>
  <c r="H327" i="42" s="1"/>
  <c r="D324" i="42"/>
  <c r="H324" i="42" s="1"/>
  <c r="D122" i="42"/>
  <c r="D107" i="42"/>
  <c r="D190" i="42"/>
  <c r="D351" i="42"/>
  <c r="H351" i="42" s="1"/>
  <c r="D321" i="42"/>
  <c r="H321" i="42" s="1"/>
  <c r="D362" i="42"/>
  <c r="H362" i="42" s="1"/>
  <c r="D133" i="42"/>
  <c r="D257" i="42"/>
  <c r="D256" i="42"/>
  <c r="D134" i="42"/>
  <c r="D245" i="42"/>
  <c r="D267" i="42"/>
  <c r="D111" i="42"/>
  <c r="D105" i="42"/>
  <c r="D116" i="42"/>
  <c r="D325" i="42"/>
  <c r="H325" i="42" s="1"/>
  <c r="D319" i="42"/>
  <c r="H319" i="42" s="1"/>
  <c r="D322" i="42"/>
  <c r="H322" i="42" s="1"/>
  <c r="D244" i="42"/>
  <c r="D265" i="42"/>
  <c r="C332" i="42"/>
  <c r="D328" i="42"/>
  <c r="H328" i="42" s="1"/>
  <c r="G75" i="42"/>
  <c r="A55" i="42"/>
  <c r="A56" i="42" s="1"/>
  <c r="D341" i="42"/>
  <c r="H341" i="42" s="1"/>
  <c r="D352" i="42"/>
  <c r="H352" i="42" s="1"/>
  <c r="D200" i="42"/>
  <c r="D196" i="42"/>
  <c r="D264" i="42"/>
  <c r="E51" i="42"/>
  <c r="D192" i="42"/>
  <c r="D191" i="42"/>
  <c r="D98" i="42"/>
  <c r="D263" i="42"/>
  <c r="D199" i="42"/>
  <c r="D239" i="42"/>
  <c r="D211" i="42"/>
  <c r="D189" i="42"/>
  <c r="D261" i="42"/>
  <c r="D348" i="42"/>
  <c r="H348" i="42" s="1"/>
  <c r="D369" i="42"/>
  <c r="H369" i="42" s="1"/>
  <c r="D197" i="42"/>
  <c r="D366" i="42"/>
  <c r="H366" i="42" s="1"/>
  <c r="D113" i="42"/>
  <c r="D121" i="42"/>
  <c r="D355" i="42"/>
  <c r="H355" i="42" s="1"/>
  <c r="D202" i="42"/>
  <c r="D342" i="42"/>
  <c r="H342" i="42" s="1"/>
  <c r="D336" i="42"/>
  <c r="H336" i="42" s="1"/>
  <c r="H98" i="42"/>
  <c r="H112" i="42"/>
  <c r="D198" i="42"/>
  <c r="D363" i="42"/>
  <c r="H363" i="42" s="1"/>
  <c r="D340" i="42"/>
  <c r="H340" i="42" s="1"/>
  <c r="K139" i="42"/>
  <c r="E178" i="42"/>
  <c r="E175" i="42" s="1"/>
  <c r="D326" i="42"/>
  <c r="H326" i="42" s="1"/>
  <c r="C178" i="42"/>
  <c r="C175" i="42" s="1"/>
  <c r="D266" i="42"/>
  <c r="D99" i="42"/>
  <c r="D278" i="42"/>
  <c r="D353" i="42"/>
  <c r="H353" i="42" s="1"/>
  <c r="D100" i="42"/>
  <c r="D130" i="42"/>
  <c r="D234" i="42"/>
  <c r="D347" i="42"/>
  <c r="H347" i="42" s="1"/>
  <c r="D360" i="42"/>
  <c r="H360" i="42" s="1"/>
  <c r="D75" i="9" l="1"/>
  <c r="W132" i="42"/>
  <c r="C177" i="42"/>
  <c r="F177" i="42"/>
  <c r="E177" i="42"/>
  <c r="D75" i="42"/>
  <c r="W135" i="42"/>
  <c r="D227" i="42"/>
  <c r="D289" i="42"/>
  <c r="W133" i="42"/>
  <c r="D270" i="42"/>
  <c r="W131" i="42"/>
  <c r="D203" i="42"/>
  <c r="W129" i="42"/>
  <c r="H139" i="42"/>
  <c r="W130" i="42"/>
  <c r="D248" i="42"/>
  <c r="W128" i="42"/>
  <c r="D139" i="42"/>
  <c r="D77" i="9"/>
  <c r="D64" i="9"/>
  <c r="W134" i="42"/>
  <c r="D150" i="42" l="1"/>
  <c r="C90" i="42"/>
  <c r="C28" i="42" s="1"/>
  <c r="D163" i="42"/>
  <c r="D160" i="42"/>
  <c r="D162" i="42"/>
  <c r="D155" i="42"/>
  <c r="D154" i="42"/>
  <c r="D149" i="42"/>
  <c r="D171" i="42"/>
  <c r="D159" i="42"/>
  <c r="D176" i="42"/>
  <c r="D158" i="42"/>
  <c r="D165" i="42"/>
  <c r="D161" i="42"/>
  <c r="D156" i="42"/>
  <c r="D151" i="42"/>
  <c r="D166" i="42"/>
  <c r="D148" i="42"/>
  <c r="D173" i="42"/>
  <c r="D153" i="42"/>
  <c r="D146" i="42"/>
  <c r="D164" i="42"/>
  <c r="D168" i="42"/>
  <c r="D174" i="42"/>
  <c r="D172" i="42"/>
  <c r="D152" i="42"/>
  <c r="D157" i="42"/>
  <c r="C91" i="42"/>
  <c r="A143" i="42" s="1"/>
  <c r="D167" i="42"/>
  <c r="D170" i="42"/>
  <c r="D169" i="42"/>
  <c r="D147" i="42"/>
  <c r="D175" i="42"/>
  <c r="D91" i="42"/>
  <c r="D29" i="42" s="1"/>
  <c r="D90" i="42"/>
  <c r="D28" i="42" s="1"/>
  <c r="E91" i="42"/>
  <c r="E29" i="42" s="1"/>
  <c r="E90" i="42"/>
  <c r="E28" i="42" s="1"/>
  <c r="D78" i="9"/>
  <c r="D30" i="42" l="1"/>
  <c r="E30" i="42"/>
  <c r="C92" i="42"/>
  <c r="E92" i="42"/>
  <c r="D177" i="42"/>
  <c r="C29" i="42"/>
  <c r="C30" i="42" s="1"/>
  <c r="D92" i="42"/>
  <c r="AM1" i="18" l="1"/>
  <c r="AL1" i="18" s="1"/>
  <c r="AK1" i="18" s="1"/>
  <c r="AJ1" i="18" s="1"/>
  <c r="AJ3" i="15"/>
  <c r="AO3" i="15" l="1"/>
  <c r="AJ3"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Nieminen Tuulikki (AVI)</author>
    <author>tc={1C213DE9-6294-4EC2-AE47-5EE3CDE5C80E}</author>
  </authors>
  <commentList>
    <comment ref="Y5" authorId="0" shapeId="0" xr:uid="{5D8C501A-64FA-4001-B879-9ECC6832530F}">
      <text>
        <r>
          <rPr>
            <b/>
            <sz val="9"/>
            <color indexed="81"/>
            <rFont val="Tahoma"/>
            <family val="2"/>
          </rPr>
          <t xml:space="preserve">asiakkuus
</t>
        </r>
        <r>
          <rPr>
            <sz val="9"/>
            <color indexed="81"/>
            <rFont val="Tahoma"/>
            <family val="2"/>
          </rPr>
          <t xml:space="preserve">
</t>
        </r>
      </text>
    </comment>
    <comment ref="X6" authorId="0" shapeId="0" xr:uid="{1CE0DF2D-91EA-41C6-B562-B4D72347A9DB}">
      <text>
        <r>
          <rPr>
            <b/>
            <sz val="9"/>
            <color indexed="81"/>
            <rFont val="Tahoma"/>
            <family val="2"/>
          </rPr>
          <t>kaikki hakuehdot toteutuminen parkki-lehdellä (status, yhteydenotto, kontakti)</t>
        </r>
        <r>
          <rPr>
            <sz val="9"/>
            <color indexed="81"/>
            <rFont val="Tahoma"/>
            <family val="2"/>
          </rPr>
          <t xml:space="preserve">
</t>
        </r>
      </text>
    </comment>
    <comment ref="Y6" authorId="0" shapeId="0" xr:uid="{DB8E8BE1-0508-4833-9865-8F59E641C8CD}">
      <text>
        <r>
          <rPr>
            <b/>
            <sz val="9"/>
            <color indexed="81"/>
            <rFont val="Tahoma"/>
            <family val="2"/>
          </rPr>
          <t xml:space="preserve">kunnat
</t>
        </r>
        <r>
          <rPr>
            <sz val="9"/>
            <color indexed="81"/>
            <rFont val="Tahoma"/>
            <family val="2"/>
          </rPr>
          <t xml:space="preserve">
</t>
        </r>
      </text>
    </comment>
    <comment ref="W7" authorId="0" shapeId="0" xr:uid="{D8982094-484B-47C9-A9FB-74704D779813}">
      <text>
        <r>
          <rPr>
            <b/>
            <sz val="9"/>
            <color indexed="81"/>
            <rFont val="Tahoma"/>
            <family val="2"/>
          </rPr>
          <t>uudet asiakkuudet hakuehdon toteutuminen</t>
        </r>
        <r>
          <rPr>
            <sz val="9"/>
            <color indexed="81"/>
            <rFont val="Tahoma"/>
            <family val="2"/>
          </rPr>
          <t xml:space="preserve">
</t>
        </r>
      </text>
    </comment>
    <comment ref="Y9" authorId="0" shapeId="0" xr:uid="{F126983A-CFC5-4322-87AB-3434B90B27BC}">
      <text>
        <r>
          <rPr>
            <b/>
            <sz val="9"/>
            <color indexed="81"/>
            <rFont val="Tahoma"/>
            <family val="2"/>
          </rPr>
          <t>ikäluokkahaku</t>
        </r>
        <r>
          <rPr>
            <sz val="9"/>
            <color indexed="81"/>
            <rFont val="Tahoma"/>
            <family val="2"/>
          </rPr>
          <t xml:space="preserve">
</t>
        </r>
      </text>
    </comment>
    <comment ref="X10" authorId="0" shapeId="0" xr:uid="{CD309426-AEFF-4107-8634-92AB4A587A0C}">
      <text>
        <r>
          <rPr>
            <b/>
            <sz val="9"/>
            <color indexed="81"/>
            <rFont val="Tahoma"/>
            <family val="2"/>
          </rPr>
          <t xml:space="preserve">tekstin lähteenä violetilla pohjalla merkatut
</t>
        </r>
        <r>
          <rPr>
            <sz val="9"/>
            <color indexed="81"/>
            <rFont val="Tahoma"/>
            <family val="2"/>
          </rPr>
          <t xml:space="preserve">
</t>
        </r>
      </text>
    </comment>
    <comment ref="P16" authorId="0" shapeId="0" xr:uid="{AC8D0BFE-3D75-4C2B-8776-80984F5B5654}">
      <text>
        <r>
          <rPr>
            <b/>
            <sz val="9"/>
            <color indexed="81"/>
            <rFont val="Tahoma"/>
            <family val="2"/>
          </rPr>
          <t xml:space="preserve">Kuinka monta eri nuorta etsivässä nuorisotyössä on ollut? (Nuori voi näkyä vain kerran. Tässä ei näytetä yli 28-vuotiaita)
</t>
        </r>
        <r>
          <rPr>
            <sz val="9"/>
            <color indexed="81"/>
            <rFont val="Tahoma"/>
            <family val="2"/>
          </rPr>
          <t xml:space="preserve">
</t>
        </r>
      </text>
    </comment>
    <comment ref="Q16" authorId="0" shapeId="0" xr:uid="{3165B22B-E0C1-4602-8F2C-D86EC200F5FC}">
      <text>
        <r>
          <rPr>
            <b/>
            <sz val="9"/>
            <color indexed="81"/>
            <rFont val="Tahoma"/>
            <family val="2"/>
          </rPr>
          <t>Kuinka monta nuorta on ollut yksikön asiakkaana? (Nuori voi näkyä useammassa yksikössä)</t>
        </r>
        <r>
          <rPr>
            <sz val="9"/>
            <color indexed="81"/>
            <rFont val="Tahoma"/>
            <family val="2"/>
          </rPr>
          <t xml:space="preserve">
</t>
        </r>
      </text>
    </comment>
    <comment ref="R16" authorId="0" shapeId="0" xr:uid="{31175A58-A60A-431A-8FEE-5387755AD758}">
      <text>
        <r>
          <rPr>
            <b/>
            <sz val="9"/>
            <color indexed="81"/>
            <rFont val="Tahoma"/>
            <family val="2"/>
          </rPr>
          <t>Kuinka monta jaksoa on kirjattu / yksikkö? (Nuori voi näkyä useita kertoja ja useammassa yksikössä)</t>
        </r>
        <r>
          <rPr>
            <sz val="9"/>
            <color indexed="81"/>
            <rFont val="Tahoma"/>
            <family val="2"/>
          </rPr>
          <t xml:space="preserve">
</t>
        </r>
      </text>
    </comment>
    <comment ref="V26" authorId="0" shapeId="0" xr:uid="{2AAB9754-CCA6-4209-82AA-5D7AD7507C6C}">
      <text>
        <r>
          <rPr>
            <b/>
            <sz val="9"/>
            <color indexed="81"/>
            <rFont val="Tahoma"/>
            <family val="2"/>
          </rPr>
          <t xml:space="preserve">ei tietoa laskenta, alle 7-v hakuehtona
</t>
        </r>
        <r>
          <rPr>
            <sz val="9"/>
            <color indexed="81"/>
            <rFont val="Tahoma"/>
            <family val="2"/>
          </rPr>
          <t xml:space="preserve">
</t>
        </r>
      </text>
    </comment>
    <comment ref="Y28" authorId="1" shapeId="0" xr:uid="{1C213DE9-6294-4EC2-AE47-5EE3CDE5C80E}">
      <text>
        <t>[Kommenttiketju]
Excel-versiosi avulla voit lukea tämän kommenttiketjun, mutta siihen tehdyt muutokset poistetaan, jos tiedosto avataan uudemmassa Excel-versiossa. Lisätietoja: https://go.microsoft.com/fwlink/?linkid=870924
Kommentti:
    yksikkötiteo</t>
      </text>
    </comment>
    <comment ref="P50" authorId="0" shapeId="0" xr:uid="{CBD13F95-1237-446A-A19C-DBE7F2067981}">
      <text>
        <r>
          <rPr>
            <b/>
            <sz val="9"/>
            <color indexed="81"/>
            <rFont val="Tahoma"/>
            <family val="2"/>
          </rPr>
          <t>Kuinka monta eri nuorta etsivässä nuorisotyössä on ollut?
 Nuori voi näkyä vain kerran. Laskentaan tulee vain alle 29-vuotiaat nuoret. 
Tieto tulee perustiedoista</t>
        </r>
      </text>
    </comment>
    <comment ref="Q50" authorId="0" shapeId="0" xr:uid="{095F5094-EA32-414B-9AA0-222658255B29}">
      <text>
        <r>
          <rPr>
            <b/>
            <sz val="9"/>
            <color indexed="81"/>
            <rFont val="Tahoma"/>
            <family val="2"/>
          </rPr>
          <t>Kuinka monta henkilöä on ollut kunnan asiakkaana? 
Henkilö voi näkyä useammassa kunnassa, tieto tulee jaksokohtaisesti.</t>
        </r>
        <r>
          <rPr>
            <sz val="9"/>
            <color indexed="81"/>
            <rFont val="Tahoma"/>
            <family val="2"/>
          </rPr>
          <t xml:space="preserve">
</t>
        </r>
      </text>
    </comment>
    <comment ref="R50" authorId="0" shapeId="0" xr:uid="{B4652E52-D522-4C68-90A2-727A21D5C1EE}">
      <text>
        <r>
          <rPr>
            <b/>
            <sz val="9"/>
            <color indexed="81"/>
            <rFont val="Tahoma"/>
            <family val="2"/>
          </rPr>
          <t xml:space="preserve">Kuinka monta sopimusjaksoa on tehty / kunta? 
Henkilö voi näkyä useita kertoja ja useammassa kunnassa, tieto tulee jaksokohtaisesti
</t>
        </r>
        <r>
          <rPr>
            <sz val="9"/>
            <color indexed="81"/>
            <rFont val="Tahoma"/>
            <family val="2"/>
          </rPr>
          <t xml:space="preserve">
</t>
        </r>
      </text>
    </comment>
    <comment ref="G96" authorId="0" shapeId="0" xr:uid="{ECB58A3D-68A0-4432-9E10-C3BC484AAA7A}">
      <text>
        <r>
          <rPr>
            <b/>
            <sz val="9"/>
            <color indexed="81"/>
            <rFont val="Tahoma"/>
            <family val="2"/>
          </rPr>
          <t xml:space="preserve">Yhteydenottopyyntö nuoret:
</t>
        </r>
        <r>
          <rPr>
            <sz val="9"/>
            <color indexed="81"/>
            <rFont val="Tahoma"/>
            <family val="2"/>
          </rPr>
          <t xml:space="preserve">Kaikkien tavoitettujen sekä kontaktiksi että yhteydenottopyynnöksi jääneiden nuorten ohjautuminen etsivään nuorisotyöhön.
</t>
        </r>
      </text>
    </comment>
    <comment ref="I96" authorId="0" shapeId="0" xr:uid="{F88E88CD-7C80-4555-8144-EE57C7874E87}">
      <text>
        <r>
          <rPr>
            <b/>
            <sz val="9"/>
            <color indexed="81"/>
            <rFont val="Tahoma"/>
            <family val="2"/>
          </rPr>
          <t xml:space="preserve">Ilmoitukset kaikilta jaksoilta:
</t>
        </r>
        <r>
          <rPr>
            <sz val="9"/>
            <color indexed="81"/>
            <rFont val="Tahoma"/>
            <family val="2"/>
          </rPr>
          <t xml:space="preserve">Hakuajan kaikki ilmoitukset, joita on nuorista tehty. Nuoresta voi olla useita ilmoituksia.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Nieminen Tuulikki</author>
  </authors>
  <commentList>
    <comment ref="AT2" authorId="0" shapeId="0" xr:uid="{00000000-0006-0000-0700-000001000000}">
      <text>
        <r>
          <rPr>
            <b/>
            <sz val="9"/>
            <color indexed="81"/>
            <rFont val="Tahoma"/>
            <family val="2"/>
          </rPr>
          <t>Nieminen Tuulikki:</t>
        </r>
        <r>
          <rPr>
            <sz val="9"/>
            <color indexed="81"/>
            <rFont val="Tahoma"/>
            <family val="2"/>
          </rPr>
          <t xml:space="preserve">
Otetaanko eka jakso ikänä kuten nyt vai hakuajan eka ilmentymä? Entä jos tieto on tyhjä? Mutta aiemmin tieto löytyisi...</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<sst xmlns="http://schemas.openxmlformats.org/spreadsheetml/2006/main" count="5170" uniqueCount="1661">
  <si>
    <t>ei kirjattu</t>
  </si>
  <si>
    <t>2. asteen tutkinto</t>
  </si>
  <si>
    <t>ei tietoa</t>
  </si>
  <si>
    <t>sosionomi</t>
  </si>
  <si>
    <t>yhteisöpedagogi</t>
  </si>
  <si>
    <t>lähihoitaja</t>
  </si>
  <si>
    <t>nuoriso- ja vapaa-ajan ohjaaja</t>
  </si>
  <si>
    <t>kuntoutuksen ohjaaja</t>
  </si>
  <si>
    <t>lasten ja nuorten erityisohjaaja</t>
  </si>
  <si>
    <t>liikunnanohjaaja</t>
  </si>
  <si>
    <t>nuorisosihteeri</t>
  </si>
  <si>
    <t>sairaanhoitaja</t>
  </si>
  <si>
    <t>muu</t>
  </si>
  <si>
    <t>ryhmämuotoinen toiminta</t>
  </si>
  <si>
    <t>ohjaamo</t>
  </si>
  <si>
    <t>suomi</t>
  </si>
  <si>
    <t>ruotsi</t>
  </si>
  <si>
    <t>albania</t>
  </si>
  <si>
    <t>arabia</t>
  </si>
  <si>
    <t>eesti</t>
  </si>
  <si>
    <t>englanti</t>
  </si>
  <si>
    <t>ranska</t>
  </si>
  <si>
    <t>kurdi</t>
  </si>
  <si>
    <t>saame</t>
  </si>
  <si>
    <t>saksa</t>
  </si>
  <si>
    <t>somali</t>
  </si>
  <si>
    <t>thai</t>
  </si>
  <si>
    <t>venäjä</t>
  </si>
  <si>
    <t>vietnam</t>
  </si>
  <si>
    <t>muu kieli</t>
  </si>
  <si>
    <t>2. asteen ammatillinen tutkinto suoritettu</t>
  </si>
  <si>
    <t>saapuminen</t>
  </si>
  <si>
    <t>KELA</t>
  </si>
  <si>
    <t>siviilipalvelu</t>
  </si>
  <si>
    <t>etsivien tuki ja tsemppaus</t>
  </si>
  <si>
    <t>nuotta-valmennus</t>
  </si>
  <si>
    <t>starttivalmennus</t>
  </si>
  <si>
    <t>palveluohjaus</t>
  </si>
  <si>
    <t>viranomaisverkon luominen</t>
  </si>
  <si>
    <t>asumiseen liittyvät palvelut</t>
  </si>
  <si>
    <t>ohjaus toisille etsiville</t>
  </si>
  <si>
    <t>toimeentuloon liittyvät palvelut</t>
  </si>
  <si>
    <t>lastensuojelutoimenpide</t>
  </si>
  <si>
    <t>muu sosiaalitoimen palvelu</t>
  </si>
  <si>
    <t>nuorisotoimen palvelut</t>
  </si>
  <si>
    <t>liikuntatoimen palvelut</t>
  </si>
  <si>
    <t>järjestöjen palvelut</t>
  </si>
  <si>
    <t>muut vapaa-ajan palvelut</t>
  </si>
  <si>
    <t>peruskoulun opinnot</t>
  </si>
  <si>
    <t>ohjaava ja valmistava ammatillinen koulutus</t>
  </si>
  <si>
    <t>muut nivelvaiheen opinnot</t>
  </si>
  <si>
    <t>lukion opinnot</t>
  </si>
  <si>
    <t>muut ammatilliset opinnot</t>
  </si>
  <si>
    <t>hakenut opiskelemaan / ohjattu koulupaikan haussa</t>
  </si>
  <si>
    <t>oppisopimuskoulutus</t>
  </si>
  <si>
    <t>ilmoittautuminen työttömäksi työnhakijaksi</t>
  </si>
  <si>
    <t>työpajaan</t>
  </si>
  <si>
    <t>ohjaaminen ryhmätoimintaan</t>
  </si>
  <si>
    <t>ohjaaminen kotouttamistoimenpiteisiin</t>
  </si>
  <si>
    <t>varusmiespalvelu</t>
  </si>
  <si>
    <t>poliisi</t>
  </si>
  <si>
    <t>muut toimenpiteet</t>
  </si>
  <si>
    <t>muut</t>
  </si>
  <si>
    <t>Muu</t>
  </si>
  <si>
    <t>joista naisia</t>
  </si>
  <si>
    <t>alle 16</t>
  </si>
  <si>
    <t>16v</t>
  </si>
  <si>
    <t>Oppilaitos</t>
  </si>
  <si>
    <t>Peruskoulu</t>
  </si>
  <si>
    <t>17v</t>
  </si>
  <si>
    <t>18v</t>
  </si>
  <si>
    <t>21-25</t>
  </si>
  <si>
    <t>19v</t>
  </si>
  <si>
    <t>Lukio</t>
  </si>
  <si>
    <t>26-28</t>
  </si>
  <si>
    <t>20v</t>
  </si>
  <si>
    <t>Starttivalmennus</t>
  </si>
  <si>
    <t>Liikunta, nuoriso ja vapaa-ajan palvelut</t>
  </si>
  <si>
    <t>21v</t>
  </si>
  <si>
    <t>Opinnot</t>
  </si>
  <si>
    <t>22v</t>
  </si>
  <si>
    <t>Nuorisotyö</t>
  </si>
  <si>
    <t>yhteensä</t>
  </si>
  <si>
    <t>23v</t>
  </si>
  <si>
    <t>Ammatillinen perustutkinto</t>
  </si>
  <si>
    <t>24v</t>
  </si>
  <si>
    <t>Ohjaus toisille etsiville</t>
  </si>
  <si>
    <t>25v</t>
  </si>
  <si>
    <t>26v</t>
  </si>
  <si>
    <t>ikä ei tietoa</t>
  </si>
  <si>
    <t>27v</t>
  </si>
  <si>
    <t>28v</t>
  </si>
  <si>
    <t>Muut</t>
  </si>
  <si>
    <t>Yhteensä</t>
  </si>
  <si>
    <t>Muut toimenpiteet</t>
  </si>
  <si>
    <t>Muu opiskelu</t>
  </si>
  <si>
    <t>Äidinkieli</t>
  </si>
  <si>
    <t>Ei tietoa</t>
  </si>
  <si>
    <t>Suoraan /kavereiden- tai sukulaisen yhteydenotto</t>
  </si>
  <si>
    <t>Aloitettu</t>
  </si>
  <si>
    <t>Keskeytetty</t>
  </si>
  <si>
    <t>Koulutustausta</t>
  </si>
  <si>
    <t>MUUTOS</t>
  </si>
  <si>
    <t>VAIHTUVA OTSIKKO, HAUN MUKAAN: "YHTEYDENOTTOPYYNNÖT (sisältää kontaktit ja tavoitetut)"</t>
  </si>
  <si>
    <t>Yhteydenottopyyntö</t>
  </si>
  <si>
    <t>Kontakti</t>
  </si>
  <si>
    <t>määrä</t>
  </si>
  <si>
    <t>Nuorten määrä ikäluokittain</t>
  </si>
  <si>
    <t>Nuorten äidinkieli</t>
  </si>
  <si>
    <t>Ikä</t>
  </si>
  <si>
    <t>ikäryhmänosuus %</t>
  </si>
  <si>
    <t>miesten osuus %</t>
  </si>
  <si>
    <t>naisten osuus %</t>
  </si>
  <si>
    <t xml:space="preserve"> - </t>
  </si>
  <si>
    <t>Nuoret yhteensä</t>
  </si>
  <si>
    <t>vierasperäiset kielet</t>
  </si>
  <si>
    <t xml:space="preserve">kotimaiset kielet </t>
  </si>
  <si>
    <t>määrä 
(osuus %)</t>
  </si>
  <si>
    <t>Ohjaava taho</t>
  </si>
  <si>
    <t>Edelleen peruskoulussa</t>
  </si>
  <si>
    <t>Lukion oppimäärä</t>
  </si>
  <si>
    <t>Korkeakoulututkinto</t>
  </si>
  <si>
    <t>Muu tutkinto</t>
  </si>
  <si>
    <t>Ei tietoa, yhteensä</t>
  </si>
  <si>
    <t>Ulkomailla suoritettu tutkinto</t>
  </si>
  <si>
    <t>Peruskoulu keskeytynyt</t>
  </si>
  <si>
    <t>Suorittamassa lukiota</t>
  </si>
  <si>
    <t>Lukio keskeytynyt</t>
  </si>
  <si>
    <t>Ylioppilas</t>
  </si>
  <si>
    <t>Keskeytynyt 2. asteen ammatillinen tutkinto</t>
  </si>
  <si>
    <t xml:space="preserve">Keskeytynyt korkeakoulututkinto </t>
  </si>
  <si>
    <t>Korkeakoulututkinto suoritettu</t>
  </si>
  <si>
    <t>Naisia</t>
  </si>
  <si>
    <t>Miehiä</t>
  </si>
  <si>
    <t>tiedoksi: 29 v. ja vanhempi</t>
  </si>
  <si>
    <t>Muu taho</t>
  </si>
  <si>
    <t>Kavereiden yhteydenotto</t>
  </si>
  <si>
    <t>Vanhempien / sukulaisen yhteydenotto</t>
  </si>
  <si>
    <t>Ohjaamo</t>
  </si>
  <si>
    <t>Työpaja</t>
  </si>
  <si>
    <t>Katutyö</t>
  </si>
  <si>
    <t>Muu oppilaitos</t>
  </si>
  <si>
    <t>Toiminta</t>
  </si>
  <si>
    <t>Asumismuoto</t>
  </si>
  <si>
    <t>Toimeentulo</t>
  </si>
  <si>
    <t>Peruskoulussa</t>
  </si>
  <si>
    <t>Työssä käyvä</t>
  </si>
  <si>
    <t>Työttömäksi ilmoittautunut työnhakija</t>
  </si>
  <si>
    <t>Työtön, ei työttömäksi ilmoittautunut</t>
  </si>
  <si>
    <t>Opiskelija</t>
  </si>
  <si>
    <t>Sairaana</t>
  </si>
  <si>
    <t>Eläkkeellä</t>
  </si>
  <si>
    <t>Asevelvollisuus</t>
  </si>
  <si>
    <t>Perhevapaalla kotona (lastenhoito)</t>
  </si>
  <si>
    <t>Kotoutumistoimeenpiteessä</t>
  </si>
  <si>
    <t>Palkka</t>
  </si>
  <si>
    <t>Työttömyysturva</t>
  </si>
  <si>
    <t xml:space="preserve">Toimeentulotuki </t>
  </si>
  <si>
    <t>Kotoutumistuki</t>
  </si>
  <si>
    <t>Vanhempainetuudet</t>
  </si>
  <si>
    <t>Eläke</t>
  </si>
  <si>
    <t>Sairauspäiväraha</t>
  </si>
  <si>
    <t>Vanhempien tuki</t>
  </si>
  <si>
    <t>Opintotuki</t>
  </si>
  <si>
    <t>Kuntoutustuki</t>
  </si>
  <si>
    <t>Pitkäaikainen toimeentulotuki</t>
  </si>
  <si>
    <t>Vanhempien asunnossa</t>
  </si>
  <si>
    <t>Omassa vuokra-asunnossa</t>
  </si>
  <si>
    <t>Omassa omistusasunnossa</t>
  </si>
  <si>
    <t>Sukulaisten luona</t>
  </si>
  <si>
    <t>Kavereiden luona</t>
  </si>
  <si>
    <t>Opiskelija-asunnossa / asuntolassa</t>
  </si>
  <si>
    <t>Asunnoton</t>
  </si>
  <si>
    <t>Tukiasunnossa</t>
  </si>
  <si>
    <t>Laitoksessa</t>
  </si>
  <si>
    <t>Vastaanottokeskuksessa</t>
  </si>
  <si>
    <t>osuus</t>
  </si>
  <si>
    <r>
      <t>Peruskoulu suoritettu</t>
    </r>
    <r>
      <rPr>
        <sz val="10"/>
        <color rgb="FFFF8C00"/>
        <rFont val="Calibri"/>
        <family val="2"/>
        <scheme val="minor"/>
      </rPr>
      <t xml:space="preserve"> </t>
    </r>
  </si>
  <si>
    <t>Nuorten määrä iän mukaan</t>
  </si>
  <si>
    <t>Nuori ei halua aloittaa asiakkuutta</t>
  </si>
  <si>
    <t>Nuorella ei ole tarvetta asiakkuuteen</t>
  </si>
  <si>
    <t>Miesten ja naisten osuus (%)</t>
  </si>
  <si>
    <t>YHTEYDENOTTOPYYNTÖ</t>
  </si>
  <si>
    <t>KONTAKTI</t>
  </si>
  <si>
    <t>TAVOITETTU</t>
  </si>
  <si>
    <t>ASNO_ASNO</t>
  </si>
  <si>
    <t>ASNO_AIKALEIMA</t>
  </si>
  <si>
    <t>ASNOComboBox_EtEtsiva</t>
  </si>
  <si>
    <t>ASNOComboBox_EtStatus</t>
  </si>
  <si>
    <t>ASNOComboBox_EtAsikastila</t>
  </si>
  <si>
    <t>ASNOComboBox_EtKuntakoodi</t>
  </si>
  <si>
    <t>ASNOTextBox_EtSaika</t>
  </si>
  <si>
    <t>ASNOCheckBox_EtSaikavirhe</t>
  </si>
  <si>
    <t>ASNO_Group_OptionButton_ET_sukupuoli</t>
  </si>
  <si>
    <t>ASNOComboBox_EtKieli</t>
  </si>
  <si>
    <t>ASNOTextBox_EtLiputus2</t>
  </si>
  <si>
    <t>ASNO_ILMOITUSPÄIVÄ</t>
  </si>
  <si>
    <t>ASNO_SAAPUMISPÄIVÄ</t>
  </si>
  <si>
    <t>ASNO_SAAPUMINEN</t>
  </si>
  <si>
    <t>ASNO_LOPETTAMISEN SYY</t>
  </si>
  <si>
    <t>ASNO_LOPETUSPÄIVÄ</t>
  </si>
  <si>
    <t>ASNO_TEKOAIKA</t>
  </si>
  <si>
    <t>ASNO_MUUTOSAIKA</t>
  </si>
  <si>
    <t xml:space="preserve">ASNO_CheckBox_EtSukupuoli_muu   </t>
  </si>
  <si>
    <t>ASNO_TextBox_Asiakas_kannassa</t>
  </si>
  <si>
    <t>ComboBox_EtStatus#yhteydenottopyyntö</t>
  </si>
  <si>
    <t>ComboBox_EtAsikastila#aktiivinen</t>
  </si>
  <si>
    <t>OptionButton_EtNainen</t>
  </si>
  <si>
    <t>ComboBox_EtKieli#albania</t>
  </si>
  <si>
    <t>ComboBox_EtSaapunut_1#varusmiespalvelu (Time out -toiminta)</t>
  </si>
  <si>
    <t>ComboBox_Etpaatos_syy#nuorella ei ole tarvetta asiakkuuteen</t>
  </si>
  <si>
    <t>E</t>
  </si>
  <si>
    <t>ComboBox_EtStatus#tavoitettu</t>
  </si>
  <si>
    <t>OptionButton_EtMies</t>
  </si>
  <si>
    <t>ComboBox_EtKieli#suomi</t>
  </si>
  <si>
    <t>ComboBox_EtAsikastila#ei aloitettu</t>
  </si>
  <si>
    <t>ComboBox_EtSaapunut_1#toinen etsivä nuorisotyö</t>
  </si>
  <si>
    <t>ComboBox_EtSaapunut_1#muu oppilaitos</t>
  </si>
  <si>
    <t>ComboBox_EtAsikastila#päättynyt</t>
  </si>
  <si>
    <t>ComboBox_EtSaapunut_1#toisen asteen oppilaitos</t>
  </si>
  <si>
    <t>ComboBox_Etpaatos_syy#ohjattu puhelimitse</t>
  </si>
  <si>
    <t>ComboBox_EtSaapunut_1#terveystoimi</t>
  </si>
  <si>
    <t>ComboBox_EtAsikastila#satunnainen</t>
  </si>
  <si>
    <t>ComboBox_Etpaatos_syy#ei enää tavoiteta - kadonnut</t>
  </si>
  <si>
    <t>ComboBox_Etpaatos_syy#nuori ei halua aloittaa asiakkuutta</t>
  </si>
  <si>
    <t>ComboBox_EtSaapunut_1#nuoren suora yhteydenotto</t>
  </si>
  <si>
    <t>ComboBox_EtSaapunut_1#sosiaalitoimi</t>
  </si>
  <si>
    <t>ComboBox_EtSaapunut_1#työpaja</t>
  </si>
  <si>
    <t>ComboBox_EtSaapunut_1#nuoren yhteydenotto sähköisen median kautta</t>
  </si>
  <si>
    <t>ComboBox_EtSaapunut_1#katutyö</t>
  </si>
  <si>
    <t>ComboBox_EtStatus#kontakti</t>
  </si>
  <si>
    <t>ComboBox_EtSaapunut_1#vanhempien / sukulaisen yhteydenotto</t>
  </si>
  <si>
    <t>ComboBox_Etpaatos_syy#muutto toiselle paikkakunnalle</t>
  </si>
  <si>
    <t>ComboBox_Etpaatos_syy#muu syy</t>
  </si>
  <si>
    <t>ComboBox_EtSaapunut_1#muu taho</t>
  </si>
  <si>
    <t>ComboBox_EtKieli#ruotsi</t>
  </si>
  <si>
    <t>ComboBox_EtSaapunut_1#kavereiden yhteydenotto</t>
  </si>
  <si>
    <t>ComboBox_Etpaatos_syy#ohjaus toisille etsiville</t>
  </si>
  <si>
    <t>ComboBox_Etpaatos_syy#aloittanut 2. asteen opinnot</t>
  </si>
  <si>
    <t>ComboBox_Etpaatos_syy#jatkanut 2. asteen opintoja</t>
  </si>
  <si>
    <t>ComboBox_EtSaapunut_1#peruskoulu</t>
  </si>
  <si>
    <t>ComboBox_EtAsikastila#kadonnut</t>
  </si>
  <si>
    <t>ComboBox_EtAsikastila#ei tavoiteta</t>
  </si>
  <si>
    <t>ComboBox_EtKieli#englanti</t>
  </si>
  <si>
    <t>ComboBox_EtSaapunut_1#ei tietoa</t>
  </si>
  <si>
    <t>ComboBox_EtKieli#somali</t>
  </si>
  <si>
    <t>ComboBox_Etpaatos_syy#perhevapaa</t>
  </si>
  <si>
    <t>ComboBox_EtSaapunut_1#lukio</t>
  </si>
  <si>
    <t>ComboBox_EtKieli#venäjä</t>
  </si>
  <si>
    <t>ComboBox_EtKieli#ranska</t>
  </si>
  <si>
    <t>ComboBox_EtSaapunut_1#nuorisotyö</t>
  </si>
  <si>
    <t>ComboBox_Etpaatos_syy#sairasloma</t>
  </si>
  <si>
    <t>ComboBox_EtKieli#ei tietoa</t>
  </si>
  <si>
    <t>ComboBox_EtKieli#arabia</t>
  </si>
  <si>
    <t>ComboBox_EtKieli#eesti</t>
  </si>
  <si>
    <t>ComboBox_EtKieli#thai</t>
  </si>
  <si>
    <t>ComboBox_EtKieli#vietnam</t>
  </si>
  <si>
    <t>TP_ID</t>
  </si>
  <si>
    <t>TP_AIKALEIMA</t>
  </si>
  <si>
    <t>TP_ASNO</t>
  </si>
  <si>
    <t>TP_LUOKKA</t>
  </si>
  <si>
    <t>TP_TOIMENPIDE</t>
  </si>
  <si>
    <t>TP_MUU_TP</t>
  </si>
  <si>
    <t>TP_ALOITUSPVM</t>
  </si>
  <si>
    <t>TP_PAATTYMISPVM</t>
  </si>
  <si>
    <t>TP_STATUS_KIELTO</t>
  </si>
  <si>
    <t>TP_TÄRKEIN_TPIDE</t>
  </si>
  <si>
    <t>TP_Group_OptionButton_EtTP</t>
  </si>
  <si>
    <t>tp_toimenpide_muu</t>
  </si>
  <si>
    <t>TP_TEKOAIKA</t>
  </si>
  <si>
    <t>TP_MUUTOSAIKA</t>
  </si>
  <si>
    <t>ComboBox_EtToimenpide_yla#työpajaan</t>
  </si>
  <si>
    <t>ComboBox_EtToimenpide_yla#mielenterveystoimiston palvelut</t>
  </si>
  <si>
    <t>ComboBox_EtToimenpide_yla#päihdekuntoutus</t>
  </si>
  <si>
    <t>ComboBox_EtToimenpide_yla#muu terveyskeskuspalvelu</t>
  </si>
  <si>
    <t>ComboBox_EtToimenpide_yla#ilmoittautuminen työttömäksi työnhakijaksi</t>
  </si>
  <si>
    <t>ComboBox_EtToimenpide_yla#toimeentuloon liittyvät palvelut</t>
  </si>
  <si>
    <t>ComboBox_EtToimenpide_yla#TE-toimiston muu palvelu</t>
  </si>
  <si>
    <t>ComboBox_EtToimenpide_yla#muu sosiaalitoimen palvelu</t>
  </si>
  <si>
    <t>ComboBox_EtToimenpide_yla#muut vapaa-ajan palvelut</t>
  </si>
  <si>
    <t>ComboBox_EtToimenpide_yla#työhön</t>
  </si>
  <si>
    <t>ComboBox_EtToimenpide_yla#muut toimenpiteet</t>
  </si>
  <si>
    <t>ComboBox_EtToimenpide_yla#asumiseen liittyvät palvelut</t>
  </si>
  <si>
    <t>ComboBox_EtToimenpide_yla#TE-toimiston ammatinvalinnanohjaus</t>
  </si>
  <si>
    <t>ComboBox_EtToimenpide_yla#kuntouttava työtoiminta</t>
  </si>
  <si>
    <t>ComboBox_EtToimenpide_yla#viranomaisverkon luominen</t>
  </si>
  <si>
    <t>ComboBox_EtToimenpide_yla#velkaneuvonta</t>
  </si>
  <si>
    <t>ComboBox_EtToimenpide_yla#oppisopimuskoulutus</t>
  </si>
  <si>
    <t>ComboBox_EtToimenpide_yla#nuorisotoimen palvelut</t>
  </si>
  <si>
    <t>ComboBox_EtToimenpide_yla#liikuntatoimen palvelut</t>
  </si>
  <si>
    <t>ComboBox_EtToimenpide_yla#järjestöjen palvelut</t>
  </si>
  <si>
    <t>ComboBox_EtToimenpide_yla#ohjaaminen kotouttamistoimenpiteisiin</t>
  </si>
  <si>
    <t>ComboBox_EtToimenpide_yla#poliisi</t>
  </si>
  <si>
    <t>ComboBox_EtToimenpide_yla#lastensuojelutoimenpide</t>
  </si>
  <si>
    <t>ComboBox_EtToimenpide_yla#varusmiespalvelu</t>
  </si>
  <si>
    <t>ComboBox_EtToimenpide_yla#etsivien tuki ja tsemppaus</t>
  </si>
  <si>
    <t>ComboBox_EtToimenpide_yla#palveluohjaus</t>
  </si>
  <si>
    <t>ComboBox_EtToimenpide_yla#jatkanut ammatillisia perusopintoja</t>
  </si>
  <si>
    <t>ComboBox_EtToimenpide_yla#hakenut opiskelemaan / ohjattu koulupaikan haussa</t>
  </si>
  <si>
    <t>ComboBox_EtToimenpide_yla#TE-toimiston työkokeilu</t>
  </si>
  <si>
    <t>ComboBox_EtToimenpide_yla#ohjaus toisille etsiville</t>
  </si>
  <si>
    <t>ComboBox_EtToimenpide_yla#muu opiskelu</t>
  </si>
  <si>
    <t>ComboBox_EtToimenpide_yla#ohjaaminen ryhmätoimintaan</t>
  </si>
  <si>
    <t>ComboBox_EtToimenpide_yla#ohjaava ja valmistava ammatillinen koulutus</t>
  </si>
  <si>
    <t>ComboBox_EtToimenpide_yla#tulevaisuustyöskentely</t>
  </si>
  <si>
    <t>ComboBox_EtToimenpide_yla#peruskoulun opinnot</t>
  </si>
  <si>
    <t>ComboBox_EtToimenpide_yla#nuotta-valmennus</t>
  </si>
  <si>
    <t>ComboBox_EtToimenpide_yla#muut ammatilliset opinnot</t>
  </si>
  <si>
    <t>ComboBox_EtToimenpide_yla#ryhmämuotoinen toiminta</t>
  </si>
  <si>
    <t>ComboBox_EtToimenpide_yla#lukion opinnot</t>
  </si>
  <si>
    <t>ComboBox_EtToimenpide_yla#aloittanut ammatilliset perusopinnot</t>
  </si>
  <si>
    <t>OptionButton_EtTP_suunnittelu</t>
  </si>
  <si>
    <t>JA_ID</t>
  </si>
  <si>
    <t>JA_AIKALEIMA</t>
  </si>
  <si>
    <t>JA_ASNO</t>
  </si>
  <si>
    <t>JA_SAAPUNUT</t>
  </si>
  <si>
    <t>JA_ILMOITUSPVM</t>
  </si>
  <si>
    <t>JA_ALOITUSPVM</t>
  </si>
  <si>
    <t>JA_ETLAKI_group</t>
  </si>
  <si>
    <t>JA_KOODI2</t>
  </si>
  <si>
    <t>JA_PAATOSPVM</t>
  </si>
  <si>
    <t>JA_SYY</t>
  </si>
  <si>
    <t>JA_Group_OptionButton_ensisij</t>
  </si>
  <si>
    <t>JA_TextBox_EtEnsisij_muu</t>
  </si>
  <si>
    <t>JA_ComboBox_EtEnsisij_kesto</t>
  </si>
  <si>
    <t>JA_ComboBox_EtEnsisij</t>
  </si>
  <si>
    <t>JA_TEKOAIKA</t>
  </si>
  <si>
    <t>JA_MUUTOSAIKA</t>
  </si>
  <si>
    <t>JA_USEITAILMOITUKSIA</t>
  </si>
  <si>
    <t>OptionButton_EtLaki_Kyllä</t>
  </si>
  <si>
    <t>ComboBox_EtSaapunut_1#työvoiman palvelukeskus</t>
  </si>
  <si>
    <t>ComboBox_Etpaatos_syy#ei saatu kontaktia</t>
  </si>
  <si>
    <t>TILANNE_ID</t>
  </si>
  <si>
    <t>TILANNE_AIKALEIMA</t>
  </si>
  <si>
    <t>TILANNE_KAYTTIS</t>
  </si>
  <si>
    <t>TILANNE_ComboBox_EtKoulutustausta_alku</t>
  </si>
  <si>
    <t>TILANNE_ComboBox_EtKoulutustausta_muu_alku</t>
  </si>
  <si>
    <t>TILANNE_CheckBox_EtKeskOpinnot_alku</t>
  </si>
  <si>
    <t>TILANNE_CheckBox_EtErityisoppilaitos_alku</t>
  </si>
  <si>
    <t>TILANNE_ComboBox_EtPaaToiminta_alku</t>
  </si>
  <si>
    <t>TILANNE_ComboBox_EtPaaTulo_alku</t>
  </si>
  <si>
    <t>TILANNE_ComboBox_EtPaaAsuminen_alku</t>
  </si>
  <si>
    <t>TILANNE_CheckBox_EtVelkaantuminen_alku</t>
  </si>
  <si>
    <t>TILANNE_CheckBox_EtLuottotiedot_alku</t>
  </si>
  <si>
    <t>TILANNE_TALLETUSAIKA</t>
  </si>
  <si>
    <t>TILANNE_MUUTOSAIKA</t>
  </si>
  <si>
    <t>ComboBox_EtKoulutustausta_alku#peruskoulu suoritettu</t>
  </si>
  <si>
    <t>ComboBox_EtKoulutustausta_muu_alku#suorittamassa lukiota</t>
  </si>
  <si>
    <t>ComboBox_EtPaaToiminta_alku#eläkkeellä</t>
  </si>
  <si>
    <t>ComboBox_EtPaaTulo_alku#kotoutumistuki</t>
  </si>
  <si>
    <t>ComboBox_EtKoulutustausta_muu_alku#keskeytynyt 2. asteen ammatillinen tutkinto</t>
  </si>
  <si>
    <t>ComboBox_EtPaaToiminta_alku#työtön, ei työttömäksi ilmoittautunut</t>
  </si>
  <si>
    <t>ComboBox_EtPaaTulo_alku#vanhempien tuki</t>
  </si>
  <si>
    <t>ComboBox_EtPaaAsuminen_alku#vanhempien asunnossa</t>
  </si>
  <si>
    <t>ComboBox_EtKoulutustausta_alku#peruskoulu keskeytynyt</t>
  </si>
  <si>
    <t>ComboBox_EtKoulutustausta_muu_alku#peruskoulu keskeytynyt</t>
  </si>
  <si>
    <t>ComboBox_EtPaaTulo_alku#toimeentulotuki</t>
  </si>
  <si>
    <t>ComboBox_EtPaaAsuminen_alku#omassa vuokra-asunnossa</t>
  </si>
  <si>
    <t>ComboBox_EtKoulutustausta_muu_alku#peruskoulu suoritettu</t>
  </si>
  <si>
    <t>ComboBox_EtPaaToiminta_alku#ei tietoa</t>
  </si>
  <si>
    <t>ComboBox_EtPaaTulo_alku#ei tietoa</t>
  </si>
  <si>
    <t>ComboBox_EtPaaAsuminen_alku#ei tietoa</t>
  </si>
  <si>
    <t>ComboBox_EtPaaToiminta_alku#työttömäksi ilmoittautunut työnhakija</t>
  </si>
  <si>
    <t>ComboBox_EtPaaTulo_alku#pitkäaikainen toimeentulotuki</t>
  </si>
  <si>
    <t>ComboBox_EtKoulutustausta_muu_alku#suorittamassa 2. asteen ammatillista tutkintoa</t>
  </si>
  <si>
    <t>ComboBox_EtKoulutustausta_muu_alku#ei tietoa</t>
  </si>
  <si>
    <t>ComboBox_EtPaaToiminta_alku#perhevapaalla kotona (lastenhoito)</t>
  </si>
  <si>
    <t>ComboBox_EtPaaToiminta_alku#opiskelija</t>
  </si>
  <si>
    <t>ComboBox_EtPaaTulo_alku#opintotuki</t>
  </si>
  <si>
    <t>ComboBox_EtKoulutustausta_muu_alku#lukio keskeytynyt</t>
  </si>
  <si>
    <t>ComboBox_EtPaaToiminta_alku#sairaana</t>
  </si>
  <si>
    <t>ComboBox_EtKoulutustausta_muu_alku#edelleen peruskoulussa</t>
  </si>
  <si>
    <t>ComboBox_EtPaaTulo_alku#työttömyysturva</t>
  </si>
  <si>
    <t>ComboBox_EtKoulutustausta_muu_alku#2. asteen ammatillinen tutkinto suoritettu</t>
  </si>
  <si>
    <t>ComboBox_EtPaaTulo_alku#kuntoutustuki</t>
  </si>
  <si>
    <t>ComboBox_EtPaaTulo_alku#eläke</t>
  </si>
  <si>
    <t>ComboBox_EtPaaTulo_alku#sairauspäiväraha</t>
  </si>
  <si>
    <t>ComboBox_EtKoulutustausta_muu_alku#korkeakoulututkinto suoritettu</t>
  </si>
  <si>
    <t>ComboBox_EtPaaAsuminen_alku#tukiasunnossa</t>
  </si>
  <si>
    <t>ComboBox_EtKoulutustausta_muu_alku#ylioppilas</t>
  </si>
  <si>
    <t>ComboBox_EtKoulutustausta_muu_alku#lukion oppimäärä</t>
  </si>
  <si>
    <t>ComboBox_EtKoulutustausta_muu_alku#keskeytynyt korkeakoulututkinto</t>
  </si>
  <si>
    <t>ComboBox_EtPaaAsuminen_alku#opiskelija-asunnossa, asuntolassa</t>
  </si>
  <si>
    <t>ComboBox_EtPaaToiminta_alku#työssä käyvä</t>
  </si>
  <si>
    <t>ComboBox_EtPaaTulo_alku#palkka</t>
  </si>
  <si>
    <t>ComboBox_EtPaaAsuminen_alku#asunnoton</t>
  </si>
  <si>
    <t>ComboBox_EtPaaToiminta_alku#peruskoulussa</t>
  </si>
  <si>
    <t>ComboBox_EtPaaAsuminen_alku#sukulaisten luona</t>
  </si>
  <si>
    <t>ComboBox_EtPaaAsuminen_alku#laitoksessa</t>
  </si>
  <si>
    <t>Toimeentulotuki</t>
  </si>
  <si>
    <t>ComboBox_EtPaaToiminta_alku#kotoutumistoimenpiteessä</t>
  </si>
  <si>
    <t>ComboBox_EtPaaToiminta_alku#muu</t>
  </si>
  <si>
    <t>ComboBox_EtPaaTulo_alku#muu</t>
  </si>
  <si>
    <t>ComboBox_EtPaaAsuminen_alku#kaverien luona</t>
  </si>
  <si>
    <t>ComboBox_EtKoulutustausta_muu_alku#ulkomailla suoritettu tutkinto</t>
  </si>
  <si>
    <t>ComboBox_EtPaaAsuminen_alku#omassa omistusasunnossa</t>
  </si>
  <si>
    <t>ComboBox_EtPaaAsuminen_alku#muu</t>
  </si>
  <si>
    <t>ComboBox_EtPaaToiminta_alku#asevelvollisuus</t>
  </si>
  <si>
    <t>ComboBox_EtPaaTulo_alku#vanhempainetuudet</t>
  </si>
  <si>
    <t>ComboBox_EtKoulutustausta_muu_alku#muu tutkinto</t>
  </si>
  <si>
    <t>ComboBox_EtKoulutustausta_alku#ylioppilas</t>
  </si>
  <si>
    <t>ComboBox_EtKoulutustausta_alku#2. asteen ammatillinen tutkinto</t>
  </si>
  <si>
    <t>ComboBox_EtKoulutustausta_alku#ei tietoa</t>
  </si>
  <si>
    <t>ComboBox_EtKoulutustausta_alku#yliopistotutkinto</t>
  </si>
  <si>
    <t>ComboBox_EtKoulutustausta_alku#edelleen peruskoulussa</t>
  </si>
  <si>
    <t>ComboBox_EtKoulutustausta_alku#muu tutkinto</t>
  </si>
  <si>
    <t>ComboBox_EtKoulutustausta_alku#ammattikorkeakoulututkinto</t>
  </si>
  <si>
    <t>ComboBox_EtKoulutustausta_alku#lukion oppimäärä</t>
  </si>
  <si>
    <t>K</t>
  </si>
  <si>
    <t>KAYT_KAYT</t>
  </si>
  <si>
    <t>KAYT_AIKALEIMA</t>
  </si>
  <si>
    <t>KAYT_ETUNIMI</t>
  </si>
  <si>
    <t>KAYT_SUKUNIMI</t>
  </si>
  <si>
    <t>KAYT_PUHELIN_TYO</t>
  </si>
  <si>
    <t>KAYT_EMAIL</t>
  </si>
  <si>
    <t>KAYT_GROUP_SUKUPUOLI</t>
  </si>
  <si>
    <t>KAYT_SYNTYMAAIKA</t>
  </si>
  <si>
    <t>KAYT_TYOKOKEMUS</t>
  </si>
  <si>
    <t>KAYT_KOULUTUS</t>
  </si>
  <si>
    <t>KAYT_AMMATTINIMIKE</t>
  </si>
  <si>
    <t>KAYT_MUU_KIELI</t>
  </si>
  <si>
    <t>KAYT_SUOMI</t>
  </si>
  <si>
    <t>KAYT_RUOTSI</t>
  </si>
  <si>
    <t>KAYT_ENGLANTI</t>
  </si>
  <si>
    <t>KAYT_SAKSA</t>
  </si>
  <si>
    <t>KAYT_RANSKA</t>
  </si>
  <si>
    <t>KAYT_EESTI</t>
  </si>
  <si>
    <t>KAYT_VENAJA</t>
  </si>
  <si>
    <t>KAYT_SOMALI</t>
  </si>
  <si>
    <t>KAYT_SAAME</t>
  </si>
  <si>
    <t>KAYT_MUU_KIELITAITO</t>
  </si>
  <si>
    <t>KAYT_KUNTA_1</t>
  </si>
  <si>
    <t>KAYT_KUNTA_2</t>
  </si>
  <si>
    <t>KAYT_KUNTA_3</t>
  </si>
  <si>
    <t>KAYT_KUNTA_4</t>
  </si>
  <si>
    <t>KAYT_KUNTA_5</t>
  </si>
  <si>
    <t>KAYT_KUNTA_6</t>
  </si>
  <si>
    <t>KAYT_TextBox_TyHlo_aloituspvm</t>
  </si>
  <si>
    <t>KAYT_TextBox_TyHlo_paatospvm</t>
  </si>
  <si>
    <t>KAYT_ComboBox_TyHlo_org</t>
  </si>
  <si>
    <t>KAYT_ComboBox_TyHlo_yksikko</t>
  </si>
  <si>
    <t>KAYT_ComboBox_TyHlo_tyosuhde</t>
  </si>
  <si>
    <t>KAYT_TyHlo_tyoteht</t>
  </si>
  <si>
    <t>KAYT_TyHlo_htv</t>
  </si>
  <si>
    <t>ORG_NO</t>
  </si>
  <si>
    <t>ORG_AIKALEIMA</t>
  </si>
  <si>
    <t>ORG_TextBox_EtOrg_nimi</t>
  </si>
  <si>
    <t>ORG_TextBox_EtOrg_hanke</t>
  </si>
  <si>
    <t>ORG_TextBox_EtOrg_osoite</t>
  </si>
  <si>
    <t>ORG_TextBox_EtOrg_postinro</t>
  </si>
  <si>
    <t>ORG_TextBox_EtOrg_postitmp</t>
  </si>
  <si>
    <t>ORG_ComboBox_EtOrg_avi</t>
  </si>
  <si>
    <t>ORG_ComboBox_EtOrg_maakunta</t>
  </si>
  <si>
    <t>ORG_ComboBox_EtOrg_seutukunta</t>
  </si>
  <si>
    <t>ORG_ComboBox_EtOrg_kunta</t>
  </si>
  <si>
    <t>ORG_TextBox_EtOrg_ytunnus</t>
  </si>
  <si>
    <t>ORG_TextBox_EtOrg_reknum</t>
  </si>
  <si>
    <t>ORG_TextBox_EtOrg_alkupvm</t>
  </si>
  <si>
    <t>ORG_TextBox_EtOrg_loppupvm</t>
  </si>
  <si>
    <t>ORG_TextBox_EtOrg_Diaari</t>
  </si>
  <si>
    <t>ORG_TextBox_EtOrg_Diaarialku</t>
  </si>
  <si>
    <t>ORG_TextBox_EtOrg_Diaariloppu</t>
  </si>
  <si>
    <t>ORG_Henkilöstö</t>
  </si>
  <si>
    <t>ORG_henkilöstö_naisia</t>
  </si>
  <si>
    <t>ORG_työntekijat</t>
  </si>
  <si>
    <t>ORG_työntekijat_naisia</t>
  </si>
  <si>
    <t>ORG_TextBox_EtOrg_kunta1</t>
  </si>
  <si>
    <t>ORG_TextBox_EtOrg_kunta2</t>
  </si>
  <si>
    <t>ORG_TextBox_EtOrg_kunta3</t>
  </si>
  <si>
    <t>ORG_TextBox_EtOrg_kunta4</t>
  </si>
  <si>
    <t>ORG_TextBox_EtOrg_kunta5</t>
  </si>
  <si>
    <t>ORG_TextBox_EtOrg_kunta6</t>
  </si>
  <si>
    <t>ORG_TextBox_EtOrg_kunta_lisaa</t>
  </si>
  <si>
    <t>ORG_Kunta_lkm</t>
  </si>
  <si>
    <t>ORG_kumppanit_lkm</t>
  </si>
  <si>
    <t>ORG_osoitteet_www</t>
  </si>
  <si>
    <t>ORG_osoitteet_face</t>
  </si>
  <si>
    <t>ORG_osoitteet_some</t>
  </si>
  <si>
    <t>ORG_TextBox_ETorg_logo</t>
  </si>
  <si>
    <t>NRO 1</t>
  </si>
  <si>
    <t>aloituspäivä(jos ei aloitusta, niin ilmoitus, jos ei sitäkään, niin tallennuspäivä)</t>
  </si>
  <si>
    <t>NRO1</t>
  </si>
  <si>
    <t>Hakuaika</t>
  </si>
  <si>
    <t>aloitus (ilmoitus jos ei aloitusta ja tallennus jos ei ilmoitusta)</t>
  </si>
  <si>
    <t>lopetus</t>
  </si>
  <si>
    <t>jakson kesto</t>
  </si>
  <si>
    <t>OK</t>
  </si>
  <si>
    <t>kuinka monta jaksoa/hlö (monesko esiintymä)</t>
  </si>
  <si>
    <t>jaksoja yhteensä /hlö</t>
  </si>
  <si>
    <t>jaksojen kesto hakuajalla (sama joka rivillä)</t>
  </si>
  <si>
    <t>jaksojen kesto kaikki</t>
  </si>
  <si>
    <t>syntymäaika</t>
  </si>
  <si>
    <t>ikä aloittaessa</t>
  </si>
  <si>
    <t>ikä hakuaijan / jakson alussa</t>
  </si>
  <si>
    <t>suurin lopetus rivi</t>
  </si>
  <si>
    <t>J &gt; osuuko jakso hakuajalle</t>
  </si>
  <si>
    <t>hakuajalle</t>
  </si>
  <si>
    <t>ikäluokka</t>
  </si>
  <si>
    <t>EI</t>
  </si>
  <si>
    <t>yli 28</t>
  </si>
  <si>
    <t>ComboBox_TyHlo_tyosuhde#muu</t>
  </si>
  <si>
    <t>ComboBox_TyHlo_tyosuhde#ei tietoa</t>
  </si>
  <si>
    <t>ComboBox_EtKieli#kurdi</t>
  </si>
  <si>
    <t>ComboBox_EtKieli#saame</t>
  </si>
  <si>
    <t>ComboBox_EtKieli#saksa</t>
  </si>
  <si>
    <t>ComboBox_EtKieli#muu kieli</t>
  </si>
  <si>
    <t>ComboBox_EtKoulutustausta_muu_alku#suorittamassa korkeakoulututkintoa</t>
  </si>
  <si>
    <t>ComboBox_EtKoulutustausta_alku#ulkomailla suoritettu tutkinto</t>
  </si>
  <si>
    <t>ComboBox_EtSaapunut_1#mielenterveyspalvelu</t>
  </si>
  <si>
    <t>ComboBox_EtSaapunut_1#TE-toimisto</t>
  </si>
  <si>
    <t>ComboBox_EtSaapunut_1#KELA</t>
  </si>
  <si>
    <t>ComboBox_EtSaapunut_1#ohjaamo</t>
  </si>
  <si>
    <t>ComboBox_EtSaapunut_1#kutsunnat (Time out -toiminta)</t>
  </si>
  <si>
    <t>ComboBox_EtSaapunut_1#siviilipalvelu (Time out -toiminta)</t>
  </si>
  <si>
    <t>ComboBox_EtSaapunut_1#3. sektori</t>
  </si>
  <si>
    <t>ComboBox_EtPaaAsuminen_alku#vastaanottokeskuksessa</t>
  </si>
  <si>
    <t>ComboBox_EtToimenpide_yla#sovari teetetty</t>
  </si>
  <si>
    <t>ComboBox_EtToimenpide_yla#starttivalmennus</t>
  </si>
  <si>
    <t>ComboBox_EtToimenpide_yla#muut nivelvaiheen opinnot</t>
  </si>
  <si>
    <t>ComboBox_EtToimenpide_yla#ohjaamo</t>
  </si>
  <si>
    <t>ComboBox_EtToimenpide_yla#siviilipalvelu</t>
  </si>
  <si>
    <t>ComboBox_Etpaatos_syy#*****YHTEYDENOTTOPYYNTÖ*****</t>
  </si>
  <si>
    <t>ComboBox_Etpaatos_syy#*****+KONTAKTI*****</t>
  </si>
  <si>
    <t>ComboBox_Etpaatos_syy#*****TAVOITETTU*****</t>
  </si>
  <si>
    <t>ComboBox_Etpaatos_syy#*****Sosiaali- ja terveystoimen palvelut***</t>
  </si>
  <si>
    <t>ComboBox_Etpaatos_syy#päihdekuntoutus</t>
  </si>
  <si>
    <t>ComboBox_Etpaatos_syy#sosiaalitoimen palvelut</t>
  </si>
  <si>
    <t>ComboBox_Etpaatos_syy#*****Työhön liittyvät toimenpiteet***</t>
  </si>
  <si>
    <t>ComboBox_Etpaatos_syy#te-toimiston muut palvelut</t>
  </si>
  <si>
    <t>ComboBox_Etpaatos_syy#työpaja</t>
  </si>
  <si>
    <t>ComboBox_Etpaatos_syy#työhön avoimille työmarkkinoille</t>
  </si>
  <si>
    <t>ComboBox_Etpaatos_syy#muualle työelämään</t>
  </si>
  <si>
    <t>ComboBox_Etpaatos_syy#*****Opinnot***</t>
  </si>
  <si>
    <t>ComboBox_Etpaatos_syy#muu opiskelu</t>
  </si>
  <si>
    <t>ComboBox_Etpaatos_syy#*****Muut palvelut ja toimenpiteet***</t>
  </si>
  <si>
    <t>ComboBox_Etpaatos_syy#starttivalmennus</t>
  </si>
  <si>
    <t>ComboBox_Etpaatos_syy#muut toimenpiteet</t>
  </si>
  <si>
    <t>ComboBox_Etpaatos_syy#*****Henkilökohtainen syy***</t>
  </si>
  <si>
    <t>ComboBox_Etpaatos_syy#varusmiespalvelu</t>
  </si>
  <si>
    <t>ComboBox_Etpaatos_syy#siviilipalvelu</t>
  </si>
  <si>
    <t>ComboBox_Etpaatos_syy#eläke</t>
  </si>
  <si>
    <t>ComboBox_Etpaatos_syy#*****+Muu***</t>
  </si>
  <si>
    <t>ComboBox_Etpaatos_syy#ei enää halua palvelua</t>
  </si>
  <si>
    <t>ComboBox_Etpaatos_syy#ei tietoa</t>
  </si>
  <si>
    <t>Status</t>
  </si>
  <si>
    <t>kieli</t>
  </si>
  <si>
    <t>nuori</t>
  </si>
  <si>
    <t>Suorittamassa korkeakoulututkintoa</t>
  </si>
  <si>
    <t>Ei kirjattu</t>
  </si>
  <si>
    <t>kuinka monta esiintymää (monesko esiintymä)</t>
  </si>
  <si>
    <t>esiintymiä yhteensä /hlö</t>
  </si>
  <si>
    <t>RIVI</t>
  </si>
  <si>
    <t>1 rivi</t>
  </si>
  <si>
    <t>vika rivi</t>
  </si>
  <si>
    <t>koulutus1</t>
  </si>
  <si>
    <t>koulutus2</t>
  </si>
  <si>
    <t>ero</t>
  </si>
  <si>
    <t>k tilanne1</t>
  </si>
  <si>
    <t>k tilanne2</t>
  </si>
  <si>
    <t>suodata järjestykseen</t>
  </si>
  <si>
    <t>toiminta</t>
  </si>
  <si>
    <t>asuminen</t>
  </si>
  <si>
    <t>koulu</t>
  </si>
  <si>
    <t>koulutilanne</t>
  </si>
  <si>
    <t>aloitus</t>
  </si>
  <si>
    <t>Toinen aste</t>
  </si>
  <si>
    <t>Ammattikorkeakoulututkinto</t>
  </si>
  <si>
    <t>Yliopistotutkinto</t>
  </si>
  <si>
    <t>*</t>
  </si>
  <si>
    <t>Tavoitettu</t>
  </si>
  <si>
    <t>Nuorten määrä statuksen mukaan</t>
  </si>
  <si>
    <t>rivi</t>
  </si>
  <si>
    <t>Lisää status määritelmä jos se puuttuu!!</t>
  </si>
  <si>
    <t>Kutsunnat (Aikalisä)</t>
  </si>
  <si>
    <t>Varusmiespalvelu (Aikalisä)</t>
  </si>
  <si>
    <t>Siviilipalvelu (Aikalisä)</t>
  </si>
  <si>
    <t>&gt; Status</t>
  </si>
  <si>
    <t>&gt; Hakuaika, aloitus</t>
  </si>
  <si>
    <t>&gt; Hakuaika, päätös</t>
  </si>
  <si>
    <t>&gt; Kunta</t>
  </si>
  <si>
    <t>viimeinen</t>
  </si>
  <si>
    <t>ALOITUSTILANNE</t>
  </si>
  <si>
    <t>Suorittamassa 2. asteen ammatillista tutkintoa</t>
  </si>
  <si>
    <t>Nuoren koulutustilanne aloittaessa</t>
  </si>
  <si>
    <t>Nuoren ylin suoritettu tutkinto aloitustilanteessa</t>
  </si>
  <si>
    <t>Koulutustilanne</t>
  </si>
  <si>
    <t>Työhön liittyvät toimenpiteet</t>
  </si>
  <si>
    <t>Ohjattu muihin palveluihin / toimenpiteisiin</t>
  </si>
  <si>
    <t>Etsivän nuorisotyön asiakkuuteen liittyvät toimenpiteet</t>
  </si>
  <si>
    <t>yksi</t>
  </si>
  <si>
    <t>sukupuoli</t>
  </si>
  <si>
    <t>nuori/vanha</t>
  </si>
  <si>
    <t>aloitus (jos tyhjä, niin tallennus)</t>
  </si>
  <si>
    <t>vanha</t>
  </si>
  <si>
    <t>status</t>
  </si>
  <si>
    <t>Tärkein toimenpide</t>
  </si>
  <si>
    <t>Kieltäytynyt</t>
  </si>
  <si>
    <t>OptionButton_EtToimenpiteet_oma</t>
  </si>
  <si>
    <t>OptionButton_EtToimenpiteet_muu</t>
  </si>
  <si>
    <t>OptionButton_EtTP_kielto</t>
  </si>
  <si>
    <t>OptionButton_EtTP_aloitettu</t>
  </si>
  <si>
    <t>OptionButton_EtTP_keskeytys</t>
  </si>
  <si>
    <t>eka ilmentymä</t>
  </si>
  <si>
    <t>Oma /ohjattu</t>
  </si>
  <si>
    <t>tärkein</t>
  </si>
  <si>
    <t>kielto</t>
  </si>
  <si>
    <t>kuinka monta eri nuorta</t>
  </si>
  <si>
    <t>Suunnitteilla</t>
  </si>
  <si>
    <t>Muut palvelut ja toimenpiteet</t>
  </si>
  <si>
    <t>Henkilökohtainen syy</t>
  </si>
  <si>
    <t>Ei aloitettu</t>
  </si>
  <si>
    <t>Aktiivinen</t>
  </si>
  <si>
    <t>Satunnainen</t>
  </si>
  <si>
    <t xml:space="preserve">Ei tavoiteta </t>
  </si>
  <si>
    <t>Kadonnut</t>
  </si>
  <si>
    <t>Päättynyt</t>
  </si>
  <si>
    <t>toimenpidettä?</t>
  </si>
  <si>
    <t>lopetus( jos tyhjä niin hakuloppu pvm)</t>
  </si>
  <si>
    <t>OK, UUDET? Hakuaika aloituspäivän perusteella</t>
  </si>
  <si>
    <t>Mihin erilaisiin palveluihin / toimenpiteisiin / toimintoihin tavoitettuja nuoria on ohjattu prosessin aikana?</t>
  </si>
  <si>
    <t>Olemassa oleva  tp</t>
  </si>
  <si>
    <t>Nuorten koulutustilanne aloittaessa</t>
  </si>
  <si>
    <t>Nuorten ylin suoritettu tutkinto aloitustilanteessa</t>
  </si>
  <si>
    <t>Piilota</t>
  </si>
  <si>
    <t xml:space="preserve">Hakuarvot: </t>
  </si>
  <si>
    <t>Kaikki</t>
  </si>
  <si>
    <t>Uudet</t>
  </si>
  <si>
    <t>OmaCombo_id</t>
  </si>
  <si>
    <t>Aikaleima</t>
  </si>
  <si>
    <t>Org_id</t>
  </si>
  <si>
    <t>Combo_name</t>
  </si>
  <si>
    <t>fin</t>
  </si>
  <si>
    <t>swe</t>
  </si>
  <si>
    <t>eng</t>
  </si>
  <si>
    <t>Poistokoodi</t>
  </si>
  <si>
    <t>montako</t>
  </si>
  <si>
    <t>esiintymät</t>
  </si>
  <si>
    <t>vasen</t>
  </si>
  <si>
    <t>ComboBox_EtKun</t>
  </si>
  <si>
    <t>hakuarvo</t>
  </si>
  <si>
    <t>1. rivi</t>
  </si>
  <si>
    <t>Muut kunnat</t>
  </si>
  <si>
    <t>KUNTA</t>
  </si>
  <si>
    <t>Ei kuntaluokkaa</t>
  </si>
  <si>
    <t>tyhja</t>
  </si>
  <si>
    <t>Suomi</t>
  </si>
  <si>
    <t>Ruotsi</t>
  </si>
  <si>
    <t>Englanti</t>
  </si>
  <si>
    <t>Eesti</t>
  </si>
  <si>
    <t>Somali</t>
  </si>
  <si>
    <t>Saame</t>
  </si>
  <si>
    <t>Venäjä</t>
  </si>
  <si>
    <t xml:space="preserve"> TextBox_aikaleimat_talletus_tilanne</t>
  </si>
  <si>
    <t xml:space="preserve"> TextBox_aikaleimat_muutos_tilanne</t>
  </si>
  <si>
    <t xml:space="preserve"> TextBox_TyHlo_tutkinto</t>
  </si>
  <si>
    <t xml:space="preserve"> CheckBox_TyHlo_1tyovalmentaja</t>
  </si>
  <si>
    <t xml:space="preserve"> CheckBox_TyHlo_2yksilovalmentaja</t>
  </si>
  <si>
    <t xml:space="preserve"> CheckBox_TyHlo_3etsiva</t>
  </si>
  <si>
    <t xml:space="preserve"> CheckBox_TyHlo_4johto</t>
  </si>
  <si>
    <t xml:space="preserve"> CheckBox_TyHlo_5kehitys</t>
  </si>
  <si>
    <t xml:space="preserve"> CheckBox_TyHlo_6hallinto</t>
  </si>
  <si>
    <t xml:space="preserve"> CheckBox_TyHlo_7muu</t>
  </si>
  <si>
    <t xml:space="preserve"> TextBox_TyHlo_1tyovalmentaja</t>
  </si>
  <si>
    <t xml:space="preserve"> TextBox_TyHlo_2yksilovalmentaja</t>
  </si>
  <si>
    <t xml:space="preserve"> TextBox_TyHlo_3etsiva</t>
  </si>
  <si>
    <t xml:space="preserve"> TextBox_TyHlo_4johto</t>
  </si>
  <si>
    <t xml:space="preserve"> TextBox_TyHlo_5kehitys</t>
  </si>
  <si>
    <t xml:space="preserve"> TextBox_TyHlo_6hallinto</t>
  </si>
  <si>
    <t xml:space="preserve"> TextBox_TyHlo_7muu</t>
  </si>
  <si>
    <t xml:space="preserve"> CheckBox_AikalisaOhjaaja</t>
  </si>
  <si>
    <t>&gt; Hakuaika, aloitus (muutetaan asiakastilastot-sivulta)</t>
  </si>
  <si>
    <t>&gt; Hakuaika, päätös (muutetaan asiakastilastot-sivulta)</t>
  </si>
  <si>
    <t>arvo1</t>
  </si>
  <si>
    <t>OK?</t>
  </si>
  <si>
    <t>HTV arvo</t>
  </si>
  <si>
    <t>pp.kk.vvvv</t>
  </si>
  <si>
    <t xml:space="preserve">Kuva: </t>
  </si>
  <si>
    <t xml:space="preserve"> </t>
  </si>
  <si>
    <t>Nuoren pääasiallinen toiminta aloitustilanteessa</t>
  </si>
  <si>
    <t>Nuoren pääasiallinen toiminta - muutos</t>
  </si>
  <si>
    <t>Nuoren pääasiallinen toimeentulo aloitustilanteessa</t>
  </si>
  <si>
    <t>Nuoren pääasiallinen toimeentulo - muutos</t>
  </si>
  <si>
    <t>Nuoren pääasiallinen asumismuoto aloitustilanteessa</t>
  </si>
  <si>
    <t>Nuoren koulutustilanne - muutos</t>
  </si>
  <si>
    <t>Nuoren ylin suoritettu tutkinto -muutos</t>
  </si>
  <si>
    <t xml:space="preserve">Muut terveyskeskuspalvelut </t>
  </si>
  <si>
    <t>Sosiaalitoimen palvelut</t>
  </si>
  <si>
    <t xml:space="preserve">Työpaja </t>
  </si>
  <si>
    <t>Työhön avoimille työmarkkinoille</t>
  </si>
  <si>
    <t xml:space="preserve">Muut toimenpiteet </t>
  </si>
  <si>
    <t>Perhevapaa</t>
  </si>
  <si>
    <t>Varusmiespalvelu</t>
  </si>
  <si>
    <t>Siviilipalvelu</t>
  </si>
  <si>
    <t>Sairasloma</t>
  </si>
  <si>
    <t>Muutto toiselle paikkakunnalle</t>
  </si>
  <si>
    <t>Ei enää tavoiteta - kadonnut</t>
  </si>
  <si>
    <t>Muu syy</t>
  </si>
  <si>
    <t>PÄÄTTYmisen syy</t>
  </si>
  <si>
    <t>päätös</t>
  </si>
  <si>
    <t>Tilaa ei ole merkitty</t>
  </si>
  <si>
    <t>ei käytössä</t>
  </si>
  <si>
    <t>ei. päättynyt - pitää ottaa uusin, nyt tulee vanhin</t>
  </si>
  <si>
    <t>jaksojen kesto hakuajalla</t>
  </si>
  <si>
    <t>PÄÄTTYNEET</t>
  </si>
  <si>
    <t>Nuoret, yhteistyö päättynyt</t>
  </si>
  <si>
    <t>edellinen vuosi</t>
  </si>
  <si>
    <t>EDELLINEN VUOSI</t>
  </si>
  <si>
    <t>ORG_TextBox_TyOrg_hallinnoija_nimi</t>
  </si>
  <si>
    <t>ORG_TextBox_TyOrg_hallinnoija_osoite</t>
  </si>
  <si>
    <t>ORG_TextBox_TyOrg_hallinnoija_postinro</t>
  </si>
  <si>
    <t>ORG_TextBox_TyOrg_hallinnoija_postitmp</t>
  </si>
  <si>
    <t>ORG_ComboBox_TyOrg_hallinnoija_valikko</t>
  </si>
  <si>
    <t>ORG_ComboBox_TyOrg_hallinnoija_hallintokunta</t>
  </si>
  <si>
    <t>ORG_TextBox_TyOrg_valmennus</t>
  </si>
  <si>
    <t>ORG_muutosaika</t>
  </si>
  <si>
    <t>ORG_TEKOAIKA</t>
  </si>
  <si>
    <t>kunta</t>
  </si>
  <si>
    <t>toimenpiteitä puuttuu</t>
  </si>
  <si>
    <t>&gt; Status - aina tavoitettu, jos on toimenpiteitä</t>
  </si>
  <si>
    <t>Kaikki kunnat</t>
  </si>
  <si>
    <t>Kaikki statukset</t>
  </si>
  <si>
    <t>Yhteydenottopyynnöt</t>
  </si>
  <si>
    <t>Kontaktit</t>
  </si>
  <si>
    <t>Tavoitetut</t>
  </si>
  <si>
    <t>lainpuitteissa</t>
  </si>
  <si>
    <t>Nuoren pääasiallinen toiminta - viimeisin tieto</t>
  </si>
  <si>
    <t>Nuoren pääasiallinen toimeentulo - viimeisin tieto</t>
  </si>
  <si>
    <t>Nuoren pääasiallinen asumismuoto - viimeisin tieto</t>
  </si>
  <si>
    <t>Nuoren ylin suoritettu tutkinto - viimeisin tieto</t>
  </si>
  <si>
    <t>Nuoren koulutustilanne - viimeisin tieto</t>
  </si>
  <si>
    <t>Lain puitteissa saapuneet - oma kirjaus</t>
  </si>
  <si>
    <t>Kyllä</t>
  </si>
  <si>
    <t>Ei</t>
  </si>
  <si>
    <t>Lain puitteissa saapuneiden osuus (%)</t>
  </si>
  <si>
    <t>osuus %</t>
  </si>
  <si>
    <t>alle 1vko</t>
  </si>
  <si>
    <t>alle 1kk</t>
  </si>
  <si>
    <t>alle 6kk</t>
  </si>
  <si>
    <t>alle 3kk</t>
  </si>
  <si>
    <t>alle 1vuosi</t>
  </si>
  <si>
    <t>STATUS! (menee vielä pajoillekin)</t>
  </si>
  <si>
    <t>Asiakkuuden kesto</t>
  </si>
  <si>
    <t>**kestot lasketaan hakuajan loppuun, mikäli päättymispäivää ei ole vielä kirjattu</t>
  </si>
  <si>
    <t xml:space="preserve">Tavoitetut nuoret - Yhteistyön päättämisen syy </t>
  </si>
  <si>
    <t xml:space="preserve">Tila </t>
  </si>
  <si>
    <t>Jaksoa ei ole kirjattu*</t>
  </si>
  <si>
    <t>Sivun alkuun</t>
  </si>
  <si>
    <t>työvoimapoliittiset toimenpiteet</t>
  </si>
  <si>
    <t>Henkilöstö</t>
  </si>
  <si>
    <t>aloittanut opinnot</t>
  </si>
  <si>
    <t>jatkanut opinnot</t>
  </si>
  <si>
    <t>TP (muutetaan arvoja kuten yllä)</t>
  </si>
  <si>
    <t>työ- ja elinkeinohallinto</t>
  </si>
  <si>
    <t/>
  </si>
  <si>
    <t>KAIKKIEN LASKENTA: E/P/ ilman jaksoa</t>
  </si>
  <si>
    <t>ID &gt; osuuko yksikään jakso hakuajalle (min 1 ok) lasketaan AS-sivulle henkilöiksi, joilla jaksot OK</t>
  </si>
  <si>
    <t>J &gt; VUOSI osuuko jakso hakuajalle</t>
  </si>
  <si>
    <t>ID &gt; VUOSI</t>
  </si>
  <si>
    <t>arvo, tästä etsitään pienin päivämäärä</t>
  </si>
  <si>
    <t>seuraava rivi samasta asiakkaasta</t>
  </si>
  <si>
    <t>pienimmän rivi</t>
  </si>
  <si>
    <t>pienin arvo</t>
  </si>
  <si>
    <t>UUSI Poimitaan henkilötasolle</t>
  </si>
  <si>
    <t xml:space="preserve">KAIKKI: </t>
  </si>
  <si>
    <t xml:space="preserve">UUDET: </t>
  </si>
  <si>
    <r>
      <t xml:space="preserve">&gt; Kaikki </t>
    </r>
    <r>
      <rPr>
        <b/>
        <sz val="11"/>
        <color theme="1"/>
        <rFont val="Calibri"/>
        <family val="2"/>
        <scheme val="minor"/>
      </rPr>
      <t>toimenpiteet</t>
    </r>
    <r>
      <rPr>
        <sz val="11"/>
        <color theme="1"/>
        <rFont val="Calibri"/>
        <family val="2"/>
        <scheme val="minor"/>
      </rPr>
      <t xml:space="preserve"> hakuajalla / Uudet toimenpiteet hakuajalla</t>
    </r>
  </si>
  <si>
    <t>UUDET HLÖT</t>
  </si>
  <si>
    <t>asiakkuudet</t>
  </si>
  <si>
    <t>Kaikki toimenpiteet</t>
  </si>
  <si>
    <t>Uudet toimenpiteet</t>
  </si>
  <si>
    <t>Kuva toimenpiteet</t>
  </si>
  <si>
    <t>&gt; Status (vaikuttaa vain muutamaan taulukkoon tällä sivulla)</t>
  </si>
  <si>
    <t>*nuori on kirjattu järjestelmään, mutta jaksoa ei ole kirjattu vielä</t>
  </si>
  <si>
    <t xml:space="preserve">Yhteistyön päättämisen syy </t>
  </si>
  <si>
    <t>Yhteistyön päättämisen syy</t>
  </si>
  <si>
    <t xml:space="preserve">Status: Aktiiviset ja päättyneet nuoret </t>
  </si>
  <si>
    <t>Status / Tila</t>
  </si>
  <si>
    <t>vanhin jakso</t>
  </si>
  <si>
    <t>eka esiintymä</t>
  </si>
  <si>
    <t>rivi jonka arvo pienin</t>
  </si>
  <si>
    <t>arvo ko riviltä</t>
  </si>
  <si>
    <t>pienin arvo - haettu ekalle riville</t>
  </si>
  <si>
    <t>aktiivinen nuori; eli jakso voimassa (KAIKKI)</t>
  </si>
  <si>
    <t>Ay korvaa</t>
  </si>
  <si>
    <t>uusi jakso</t>
  </si>
  <si>
    <t>Alle 16-vuotiaita</t>
  </si>
  <si>
    <t>21-25-vuotiaita</t>
  </si>
  <si>
    <t>26-28-vuotiaita</t>
  </si>
  <si>
    <t>Nuoria (-28)  yhteensä</t>
  </si>
  <si>
    <t>Tiedoksi: 29v. ja vanhempi</t>
  </si>
  <si>
    <t>TAVOITETUT</t>
  </si>
  <si>
    <t>peruskoulu</t>
  </si>
  <si>
    <t>lukio</t>
  </si>
  <si>
    <t>muu oppilaitos</t>
  </si>
  <si>
    <t>sosiaalitoimi</t>
  </si>
  <si>
    <t>katutyö</t>
  </si>
  <si>
    <t>työpaja</t>
  </si>
  <si>
    <t>Virallinen toimiala</t>
  </si>
  <si>
    <t>kavereiden yhteydenotto</t>
  </si>
  <si>
    <t xml:space="preserve">&gt; Asiakkuus
</t>
  </si>
  <si>
    <t>KONTAKTIT</t>
  </si>
  <si>
    <t>työvoiman palvelukeskus</t>
  </si>
  <si>
    <t>muu taho</t>
  </si>
  <si>
    <t>Vierasperäiset kielet</t>
  </si>
  <si>
    <t>Kotimaiset kielet</t>
  </si>
  <si>
    <t>ikä</t>
  </si>
  <si>
    <t>toimenpide kielto</t>
  </si>
  <si>
    <t>ei toimenpiteitä naiset</t>
  </si>
  <si>
    <t>ei toimenpiteitä miehet</t>
  </si>
  <si>
    <t>Tavoitetut N</t>
  </si>
  <si>
    <t>Tavoitetut M</t>
  </si>
  <si>
    <t xml:space="preserve">- KAIKKI: </t>
  </si>
  <si>
    <t xml:space="preserve">- UUDET: </t>
  </si>
  <si>
    <t xml:space="preserve">TAVOITETUT NUORET TOIMENPITEISSÄ </t>
  </si>
  <si>
    <t>UUSI HLÖ "ikinä"</t>
  </si>
  <si>
    <t>UUSI HLÖ aloituspäivän mukaan</t>
  </si>
  <si>
    <t>uusi jakso /HLÖ</t>
  </si>
  <si>
    <t>uusi jakso = uusi hlö</t>
  </si>
  <si>
    <t>ok</t>
  </si>
  <si>
    <t>Uudet (ei vanhoja jaksoja)</t>
  </si>
  <si>
    <t>Aktiivinen kontakti</t>
  </si>
  <si>
    <t>Päättynyt: Nuori ei halua aloittaa asiakkuutta</t>
  </si>
  <si>
    <t>Päättynyt: Nuorella ei ole tarvetta asiakkuuteen</t>
  </si>
  <si>
    <t>Päättynyt asiakkuus</t>
  </si>
  <si>
    <t>Ei saatu yhteyttä</t>
  </si>
  <si>
    <t>KAAVA ERO</t>
  </si>
  <si>
    <t>Yhä asiakkuudessa</t>
  </si>
  <si>
    <t>Päättynyt: Muu</t>
  </si>
  <si>
    <t>Päättynyt: Ei saatu yhteyttä</t>
  </si>
  <si>
    <t>Aktiiviset yhteydenottopyynnöt</t>
  </si>
  <si>
    <t>Päättyneet yhteydenottopyynnöt</t>
  </si>
  <si>
    <t>Asiakkuuden päättäneitä nuoria (-28) yhteensä</t>
  </si>
  <si>
    <t>Etsivän nuorisotyön asiakkuuteen liittyvät palvelut</t>
  </si>
  <si>
    <t>HUOM! Nuoret, joille on kirjattu toimenpiteitä, lasketaan aina tavoitetuiksi.</t>
  </si>
  <si>
    <t>apusolu</t>
  </si>
  <si>
    <t>samat tp</t>
  </si>
  <si>
    <t>valitse toimenpiteet, joiden luku 1 (tp saa näkyä parkissa vain kerran)</t>
  </si>
  <si>
    <t>ComboBox_EtSaapunut_1#kutsunnat (Aikalisä)</t>
  </si>
  <si>
    <t>ComboBox_EtSaapunut_1#varusmiespalvelu (Aikalisä)</t>
  </si>
  <si>
    <t>ComboBox_EtSaapunut_1#siviilipalvelu (Aikalisä)</t>
  </si>
  <si>
    <t>0</t>
  </si>
  <si>
    <t>sposti</t>
  </si>
  <si>
    <t>1</t>
  </si>
  <si>
    <t xml:space="preserve">Henkilötyövuosi (määrä esim. 0,75) </t>
  </si>
  <si>
    <t>Sähköposti</t>
  </si>
  <si>
    <t>Kuinka pitkä työkokemus henkilöillä on nuorten parissa tehtävästä työstä?</t>
  </si>
  <si>
    <t>nimi</t>
  </si>
  <si>
    <t>seuraava rivi, joka ok</t>
  </si>
  <si>
    <t>Tietojen muutosaika</t>
  </si>
  <si>
    <t>Työntekijä1</t>
  </si>
  <si>
    <t>Työntekijä2</t>
  </si>
  <si>
    <t>Työntekijä3</t>
  </si>
  <si>
    <t>Työntekijä4</t>
  </si>
  <si>
    <t>Työntekijä5</t>
  </si>
  <si>
    <t>Työntekijä6</t>
  </si>
  <si>
    <t>Työntekijä7</t>
  </si>
  <si>
    <t>Työntekijä8</t>
  </si>
  <si>
    <t>Työntekijä9</t>
  </si>
  <si>
    <t>Työntekijä10</t>
  </si>
  <si>
    <t>Työntekijä11</t>
  </si>
  <si>
    <t>Työntekijä12</t>
  </si>
  <si>
    <t>Työntekijä13</t>
  </si>
  <si>
    <t>Työntekijä14</t>
  </si>
  <si>
    <t>Työntekijä15</t>
  </si>
  <si>
    <t>Työntekijä16</t>
  </si>
  <si>
    <t>Työntekijä17</t>
  </si>
  <si>
    <t>Työntekijä18</t>
  </si>
  <si>
    <t>Työntekijä19</t>
  </si>
  <si>
    <t>Työntekijä20</t>
  </si>
  <si>
    <t>Työntekijä21</t>
  </si>
  <si>
    <t>Työntekijä22</t>
  </si>
  <si>
    <t>Työntekijä23</t>
  </si>
  <si>
    <t>Työntekijä24</t>
  </si>
  <si>
    <t>Nainen</t>
  </si>
  <si>
    <t>Mies</t>
  </si>
  <si>
    <t>Muu ammattinimike, mikä:</t>
  </si>
  <si>
    <t>Muu koulutusaste, mikä:</t>
  </si>
  <si>
    <t>Muu kieli, mikä:</t>
  </si>
  <si>
    <t>Työntekijän kielitaito:</t>
  </si>
  <si>
    <t>ComboBox_TyHlo_koulutus</t>
  </si>
  <si>
    <t>ei ammatillista koulutusta</t>
  </si>
  <si>
    <t>2</t>
  </si>
  <si>
    <t>muu ammattitutkinto</t>
  </si>
  <si>
    <t>3</t>
  </si>
  <si>
    <t>AMK-tutkinto</t>
  </si>
  <si>
    <t>4</t>
  </si>
  <si>
    <t>ylempi AMK-tutkinto</t>
  </si>
  <si>
    <t>5</t>
  </si>
  <si>
    <t>yliopistotutkinto</t>
  </si>
  <si>
    <t>6</t>
  </si>
  <si>
    <t>muu koulutus</t>
  </si>
  <si>
    <t>7</t>
  </si>
  <si>
    <t>ComboBox_TyHlo_tutkinto</t>
  </si>
  <si>
    <t>8</t>
  </si>
  <si>
    <t>9</t>
  </si>
  <si>
    <t>10</t>
  </si>
  <si>
    <t>ComboBox_TyHlo_tyosuhde</t>
  </si>
  <si>
    <t>vakituinen</t>
  </si>
  <si>
    <t>vakituisluonteinen</t>
  </si>
  <si>
    <t>muulla projektirahoituksella palkattu</t>
  </si>
  <si>
    <t>palkkatuella työllistetty</t>
  </si>
  <si>
    <t>ComboBox_TyHlo_tyoteht</t>
  </si>
  <si>
    <t>työ-/työhönvalmentajana</t>
  </si>
  <si>
    <t>yksilövalmentajana</t>
  </si>
  <si>
    <t>etsivän nuorisotyöntekijänä</t>
  </si>
  <si>
    <t>johtotehtävissä</t>
  </si>
  <si>
    <t>kehittämis- ja suunnittelutehtävissä</t>
  </si>
  <si>
    <t>muissa hallinnon työtehtävissä</t>
  </si>
  <si>
    <t>muissa tehtävissä</t>
  </si>
  <si>
    <t xml:space="preserve">Hakuaika: </t>
  </si>
  <si>
    <t>Jäi yhteydenottopyynnöksi</t>
  </si>
  <si>
    <t>Tilanne</t>
  </si>
  <si>
    <t xml:space="preserve">Parkkii haetaan aina KAIKKI tiedot: kunnat, asiakkuudet ja toimenpiteet. 
Voit kuitenkin suodattaa tietoja myös tällä sivulla omiin tarpeisiisi haluamallasi tavalla.
HUOM! Jos tarkistelet lukuja aikaisemmille vuosille niin huomaathan, että tilasto on aina tilannekuva, joka muuttuu asiakasprosessin myötä. Uuteen järjestelmään siirtyminen on myös vaikuttanut laskentatapoihin.
</t>
  </si>
  <si>
    <t>PARKKI:</t>
  </si>
  <si>
    <t>IKÄ</t>
  </si>
  <si>
    <t>TILANNE_OMA PVM</t>
  </si>
  <si>
    <t>OK P= päättynyt , A aktiivinen</t>
  </si>
  <si>
    <t>tila OK vanha'=JOS(BA3=$BA$1;BA3;JOS(AX3&lt;&gt;$AW$1;$BA$1;BA3))</t>
  </si>
  <si>
    <t>validi rivi</t>
  </si>
  <si>
    <t>Data_Asiakasnimi</t>
  </si>
  <si>
    <t>Data_Toimenpiteet</t>
  </si>
  <si>
    <t>Data_Tilanne</t>
  </si>
  <si>
    <t>Data_Jaksot</t>
  </si>
  <si>
    <t>ComboBox_Etpaatos_syy#mielenterveyspalvelut</t>
  </si>
  <si>
    <t>ComboBox_Etpaatos_syy#muut terveyskeskuspalvelut</t>
  </si>
  <si>
    <t>ComboBox_Etpaatos_syy#te-toimisto työkokeilu</t>
  </si>
  <si>
    <t>TRIM</t>
  </si>
  <si>
    <t>tila (apu)* päättynyt tila aktiiviseksi jos päättymispäivää ei ole tai D</t>
  </si>
  <si>
    <t>Intensiivinen</t>
  </si>
  <si>
    <t>ComboBox_EtAsikastila#intensiivinen</t>
  </si>
  <si>
    <t>ComboBox_EtAsikastila#seurannassa</t>
  </si>
  <si>
    <t>Seurannassa</t>
  </si>
  <si>
    <t>Palveluita yhteensä</t>
  </si>
  <si>
    <t>Ohjattu muihin palveluihin yhteensä</t>
  </si>
  <si>
    <t>Tavoitetut nuoret</t>
  </si>
  <si>
    <t>Toimenpiteissä olevat nuoret</t>
  </si>
  <si>
    <t>Toimenpiteiden määrä</t>
  </si>
  <si>
    <t>Nuoret, joille ei ole kirjattuja toimenpiteitä</t>
  </si>
  <si>
    <t>&gt; Kaikki toimenpiteet / yksi esiintymä (=&gt; yksi esiintymä/toimenpide/nuori)</t>
  </si>
  <si>
    <t>Yksi esiintymä</t>
  </si>
  <si>
    <t>lopetusåpäivä</t>
  </si>
  <si>
    <t>ok, KAIKKI?  &gt;  (ei rajoitusta 2019 alkaen &gt; aloitus ei voi olla yli 1v vanha suhteessa hakuaikaan)</t>
  </si>
  <si>
    <t>Tavoitetut nuoret toimenpiteissä</t>
  </si>
  <si>
    <t>Työsuhteen tila / päättymispäivä</t>
  </si>
  <si>
    <t>poistettu</t>
  </si>
  <si>
    <t>ei  tilastoida</t>
  </si>
  <si>
    <t>Työsuhde</t>
  </si>
  <si>
    <t>Etunimi ja Sukunimi</t>
  </si>
  <si>
    <r>
      <t xml:space="preserve">Milloin henkilö on aloittanut etsivänä työntekijänä? </t>
    </r>
    <r>
      <rPr>
        <sz val="9"/>
        <color theme="1"/>
        <rFont val="Calibri"/>
        <family val="2"/>
        <scheme val="minor"/>
      </rPr>
      <t xml:space="preserve">(pp.kk.vuosi) </t>
    </r>
  </si>
  <si>
    <t xml:space="preserve">Työntekijän ylin suoritettu koulutusaste
</t>
  </si>
  <si>
    <t>Ammattinimike</t>
  </si>
  <si>
    <t xml:space="preserve">Tiedot tarkistettu? </t>
  </si>
  <si>
    <t>Valitsematta</t>
  </si>
  <si>
    <t>Kyllä, tarkistettu ja siirretään eteenpäin</t>
  </si>
  <si>
    <t>Ei tarkistettu, ei siirretä</t>
  </si>
  <si>
    <t>Henkilötyövuosia (HTV)</t>
  </si>
  <si>
    <t>ETSIVÄT</t>
  </si>
  <si>
    <t>Etsivät nuorisotyöntekijät (HLÖ)</t>
  </si>
  <si>
    <t>ComboBox_Etpaatos_syy#ohjattu kertaluonteisesti</t>
  </si>
  <si>
    <t>Päättynyt: Ohjattu kertaluonteisesti</t>
  </si>
  <si>
    <t>Ohjattu kertaluonteisesti</t>
  </si>
  <si>
    <t>OptionButton_EtMuu</t>
  </si>
  <si>
    <t>aloittanut ammatilliset perusopinnot</t>
  </si>
  <si>
    <t>jatkanut ammatillisia perusopintoja</t>
  </si>
  <si>
    <t>ComboBox_EtToimenpide_yla#</t>
  </si>
  <si>
    <t>Nimi</t>
  </si>
  <si>
    <t>Päiviä</t>
  </si>
  <si>
    <t>Laskettu htv</t>
  </si>
  <si>
    <t>Työaika-prosentti</t>
  </si>
  <si>
    <t>HTV</t>
  </si>
  <si>
    <t>Summa</t>
  </si>
  <si>
    <t>KAIKKI</t>
  </si>
  <si>
    <t>TA_ID</t>
  </si>
  <si>
    <t>TA_AIKALEIMA</t>
  </si>
  <si>
    <t>TA_ASNO</t>
  </si>
  <si>
    <t>TA_TAVOITE_PVM</t>
  </si>
  <si>
    <t>TA_LOPPUARVIO</t>
  </si>
  <si>
    <t>TA_TAVOITTEEN_TILA_11</t>
  </si>
  <si>
    <t>TA_TAVOITTEEN_ARVIO_11</t>
  </si>
  <si>
    <t>TA_TAVOITTEEN_TILA_12</t>
  </si>
  <si>
    <t>TA_TAVOITTEEN_ARVIO_12</t>
  </si>
  <si>
    <t>TA_TAVOITTEEN_TILA_13</t>
  </si>
  <si>
    <t>TA_TAVOITTEEN_ARVIO_13</t>
  </si>
  <si>
    <t>TA_TAVOITTEEN_TILA_21</t>
  </si>
  <si>
    <t>TA_TAVOITTEEN_ARVIO_21</t>
  </si>
  <si>
    <t>TA_TAVOITTEEN_TILA_22</t>
  </si>
  <si>
    <t>TA_TAVOITTEEN_ARVIO_22</t>
  </si>
  <si>
    <t>TA_TAVOITTEEN_TILA_23</t>
  </si>
  <si>
    <t>TA_TAVOITTEEN_ARVIO_23</t>
  </si>
  <si>
    <t>TA_TAVOITTEEN_TILA_31</t>
  </si>
  <si>
    <t>TA_TAVOITTEEN_TILA_32</t>
  </si>
  <si>
    <t>TA_TAVOITTEEN_TILA_33</t>
  </si>
  <si>
    <t>TA_TAVOITTEEN_TILA_34</t>
  </si>
  <si>
    <t>TA_LISATIETOJA</t>
  </si>
  <si>
    <t>TA_MUUTOSAIKA</t>
  </si>
  <si>
    <t>TA_TALLETUSAIKA</t>
  </si>
  <si>
    <t>TA_KIRJAAJA_LOCK_NAME</t>
  </si>
  <si>
    <t>Kuinka monta tavoitetta/hlö /sukupuoili</t>
  </si>
  <si>
    <t>Kuinka monta tavoiteriviä</t>
  </si>
  <si>
    <t>kuinka monta esiintymää</t>
  </si>
  <si>
    <t>eka ilmentymä = ok</t>
  </si>
  <si>
    <t>Tavotteiden ka</t>
  </si>
  <si>
    <t>Mies/ka</t>
  </si>
  <si>
    <t>Nainen/ka</t>
  </si>
  <si>
    <t>Sosiaalisten taitojen vahvistuminen</t>
  </si>
  <si>
    <t>Itsetuntemuksen vahvistuminen</t>
  </si>
  <si>
    <t>Arjenhallinnan parantuminen</t>
  </si>
  <si>
    <t>Lähiyhteisöjen vahvistuminen</t>
  </si>
  <si>
    <t>Osallisuuden lisääminen omassa elämässä</t>
  </si>
  <si>
    <t>Asunnon saaminen nuorelle</t>
  </si>
  <si>
    <t>Pääsy tarpeellisiin palveluihin</t>
  </si>
  <si>
    <t>Siirtyminen koulutukseen</t>
  </si>
  <si>
    <t>Siirtyminen avoimille työmarkkinoille</t>
  </si>
  <si>
    <t>Yhden asiakkaan kaikki tavoitteet</t>
  </si>
  <si>
    <t>TATAVOITTEENTILA11</t>
  </si>
  <si>
    <t>tyoskennellaan</t>
  </si>
  <si>
    <t>TATAVOITTEENTILA12</t>
  </si>
  <si>
    <t>saavutettu</t>
  </si>
  <si>
    <t>TATAVOITTEENTILA13</t>
  </si>
  <si>
    <t>TATAVOITTEENTILA21</t>
  </si>
  <si>
    <t>TATAVOITTEENTILA22</t>
  </si>
  <si>
    <t>TATAVOITTEENTILA23</t>
  </si>
  <si>
    <t>TATAVOITTEENTILA31</t>
  </si>
  <si>
    <t>TATAVOITTEENTILA32</t>
  </si>
  <si>
    <t>TATAVOITTEENTILA33</t>
  </si>
  <si>
    <t>TATAVOITTEENTILA34</t>
  </si>
  <si>
    <t>viimeinen = ok</t>
  </si>
  <si>
    <t>X:UUSI HLÖ aloituspäivän mukaan</t>
  </si>
  <si>
    <t>AB:KAIKKIEN LASKENTA: E/P/ ilman jaksoa</t>
  </si>
  <si>
    <t>Sukupuoli</t>
  </si>
  <si>
    <t>Tavoite</t>
  </si>
  <si>
    <t xml:space="preserve">- UUSIMMAT: </t>
  </si>
  <si>
    <t xml:space="preserve">UUSIMMAT: </t>
  </si>
  <si>
    <t>Työskennellään</t>
  </si>
  <si>
    <t>Saavutettu</t>
  </si>
  <si>
    <t>Kuinka monta "työskennellään tavoiteitteen kanssa" on yhtä aikaa / nuori</t>
  </si>
  <si>
    <t>Nuorelle voidaan merkitä useita tavoitteita</t>
  </si>
  <si>
    <t>Tavoite voi olla tilassa tavoitteen kanssa työskennellään tai tavoite saavutettu</t>
  </si>
  <si>
    <t>viimeisin on ok ja true</t>
  </si>
  <si>
    <t>ComboBox_EtSaapunut_1#kansanopisto</t>
  </si>
  <si>
    <t>ComboBox_EtSaapunut_1#korkeakoulu</t>
  </si>
  <si>
    <t>ComboBox_EtSaapunut_1#ammatillinen oppilaitos</t>
  </si>
  <si>
    <t>muutos 2021</t>
  </si>
  <si>
    <t>ComboBox_EtSaapunut_1#aikuissosiaalityö</t>
  </si>
  <si>
    <t>ComboBox_EtSaapunut_1#lastensuojelu</t>
  </si>
  <si>
    <t>ComboBox_EtSaapunut_1#muu sosiaalityö</t>
  </si>
  <si>
    <t>ComboBox_EtSaapunut_1#päihdepalvelu</t>
  </si>
  <si>
    <t>ComboBox_EtSaapunut_1#kunnallinen nuorisotyö</t>
  </si>
  <si>
    <t>ComboBox_EtSaapunut_1#etsivä nuorisotyö</t>
  </si>
  <si>
    <t>ComboBox_EtSaapunut_1#kunnan työllisyyspalvelut</t>
  </si>
  <si>
    <t>ComboBox_EtSaapunut_1#kuntakokeilu</t>
  </si>
  <si>
    <t>Työllisyyspalvelut</t>
  </si>
  <si>
    <t>TE-palvelut</t>
  </si>
  <si>
    <t>ComboBox_EtSaapunut_1#TE-palvelut</t>
  </si>
  <si>
    <t>Suoraan / kavereiden- tai sukulaisen yhteydenotto</t>
  </si>
  <si>
    <t>3. sektori / järjestöt</t>
  </si>
  <si>
    <t>ComboBox_EtSaapunut_1#poliisi ja ankkuri-toiminta</t>
  </si>
  <si>
    <t>ComboBox_EtSaapunut_1#muu viranomaistaho</t>
  </si>
  <si>
    <t>ComboBox_EtSaapunut_1#3. sektori / järjestöt</t>
  </si>
  <si>
    <t>ComboBox_EtSaapunut_1#seurakunta</t>
  </si>
  <si>
    <t>ComboBox_EtSaapunut_1#yritykset</t>
  </si>
  <si>
    <t>Ammatillinen oppilaitos</t>
  </si>
  <si>
    <t>Kunnallinen nuorisotyö</t>
  </si>
  <si>
    <t>Etsivä nuorisotyö</t>
  </si>
  <si>
    <t>Nuorten suora yhteydenotto</t>
  </si>
  <si>
    <t>ammatillinen oppilaitos</t>
  </si>
  <si>
    <t>kansanopisto</t>
  </si>
  <si>
    <t>korkeakoulu</t>
  </si>
  <si>
    <t>aikuissosiaalityö</t>
  </si>
  <si>
    <t>lastensuojelu</t>
  </si>
  <si>
    <t>muu sosiaalityö</t>
  </si>
  <si>
    <t>kunnallinen nuorisotyö</t>
  </si>
  <si>
    <t>etsivä nuorisotyö</t>
  </si>
  <si>
    <t>kunnan työllisyyspalvelut</t>
  </si>
  <si>
    <t>kuntakokeilu</t>
  </si>
  <si>
    <t>poliisi ja ankkuri-toiminta</t>
  </si>
  <si>
    <t>kutsunnat (Aikalisä)</t>
  </si>
  <si>
    <t>varusmiespalvelu (Aikalisä)</t>
  </si>
  <si>
    <t>siviilipalvelu (Aikalisä)</t>
  </si>
  <si>
    <t>muu viranomaistaho</t>
  </si>
  <si>
    <t>vanhempien / sukulaisen yhteydenotto</t>
  </si>
  <si>
    <t>nuoren yhteydenotto sähköisen median kautta</t>
  </si>
  <si>
    <t>nuoren suora yhteydenotto</t>
  </si>
  <si>
    <t>seurakunta</t>
  </si>
  <si>
    <t>yritykset</t>
  </si>
  <si>
    <t xml:space="preserve">Kuinka monelle tavoitetulle nuorelle on asetettu tavoitteita? </t>
  </si>
  <si>
    <t xml:space="preserve">Alkutilanne, tavoitteen kanssa työskennellään - </t>
  </si>
  <si>
    <t xml:space="preserve">Kuinka monta nuorta on tavoitettu? </t>
  </si>
  <si>
    <t xml:space="preserve">Viimeisin tilanne, tavoiteen kanssa työskennellään tai tavoite saavutettu - </t>
  </si>
  <si>
    <t xml:space="preserve">Loppuarviointi, tavoiteen kanssa työskennellään tai tavoite saavutettu - </t>
  </si>
  <si>
    <t xml:space="preserve">Työkokeilu </t>
  </si>
  <si>
    <t>Julkiset työelämään liittyvät palvelut</t>
  </si>
  <si>
    <t>ComboBox_Etpaatos_syy#päihdepalvelut ja -kuntoutus</t>
  </si>
  <si>
    <t>TRIM 2020</t>
  </si>
  <si>
    <t>ComboBox_Etpaatos_syy#Kelan kuntoutuspalvelut</t>
  </si>
  <si>
    <t>ComboBox_Etpaatos_syy#kuntouttava työtoiminta</t>
  </si>
  <si>
    <t>ComboBox_Etpaatos_syy#työkokeilu</t>
  </si>
  <si>
    <t>ComboBox_Etpaatos_syy#julkiset työelämään liittyvät palvelut</t>
  </si>
  <si>
    <t>ComboBox_Etpaatos_syy#kansalaistoiminta ja vapaaehtoistyö</t>
  </si>
  <si>
    <t>ComboBox_Etpaatos_syy#on jo etsivän asiakas</t>
  </si>
  <si>
    <t xml:space="preserve">Sijoittuminen ja yhteistyön päättymisen syy </t>
  </si>
  <si>
    <t>Pääasiallinen toiminta</t>
  </si>
  <si>
    <r>
      <t xml:space="preserve">EI SAATU YHTEYTTÄ </t>
    </r>
    <r>
      <rPr>
        <b/>
        <sz val="11"/>
        <color theme="1"/>
        <rFont val="Calibri"/>
        <family val="2"/>
        <scheme val="minor"/>
      </rPr>
      <t>(asiakkuus jäi yhteydenottopyynnöksi)</t>
    </r>
  </si>
  <si>
    <r>
      <t>YHTEYDENOTTOPYYNNÖT</t>
    </r>
    <r>
      <rPr>
        <b/>
        <sz val="11"/>
        <color theme="1"/>
        <rFont val="Calibri"/>
        <family val="2"/>
        <scheme val="minor"/>
      </rPr>
      <t xml:space="preserve"> (sisältää tavoitetut, kontaktit ja ei saatu yhteyttä)</t>
    </r>
  </si>
  <si>
    <t>Päättynyt kontakti</t>
  </si>
  <si>
    <t>Työntekijöitä</t>
  </si>
  <si>
    <t>yhteiset asiakkaat</t>
  </si>
  <si>
    <t>muunsukupuoliset</t>
  </si>
  <si>
    <t>Pääasiallinen toimeentulo</t>
  </si>
  <si>
    <t>Pääasiallinen asumismuoto</t>
  </si>
  <si>
    <t>Toimenpiteissä</t>
  </si>
  <si>
    <t>Ei vielä toimenpiteitä</t>
  </si>
  <si>
    <t>TAVOITETTUJEN NUORTEN PÄÄASIALLINEN ALOITUSTILANNE</t>
  </si>
  <si>
    <t>Muutos: 'uusi arvo 2021</t>
  </si>
  <si>
    <t>Peruskoulu suoritettu</t>
  </si>
  <si>
    <t>Kotoutumistoimenpiteessä</t>
  </si>
  <si>
    <t>Palkkatuki'</t>
  </si>
  <si>
    <t>Työmarkkinatuki'</t>
  </si>
  <si>
    <t>Toimeentulotuki ja pitkäaikainen toimeentulotuki</t>
  </si>
  <si>
    <t>Kuntoutusraha'</t>
  </si>
  <si>
    <t>ComboBox_EtPaaTulo_alku#palkkatuki</t>
  </si>
  <si>
    <t>ComboBox_EtPaaTulo_alku#työmarkkinatuki</t>
  </si>
  <si>
    <t>ComboBox_EtPaaTulo_alku#kuntoutusraha</t>
  </si>
  <si>
    <t>ComboBox_EtToimenpide_yla#menetelmällinen työskentely nuoren kanssa</t>
  </si>
  <si>
    <t>ComboBox_EtToimenpide_yla#tuki viranomaisasioiden hoitamiseen</t>
  </si>
  <si>
    <t>ComboBox_EtToimenpide_yla#tutustumistoiminta</t>
  </si>
  <si>
    <t>ComboBox_EtToimenpide_yla#työnhaun ohjaus ja neuvonta</t>
  </si>
  <si>
    <t>ComboBox_EtToimenpide_yla#mielenterveyspalvelut</t>
  </si>
  <si>
    <t>ComboBox_EtToimenpide_yla#päihdepalvelut - ja kuntoutus</t>
  </si>
  <si>
    <t>ComboBox_EtToimenpide_yla#muut terveyteen liittyvät palvelut</t>
  </si>
  <si>
    <t>ComboBox_EtToimenpide_yla#velkaneuvonta ja muu talouteen liittyvä neuvonta</t>
  </si>
  <si>
    <t>ComboBox_EtToimenpide_yla#Kelan ammatillinen kuntoutusselvitys</t>
  </si>
  <si>
    <t>ComboBox_EtToimenpide_yla#Kelan ammatillinen kuntoutus</t>
  </si>
  <si>
    <t>ComboBox_EtToimenpide_yla#Kelan ammatillinen kuntoutuskurssi</t>
  </si>
  <si>
    <t>TE-palveluiden ammatinvalinnanohjaus</t>
  </si>
  <si>
    <t>ComboBox_EtToimenpide_yla#kuntakokeilu</t>
  </si>
  <si>
    <t>ComboBox_EtToimenpide_yla#kuntouttava työtoiminta (muualle kuin työpajaan)</t>
  </si>
  <si>
    <t>ComboBox_EtToimenpide_yla#työkokeilu (muualle kuin työpajaan)</t>
  </si>
  <si>
    <t>ComboBox_EtToimenpide_yla#TE-palveluiden ammatinvalinnanohjaus</t>
  </si>
  <si>
    <t>ComboBox_EtToimenpide_yla#julkiset työelämään liittyvät palvelut</t>
  </si>
  <si>
    <t>ComboBox_EtToimenpide_yla#työhön avoimille työmarkkinoille</t>
  </si>
  <si>
    <t>Menetelmällinen työskentely nuoren kanssa</t>
  </si>
  <si>
    <t>Ryhmämuotoinen toiminta</t>
  </si>
  <si>
    <t>Nuotta-valmennus</t>
  </si>
  <si>
    <t>Muut terveyteen liittyvät palvelut</t>
  </si>
  <si>
    <t>Toimeentuloon liittyvät palvelut</t>
  </si>
  <si>
    <t>Velkaneuvonta ja muu talouteen liittyvä neuvonta</t>
  </si>
  <si>
    <t>Nuorisotoimen palvelut</t>
  </si>
  <si>
    <t>Peruskoulun opinnot</t>
  </si>
  <si>
    <t>Lukion opinnot</t>
  </si>
  <si>
    <t>Muut ammatilliset opinnot</t>
  </si>
  <si>
    <t>Oppisopimuskoulutus</t>
  </si>
  <si>
    <t>Ilmoittautuminen työttömäksi työnhakijaksi</t>
  </si>
  <si>
    <t>Kuntouttava työtoiminta (muualle kuin työpajaan)</t>
  </si>
  <si>
    <t>Työkokeilu (muualle kuin työpajaan)</t>
  </si>
  <si>
    <t>Ohjaaminen kotouttamistoimenpiteisiin</t>
  </si>
  <si>
    <t>Poliisi</t>
  </si>
  <si>
    <t>saapunut</t>
  </si>
  <si>
    <t>TA_JARJESTYS</t>
  </si>
  <si>
    <t>Työnhaun ohjaus ja neuvonta</t>
  </si>
  <si>
    <t>ComboBox_EtToimenpide_yla#sovari-kysely toimitettu nuorelle</t>
  </si>
  <si>
    <t>Sovari-kysely toimitettu nuorelle</t>
  </si>
  <si>
    <t>Miehiä*</t>
  </si>
  <si>
    <t>ei tav, muunsukupuoliset</t>
  </si>
  <si>
    <t>kont, muunsukupuoliset</t>
  </si>
  <si>
    <t>tav, muunsukupuoliset</t>
  </si>
  <si>
    <t>osuus**</t>
  </si>
  <si>
    <t xml:space="preserve">Nuorille voi olla kirjattu useita ohjauksia samaan palveluun tai toimenpiteeseen yhden vuoden / hakuajan aikana, mutta laskurissa näkyy vain yksi esiintymä/toimenpide/nuori.
</t>
  </si>
  <si>
    <t>nuoret</t>
  </si>
  <si>
    <t>Onko vanha tilastopohja vai ei?</t>
  </si>
  <si>
    <t>Toimenpiteissin saapumisarvon haku</t>
  </si>
  <si>
    <t>millä tp rivillä on tiedot voimassa?</t>
  </si>
  <si>
    <t>Voit tarkistaa yhden työntekijän henkilötyövuodet HTV-laskurilla</t>
  </si>
  <si>
    <t>Tällä laskurilla lasketaan yhden työntekijän henkilövuodet yhden vuoden aikana</t>
  </si>
  <si>
    <t>HTV-laskuri</t>
  </si>
  <si>
    <t>Esimerkki</t>
  </si>
  <si>
    <t>Työ alkanut 
(1 vuoden aikana)</t>
  </si>
  <si>
    <t>Työ loppunut 
(1 vuoden aikana)</t>
  </si>
  <si>
    <t>Essi Esimerkki</t>
  </si>
  <si>
    <t xml:space="preserve">OHJE: Merkitse halutessasi työntekijän nimi. 
Merkitse yhdelle riville aikaväli, jolloin työntekijä on ollut töissä ja määritä kyseiselle ajalle työaikaprosentti. 
Ota laskurissa huomioon yli 10 päivän yhtämittaiset työsuhteenkatkot.
Voit tehdä aina uuden rivin työsuhteenkatkon jälkeen toteutuneelle työsuhdejaksolle. 
Laskuriin merkitään työajat vain yhden vuoden ajalta, jolloin 100% työsuhde koko vuodelta on 1HTV. Työsuhteenkatkot tai pienempi kuin 100 % työaika vähentävät henkilötyövuosia. 
Laskuri laskee toteutuneet palvelussuhdepäivät ja HTV:n työntekijälle merkittyjen työaikarivien perusteella.
</t>
  </si>
  <si>
    <t>Ohjevideon löydät osoitteesta:</t>
  </si>
  <si>
    <t>https://www.youtube.com/watch?v=3sJG_xIwlWU</t>
  </si>
  <si>
    <t>ComboBox_TyHlo_tyosuhde#muu määräaikaisuus</t>
  </si>
  <si>
    <t>ComboBox_TyHlo_tyosuhde#projektirahoituksella palkattu määräaikainen</t>
  </si>
  <si>
    <t>projektirahoituksella palkattu määräaikainen</t>
  </si>
  <si>
    <t>muu määräaikaisuus</t>
  </si>
  <si>
    <t>Yhteysetsivaan.fi</t>
  </si>
  <si>
    <t>Yhteysetsivaan.fi -palvelusta saapuneiden nuorten määrä %</t>
  </si>
  <si>
    <t>Yhteysetsivaan.fi -palvelusta saapuneiden nuorten määrä</t>
  </si>
  <si>
    <t>Etsiva-jarjestelmasta</t>
  </si>
  <si>
    <t>Etsivasta</t>
  </si>
  <si>
    <t>15v</t>
  </si>
  <si>
    <t>14v</t>
  </si>
  <si>
    <t>13v</t>
  </si>
  <si>
    <t>12v</t>
  </si>
  <si>
    <t>11v</t>
  </si>
  <si>
    <t>10v</t>
  </si>
  <si>
    <t>9v</t>
  </si>
  <si>
    <t>8v</t>
  </si>
  <si>
    <t>7v</t>
  </si>
  <si>
    <t>UUSIN TILANNE</t>
  </si>
  <si>
    <t>Alle 1 vko</t>
  </si>
  <si>
    <t>1–3 kk</t>
  </si>
  <si>
    <t>3–6 kk</t>
  </si>
  <si>
    <t>6 kk – 1 vuosi</t>
  </si>
  <si>
    <t>1 vko – 1 kk</t>
  </si>
  <si>
    <t>1–1,5 vuotta</t>
  </si>
  <si>
    <t>1,5–2 vuotta</t>
  </si>
  <si>
    <t>2–3 vuotta</t>
  </si>
  <si>
    <t>3–4 vuotta</t>
  </si>
  <si>
    <t>4–5 vuotta</t>
  </si>
  <si>
    <t>yli 5 vuotta</t>
  </si>
  <si>
    <t>kesto</t>
  </si>
  <si>
    <t>1,5vuotta</t>
  </si>
  <si>
    <t>2vuotta</t>
  </si>
  <si>
    <t>3vuotta</t>
  </si>
  <si>
    <t>4vuotta</t>
  </si>
  <si>
    <t>yli5vuotta</t>
  </si>
  <si>
    <t>1vuotta</t>
  </si>
  <si>
    <t>ComboBox_EtSaapunut_1#mielenterveyden hoito</t>
  </si>
  <si>
    <t>ComboBox_EtSaapunut_1#TUVA-koulutus</t>
  </si>
  <si>
    <t>ComboBox_Etpaatos_syy#matalan kynnyksen apu mielenterveyteen ja/tai päihdeongelmiin</t>
  </si>
  <si>
    <t>ComboBox_EtSaapunut_1#päihde- ja riippuvuushoito</t>
  </si>
  <si>
    <t>ComboBox_EtToimenpide_yla#korkeakouluopinnot</t>
  </si>
  <si>
    <t>ComboBox_EtToimenpide_yla#nuorten työpajatoiminta</t>
  </si>
  <si>
    <t>ComboBox_EtToimenpide_yla#TUVA-koulutus</t>
  </si>
  <si>
    <t>ComboBox_EtToimenpide_yla#järjestöjen toiminta</t>
  </si>
  <si>
    <t>ComboBox_EtToimenpide_yla#liikunta- ja ulkoilutoiminta</t>
  </si>
  <si>
    <t>ComboBox_EtToimenpide_yla#päihde- ja riippuvuushoito</t>
  </si>
  <si>
    <t>ComboBox_EtToimenpide_yla#mielenterveyden hoito</t>
  </si>
  <si>
    <t>ComboBox_EtToimenpide_yla#muu kuntoutus</t>
  </si>
  <si>
    <t>ComboBox_EtToimenpide_yla#matalan kynnyksen apu mielenterveyteen ja/tai päihdeongelmiin</t>
  </si>
  <si>
    <t>ComboBox_EtToimenpide_yla#lastensuojelu ja jälkihuolto</t>
  </si>
  <si>
    <t>ComboBox_EtToimenpide_yla#kulttuuri- ja taidetoiminta</t>
  </si>
  <si>
    <t>ComboBox_EtToimenpide_yla#muut työelämään liittyvät palvelut</t>
  </si>
  <si>
    <t>ComboBox_EtToimenpide_yla#yhteiset tutustumiskäynnit</t>
  </si>
  <si>
    <t>ComboBox_EtToimenpide_yla#etsivien tuki ja rinnalla kulkeminen</t>
  </si>
  <si>
    <t>ComboBox_EtToimenpide_yla#palveluihin ohjaaminen</t>
  </si>
  <si>
    <t>ComboBox_EtToimenpide_yla#ohjattu opiskelupaikan haussa</t>
  </si>
  <si>
    <t>ComboBox_EtToimenpide_yla#asumiseen liittyvä tuki</t>
  </si>
  <si>
    <t>ComboBox_EtToimenpide_yla#ammatilliset perusopinnot</t>
  </si>
  <si>
    <t>ComboBox_EtToimenpide_yla#Ammatinvalinta- ja uraohjaus</t>
  </si>
  <si>
    <t>ComboBox_EtToimenpide_yla#kansanopiston opinnot</t>
  </si>
  <si>
    <t>ComboBox_EtToimenpide_yla#muu vapaa-ajan toiminta</t>
  </si>
  <si>
    <t>ComboBox_EtToimenpide_yla#monialainen verkostoyhteistyö</t>
  </si>
  <si>
    <t>ComboBox_EtSaapunut_1#terveydenhuolto</t>
  </si>
  <si>
    <t>Läroanstalt</t>
  </si>
  <si>
    <t>educational institution</t>
  </si>
  <si>
    <t>grundskola</t>
  </si>
  <si>
    <t>comprehensive school</t>
  </si>
  <si>
    <t>TUVA-koulutus</t>
  </si>
  <si>
    <t>HUX-utbildning</t>
  </si>
  <si>
    <t>TUVA training</t>
  </si>
  <si>
    <t>gymnasium</t>
  </si>
  <si>
    <t>upper secondary school</t>
  </si>
  <si>
    <t>yrkesläroanstalt</t>
  </si>
  <si>
    <t>secondary vocational education</t>
  </si>
  <si>
    <t>folkhögskola</t>
  </si>
  <si>
    <t>community College</t>
  </si>
  <si>
    <t>högskola</t>
  </si>
  <si>
    <t>university</t>
  </si>
  <si>
    <t>annan läroanstalt</t>
  </si>
  <si>
    <t>other educational institution</t>
  </si>
  <si>
    <t>Sosiaalityö ja terveydenhuolto</t>
  </si>
  <si>
    <t>Socialarbete och hälsovård</t>
  </si>
  <si>
    <t>Social work and health care</t>
  </si>
  <si>
    <t>socialväsendet</t>
  </si>
  <si>
    <t>social services</t>
  </si>
  <si>
    <t>vuxensocialarbete</t>
  </si>
  <si>
    <t>adult social work</t>
  </si>
  <si>
    <t>barnskydd</t>
  </si>
  <si>
    <t>child protection</t>
  </si>
  <si>
    <t>annat socialarbete</t>
  </si>
  <si>
    <t>other social work activities</t>
  </si>
  <si>
    <t>terveydenhuolto</t>
  </si>
  <si>
    <t>hälso- och sjukvård</t>
  </si>
  <si>
    <t>health care</t>
  </si>
  <si>
    <t xml:space="preserve">mentalvård </t>
  </si>
  <si>
    <t xml:space="preserve">mental health care </t>
  </si>
  <si>
    <t>päihde- ja riippuvuushoito</t>
  </si>
  <si>
    <t>missbrukar- och beroendevård</t>
  </si>
  <si>
    <t>substance abuse and addiction treatment</t>
  </si>
  <si>
    <t>Ungdomsarbete</t>
  </si>
  <si>
    <t>Youth work</t>
  </si>
  <si>
    <t>kommunalt ungdomsarbete</t>
  </si>
  <si>
    <t>municipal youth work</t>
  </si>
  <si>
    <t>gatuarbete</t>
  </si>
  <si>
    <t>street work</t>
  </si>
  <si>
    <t>uppsökande ungdomsarbete</t>
  </si>
  <si>
    <t>outreach youth work</t>
  </si>
  <si>
    <t>verkstad</t>
  </si>
  <si>
    <t>workshop</t>
  </si>
  <si>
    <t>Sysselsättningstjänster</t>
  </si>
  <si>
    <t>Employment services</t>
  </si>
  <si>
    <t>TE-tjänster</t>
  </si>
  <si>
    <t>TE office</t>
  </si>
  <si>
    <t>servicecentret för arbetskraft</t>
  </si>
  <si>
    <t>labour force service centre</t>
  </si>
  <si>
    <t>Kommunens sysselsättningstjänster</t>
  </si>
  <si>
    <t>municipal employment services</t>
  </si>
  <si>
    <t>kommunförsöket</t>
  </si>
  <si>
    <t xml:space="preserve">local government pilots on employment </t>
  </si>
  <si>
    <t>Officiell bransch</t>
  </si>
  <si>
    <t>Official field of operation</t>
  </si>
  <si>
    <t>FPA</t>
  </si>
  <si>
    <t>NUOTTI-valmennus</t>
  </si>
  <si>
    <t>NUOTTI-coachning</t>
  </si>
  <si>
    <t>NUOTTI coaching</t>
  </si>
  <si>
    <t>Polis och ankarverksamhet</t>
  </si>
  <si>
    <t>police and Ankkuri-operations</t>
  </si>
  <si>
    <t>uppbåd (Aikalisä)</t>
  </si>
  <si>
    <t>conscription call (Aikalisä)</t>
  </si>
  <si>
    <t>militärtjänstgöring (Aikalisä)</t>
  </si>
  <si>
    <t>military service (Aikalisä)</t>
  </si>
  <si>
    <t>civiltjänstgöring (Aikalisä)</t>
  </si>
  <si>
    <t>civilian service (Aikalisä)</t>
  </si>
  <si>
    <t>annan myndighet</t>
  </si>
  <si>
    <t>other authority</t>
  </si>
  <si>
    <t>Direkt/närstående</t>
  </si>
  <si>
    <t>Directly/close people</t>
  </si>
  <si>
    <t>direkt kontakt av den unga</t>
  </si>
  <si>
    <t>direct contact from the young person</t>
  </si>
  <si>
    <t>den unga har tagit kontakt via elektroniska medier</t>
  </si>
  <si>
    <t>young person, electronic media</t>
  </si>
  <si>
    <t>via kamrater som tagit kontakt</t>
  </si>
  <si>
    <t>friends</t>
  </si>
  <si>
    <t>via föräldrar/släktingar som har tagit kontakt</t>
  </si>
  <si>
    <t>parents/relatives</t>
  </si>
  <si>
    <t>Others</t>
  </si>
  <si>
    <t>tredje sektorn / organisationer</t>
  </si>
  <si>
    <t>third sector / organizations</t>
  </si>
  <si>
    <t>församling</t>
  </si>
  <si>
    <t>congregation</t>
  </si>
  <si>
    <t>företag</t>
  </si>
  <si>
    <t>companies</t>
  </si>
  <si>
    <t>annan part</t>
  </si>
  <si>
    <t>other means</t>
  </si>
  <si>
    <t>ingen uppgift</t>
  </si>
  <si>
    <t>unknown</t>
  </si>
  <si>
    <t>Andra</t>
  </si>
  <si>
    <t>ComboBox_EtSaapunut_1#NUOTTI-valmennus</t>
  </si>
  <si>
    <t>muutos 2023</t>
  </si>
  <si>
    <t>mielenterveyden hoito</t>
  </si>
  <si>
    <t>SUMMA.JOS.JOUKKO(AS!$W:$W;AS!$BO:$BO;$W$7;AS!$AB:$AB;AS!$AA$1;AS!$AH:$AH;$X$8;AS!$AT:$AT;$AG15;AS!$AV:$AV;$X$5;AS!$AW:$AW;$Y$6;AS!$X:$X;$Y$5;AS!$AT:$AT;Parkki!$Y$13)</t>
  </si>
  <si>
    <t>SUMMA.JOS.JOUKKO(AS!$W:$W;AS!$BO:$BO;$W$7;AS!$AB:$AB;AS!$AA$1;AS!$AH:$AH;$X$8;AS!$AT:$AT;$X15;AS!$AV:$AV;$X$6;AS!$AW:$AW;$Y$6;AS!$X:$X;$Y$5)</t>
  </si>
  <si>
    <t>Kansanopisto</t>
  </si>
  <si>
    <t>Korkeakoulu</t>
  </si>
  <si>
    <t>Aikuissosiaalityö</t>
  </si>
  <si>
    <t>Lastensuojelu</t>
  </si>
  <si>
    <t>Muu sosiaalityö</t>
  </si>
  <si>
    <t>Kuntakokeilu</t>
  </si>
  <si>
    <t>Poliisi ja ankkuri-toiminta</t>
  </si>
  <si>
    <t>Muu viranomaistaho</t>
  </si>
  <si>
    <t>Yritykset</t>
  </si>
  <si>
    <t>Terveydenhuolto</t>
  </si>
  <si>
    <t>Mielenterveyden hoito</t>
  </si>
  <si>
    <t>Päihde- ja riippuvuushoito</t>
  </si>
  <si>
    <t>16-17</t>
  </si>
  <si>
    <t>18-20</t>
  </si>
  <si>
    <t>16-17-vuotiaita</t>
  </si>
  <si>
    <t>18-20-vuotiaita</t>
  </si>
  <si>
    <t>Uudelleenohjattu yhteydenottopyyntö</t>
  </si>
  <si>
    <t>Päättynyt: Väärä / peruttu ilmoitus</t>
  </si>
  <si>
    <t>Päättynyt: Uudelleenohjattu yhteydenottopyyntö</t>
  </si>
  <si>
    <t>ComboBox_Etpaatos_syy#uudelleenohjattu yhteydenottopyyntö</t>
  </si>
  <si>
    <t>ComboBox_Etpaatos_syy#väärä/peruttu ilmoitus</t>
  </si>
  <si>
    <t>tääsä väli jäljessä? Tarkasta Teemulta</t>
  </si>
  <si>
    <t>muu opiskelu</t>
  </si>
  <si>
    <t>Sosiaalityö, terveydenhuolto ja KELAn palvelut</t>
  </si>
  <si>
    <t>Kelan kuntoutus</t>
  </si>
  <si>
    <t>Työllistymistä tukeva toiminta</t>
  </si>
  <si>
    <t>julkiset työelämään liittyvät palvelut</t>
  </si>
  <si>
    <t>työhön avoimille työmarkkinoille</t>
  </si>
  <si>
    <t>matalan kynnyksen apu mielenterveyteen ja/tai päihdeongelmiin</t>
  </si>
  <si>
    <t>Päättyy ilman siirtymiä, nuoren omasta halusta</t>
  </si>
  <si>
    <t>ComboBox_Etpaatos_syy#TUVA-koulutus</t>
  </si>
  <si>
    <t>ComboBox_Etpaatos_syy#toisen asteen opinnot</t>
  </si>
  <si>
    <t>ComboBox_Etpaatos_syy#korkeakoulu opinnot</t>
  </si>
  <si>
    <t>ComboBox_Etpaatos_syy#mielenterveyden hoito</t>
  </si>
  <si>
    <t>ComboBox_Etpaatos_syy#päihde- ja riippuvuushoito</t>
  </si>
  <si>
    <t>ComboBox_Etpaatos_syy#NUOTTI-valmennus</t>
  </si>
  <si>
    <t>ComboBox_Etpaatos_syy#Päättyy ilman siirtymiä, nuoren omasta halusta</t>
  </si>
  <si>
    <t>Väärä/peruttu ilmoitus</t>
  </si>
  <si>
    <t>Toisen asteen opinnot</t>
  </si>
  <si>
    <t>Korkeakoulu opinnot</t>
  </si>
  <si>
    <t>Sosiaalityö</t>
  </si>
  <si>
    <t>Kuntouttava työtoiminta</t>
  </si>
  <si>
    <t>Kansalaistoiminta ja vapaaehtoistyö</t>
  </si>
  <si>
    <t>On jo etsivän asiakas</t>
  </si>
  <si>
    <t>Matalan kynnyksen apu mielenterveyteen ja/tai päihdeongelmiin</t>
  </si>
  <si>
    <t>Kertaluonteinen uudelleenohjaus</t>
  </si>
  <si>
    <t>Yhteydenottopyyntö, kontakti ja tavoitettu: Nuoret yhteensä</t>
  </si>
  <si>
    <t>Mielenterveydenhoito</t>
  </si>
  <si>
    <t>tarkista</t>
  </si>
  <si>
    <t>kaikki</t>
  </si>
  <si>
    <t>SUMMA.JOS.JOUKKO(AS!$W:$W;AS!$BO:$BO;$W$7;AS!$AB:$AB;AS!$AA$1;AS!$AV:$AV;$X$5;AS!$I:$I;$X$7;AS!$AH:$AH;$X$8;AS!$BB:$BB;AS!$BA$1;AS!$AX:$AX;AC145;AS!$AW:$AW;$Y$6;AS!$X:$X;$Y$5;AS!$AT:$AT;Parkki!$Y$13)</t>
  </si>
  <si>
    <t>Etsivän nuorisotyön asiakkuus</t>
  </si>
  <si>
    <t>Muutos</t>
  </si>
  <si>
    <t>etsivien tuki ja rinnalla kulkeminen</t>
  </si>
  <si>
    <t>menetelmällinen työskentely nuoren kanssa</t>
  </si>
  <si>
    <t>monialainen verkostoyhteistyö</t>
  </si>
  <si>
    <t>palveluihin ohjaaminen</t>
  </si>
  <si>
    <t>tuki viranomaisasioiden hoitamiseen</t>
  </si>
  <si>
    <t>ohjattu opiskelupaikan haussa</t>
  </si>
  <si>
    <t>asumiseen liittyvä tuki</t>
  </si>
  <si>
    <t>työnhaun ohjaus ja neuvonta</t>
  </si>
  <si>
    <t>tutustumistoiminta</t>
  </si>
  <si>
    <t>yhteiset tutustumiskäynnit</t>
  </si>
  <si>
    <t>sovari-kysely toimitettu nuorelle</t>
  </si>
  <si>
    <t>Sosiaali- ja terveystoimen palvelut</t>
  </si>
  <si>
    <t>mielenterveyspalvelut</t>
  </si>
  <si>
    <t>päihdepalvelut - ja kuntoutus</t>
  </si>
  <si>
    <t>Uusi</t>
  </si>
  <si>
    <t>muut terveyteen liittyvät palvelut</t>
  </si>
  <si>
    <t>velkaneuvonta ja muu talouteen liittyvä neuvonta</t>
  </si>
  <si>
    <t>lastensuojelu ja jälkihuolto</t>
  </si>
  <si>
    <t>muu sosiaalityön palvelu</t>
  </si>
  <si>
    <t>Pois 2023, yhdistetään arvoon "Kelan ammatilinen kuntoutus"</t>
  </si>
  <si>
    <t>Kelan ammatillinen kuntoutusselvitys</t>
  </si>
  <si>
    <t>Kelan ammatillinen kuntoutus</t>
  </si>
  <si>
    <t>Kelan ammatillinen kuntoutuskurssi</t>
  </si>
  <si>
    <t>muu kuntoutus</t>
  </si>
  <si>
    <t>Nuoriso- ja vapaa-ajantoiminta ja 3.sektori</t>
  </si>
  <si>
    <t>kulttuuri- ja taidetoiminta</t>
  </si>
  <si>
    <t>liikunta- ja ulkoilutoiminta</t>
  </si>
  <si>
    <t>järjestöjen toiminta</t>
  </si>
  <si>
    <t>muu vapaa-ajan toiminta</t>
  </si>
  <si>
    <t>Pois 2023</t>
  </si>
  <si>
    <t>ammatilliset perusopinnot</t>
  </si>
  <si>
    <t>Pois 2023, yhdistetään arvoon "Ammatilliset perusopinnot"</t>
  </si>
  <si>
    <t>korkeakouluopinnot</t>
  </si>
  <si>
    <t>kansanopiston opinnot</t>
  </si>
  <si>
    <t>kuntouttava työtoiminta (muualle kuin työpajaan)</t>
  </si>
  <si>
    <t>työkokeilu (muualle kuin työpajaan)</t>
  </si>
  <si>
    <t>nuorten työpajatoiminta</t>
  </si>
  <si>
    <t>Ammatinvalinta- ja uraohjaus</t>
  </si>
  <si>
    <t>muut työelämään liittyvät palvelut</t>
  </si>
  <si>
    <t>Etsivien tuki ja rinnalla kulkeminen</t>
  </si>
  <si>
    <t>ComboBox_EtToimenpide_yla#muu sosiaalityön palvelu</t>
  </si>
  <si>
    <t>ComboBox_EtToimenpide_yla#Opinnot</t>
  </si>
  <si>
    <t>ComboBox_EtToimenpide_yla#Työllistymistä tukeva toiminta</t>
  </si>
  <si>
    <t>ComboBox_EtToimenpide_yla#Muut toimenpiteet</t>
  </si>
  <si>
    <t>Monialainen verkostoyhteistyö</t>
  </si>
  <si>
    <t>Palveluihin ohjaaminen</t>
  </si>
  <si>
    <t>Tuki viranomaisasioiden hoitamiseen</t>
  </si>
  <si>
    <t>Ohjattu opiskelupaikan haussa</t>
  </si>
  <si>
    <t>Asumiseen liittyvä tuki</t>
  </si>
  <si>
    <t>Yhteiset tutustumiskäynnit</t>
  </si>
  <si>
    <t>Lastensuojelu ja jälkihuolto</t>
  </si>
  <si>
    <t>Muu sosiaalityön palvelu</t>
  </si>
  <si>
    <t>Muu kuntoutus</t>
  </si>
  <si>
    <t>Kulttuuri- ja taidetoiminta</t>
  </si>
  <si>
    <t>Liikunta- ja ulkoilutoiminta</t>
  </si>
  <si>
    <t>Järjestöjen toiminta</t>
  </si>
  <si>
    <t>Muu vapaa-ajan toiminta</t>
  </si>
  <si>
    <t>Ammatilliset perusopinnot</t>
  </si>
  <si>
    <t>Korkeakouluopinnot</t>
  </si>
  <si>
    <t>Kansanopiston opinnot</t>
  </si>
  <si>
    <t>Nuorten työpajatoiminta</t>
  </si>
  <si>
    <t>Muut työelämään liittyvät palvelut</t>
  </si>
  <si>
    <t>ComboBox_EtKoulutustausta_muu_alku#TUVA-koulutus</t>
  </si>
  <si>
    <t>Tavoittelussa</t>
  </si>
  <si>
    <t>ComboBox_EtAsikastila#tavoittelussa</t>
  </si>
  <si>
    <t>Työskennellään ja saavutettu yhteensä</t>
  </si>
  <si>
    <t>Määrä</t>
  </si>
  <si>
    <t xml:space="preserve">MUUTOS LASKENTAAN VUONNA 2023:
Toimenpiteet lasketaan VAIN nille määriteltyjen päivämäärien perusteella. Toimenpiteet EIVÄT enää ole automaattisesti voimassa yhden vuoden ajan kirjaamisesta. </t>
  </si>
  <si>
    <t>ComboBox_Etpaatos_syy#muut työelämään liittyvät palvelut</t>
  </si>
  <si>
    <t xml:space="preserve">Ikä: Nuoren ikä lasketaan syntymäajan perusteella. Laskentaan poimitaan ikä hakuajan alussa, mikäli ikä on silloin suurempi kuin asiakkuuden alussa. Tällöin nähdään pitkien asiakkuuksien suhteen, minkä ikäisiä nuoret ovat olleet erilaisilla hakuajoilla. </t>
  </si>
  <si>
    <t>ComboBox_Etpaatos_syy#Kelan kuntoutus</t>
  </si>
  <si>
    <t>Yritetään yhä saada yhteyttä (laskuri)</t>
  </si>
  <si>
    <t>yksikkö</t>
  </si>
  <si>
    <t>MUISTIO_ID</t>
  </si>
  <si>
    <t>MUISTIO_AIKALEIMA</t>
  </si>
  <si>
    <t>MUISTIO_KAID</t>
  </si>
  <si>
    <t>MUISTIO_ALKUPVM</t>
  </si>
  <si>
    <t>MUISTIO_LOPPUPVM</t>
  </si>
  <si>
    <t>MUISTIO_AAIKA</t>
  </si>
  <si>
    <t>MUISTIO_LAIKA</t>
  </si>
  <si>
    <t>MUISTIO_OTSIKKO</t>
  </si>
  <si>
    <t>MUISTIO_TYYPPI</t>
  </si>
  <si>
    <t>MUISTIO_PAIKKA</t>
  </si>
  <si>
    <t>MUISTIO_KAIKKI</t>
  </si>
  <si>
    <t>MUISTIO_NAISIA</t>
  </si>
  <si>
    <t>MUISTIO_KESKEN</t>
  </si>
  <si>
    <t>MUISTIO_HUOMIO</t>
  </si>
  <si>
    <t>MUISTIO_PUOLI</t>
  </si>
  <si>
    <t>MUISTIO_TTYYPPI</t>
  </si>
  <si>
    <t>MUISTIO_TEKOAIKA</t>
  </si>
  <si>
    <t>MUISTIO_MUUTOSAIKA</t>
  </si>
  <si>
    <t>MUISTIO_YHTEISMUISTIO</t>
  </si>
  <si>
    <t>MUISTIO_ASIAKKAAKSI_SIIR</t>
  </si>
  <si>
    <t>MUISTIO_ASIAKKAAKSI_SIIR_NAISIA</t>
  </si>
  <si>
    <t>MUISTIO_OMAKOODI</t>
  </si>
  <si>
    <t>MUISTIO_KERTAOHJAUS</t>
  </si>
  <si>
    <t>MUISTIO_KERTAOHJAUS_NAISIA</t>
  </si>
  <si>
    <t>Henkilöt</t>
  </si>
  <si>
    <t>Yhteydenottopyyntö nuoret</t>
  </si>
  <si>
    <t>Ilmoitukset (kaikilta jaksoilta)</t>
  </si>
  <si>
    <t>anna ylimääräisten sarakkeiden olla</t>
  </si>
  <si>
    <t>Myös asiakkuuksien kestot kerätään Parkki-raporttiin.</t>
  </si>
  <si>
    <t>yhteys etsivään?</t>
  </si>
  <si>
    <t>omakoodi2?</t>
  </si>
  <si>
    <t>puoli</t>
  </si>
  <si>
    <t>alle 7</t>
  </si>
  <si>
    <t>Osallistumisen lisääminen vaikuttamisen prosesseihin</t>
  </si>
  <si>
    <t>Tav.päätös, muun</t>
  </si>
  <si>
    <t>tav, toimenpide, muun</t>
  </si>
  <si>
    <t>Tarkastele asiakkuuksien kestoja täältä</t>
  </si>
  <si>
    <t>ComboBox_Etpaatos_syy#sosiaalityö</t>
  </si>
  <si>
    <t>haetaan edellinen arvo, jos omalla rivillä on tyhjä</t>
  </si>
  <si>
    <t>laskennallinen aika</t>
  </si>
  <si>
    <t>tilanne tallennusaika</t>
  </si>
  <si>
    <t>erotus kirjaamisesta ja hakuajasta</t>
  </si>
  <si>
    <t>lähin arvo hakuajan alkuun</t>
  </si>
  <si>
    <t>koulu, viimeisin</t>
  </si>
  <si>
    <t>koulutilanne, viimeisin</t>
  </si>
  <si>
    <t>toiminta, viimeisin</t>
  </si>
  <si>
    <t>Toimeentulotuki, viimeisin</t>
  </si>
  <si>
    <t>asuminen, viimeisin</t>
  </si>
  <si>
    <t>VERSIO</t>
  </si>
  <si>
    <t>järjestysnumero</t>
  </si>
  <si>
    <t>yksiköt</t>
  </si>
  <si>
    <t>kunnat</t>
  </si>
  <si>
    <t>hae seuraava rivi</t>
  </si>
  <si>
    <t>Kaikki yksiköt</t>
  </si>
  <si>
    <t>Ei yksiköitä</t>
  </si>
  <si>
    <t>Muut yksiköt</t>
  </si>
  <si>
    <t>ComboBox_yksikko_00000001</t>
  </si>
  <si>
    <t>ComboBox_yksikko_00000002</t>
  </si>
  <si>
    <t>ComboBox_yksikko_00000003</t>
  </si>
  <si>
    <t>ComboBox_yksikko_00000004</t>
  </si>
  <si>
    <t>ComboBox_yksikko_00000005</t>
  </si>
  <si>
    <t>ComboBox_yksikko_00000006</t>
  </si>
  <si>
    <t>ComboBox_yksikko_00000007</t>
  </si>
  <si>
    <t>ComboBox_yksikko_00000008</t>
  </si>
  <si>
    <t>ComboBox_yksikko_00000009</t>
  </si>
  <si>
    <t>ComboBox_yksikko_00000010</t>
  </si>
  <si>
    <t>ComboBox_yksikko_00000011</t>
  </si>
  <si>
    <t>ComboBox_yksikko_00000012</t>
  </si>
  <si>
    <t>ComboBox_yksikko_00000013</t>
  </si>
  <si>
    <t>ComboBox_yksikko_00000014</t>
  </si>
  <si>
    <t>ComboBox_yksikko_00000015</t>
  </si>
  <si>
    <t>ComboBox_yksikko_00000016</t>
  </si>
  <si>
    <t>ComboBox_yksikko_00000017</t>
  </si>
  <si>
    <t>ComboBox_yksikko_00000018</t>
  </si>
  <si>
    <t>ComboBox_yksikko_00000019</t>
  </si>
  <si>
    <t>ComboBox_yksikko_00000020</t>
  </si>
  <si>
    <t>ComboBox_yksikko_00000021</t>
  </si>
  <si>
    <t>ComboBox_yksikko_00000022</t>
  </si>
  <si>
    <t>ComboBox_yksikko_00000023</t>
  </si>
  <si>
    <t>ComboBox_yksikko_00000024</t>
  </si>
  <si>
    <t>ComboBox_yksikko_00000025</t>
  </si>
  <si>
    <t>ComboBox_yksikko_00000026</t>
  </si>
  <si>
    <t>ComboBox_yksikko_00000027</t>
  </si>
  <si>
    <t>ComboBox_yksikko_00000028</t>
  </si>
  <si>
    <t>ComboBox_yksikko_00000029</t>
  </si>
  <si>
    <t>ComboBox_yksikko_00000030</t>
  </si>
  <si>
    <t>&gt; Yksikkö</t>
  </si>
  <si>
    <t>perustiedoista</t>
  </si>
  <si>
    <t>jaksoista</t>
  </si>
  <si>
    <t xml:space="preserve">&gt; Hakuaika, aloitus </t>
  </si>
  <si>
    <t>Hakuaika muutetaan asiakastilastot-sivulta, muut suodattimet ovat sivukohtaisia</t>
  </si>
  <si>
    <t>&gt; Yksikkö perustiedoista tai jaksoista</t>
  </si>
  <si>
    <t>&gt; Kunta perustiedoista tai jaksoista</t>
  </si>
  <si>
    <t>KUNTA JA YKSIKKÖTIEDOT:</t>
  </si>
  <si>
    <t>jaksoista kunta:</t>
  </si>
  <si>
    <t>jaksoista yksikkö:</t>
  </si>
  <si>
    <t>kaikki yksikkö:</t>
  </si>
  <si>
    <t>kaikki kunnat:</t>
  </si>
  <si>
    <t>Organisaation yksiköt</t>
  </si>
  <si>
    <t>Organisaation kunnat</t>
  </si>
  <si>
    <t>uusia jaksoja</t>
  </si>
  <si>
    <t>ASNO_YKSIKKÖ</t>
  </si>
  <si>
    <t>08_2024</t>
  </si>
  <si>
    <t>08_2026</t>
  </si>
  <si>
    <t>kunta AS sivulta</t>
  </si>
  <si>
    <t>jakson kunta, jos tyhjä haetaan perustiedoista</t>
  </si>
  <si>
    <t>jakson yksikkö, jos tyhjä haetaan perustiedoista</t>
  </si>
  <si>
    <t>09_2023</t>
  </si>
  <si>
    <t>vain kerran henkilö/jaksona/yksikössä</t>
  </si>
  <si>
    <t>apu ID</t>
  </si>
  <si>
    <t>Jaksot /yksikkö</t>
  </si>
  <si>
    <t xml:space="preserve">Kaikki nuoret </t>
  </si>
  <si>
    <t>Nuoret / yksikkö</t>
  </si>
  <si>
    <t>vain kerran henkilö/jaksona/kunnassa</t>
  </si>
  <si>
    <t>Nuoret / kunta</t>
  </si>
  <si>
    <t>Jaksot /kunta</t>
  </si>
  <si>
    <t>Yksikkö</t>
  </si>
  <si>
    <t>etsi haluttu yksikkö jaksoilta</t>
  </si>
  <si>
    <t>Etsi haluttu kunta Jaksoilta</t>
  </si>
  <si>
    <t>kaikki hakuehtoon</t>
  </si>
  <si>
    <t>ei käytössä, kaavamuutoksia ei ole huomioitu</t>
  </si>
  <si>
    <t>&gt; Ikäluokka</t>
  </si>
  <si>
    <t xml:space="preserve">HUOM! Tilanne-sivun tiedot tuodaan 08/2024 lähtien hakuajan ensimmäiseltä sopivalta tilanneriviltä ja vertailutieto tuodaan nuoren uusimmalta tilanneriviltä. Aikaisemmin hakuarvona käytettiin asiakkuuden ensimmäistä tilanneriviä.
Tarkempaa tilanteiden muutosta voit tarkastella nuorikohtaisesti asiakaslistan avulla tai PAR-järjestelmän sisällä.
</t>
  </si>
  <si>
    <t>ASNOTextBox_EtLiputus</t>
  </si>
  <si>
    <t>Asetettuja tavoitteita yhteensä</t>
  </si>
  <si>
    <t>Kuinka monta tavoitetta on asetettu keskimäärin</t>
  </si>
  <si>
    <t>BO:uusi jakso = uusi hlö</t>
  </si>
  <si>
    <t>Tavoitetut, joille tavoitteet on asetettu</t>
  </si>
  <si>
    <t>tavoitettu</t>
  </si>
  <si>
    <t>hakuaikaa lähin rivi (nro) / tämä muutettiin 08/2024</t>
  </si>
  <si>
    <t>ComboBox_TyHlo</t>
  </si>
  <si>
    <t>ukraina</t>
  </si>
  <si>
    <t>ComboBox_EtKieli#ukraina</t>
  </si>
  <si>
    <t>Kuntoutuksessa</t>
  </si>
  <si>
    <t>ComboBox_EtPaaToiminta_alku#kuntoutuksessa</t>
  </si>
  <si>
    <t>Ammatillinen erityisoppilaitos</t>
  </si>
  <si>
    <t>ComboBox_EtSaapunut_1#ammatillinen erityisoppilaitos</t>
  </si>
  <si>
    <t>Sosiaali- ja terveyspalvelut ja kuntoutus</t>
  </si>
  <si>
    <t>ComboBox_EtSaapunut_1#oppivelvollisuuden ohjaus ja valvonta</t>
  </si>
  <si>
    <t>Oppivelvollisuuden ohjaus ja valvonta</t>
  </si>
  <si>
    <t>TYM-yhteistoimintamalli (ent.TYP)</t>
  </si>
  <si>
    <t>TE-palvelut (vanha)</t>
  </si>
  <si>
    <t>Kuntakokeilu (vanha)</t>
  </si>
  <si>
    <t>Nuotti-valmennus</t>
  </si>
  <si>
    <t>ComboBox_EtSaapunut_1#Nuotti-valmennus</t>
  </si>
  <si>
    <t>Nuorten yhteydenotto sosiaalisen median kautta</t>
  </si>
  <si>
    <t>Seurakunta ja diakonia</t>
  </si>
  <si>
    <t>ComboBox_EtSaapunut_1#seurakunta ja diakonia</t>
  </si>
  <si>
    <t>ComboBox_EtSaapunut_1#nuoren yhteydenotto sosiaalisen median kautta</t>
  </si>
  <si>
    <r>
      <rPr>
        <b/>
        <sz val="9"/>
        <color theme="1"/>
        <rFont val="Calibri"/>
        <family val="2"/>
        <scheme val="minor"/>
      </rPr>
      <t>Selvitys, jos htv ei ole 1</t>
    </r>
    <r>
      <rPr>
        <sz val="9"/>
        <color theme="1"/>
        <rFont val="Calibri"/>
        <family val="2"/>
        <scheme val="minor"/>
      </rPr>
      <t xml:space="preserve"> (esim. osa-aikainen tai työsuhde 1.2. 2025 – 1.5.2025)</t>
    </r>
  </si>
  <si>
    <t>ComboBox_yksikko_00000031</t>
  </si>
  <si>
    <t>ComboBox_yksikko_00000032</t>
  </si>
  <si>
    <t>ComboBox_yksikko_00000033</t>
  </si>
  <si>
    <t>ComboBox_yksikko_00000034</t>
  </si>
  <si>
    <t>ComboBox_yksikko_00000035</t>
  </si>
  <si>
    <t>ComboBox_yksikko_00000036</t>
  </si>
  <si>
    <t>ComboBox_yksikko_00000037</t>
  </si>
  <si>
    <t>ComboBox_yksikko_00000038</t>
  </si>
  <si>
    <t>ComboBox_yksikko_00000039</t>
  </si>
  <si>
    <t>ComboBox_yksikko_00000040</t>
  </si>
  <si>
    <t>ComboBox_yksikko_00000041</t>
  </si>
  <si>
    <t>ComboBox_yksikko_00000042</t>
  </si>
  <si>
    <t>ComboBox_yksikko_00000043</t>
  </si>
  <si>
    <t>ComboBox_yksikko_00000044</t>
  </si>
  <si>
    <t>ComboBox_yksikko_00000045</t>
  </si>
  <si>
    <t>ComboBox_yksikko_00000046</t>
  </si>
  <si>
    <t>ComboBox_yksikko_00000047</t>
  </si>
  <si>
    <t>ComboBox_yksikko_00000048</t>
  </si>
  <si>
    <t>01</t>
  </si>
  <si>
    <t>02</t>
  </si>
  <si>
    <t>03</t>
  </si>
  <si>
    <t>04</t>
  </si>
  <si>
    <t>05</t>
  </si>
  <si>
    <t>06</t>
  </si>
  <si>
    <t>07</t>
  </si>
  <si>
    <t>08</t>
  </si>
  <si>
    <t>09</t>
  </si>
  <si>
    <t>ComboBox_EtKuntakoodi_000000</t>
  </si>
  <si>
    <t>ComboBox_TyHlo_yksikko_000000</t>
  </si>
  <si>
    <t xml:space="preserve">Henkilöstö-sivun tiedot siirretään suoraan Webropol-kyselyyn työntekijätason tietoina.
Tarkasta tiedot! Tarvittaessa voit muokata tietoja vielä tällä välilehdellä.
HUOM! Kaikkien vuonna 2025 etsivänä nuorisotyöntekijänä toimivien tiedot halutaan näkyville! Muiden työntekijöiden tietoja emme kerää, joten voit poistaa mahdollisesti ylimääräiset henkilöt. Tarkista myös kohta Henkilötyövuosi (HTV), jonka arvon tulisi olla suurempi kuin nolla, jos työntekijä on työskennellyt vuonna 2025
</t>
  </si>
  <si>
    <t>Yksikkö ja kuntakoodit</t>
  </si>
  <si>
    <t>Poistettuja kunta- ja yksikkökoodeja ei enää näytetä tilastohauissa 04/2025 alkaen</t>
  </si>
  <si>
    <t>UUSI 04_2025</t>
  </si>
  <si>
    <t>AS!$K:$K;Saapuminen!$V$2</t>
  </si>
  <si>
    <t>6.10.1</t>
  </si>
  <si>
    <t>piilota</t>
  </si>
  <si>
    <t>P</t>
  </si>
  <si>
    <t>ComboBox_EtSaapunut_1#TYM-yhteistoimintamalli (ent.TYP)</t>
  </si>
  <si>
    <t>ComboBox_EtSaapunut_1#työllisyyspalvelut</t>
  </si>
  <si>
    <t>Päivitys 8.9.2025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</si>
</sst>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0;\ \-#,##0;\ \-\ "/>
    <numFmt numFmtId="165" formatCode="\(0.0\ %\)"/>
    <numFmt numFmtId="166" formatCode="0.0\ %"/>
    <numFmt numFmtId="167" formatCode="#,##0.0%;\ \-#,##0.0%;\ \-\ "/>
    <numFmt numFmtId="168" formatCode="#,##0%;\ \-#,##0%;\ \-\ "/>
    <numFmt numFmtId="169" formatCode="\(#,##0.0%\);\ \(\-#,##0.0%\);\ \-\ "/>
    <numFmt numFmtId="170" formatCode="dd/mm/yyyy"/>
    <numFmt numFmtId="171" formatCode="0.00_ ;[Red]\-0.00\ "/>
    <numFmt numFmtId="172" formatCode="#,##0.00;[Red]\-#,##0.00;\ \-\ "/>
    <numFmt numFmtId="173" formatCode="dd/mm/yyyy\ hh:mm:ss"/>
    <numFmt numFmtId="174" formatCode="_-* #,##0\ &quot;kr&quot;_-;\-* #,##0\ &quot;kr&quot;_-;_-* &quot;-&quot;\ &quot;kr&quot;_-;_-@_-"/>
    <numFmt numFmtId="175" formatCode="_-* #,##0\ _k_r_-;\-* #,##0\ _k_r_-;_-* &quot;-&quot;\ _k_r_-;_-@_-"/>
    <numFmt numFmtId="176" formatCode="_-* #,##0.00\ &quot;kr&quot;_-;\-* #,##0.00\ &quot;kr&quot;_-;_-* &quot;-&quot;??\ &quot;kr&quot;_-;_-@_-"/>
    <numFmt numFmtId="177" formatCode="_-* #,##0.00\ _k_r_-;\-* #,##0.00\ _k_r_-;_-* &quot;-&quot;??\ _k_r_-;_-@_-"/>
    <numFmt numFmtId="178" formatCode="0.0\ %;\-;\-"/>
    <numFmt numFmtId="179" formatCode="#,##0.00_ ;\-#,##0.00\ "/>
    <numFmt numFmtId="180" formatCode="0.00&quot;%&quot;"/>
    <numFmt numFmtId="181" formatCode="_-* #,##0.00\ _€_-;\-* #,##0.00\ _€_-;_-* &quot;-&quot;??\ _€_-;_-@_-"/>
    <numFmt numFmtId="182" formatCode="0.00;[Red]0.00"/>
  </numFmts>
  <fonts count="98" x14ac:knownFonts="1">
    <font>
      <sz val="11"/>
      <color theme="1"/>
      <name val="Calibri"/>
      <family val="2"/>
      <scheme val="minor"/>
    </font>
    <font>
      <sz val="11"/>
      <color theme="1"/>
      <name val="Calibri"/>
      <family val="2"/>
      <scheme val="minor"/>
    </font>
    <font>
      <sz val="11"/>
      <color rgb="FF3F3F76"/>
      <name val="Calibri"/>
      <family val="2"/>
      <scheme val="minor"/>
    </font>
    <font>
      <b/>
      <sz val="11"/>
      <color rgb="FFFA7D00"/>
      <name val="Calibri"/>
      <family val="2"/>
      <scheme val="minor"/>
    </font>
    <font>
      <b/>
      <sz val="11"/>
      <color theme="1"/>
      <name val="Calibri"/>
      <family val="2"/>
      <scheme val="minor"/>
    </font>
    <font>
      <sz val="10"/>
      <color rgb="FFFF0000"/>
      <name val="Calibri"/>
      <family val="2"/>
      <scheme val="minor"/>
    </font>
    <font>
      <sz val="10"/>
      <color theme="1"/>
      <name val="Calibri"/>
      <family val="2"/>
      <scheme val="minor"/>
    </font>
    <font>
      <sz val="10"/>
      <name val="Calibri"/>
      <family val="2"/>
      <scheme val="minor"/>
    </font>
    <font>
      <b/>
      <sz val="10"/>
      <color theme="1"/>
      <name val="Calibri"/>
      <family val="2"/>
      <scheme val="minor"/>
    </font>
    <font>
      <b/>
      <sz val="10"/>
      <name val="Calibri"/>
      <family val="2"/>
      <scheme val="minor"/>
    </font>
    <font>
      <sz val="11"/>
      <name val="Calibri"/>
      <family val="2"/>
      <scheme val="minor"/>
    </font>
    <font>
      <sz val="10"/>
      <name val="Calibri"/>
      <family val="2"/>
    </font>
    <font>
      <sz val="9"/>
      <color theme="1"/>
      <name val="Calibri"/>
      <family val="2"/>
      <scheme val="minor"/>
    </font>
    <font>
      <b/>
      <sz val="11"/>
      <name val="Calibri"/>
      <family val="2"/>
      <scheme val="minor"/>
    </font>
    <font>
      <sz val="11"/>
      <color indexed="8"/>
      <name val="Calibri"/>
      <family val="2"/>
    </font>
    <font>
      <b/>
      <sz val="9"/>
      <name val="Calibri"/>
      <family val="2"/>
      <scheme val="minor"/>
    </font>
    <font>
      <sz val="9"/>
      <name val="Calibri"/>
      <family val="2"/>
      <scheme val="minor"/>
    </font>
    <font>
      <b/>
      <sz val="9"/>
      <color indexed="81"/>
      <name val="Tahoma"/>
      <family val="2"/>
    </font>
    <font>
      <sz val="9"/>
      <color indexed="81"/>
      <name val="Tahoma"/>
      <family val="2"/>
    </font>
    <font>
      <b/>
      <sz val="11"/>
      <name val="Calibri"/>
      <family val="2"/>
    </font>
    <font>
      <sz val="11"/>
      <name val="Calibri"/>
      <family val="2"/>
    </font>
    <font>
      <i/>
      <sz val="10"/>
      <color theme="1"/>
      <name val="Calibri"/>
      <family val="2"/>
      <scheme val="minor"/>
    </font>
    <font>
      <sz val="11"/>
      <color rgb="FF000000"/>
      <name val="Courier New"/>
      <family val="3"/>
    </font>
    <font>
      <sz val="18"/>
      <color theme="1"/>
      <name val="Calibri"/>
      <family val="2"/>
      <scheme val="minor"/>
    </font>
    <font>
      <b/>
      <sz val="10"/>
      <color theme="0"/>
      <name val="Calibri"/>
      <family val="2"/>
      <scheme val="minor"/>
    </font>
    <font>
      <b/>
      <sz val="10"/>
      <color rgb="FFFF0000"/>
      <name val="Calibri"/>
      <family val="2"/>
      <scheme val="minor"/>
    </font>
    <font>
      <sz val="10"/>
      <color rgb="FF000000"/>
      <name val="Calibri"/>
      <family val="2"/>
      <scheme val="minor"/>
    </font>
    <font>
      <sz val="10"/>
      <color rgb="FFFF8C00"/>
      <name val="Calibri"/>
      <family val="2"/>
      <scheme val="minor"/>
    </font>
    <font>
      <sz val="10"/>
      <color theme="0"/>
      <name val="Calibri"/>
      <family val="2"/>
      <scheme val="minor"/>
    </font>
    <font>
      <b/>
      <sz val="10"/>
      <color theme="0"/>
      <name val="Calibri"/>
      <family val="2"/>
    </font>
    <font>
      <sz val="10"/>
      <color theme="0"/>
      <name val="Calibri"/>
      <family val="2"/>
    </font>
    <font>
      <sz val="11"/>
      <color rgb="FF006100"/>
      <name val="Calibri"/>
      <family val="2"/>
      <scheme val="minor"/>
    </font>
    <font>
      <sz val="11"/>
      <color rgb="FFFF0000"/>
      <name val="Calibri"/>
      <family val="2"/>
      <scheme val="minor"/>
    </font>
    <font>
      <sz val="11"/>
      <color rgb="FF7030A0"/>
      <name val="Calibri"/>
      <family val="2"/>
      <scheme val="minor"/>
    </font>
    <font>
      <sz val="11"/>
      <color theme="7"/>
      <name val="Calibri"/>
      <family val="2"/>
      <scheme val="minor"/>
    </font>
    <font>
      <sz val="11"/>
      <color rgb="FF9C0006"/>
      <name val="Calibri"/>
      <family val="2"/>
      <scheme val="minor"/>
    </font>
    <font>
      <sz val="11"/>
      <color theme="0"/>
      <name val="Calibri"/>
      <family val="2"/>
      <scheme val="minor"/>
    </font>
    <font>
      <sz val="11"/>
      <color theme="0" tint="-0.34998626667073579"/>
      <name val="Calibri"/>
      <family val="2"/>
      <scheme val="minor"/>
    </font>
    <font>
      <b/>
      <sz val="9"/>
      <color theme="1"/>
      <name val="Calibri"/>
      <family val="2"/>
      <scheme val="minor"/>
    </font>
    <font>
      <sz val="12"/>
      <color theme="0" tint="-0.34998626667073579"/>
      <name val="Arial"/>
      <family val="2"/>
    </font>
    <font>
      <b/>
      <sz val="10"/>
      <name val="Calibri"/>
      <family val="2"/>
    </font>
    <font>
      <u/>
      <sz val="11"/>
      <color theme="10"/>
      <name val="Calibri"/>
      <family val="2"/>
      <scheme val="minor"/>
    </font>
    <font>
      <b/>
      <sz val="11"/>
      <color rgb="FFFF0000"/>
      <name val="Calibri"/>
      <family val="2"/>
      <scheme val="minor"/>
    </font>
    <font>
      <b/>
      <sz val="12"/>
      <color theme="1"/>
      <name val="Calibri"/>
      <family val="2"/>
      <scheme val="minor"/>
    </font>
    <font>
      <i/>
      <sz val="8"/>
      <name val="Calibri"/>
      <family val="2"/>
      <scheme val="minor"/>
    </font>
    <font>
      <sz val="9"/>
      <color indexed="8"/>
      <name val="Calibri"/>
      <family val="2"/>
      <scheme val="minor"/>
    </font>
    <font>
      <sz val="11"/>
      <color theme="0" tint="-0.14999847407452621"/>
      <name val="Calibri"/>
      <family val="2"/>
      <scheme val="minor"/>
    </font>
    <font>
      <sz val="9"/>
      <color theme="0" tint="-0.14999847407452621"/>
      <name val="Calibri"/>
      <family val="2"/>
      <scheme val="minor"/>
    </font>
    <font>
      <b/>
      <sz val="14"/>
      <color theme="1"/>
      <name val="Calibri"/>
      <family val="2"/>
      <scheme val="minor"/>
    </font>
    <font>
      <sz val="11"/>
      <color theme="5" tint="-0.249977111117893"/>
      <name val="Calibri"/>
      <family val="2"/>
      <scheme val="minor"/>
    </font>
    <font>
      <b/>
      <sz val="10"/>
      <color theme="1"/>
      <name val="Calibri"/>
      <family val="2"/>
    </font>
    <font>
      <b/>
      <sz val="11"/>
      <color theme="5" tint="-0.249977111117893"/>
      <name val="Calibri"/>
      <family val="2"/>
      <scheme val="minor"/>
    </font>
    <font>
      <b/>
      <sz val="9"/>
      <name val="Calibri"/>
      <family val="2"/>
    </font>
    <font>
      <b/>
      <sz val="11"/>
      <color theme="1"/>
      <name val="Calibri"/>
      <family val="2"/>
    </font>
    <font>
      <sz val="11"/>
      <color rgb="FFDAD3E5"/>
      <name val="Calibri"/>
      <family val="2"/>
      <scheme val="minor"/>
    </font>
    <font>
      <sz val="12"/>
      <color theme="1"/>
      <name val="Calibri"/>
      <family val="2"/>
      <scheme val="minor"/>
    </font>
    <font>
      <sz val="11"/>
      <color rgb="FF00B050"/>
      <name val="Calibri"/>
      <family val="2"/>
      <scheme val="minor"/>
    </font>
    <font>
      <i/>
      <sz val="9"/>
      <color theme="1"/>
      <name val="Calibri"/>
      <family val="2"/>
      <scheme val="minor"/>
    </font>
    <font>
      <b/>
      <i/>
      <sz val="11"/>
      <color theme="1"/>
      <name val="Calibri"/>
      <family val="2"/>
      <scheme val="minor"/>
    </font>
    <font>
      <b/>
      <sz val="9"/>
      <color rgb="FFFF0000"/>
      <name val="Calibri"/>
      <family val="2"/>
      <scheme val="minor"/>
    </font>
    <font>
      <sz val="11"/>
      <color rgb="FF000000"/>
      <name val="Calibri"/>
      <family val="2"/>
      <scheme val="minor"/>
    </font>
    <font>
      <sz val="11"/>
      <color rgb="FF9C6500"/>
      <name val="Calibri"/>
      <family val="2"/>
      <scheme val="minor"/>
    </font>
    <font>
      <sz val="10"/>
      <color rgb="FF00B050"/>
      <name val="Calibri"/>
      <family val="2"/>
      <scheme val="minor"/>
    </font>
    <font>
      <b/>
      <sz val="12"/>
      <color rgb="FFFF0000"/>
      <name val="Calibri"/>
      <family val="2"/>
      <scheme val="minor"/>
    </font>
    <font>
      <sz val="8"/>
      <name val="Calibri"/>
      <family val="2"/>
      <scheme val="minor"/>
    </font>
    <font>
      <sz val="10"/>
      <name val="Arial"/>
      <family val="2"/>
    </font>
    <font>
      <sz val="10"/>
      <name val="Georgia"/>
      <family val="1"/>
    </font>
    <font>
      <b/>
      <sz val="10"/>
      <color indexed="9"/>
      <name val="Arial"/>
      <family val="2"/>
    </font>
    <font>
      <u/>
      <sz val="11"/>
      <color indexed="12"/>
      <name val="Calibri"/>
      <family val="2"/>
    </font>
    <font>
      <u/>
      <sz val="10"/>
      <color theme="10"/>
      <name val="Calibri"/>
      <family val="2"/>
      <scheme val="minor"/>
    </font>
    <font>
      <sz val="10"/>
      <color theme="1" tint="0.34998626667073579"/>
      <name val="Calibri"/>
      <family val="2"/>
      <scheme val="minor"/>
    </font>
    <font>
      <i/>
      <sz val="11"/>
      <color theme="1"/>
      <name val="Calibri"/>
      <family val="2"/>
      <scheme val="minor"/>
    </font>
    <font>
      <sz val="9"/>
      <color theme="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9C5700"/>
      <name val="Calibri"/>
      <family val="2"/>
      <scheme val="minor"/>
    </font>
    <font>
      <b/>
      <sz val="11"/>
      <color rgb="FF3F3F3F"/>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trike/>
      <sz val="11"/>
      <color theme="1"/>
      <name val="Calibri"/>
      <family val="2"/>
      <scheme val="minor"/>
    </font>
    <font>
      <sz val="10"/>
      <color rgb="FF000000"/>
      <name val="Arial"/>
      <family val="2"/>
    </font>
    <font>
      <sz val="9"/>
      <color rgb="FF9C0006"/>
      <name val="Calibri"/>
      <family val="2"/>
      <scheme val="minor"/>
    </font>
    <font>
      <sz val="9"/>
      <color rgb="FF006100"/>
      <name val="Calibri"/>
      <family val="2"/>
      <scheme val="minor"/>
    </font>
    <font>
      <b/>
      <sz val="11"/>
      <color theme="1" tint="4.9989318521683403E-2"/>
      <name val="Calibri"/>
      <family val="2"/>
      <scheme val="minor"/>
    </font>
    <font>
      <u/>
      <sz val="10"/>
      <color theme="10"/>
      <name val="Arial"/>
      <family val="2"/>
    </font>
    <font>
      <sz val="11"/>
      <color rgb="FF000000"/>
      <name val="Calibri"/>
      <family val="2"/>
    </font>
    <font>
      <sz val="10"/>
      <color theme="1"/>
      <name val="Arial"/>
      <family val="2"/>
    </font>
    <font>
      <sz val="9"/>
      <color rgb="FFFF0000"/>
      <name val="Calibri"/>
      <family val="2"/>
      <scheme val="minor"/>
    </font>
    <font>
      <sz val="11"/>
      <color rgb="FFFF0000"/>
      <name val="Calibri"/>
      <family val="2"/>
    </font>
    <font>
      <i/>
      <sz val="8"/>
      <color rgb="FFFF0000"/>
      <name val="Calibri"/>
      <family val="2"/>
      <scheme val="minor"/>
    </font>
    <font>
      <sz val="11"/>
      <color theme="0" tint="-0.249977111117893"/>
      <name val="Calibri"/>
      <family val="2"/>
      <scheme val="minor"/>
    </font>
    <font>
      <sz val="10"/>
      <color theme="1"/>
      <name val="Calibri"/>
      <family val="2"/>
    </font>
    <font>
      <sz val="11"/>
      <color theme="6"/>
      <name val="Calibri"/>
      <family val="2"/>
      <scheme val="minor"/>
    </font>
    <font>
      <sz val="11"/>
      <color theme="0"/>
      <name val="Calibri"/>
      <family val="2"/>
    </font>
  </fonts>
  <fills count="65">
    <fill>
      <patternFill patternType="none"/>
    </fill>
    <fill>
      <patternFill patternType="gray125"/>
    </fill>
    <fill>
      <patternFill patternType="solid">
        <fgColor rgb="FFFFCC99"/>
      </patternFill>
    </fill>
    <fill>
      <patternFill patternType="solid">
        <fgColor rgb="FFF2F2F2"/>
      </patternFill>
    </fill>
    <fill>
      <patternFill patternType="solid">
        <fgColor rgb="FFFFFFCC"/>
      </patternFill>
    </fill>
    <fill>
      <patternFill patternType="solid">
        <fgColor rgb="FFFFFF00"/>
        <bgColor indexed="64"/>
      </patternFill>
    </fill>
    <fill>
      <patternFill patternType="solid">
        <fgColor theme="0"/>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rgb="FF81F0FF"/>
        <bgColor indexed="64"/>
      </patternFill>
    </fill>
    <fill>
      <patternFill patternType="solid">
        <fgColor theme="6" tint="0.59999389629810485"/>
        <bgColor indexed="64"/>
      </patternFill>
    </fill>
    <fill>
      <patternFill patternType="solid">
        <fgColor rgb="FFB97FD3"/>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rgb="FFC6EFCE"/>
      </patternFill>
    </fill>
    <fill>
      <patternFill patternType="solid">
        <fgColor rgb="FFFFC7CE"/>
      </patternFill>
    </fill>
    <fill>
      <patternFill patternType="solid">
        <fgColor theme="9" tint="0.79998168889431442"/>
        <bgColor indexed="64"/>
      </patternFill>
    </fill>
    <fill>
      <patternFill patternType="solid">
        <fgColor theme="7" tint="0.39997558519241921"/>
        <bgColor indexed="65"/>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FFEB9C"/>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8"/>
      </patternFill>
    </fill>
    <fill>
      <patternFill patternType="solid">
        <fgColor indexed="58"/>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8" tint="-0.249977111117893"/>
        <bgColor indexed="64"/>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3"/>
        <bgColor indexed="64"/>
      </patternFill>
    </fill>
    <fill>
      <patternFill patternType="solid">
        <fgColor rgb="FF00B050"/>
        <bgColor indexed="64"/>
      </patternFill>
    </fill>
    <fill>
      <patternFill patternType="solid">
        <fgColor theme="2"/>
        <bgColor indexed="64"/>
      </patternFill>
    </fill>
    <fill>
      <patternFill patternType="solid">
        <fgColor theme="3" tint="0.79998168889431442"/>
        <bgColor indexed="64"/>
      </patternFill>
    </fill>
  </fills>
  <borders count="171">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499984740745262"/>
      </left>
      <right style="thin">
        <color theme="0" tint="-0.499984740745262"/>
      </right>
      <top style="thin">
        <color theme="0" tint="-0.499984740745262"/>
      </top>
      <bottom/>
      <diagonal/>
    </border>
    <border>
      <left/>
      <right style="thin">
        <color rgb="FF7F7F7F"/>
      </right>
      <top style="thin">
        <color rgb="FF7F7F7F"/>
      </top>
      <bottom style="thin">
        <color rgb="FF7F7F7F"/>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theme="0" tint="-0.499984740745262"/>
      </top>
      <bottom style="thin">
        <color rgb="FF7F7F7F"/>
      </bottom>
      <diagonal/>
    </border>
    <border>
      <left style="thin">
        <color rgb="FFB2B2B2"/>
      </left>
      <right style="thin">
        <color rgb="FFB2B2B2"/>
      </right>
      <top style="thin">
        <color theme="0" tint="-0.499984740745262"/>
      </top>
      <bottom style="thin">
        <color rgb="FFB2B2B2"/>
      </bottom>
      <diagonal/>
    </border>
    <border>
      <left style="thin">
        <color rgb="FFB2B2B2"/>
      </left>
      <right style="thin">
        <color rgb="FFB2B2B2"/>
      </right>
      <top/>
      <bottom style="thin">
        <color rgb="FFB2B2B2"/>
      </bottom>
      <diagonal/>
    </border>
    <border>
      <left/>
      <right style="thin">
        <color rgb="FF7F7F7F"/>
      </right>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7F7F7F"/>
      </bottom>
      <diagonal/>
    </border>
    <border>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right style="thin">
        <color indexed="64"/>
      </right>
      <top/>
      <bottom style="thin">
        <color rgb="FF7F7F7F"/>
      </bottom>
      <diagonal/>
    </border>
    <border>
      <left style="thin">
        <color indexed="64"/>
      </left>
      <right style="thin">
        <color rgb="FF7F7F7F"/>
      </right>
      <top/>
      <bottom/>
      <diagonal/>
    </border>
    <border>
      <left/>
      <right/>
      <top style="thin">
        <color rgb="FF7F7F7F"/>
      </top>
      <bottom style="thin">
        <color rgb="FF7F7F7F"/>
      </bottom>
      <diagonal/>
    </border>
    <border>
      <left style="thin">
        <color rgb="FFB2B2B2"/>
      </left>
      <right style="thin">
        <color rgb="FFB2B2B2"/>
      </right>
      <top style="thin">
        <color rgb="FF7F7F7F"/>
      </top>
      <bottom style="thin">
        <color rgb="FF7F7F7F"/>
      </bottom>
      <diagonal/>
    </border>
    <border>
      <left style="thin">
        <color rgb="FF7F7F7F"/>
      </left>
      <right style="thin">
        <color rgb="FF7F7F7F"/>
      </right>
      <top style="thin">
        <color rgb="FF7F7F7F"/>
      </top>
      <bottom style="thin">
        <color theme="1"/>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top style="thin">
        <color rgb="FFB2B2B2"/>
      </top>
      <bottom style="thin">
        <color rgb="FFB2B2B2"/>
      </bottom>
      <diagonal/>
    </border>
    <border>
      <left/>
      <right style="thin">
        <color indexed="64"/>
      </right>
      <top style="thin">
        <color rgb="FFB2B2B2"/>
      </top>
      <bottom style="thin">
        <color rgb="FFB2B2B2"/>
      </bottom>
      <diagonal/>
    </border>
    <border>
      <left style="thin">
        <color indexed="64"/>
      </left>
      <right/>
      <top/>
      <bottom style="thin">
        <color rgb="FFB2B2B2"/>
      </bottom>
      <diagonal/>
    </border>
    <border>
      <left/>
      <right style="thin">
        <color indexed="64"/>
      </right>
      <top/>
      <bottom style="thin">
        <color rgb="FFB2B2B2"/>
      </bottom>
      <diagonal/>
    </border>
    <border>
      <left style="thin">
        <color indexed="64"/>
      </left>
      <right/>
      <top/>
      <bottom style="thin">
        <color rgb="FF7F7F7F"/>
      </bottom>
      <diagonal/>
    </border>
    <border>
      <left style="thin">
        <color rgb="FFB2B2B2"/>
      </left>
      <right style="thin">
        <color indexed="64"/>
      </right>
      <top style="thin">
        <color theme="0" tint="-0.499984740745262"/>
      </top>
      <bottom style="thin">
        <color rgb="FFB2B2B2"/>
      </bottom>
      <diagonal/>
    </border>
    <border>
      <left style="thin">
        <color indexed="64"/>
      </left>
      <right style="thin">
        <color rgb="FF7F7F7F"/>
      </right>
      <top style="thin">
        <color rgb="FF7F7F7F"/>
      </top>
      <bottom/>
      <diagonal/>
    </border>
    <border>
      <left style="thin">
        <color indexed="64"/>
      </left>
      <right style="thin">
        <color rgb="FF7F7F7F"/>
      </right>
      <top/>
      <bottom style="thin">
        <color rgb="FF7F7F7F"/>
      </bottom>
      <diagonal/>
    </border>
    <border>
      <left/>
      <right style="thin">
        <color indexed="64"/>
      </right>
      <top style="thin">
        <color rgb="FF7F7F7F"/>
      </top>
      <bottom style="thin">
        <color rgb="FF7F7F7F"/>
      </bottom>
      <diagonal/>
    </border>
    <border>
      <left style="thin">
        <color indexed="64"/>
      </left>
      <right/>
      <top style="thin">
        <color rgb="FF7F7F7F"/>
      </top>
      <bottom style="thin">
        <color rgb="FF7F7F7F"/>
      </bottom>
      <diagonal/>
    </border>
    <border>
      <left style="thin">
        <color indexed="64"/>
      </left>
      <right style="thin">
        <color rgb="FF7F7F7F"/>
      </right>
      <top style="thin">
        <color theme="0" tint="-0.499984740745262"/>
      </top>
      <bottom/>
      <diagonal/>
    </border>
    <border>
      <left style="thin">
        <color indexed="64"/>
      </left>
      <right style="thin">
        <color rgb="FF7F7F7F"/>
      </right>
      <top/>
      <bottom style="thin">
        <color theme="0" tint="-0.499984740745262"/>
      </bottom>
      <diagonal/>
    </border>
    <border>
      <left style="thin">
        <color indexed="64"/>
      </left>
      <right style="thin">
        <color indexed="64"/>
      </right>
      <top/>
      <bottom style="thin">
        <color indexed="64"/>
      </bottom>
      <diagonal/>
    </border>
    <border>
      <left style="thin">
        <color indexed="64"/>
      </left>
      <right/>
      <top style="thin">
        <color theme="0" tint="-0.499984740745262"/>
      </top>
      <bottom/>
      <diagonal/>
    </border>
    <border>
      <left/>
      <right/>
      <top style="thin">
        <color theme="0" tint="-0.499984740745262"/>
      </top>
      <bottom/>
      <diagonal/>
    </border>
    <border>
      <left/>
      <right style="thin">
        <color indexed="64"/>
      </right>
      <top style="thin">
        <color theme="0" tint="-0.499984740745262"/>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style="thin">
        <color indexed="64"/>
      </top>
      <bottom style="thin">
        <color theme="0" tint="-0.499984740745262"/>
      </bottom>
      <diagonal/>
    </border>
    <border>
      <left/>
      <right style="thin">
        <color theme="1" tint="0.499984740745262"/>
      </right>
      <top style="thin">
        <color indexed="64"/>
      </top>
      <bottom style="thin">
        <color theme="0" tint="-0.499984740745262"/>
      </bottom>
      <diagonal/>
    </border>
    <border>
      <left style="thin">
        <color theme="1" tint="0.499984740745262"/>
      </left>
      <right/>
      <top style="thin">
        <color theme="0" tint="-0.499984740745262"/>
      </top>
      <bottom style="thin">
        <color theme="0" tint="-0.499984740745262"/>
      </bottom>
      <diagonal/>
    </border>
    <border>
      <left/>
      <right style="thin">
        <color theme="1" tint="0.499984740745262"/>
      </right>
      <top style="thin">
        <color theme="0" tint="-0.499984740745262"/>
      </top>
      <bottom style="thin">
        <color theme="0" tint="-0.499984740745262"/>
      </bottom>
      <diagonal/>
    </border>
    <border>
      <left style="thin">
        <color theme="1" tint="0.499984740745262"/>
      </left>
      <right/>
      <top style="thin">
        <color theme="0" tint="-0.499984740745262"/>
      </top>
      <bottom/>
      <diagonal/>
    </border>
    <border>
      <left/>
      <right style="thin">
        <color theme="1" tint="0.499984740745262"/>
      </right>
      <top style="thin">
        <color theme="0" tint="-0.499984740745262"/>
      </top>
      <bottom/>
      <diagonal/>
    </border>
    <border>
      <left style="thin">
        <color theme="1" tint="0.499984740745262"/>
      </left>
      <right/>
      <top style="thin">
        <color theme="0" tint="-0.499984740745262"/>
      </top>
      <bottom style="thin">
        <color theme="1" tint="0.499984740745262"/>
      </bottom>
      <diagonal/>
    </border>
    <border>
      <left/>
      <right/>
      <top style="thin">
        <color theme="0" tint="-0.499984740745262"/>
      </top>
      <bottom style="thin">
        <color theme="1" tint="0.499984740745262"/>
      </bottom>
      <diagonal/>
    </border>
    <border>
      <left/>
      <right style="thin">
        <color theme="1" tint="0.499984740745262"/>
      </right>
      <top style="thin">
        <color theme="0"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top/>
      <bottom style="thin">
        <color theme="1" tint="0.499984740745262"/>
      </bottom>
      <diagonal/>
    </border>
    <border>
      <left/>
      <right/>
      <top style="thin">
        <color indexed="64"/>
      </top>
      <bottom style="thin">
        <color indexed="64"/>
      </bottom>
      <diagonal/>
    </border>
    <border>
      <left style="thin">
        <color indexed="64"/>
      </left>
      <right/>
      <top style="thin">
        <color rgb="FFB2B2B2"/>
      </top>
      <bottom/>
      <diagonal/>
    </border>
    <border>
      <left/>
      <right style="thin">
        <color indexed="64"/>
      </right>
      <top style="thin">
        <color rgb="FFB2B2B2"/>
      </top>
      <bottom/>
      <diagonal/>
    </border>
    <border>
      <left/>
      <right/>
      <top/>
      <bottom style="thin">
        <color theme="0" tint="-0.499984740745262"/>
      </bottom>
      <diagonal/>
    </border>
    <border>
      <left style="thin">
        <color indexed="64"/>
      </left>
      <right style="thin">
        <color rgb="FFB2B2B2"/>
      </right>
      <top style="thin">
        <color theme="0" tint="-0.499984740745262"/>
      </top>
      <bottom style="thin">
        <color rgb="FFB2B2B2"/>
      </bottom>
      <diagonal/>
    </border>
    <border>
      <left/>
      <right style="thin">
        <color rgb="FFB2B2B2"/>
      </right>
      <top style="thin">
        <color rgb="FFB2B2B2"/>
      </top>
      <bottom style="thin">
        <color rgb="FFB2B2B2"/>
      </bottom>
      <diagonal/>
    </border>
    <border>
      <left style="thin">
        <color rgb="FFB2B2B2"/>
      </left>
      <right style="thin">
        <color rgb="FFB2B2B2"/>
      </right>
      <top style="thin">
        <color rgb="FFB2B2B2"/>
      </top>
      <bottom/>
      <diagonal/>
    </border>
    <border>
      <left style="medium">
        <color indexed="64"/>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thin">
        <color rgb="FFB2B2B2"/>
      </left>
      <right style="thin">
        <color rgb="FFB2B2B2"/>
      </right>
      <top/>
      <bottom/>
      <diagonal/>
    </border>
    <border>
      <left style="thin">
        <color indexed="64"/>
      </left>
      <right style="thin">
        <color indexed="64"/>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top style="thin">
        <color theme="1" tint="0.499984740745262"/>
      </top>
      <bottom style="thin">
        <color theme="1"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style="thin">
        <color theme="1" tint="0.499984740745262"/>
      </bottom>
      <diagonal/>
    </border>
    <border>
      <left style="thin">
        <color theme="0"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1" tint="0.499984740745262"/>
      </top>
      <bottom style="thin">
        <color theme="0" tint="-0.499984740745262"/>
      </bottom>
      <diagonal/>
    </border>
    <border>
      <left style="thin">
        <color indexed="64"/>
      </left>
      <right/>
      <top/>
      <bottom style="thin">
        <color theme="0" tint="-0.499984740745262"/>
      </bottom>
      <diagonal/>
    </border>
    <border>
      <left style="thin">
        <color rgb="FFB2B2B2"/>
      </left>
      <right style="thin">
        <color rgb="FFB2B2B2"/>
      </right>
      <top style="thin">
        <color rgb="FF7F7F7F"/>
      </top>
      <bottom/>
      <diagonal/>
    </border>
    <border>
      <left style="thin">
        <color indexed="64"/>
      </left>
      <right/>
      <top style="thin">
        <color rgb="FF7F7F7F"/>
      </top>
      <bottom/>
      <diagonal/>
    </border>
    <border>
      <left/>
      <right/>
      <top style="thin">
        <color rgb="FF7F7F7F"/>
      </top>
      <bottom/>
      <diagonal/>
    </border>
    <border>
      <left/>
      <right style="thin">
        <color indexed="64"/>
      </right>
      <top style="thin">
        <color rgb="FF7F7F7F"/>
      </top>
      <bottom/>
      <diagonal/>
    </border>
    <border>
      <left style="thin">
        <color rgb="FFB2B2B2"/>
      </left>
      <right style="thin">
        <color rgb="FFB2B2B2"/>
      </right>
      <top style="thin">
        <color indexed="64"/>
      </top>
      <bottom style="thin">
        <color indexed="64"/>
      </bottom>
      <diagonal/>
    </border>
    <border>
      <left style="thin">
        <color rgb="FF7F7F7F"/>
      </left>
      <right style="thin">
        <color rgb="FF7F7F7F"/>
      </right>
      <top style="thin">
        <color indexed="64"/>
      </top>
      <bottom style="thin">
        <color indexed="64"/>
      </bottom>
      <diagonal/>
    </border>
    <border>
      <left style="thin">
        <color rgb="FFB2B2B2"/>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top style="thin">
        <color indexed="64"/>
      </top>
      <bottom style="thin">
        <color theme="0" tint="-0.499984740745262"/>
      </bottom>
      <diagonal/>
    </border>
    <border>
      <left style="thin">
        <color theme="0" tint="-0.499984740745262"/>
      </left>
      <right style="thin">
        <color theme="1" tint="0.499984740745262"/>
      </right>
      <top style="thin">
        <color theme="0" tint="-0.499984740745262"/>
      </top>
      <bottom/>
      <diagonal/>
    </border>
    <border>
      <left style="thin">
        <color theme="1" tint="0.499984740745262"/>
      </left>
      <right style="thin">
        <color theme="1" tint="0.499984740745262"/>
      </right>
      <top style="thin">
        <color theme="0" tint="-0.499984740745262"/>
      </top>
      <bottom style="thin">
        <color theme="1" tint="0.499984740745262"/>
      </bottom>
      <diagonal/>
    </border>
    <border>
      <left style="thin">
        <color theme="0" tint="-0.499984740745262"/>
      </left>
      <right style="thin">
        <color theme="1" tint="0.499984740745262"/>
      </right>
      <top/>
      <bottom style="thin">
        <color theme="1" tint="0.499984740745262"/>
      </bottom>
      <diagonal/>
    </border>
    <border>
      <left style="thin">
        <color theme="1" tint="0.499984740745262"/>
      </left>
      <right style="thin">
        <color theme="0"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1" tint="0.499984740745262"/>
      </bottom>
      <diagonal/>
    </border>
    <border>
      <left style="thin">
        <color theme="0" tint="-0.499984740745262"/>
      </left>
      <right style="thin">
        <color theme="1" tint="0.499984740745262"/>
      </right>
      <top style="thin">
        <color theme="1" tint="0.499984740745262"/>
      </top>
      <bottom style="thin">
        <color theme="0" tint="-0.499984740745262"/>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thin">
        <color theme="1" tint="0.499984740745262"/>
      </left>
      <right style="thin">
        <color theme="0" tint="-0.499984740745262"/>
      </right>
      <top style="thin">
        <color theme="1" tint="0.499984740745262"/>
      </top>
      <bottom style="thin">
        <color theme="0" tint="-0.499984740745262"/>
      </bottom>
      <diagonal/>
    </border>
    <border>
      <left style="thin">
        <color rgb="FF7F7F7F"/>
      </left>
      <right/>
      <top style="thin">
        <color rgb="FF7F7F7F"/>
      </top>
      <bottom style="thin">
        <color theme="1"/>
      </bottom>
      <diagonal/>
    </border>
    <border>
      <left/>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bottom style="thin">
        <color theme="1" tint="0.499984740745262"/>
      </bottom>
      <diagonal/>
    </border>
    <border>
      <left style="thin">
        <color indexed="23"/>
      </left>
      <right/>
      <top style="thin">
        <color indexed="23"/>
      </top>
      <bottom style="thin">
        <color indexed="23"/>
      </bottom>
      <diagonal/>
    </border>
    <border>
      <left style="thin">
        <color rgb="FF7F7F7F"/>
      </left>
      <right/>
      <top style="thin">
        <color rgb="FF7F7F7F"/>
      </top>
      <bottom style="thin">
        <color rgb="FF7F7F7F"/>
      </bottom>
      <diagonal/>
    </border>
    <border>
      <left style="thin">
        <color rgb="FF7F7F7F"/>
      </left>
      <right style="thin">
        <color theme="0" tint="-0.499984740745262"/>
      </right>
      <top style="thin">
        <color rgb="FFB2B2B2"/>
      </top>
      <bottom style="thin">
        <color rgb="FFB2B2B2"/>
      </bottom>
      <diagonal/>
    </border>
    <border>
      <left/>
      <right/>
      <top/>
      <bottom style="double">
        <color indexed="64"/>
      </bottom>
      <diagonal/>
    </border>
    <border>
      <left/>
      <right style="thin">
        <color indexed="23"/>
      </right>
      <top/>
      <bottom/>
      <diagonal/>
    </border>
    <border>
      <left/>
      <right style="thick">
        <color rgb="FF7030A0"/>
      </right>
      <top/>
      <bottom/>
      <diagonal/>
    </border>
    <border>
      <left style="thick">
        <color rgb="FF7030A0"/>
      </left>
      <right/>
      <top/>
      <bottom/>
      <diagonal/>
    </border>
    <border>
      <left style="thin">
        <color rgb="FF7F7F7F"/>
      </left>
      <right/>
      <top style="thin">
        <color theme="0" tint="-0.499984740745262"/>
      </top>
      <bottom style="thin">
        <color theme="0" tint="-0.499984740745262"/>
      </bottom>
      <diagonal/>
    </border>
    <border>
      <left style="thin">
        <color indexed="64"/>
      </left>
      <right style="thin">
        <color indexed="64"/>
      </right>
      <top/>
      <bottom style="thin">
        <color theme="0" tint="-0.499984740745262"/>
      </bottom>
      <diagonal/>
    </border>
    <border>
      <left style="thin">
        <color rgb="FF7F7F7F"/>
      </left>
      <right style="thin">
        <color theme="0" tint="-0.499984740745262"/>
      </right>
      <top style="thin">
        <color theme="0" tint="-0.499984740745262"/>
      </top>
      <bottom style="thin">
        <color rgb="FF7F7F7F"/>
      </bottom>
      <diagonal/>
    </border>
    <border>
      <left style="thin">
        <color rgb="FF7F7F7F"/>
      </left>
      <right/>
      <top/>
      <bottom style="thin">
        <color theme="0" tint="-0.499984740745262"/>
      </bottom>
      <diagonal/>
    </border>
    <border>
      <left style="thin">
        <color theme="0" tint="-0.499984740745262"/>
      </left>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thin">
        <color theme="0" tint="-0.499984740745262"/>
      </left>
      <right style="thin">
        <color theme="1" tint="0.499984740745262"/>
      </right>
      <top style="thin">
        <color theme="0" tint="-0.499984740745262"/>
      </top>
      <bottom style="thin">
        <color theme="1" tint="0.499984740745262"/>
      </bottom>
      <diagonal/>
    </border>
    <border>
      <left style="thin">
        <color theme="1" tint="0.499984740745262"/>
      </left>
      <right style="thin">
        <color theme="0" tint="-0.499984740745262"/>
      </right>
      <top style="thin">
        <color theme="0" tint="-0.499984740745262"/>
      </top>
      <bottom style="thin">
        <color theme="1" tint="0.499984740745262"/>
      </bottom>
      <diagonal/>
    </border>
    <border>
      <left style="thin">
        <color theme="1" tint="0.499984740745262"/>
      </left>
      <right style="thin">
        <color theme="0" tint="-0.499984740745262"/>
      </right>
      <top/>
      <bottom style="thin">
        <color theme="1"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499984740745262"/>
      </bottom>
      <diagonal/>
    </border>
    <border>
      <left/>
      <right/>
      <top style="thin">
        <color theme="1"/>
      </top>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6795556505021"/>
      </top>
      <bottom/>
      <diagonal/>
    </border>
    <border>
      <left/>
      <right style="thin">
        <color rgb="FFB2B2B2"/>
      </right>
      <top style="thin">
        <color theme="0" tint="-0.499984740745262"/>
      </top>
      <bottom style="thin">
        <color rgb="FFB2B2B2"/>
      </bottom>
      <diagonal/>
    </border>
  </borders>
  <cellStyleXfs count="223">
    <xf numFmtId="0" fontId="0" fillId="0" borderId="0"/>
    <xf numFmtId="0" fontId="2" fillId="2" borderId="1" applyNumberFormat="0" applyAlignment="0" applyProtection="0"/>
    <xf numFmtId="0" fontId="3" fillId="3" borderId="1" applyNumberFormat="0" applyAlignment="0" applyProtection="0"/>
    <xf numFmtId="0" fontId="12" fillId="10" borderId="3"/>
    <xf numFmtId="0" fontId="14" fillId="4" borderId="2" applyNumberFormat="0" applyFont="0" applyAlignment="0" applyProtection="0"/>
    <xf numFmtId="0" fontId="15" fillId="3" borderId="1" applyAlignment="0" applyProtection="0"/>
    <xf numFmtId="0" fontId="14" fillId="4" borderId="2" applyNumberFormat="0" applyFont="0" applyAlignment="0" applyProtection="0"/>
    <xf numFmtId="0" fontId="1" fillId="0" borderId="0"/>
    <xf numFmtId="0" fontId="12" fillId="12" borderId="3"/>
    <xf numFmtId="9" fontId="1" fillId="0" borderId="0" applyFont="0" applyFill="0" applyBorder="0" applyAlignment="0" applyProtection="0"/>
    <xf numFmtId="0" fontId="31" fillId="16" borderId="0" applyNumberFormat="0" applyBorder="0" applyAlignment="0" applyProtection="0"/>
    <xf numFmtId="0" fontId="35" fillId="17" borderId="0" applyNumberFormat="0" applyBorder="0" applyAlignment="0" applyProtection="0"/>
    <xf numFmtId="0" fontId="1" fillId="4" borderId="2" applyNumberFormat="0" applyFont="0" applyAlignment="0" applyProtection="0"/>
    <xf numFmtId="0" fontId="1" fillId="0" borderId="0"/>
    <xf numFmtId="0" fontId="1" fillId="19" borderId="0" applyNumberFormat="0" applyBorder="0" applyAlignment="0" applyProtection="0"/>
    <xf numFmtId="0" fontId="41" fillId="0" borderId="0" applyNumberFormat="0" applyFill="0" applyBorder="0" applyAlignment="0" applyProtection="0"/>
    <xf numFmtId="0" fontId="55" fillId="0" borderId="0"/>
    <xf numFmtId="0" fontId="61" fillId="23" borderId="0" applyNumberFormat="0" applyBorder="0" applyAlignment="0" applyProtection="0"/>
    <xf numFmtId="0" fontId="60" fillId="0" borderId="0"/>
    <xf numFmtId="0" fontId="61" fillId="23"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176" fontId="66" fillId="0" borderId="0" applyFont="0" applyFill="0" applyBorder="0" applyAlignment="0" applyProtection="0"/>
    <xf numFmtId="177" fontId="66" fillId="0" borderId="0" applyFont="0" applyFill="0" applyBorder="0" applyAlignment="0" applyProtection="0"/>
    <xf numFmtId="177" fontId="66" fillId="0" borderId="0" applyFont="0" applyFill="0" applyBorder="0" applyAlignment="0" applyProtection="0"/>
    <xf numFmtId="175" fontId="66" fillId="0" borderId="0" applyFont="0" applyFill="0" applyBorder="0" applyAlignment="0" applyProtection="0"/>
    <xf numFmtId="176" fontId="66" fillId="0" borderId="0" applyFont="0" applyFill="0" applyBorder="0" applyAlignment="0" applyProtection="0"/>
    <xf numFmtId="174" fontId="66" fillId="0" borderId="0" applyFont="0" applyFill="0" applyBorder="0" applyAlignment="0" applyProtection="0"/>
    <xf numFmtId="9" fontId="66" fillId="0" borderId="0" applyFont="0" applyFill="0" applyBorder="0" applyAlignment="0" applyProtection="0"/>
    <xf numFmtId="0" fontId="65" fillId="39" borderId="17"/>
    <xf numFmtId="0" fontId="67" fillId="39" borderId="0"/>
    <xf numFmtId="0" fontId="65" fillId="40" borderId="0"/>
    <xf numFmtId="0" fontId="1" fillId="0" borderId="0"/>
    <xf numFmtId="0" fontId="68" fillId="0" borderId="0" applyNumberFormat="0" applyFill="0" applyBorder="0" applyAlignment="0" applyProtection="0">
      <alignment vertical="top"/>
      <protection locked="0"/>
    </xf>
    <xf numFmtId="0" fontId="1" fillId="0" borderId="0"/>
    <xf numFmtId="0" fontId="74" fillId="0" borderId="0" applyNumberFormat="0" applyFill="0" applyBorder="0" applyAlignment="0" applyProtection="0"/>
    <xf numFmtId="0" fontId="75" fillId="0" borderId="160" applyNumberFormat="0" applyFill="0" applyAlignment="0" applyProtection="0"/>
    <xf numFmtId="0" fontId="76" fillId="0" borderId="161" applyNumberFormat="0" applyFill="0" applyAlignment="0" applyProtection="0"/>
    <xf numFmtId="0" fontId="77" fillId="0" borderId="162" applyNumberFormat="0" applyFill="0" applyAlignment="0" applyProtection="0"/>
    <xf numFmtId="0" fontId="77" fillId="0" borderId="0" applyNumberFormat="0" applyFill="0" applyBorder="0" applyAlignment="0" applyProtection="0"/>
    <xf numFmtId="0" fontId="78" fillId="23" borderId="0" applyNumberFormat="0" applyBorder="0" applyAlignment="0" applyProtection="0"/>
    <xf numFmtId="0" fontId="79" fillId="3" borderId="163" applyNumberFormat="0" applyAlignment="0" applyProtection="0"/>
    <xf numFmtId="0" fontId="80" fillId="0" borderId="164" applyNumberFormat="0" applyFill="0" applyAlignment="0" applyProtection="0"/>
    <xf numFmtId="0" fontId="81" fillId="45" borderId="165" applyNumberFormat="0" applyAlignment="0" applyProtection="0"/>
    <xf numFmtId="0" fontId="32" fillId="0" borderId="0" applyNumberFormat="0" applyFill="0" applyBorder="0" applyAlignment="0" applyProtection="0"/>
    <xf numFmtId="0" fontId="82" fillId="0" borderId="0" applyNumberFormat="0" applyFill="0" applyBorder="0" applyAlignment="0" applyProtection="0"/>
    <xf numFmtId="0" fontId="4" fillId="0" borderId="166" applyNumberFormat="0" applyFill="0" applyAlignment="0" applyProtection="0"/>
    <xf numFmtId="0" fontId="36" fillId="46" borderId="0" applyNumberFormat="0" applyBorder="0" applyAlignment="0" applyProtection="0"/>
    <xf numFmtId="0" fontId="1" fillId="47" borderId="0" applyNumberFormat="0" applyBorder="0" applyAlignment="0" applyProtection="0"/>
    <xf numFmtId="0" fontId="36" fillId="48" borderId="0" applyNumberFormat="0" applyBorder="0" applyAlignment="0" applyProtection="0"/>
    <xf numFmtId="0" fontId="1" fillId="49" borderId="0" applyNumberFormat="0" applyBorder="0" applyAlignment="0" applyProtection="0"/>
    <xf numFmtId="0" fontId="36" fillId="50" borderId="0" applyNumberFormat="0" applyBorder="0" applyAlignment="0" applyProtection="0"/>
    <xf numFmtId="0" fontId="36" fillId="52" borderId="0" applyNumberFormat="0" applyBorder="0" applyAlignment="0" applyProtection="0"/>
    <xf numFmtId="0" fontId="36" fillId="53" borderId="0" applyNumberFormat="0" applyBorder="0" applyAlignment="0" applyProtection="0"/>
    <xf numFmtId="0" fontId="1" fillId="54" borderId="0" applyNumberFormat="0" applyBorder="0" applyAlignment="0" applyProtection="0"/>
    <xf numFmtId="0" fontId="36" fillId="55" borderId="0" applyNumberFormat="0" applyBorder="0" applyAlignment="0" applyProtection="0"/>
    <xf numFmtId="0" fontId="1" fillId="56" borderId="0" applyNumberFormat="0" applyBorder="0" applyAlignment="0" applyProtection="0"/>
    <xf numFmtId="0" fontId="55" fillId="0" borderId="0"/>
    <xf numFmtId="0" fontId="1" fillId="0" borderId="0"/>
    <xf numFmtId="0" fontId="1" fillId="0" borderId="0"/>
    <xf numFmtId="0" fontId="1" fillId="4" borderId="2" applyNumberFormat="0" applyFont="0" applyAlignment="0" applyProtection="0"/>
    <xf numFmtId="0" fontId="84" fillId="0" borderId="0"/>
    <xf numFmtId="0" fontId="1" fillId="0" borderId="0"/>
    <xf numFmtId="0" fontId="1" fillId="0" borderId="0"/>
    <xf numFmtId="0" fontId="41" fillId="0" borderId="0" applyNumberFormat="0" applyFill="0" applyBorder="0" applyAlignment="0" applyProtection="0"/>
    <xf numFmtId="0" fontId="14" fillId="4" borderId="2" applyNumberFormat="0" applyFont="0" applyAlignment="0" applyProtection="0"/>
    <xf numFmtId="9" fontId="84" fillId="0" borderId="0" applyFont="0" applyFill="0" applyBorder="0" applyAlignment="0" applyProtection="0"/>
    <xf numFmtId="0" fontId="1" fillId="30" borderId="0" applyNumberFormat="0" applyBorder="0" applyAlignment="0" applyProtection="0"/>
    <xf numFmtId="0" fontId="6" fillId="0" borderId="0"/>
    <xf numFmtId="0" fontId="6" fillId="0" borderId="0"/>
    <xf numFmtId="0" fontId="65" fillId="0" borderId="0">
      <alignment vertical="center"/>
    </xf>
    <xf numFmtId="0" fontId="65" fillId="4" borderId="2" applyNumberFormat="0" applyFont="0" applyAlignment="0" applyProtection="0"/>
    <xf numFmtId="0" fontId="1" fillId="4" borderId="2" applyNumberFormat="0" applyFont="0" applyAlignment="0" applyProtection="0"/>
    <xf numFmtId="0" fontId="1" fillId="33" borderId="0" applyNumberFormat="0" applyBorder="0" applyAlignment="0" applyProtection="0"/>
    <xf numFmtId="0" fontId="1" fillId="30" borderId="0" applyNumberFormat="0" applyBorder="0" applyAlignment="0" applyProtection="0"/>
    <xf numFmtId="0" fontId="1" fillId="0" borderId="0"/>
    <xf numFmtId="0" fontId="69" fillId="0" borderId="0" applyNumberFormat="0" applyFill="0" applyBorder="0" applyAlignment="0" applyProtection="0"/>
    <xf numFmtId="0" fontId="41" fillId="0" borderId="0" applyNumberFormat="0" applyFill="0" applyBorder="0" applyAlignment="0" applyProtection="0"/>
    <xf numFmtId="0" fontId="1" fillId="0" borderId="0"/>
    <xf numFmtId="0" fontId="84" fillId="0" borderId="0"/>
    <xf numFmtId="181" fontId="1" fillId="0" borderId="0" applyFont="0" applyFill="0" applyBorder="0" applyAlignment="0" applyProtection="0"/>
    <xf numFmtId="0" fontId="1" fillId="0" borderId="0"/>
    <xf numFmtId="0" fontId="1" fillId="0" borderId="0"/>
    <xf numFmtId="0" fontId="1" fillId="4" borderId="2" applyNumberFormat="0" applyFont="0" applyAlignment="0" applyProtection="0"/>
    <xf numFmtId="0" fontId="1" fillId="0" borderId="0"/>
    <xf numFmtId="0" fontId="1" fillId="19" borderId="0" applyNumberFormat="0" applyBorder="0" applyAlignment="0" applyProtection="0"/>
    <xf numFmtId="0" fontId="1" fillId="4" borderId="2" applyNumberFormat="0" applyFont="0" applyAlignment="0" applyProtection="0"/>
    <xf numFmtId="0" fontId="88" fillId="0" borderId="0" applyNumberFormat="0" applyFill="0" applyBorder="0" applyAlignment="0" applyProtection="0"/>
    <xf numFmtId="0" fontId="1" fillId="0" borderId="0"/>
    <xf numFmtId="0" fontId="1" fillId="51" borderId="0" applyNumberFormat="0" applyBorder="0" applyAlignment="0" applyProtection="0"/>
    <xf numFmtId="0" fontId="1" fillId="0" borderId="0"/>
    <xf numFmtId="0" fontId="1" fillId="51" borderId="0" applyNumberFormat="0" applyBorder="0" applyAlignment="0" applyProtection="0"/>
    <xf numFmtId="0" fontId="41" fillId="0" borderId="0" applyNumberFormat="0" applyFill="0" applyBorder="0" applyAlignment="0" applyProtection="0"/>
    <xf numFmtId="0" fontId="1" fillId="0" borderId="0"/>
    <xf numFmtId="181" fontId="1" fillId="0" borderId="0" applyFont="0" applyFill="0" applyBorder="0" applyAlignment="0" applyProtection="0"/>
    <xf numFmtId="0" fontId="1" fillId="0" borderId="0"/>
    <xf numFmtId="0" fontId="84" fillId="0" borderId="0"/>
    <xf numFmtId="0" fontId="1" fillId="0" borderId="0"/>
    <xf numFmtId="0" fontId="84" fillId="0" borderId="0"/>
    <xf numFmtId="0" fontId="88" fillId="0" borderId="0" applyNumberFormat="0" applyFill="0" applyBorder="0" applyAlignment="0" applyProtection="0"/>
    <xf numFmtId="0" fontId="89" fillId="0" borderId="0" applyNumberFormat="0" applyBorder="0" applyAlignment="0"/>
    <xf numFmtId="0" fontId="1" fillId="4" borderId="2" applyNumberFormat="0" applyFont="0" applyAlignment="0" applyProtection="0"/>
    <xf numFmtId="0" fontId="1" fillId="19" borderId="0" applyNumberFormat="0" applyBorder="0" applyAlignment="0" applyProtection="0"/>
    <xf numFmtId="0" fontId="90" fillId="0" borderId="0"/>
    <xf numFmtId="0" fontId="1" fillId="0" borderId="0"/>
    <xf numFmtId="0" fontId="1" fillId="0" borderId="0"/>
    <xf numFmtId="0" fontId="1" fillId="0" borderId="0"/>
    <xf numFmtId="0" fontId="1" fillId="27" borderId="0" applyNumberFormat="0" applyBorder="0" applyAlignment="0" applyProtection="0"/>
    <xf numFmtId="0" fontId="1" fillId="28" borderId="0" applyNumberFormat="0" applyBorder="0" applyAlignment="0" applyProtection="0"/>
    <xf numFmtId="0" fontId="1" fillId="4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5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56" borderId="0" applyNumberFormat="0" applyBorder="0" applyAlignment="0" applyProtection="0"/>
    <xf numFmtId="0" fontId="84" fillId="0" borderId="0"/>
    <xf numFmtId="0" fontId="1" fillId="30" borderId="0" applyNumberFormat="0" applyBorder="0" applyAlignment="0" applyProtection="0"/>
    <xf numFmtId="0" fontId="1" fillId="0" borderId="0"/>
    <xf numFmtId="0" fontId="1" fillId="4" borderId="2" applyNumberFormat="0" applyFont="0" applyAlignment="0" applyProtection="0"/>
    <xf numFmtId="0" fontId="1" fillId="33" borderId="0" applyNumberFormat="0" applyBorder="0" applyAlignment="0" applyProtection="0"/>
    <xf numFmtId="0" fontId="1" fillId="3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181" fontId="1" fillId="0" borderId="0" applyFont="0" applyFill="0" applyBorder="0" applyAlignment="0" applyProtection="0"/>
    <xf numFmtId="0" fontId="1" fillId="0" borderId="0"/>
    <xf numFmtId="0" fontId="1" fillId="0" borderId="0"/>
    <xf numFmtId="0" fontId="1" fillId="4" borderId="2" applyNumberFormat="0" applyFont="0" applyAlignment="0" applyProtection="0"/>
    <xf numFmtId="0" fontId="1" fillId="0" borderId="0"/>
    <xf numFmtId="0" fontId="1" fillId="19" borderId="0" applyNumberFormat="0" applyBorder="0" applyAlignment="0" applyProtection="0"/>
    <xf numFmtId="0" fontId="1" fillId="4" borderId="2" applyNumberFormat="0" applyFont="0" applyAlignment="0" applyProtection="0"/>
    <xf numFmtId="0" fontId="1" fillId="0" borderId="0"/>
    <xf numFmtId="0" fontId="1" fillId="51" borderId="0" applyNumberFormat="0" applyBorder="0" applyAlignment="0" applyProtection="0"/>
    <xf numFmtId="0" fontId="1" fillId="0" borderId="0"/>
    <xf numFmtId="0" fontId="1" fillId="51" borderId="0" applyNumberFormat="0" applyBorder="0" applyAlignment="0" applyProtection="0"/>
    <xf numFmtId="0" fontId="1" fillId="0" borderId="0"/>
    <xf numFmtId="181" fontId="1" fillId="0" borderId="0" applyFont="0" applyFill="0" applyBorder="0" applyAlignment="0" applyProtection="0"/>
    <xf numFmtId="0" fontId="1" fillId="0" borderId="0"/>
    <xf numFmtId="0" fontId="1" fillId="0" borderId="0"/>
    <xf numFmtId="0" fontId="1" fillId="4" borderId="2" applyNumberFormat="0" applyFont="0" applyAlignment="0" applyProtection="0"/>
    <xf numFmtId="0" fontId="1" fillId="19" borderId="0" applyNumberFormat="0" applyBorder="0" applyAlignment="0" applyProtection="0"/>
    <xf numFmtId="0" fontId="1" fillId="30" borderId="0" applyNumberFormat="0" applyBorder="0" applyAlignment="0" applyProtection="0"/>
    <xf numFmtId="0" fontId="1" fillId="0" borderId="0"/>
    <xf numFmtId="0" fontId="1" fillId="4" borderId="2" applyNumberFormat="0" applyFont="0" applyAlignment="0" applyProtection="0"/>
    <xf numFmtId="0" fontId="1" fillId="33" borderId="0" applyNumberFormat="0" applyBorder="0" applyAlignment="0" applyProtection="0"/>
    <xf numFmtId="0" fontId="1" fillId="3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181" fontId="1" fillId="0" borderId="0" applyFont="0" applyFill="0" applyBorder="0" applyAlignment="0" applyProtection="0"/>
    <xf numFmtId="0" fontId="1" fillId="0" borderId="0"/>
    <xf numFmtId="0" fontId="1" fillId="0" borderId="0"/>
    <xf numFmtId="0" fontId="1" fillId="4" borderId="2" applyNumberFormat="0" applyFont="0" applyAlignment="0" applyProtection="0"/>
    <xf numFmtId="0" fontId="1" fillId="0" borderId="0"/>
    <xf numFmtId="0" fontId="1" fillId="19" borderId="0" applyNumberFormat="0" applyBorder="0" applyAlignment="0" applyProtection="0"/>
    <xf numFmtId="0" fontId="1" fillId="4" borderId="2" applyNumberFormat="0" applyFont="0" applyAlignment="0" applyProtection="0"/>
    <xf numFmtId="0" fontId="1" fillId="0" borderId="0"/>
    <xf numFmtId="0" fontId="1" fillId="51"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47"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4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5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56" borderId="0" applyNumberFormat="0" applyBorder="0" applyAlignment="0" applyProtection="0"/>
    <xf numFmtId="0" fontId="1" fillId="0" borderId="0"/>
    <xf numFmtId="0" fontId="1" fillId="51" borderId="0" applyNumberFormat="0" applyBorder="0" applyAlignment="0" applyProtection="0"/>
    <xf numFmtId="0" fontId="1" fillId="0" borderId="0"/>
    <xf numFmtId="181" fontId="1" fillId="0" borderId="0" applyFont="0" applyFill="0" applyBorder="0" applyAlignment="0" applyProtection="0"/>
    <xf numFmtId="0" fontId="1" fillId="0" borderId="0"/>
    <xf numFmtId="0" fontId="1" fillId="0" borderId="0"/>
    <xf numFmtId="0" fontId="1" fillId="4" borderId="2" applyNumberFormat="0" applyFont="0" applyAlignment="0" applyProtection="0"/>
    <xf numFmtId="0" fontId="1" fillId="19" borderId="0" applyNumberFormat="0" applyBorder="0" applyAlignment="0" applyProtection="0"/>
    <xf numFmtId="0" fontId="1" fillId="0" borderId="0"/>
    <xf numFmtId="0" fontId="1" fillId="0" borderId="0"/>
    <xf numFmtId="0" fontId="1" fillId="0" borderId="0"/>
    <xf numFmtId="181" fontId="1" fillId="0" borderId="0" applyFont="0" applyFill="0" applyBorder="0" applyAlignment="0" applyProtection="0"/>
    <xf numFmtId="0" fontId="65" fillId="4" borderId="2" applyNumberFormat="0" applyFont="0" applyAlignment="0" applyProtection="0"/>
    <xf numFmtId="0" fontId="1" fillId="0" borderId="0"/>
    <xf numFmtId="0" fontId="1" fillId="19" borderId="0" applyNumberFormat="0" applyBorder="0" applyAlignment="0" applyProtection="0"/>
    <xf numFmtId="0" fontId="1" fillId="4" borderId="2" applyNumberFormat="0" applyFont="0" applyAlignment="0" applyProtection="0"/>
    <xf numFmtId="0" fontId="14" fillId="4" borderId="2" applyNumberFormat="0" applyFont="0" applyAlignment="0" applyProtection="0"/>
    <xf numFmtId="0" fontId="41" fillId="0" borderId="0" applyNumberFormat="0" applyFill="0" applyBorder="0" applyAlignment="0" applyProtection="0"/>
    <xf numFmtId="0" fontId="65" fillId="4" borderId="2" applyNumberFormat="0" applyFont="0" applyAlignment="0" applyProtection="0"/>
    <xf numFmtId="0" fontId="61" fillId="23" borderId="0" applyNumberFormat="0" applyBorder="0" applyAlignment="0" applyProtection="0"/>
    <xf numFmtId="0" fontId="1" fillId="0" borderId="0"/>
    <xf numFmtId="0" fontId="1" fillId="0" borderId="0"/>
    <xf numFmtId="0" fontId="1" fillId="0" borderId="0"/>
    <xf numFmtId="0" fontId="84" fillId="0" borderId="0"/>
    <xf numFmtId="0" fontId="1" fillId="4" borderId="2" applyNumberFormat="0" applyFont="0" applyAlignment="0" applyProtection="0"/>
    <xf numFmtId="0" fontId="1" fillId="19" borderId="0" applyNumberFormat="0" applyBorder="0" applyAlignment="0" applyProtection="0"/>
    <xf numFmtId="0" fontId="1" fillId="0" borderId="0"/>
  </cellStyleXfs>
  <cellXfs count="978">
    <xf numFmtId="0" fontId="0" fillId="0" borderId="0" xfId="0"/>
    <xf numFmtId="0" fontId="4" fillId="0" borderId="0" xfId="0" applyFont="1"/>
    <xf numFmtId="49" fontId="0" fillId="5" borderId="0" xfId="0" applyNumberFormat="1" applyFill="1"/>
    <xf numFmtId="49" fontId="0" fillId="0" borderId="0" xfId="0" applyNumberFormat="1"/>
    <xf numFmtId="49" fontId="4" fillId="5" borderId="0" xfId="0" applyNumberFormat="1" applyFont="1" applyFill="1"/>
    <xf numFmtId="0" fontId="4" fillId="7" borderId="0" xfId="0" applyFont="1" applyFill="1"/>
    <xf numFmtId="49" fontId="0" fillId="9" borderId="0" xfId="0" applyNumberFormat="1" applyFill="1"/>
    <xf numFmtId="49" fontId="10" fillId="0" borderId="0" xfId="0" applyNumberFormat="1" applyFont="1"/>
    <xf numFmtId="0" fontId="0" fillId="9" borderId="0" xfId="0" applyFill="1"/>
    <xf numFmtId="0" fontId="0" fillId="5" borderId="0" xfId="0" applyFill="1"/>
    <xf numFmtId="164" fontId="9" fillId="0" borderId="0" xfId="1" applyNumberFormat="1" applyFont="1" applyFill="1" applyBorder="1" applyAlignment="1" applyProtection="1">
      <alignment wrapText="1"/>
    </xf>
    <xf numFmtId="164" fontId="9" fillId="0" borderId="0" xfId="1" applyNumberFormat="1" applyFont="1" applyFill="1" applyBorder="1" applyAlignment="1" applyProtection="1"/>
    <xf numFmtId="49" fontId="4" fillId="0" borderId="0" xfId="0" applyNumberFormat="1" applyFont="1"/>
    <xf numFmtId="0" fontId="33" fillId="0" borderId="0" xfId="0" applyFont="1"/>
    <xf numFmtId="0" fontId="34" fillId="0" borderId="0" xfId="0" applyFont="1"/>
    <xf numFmtId="0" fontId="32" fillId="0" borderId="0" xfId="0" applyFont="1"/>
    <xf numFmtId="0" fontId="34" fillId="5" borderId="0" xfId="0" applyFont="1" applyFill="1"/>
    <xf numFmtId="0" fontId="12" fillId="12" borderId="3" xfId="8"/>
    <xf numFmtId="170" fontId="37" fillId="5" borderId="0" xfId="13" applyNumberFormat="1" applyFont="1" applyFill="1"/>
    <xf numFmtId="170" fontId="0" fillId="0" borderId="0" xfId="0" applyNumberFormat="1"/>
    <xf numFmtId="14" fontId="0" fillId="0" borderId="0" xfId="0" applyNumberFormat="1"/>
    <xf numFmtId="171" fontId="12" fillId="12" borderId="3" xfId="8" applyNumberFormat="1"/>
    <xf numFmtId="171" fontId="39" fillId="0" borderId="0" xfId="0" applyNumberFormat="1" applyFont="1"/>
    <xf numFmtId="171" fontId="0" fillId="0" borderId="0" xfId="0" applyNumberFormat="1"/>
    <xf numFmtId="0" fontId="39" fillId="0" borderId="0" xfId="0" applyFont="1"/>
    <xf numFmtId="0" fontId="0" fillId="4" borderId="2" xfId="6" applyFont="1"/>
    <xf numFmtId="0" fontId="6" fillId="0" borderId="0" xfId="0" applyFont="1" applyAlignment="1">
      <alignment wrapText="1"/>
    </xf>
    <xf numFmtId="0" fontId="6" fillId="0" borderId="0" xfId="0" applyFont="1"/>
    <xf numFmtId="0" fontId="6" fillId="4" borderId="2" xfId="6" applyFont="1" applyProtection="1"/>
    <xf numFmtId="0" fontId="0" fillId="6" borderId="19" xfId="0" applyFill="1" applyBorder="1"/>
    <xf numFmtId="0" fontId="0" fillId="6" borderId="0" xfId="0" applyFill="1"/>
    <xf numFmtId="0" fontId="0" fillId="6" borderId="20" xfId="0" applyFill="1" applyBorder="1"/>
    <xf numFmtId="164" fontId="9" fillId="14" borderId="25" xfId="5" applyNumberFormat="1" applyFont="1" applyFill="1" applyBorder="1" applyAlignment="1" applyProtection="1">
      <alignment horizontal="right" vertical="center" wrapText="1"/>
    </xf>
    <xf numFmtId="164" fontId="7" fillId="6" borderId="35" xfId="6" applyNumberFormat="1" applyFont="1" applyFill="1" applyBorder="1" applyAlignment="1" applyProtection="1"/>
    <xf numFmtId="164" fontId="7" fillId="6" borderId="36" xfId="6" applyNumberFormat="1" applyFont="1" applyFill="1" applyBorder="1" applyAlignment="1" applyProtection="1"/>
    <xf numFmtId="0" fontId="0" fillId="4" borderId="2" xfId="6" applyFont="1" applyProtection="1"/>
    <xf numFmtId="0" fontId="9" fillId="14" borderId="34" xfId="5" applyFont="1" applyFill="1" applyBorder="1" applyAlignment="1" applyProtection="1"/>
    <xf numFmtId="0" fontId="9" fillId="14" borderId="35" xfId="5" applyFont="1" applyFill="1" applyBorder="1" applyAlignment="1" applyProtection="1"/>
    <xf numFmtId="164" fontId="9" fillId="14" borderId="35" xfId="6" applyNumberFormat="1" applyFont="1" applyFill="1" applyBorder="1" applyAlignment="1" applyProtection="1">
      <alignment wrapText="1"/>
    </xf>
    <xf numFmtId="164" fontId="9" fillId="0" borderId="51" xfId="6" applyNumberFormat="1" applyFont="1" applyFill="1" applyBorder="1" applyAlignment="1" applyProtection="1"/>
    <xf numFmtId="164" fontId="9" fillId="0" borderId="52" xfId="6" applyNumberFormat="1" applyFont="1" applyFill="1" applyBorder="1" applyAlignment="1" applyProtection="1"/>
    <xf numFmtId="164" fontId="24" fillId="15" borderId="27" xfId="1" applyNumberFormat="1" applyFont="1" applyFill="1" applyBorder="1" applyAlignment="1" applyProtection="1">
      <alignment wrapText="1"/>
    </xf>
    <xf numFmtId="164" fontId="24" fillId="15" borderId="28" xfId="1" applyNumberFormat="1" applyFont="1" applyFill="1" applyBorder="1" applyAlignment="1" applyProtection="1">
      <alignment wrapText="1"/>
    </xf>
    <xf numFmtId="0" fontId="9" fillId="0" borderId="0" xfId="5" applyFont="1" applyFill="1" applyBorder="1" applyAlignment="1" applyProtection="1"/>
    <xf numFmtId="0" fontId="31" fillId="16" borderId="2" xfId="10" applyBorder="1" applyProtection="1"/>
    <xf numFmtId="49" fontId="35" fillId="17" borderId="2" xfId="11" applyNumberFormat="1" applyBorder="1"/>
    <xf numFmtId="0" fontId="10" fillId="4" borderId="2" xfId="6" applyNumberFormat="1" applyFont="1"/>
    <xf numFmtId="49" fontId="10" fillId="4" borderId="2" xfId="6" applyNumberFormat="1" applyFont="1" applyProtection="1"/>
    <xf numFmtId="0" fontId="23" fillId="0" borderId="0" xfId="0" applyFont="1"/>
    <xf numFmtId="0" fontId="4" fillId="0" borderId="0" xfId="0" applyFont="1" applyAlignment="1">
      <alignment vertical="center"/>
    </xf>
    <xf numFmtId="0" fontId="10" fillId="0" borderId="0" xfId="0" applyFont="1" applyAlignment="1">
      <alignment wrapText="1"/>
    </xf>
    <xf numFmtId="0" fontId="10" fillId="0" borderId="0" xfId="0" applyFont="1"/>
    <xf numFmtId="0" fontId="19" fillId="0" borderId="0" xfId="0" applyFont="1"/>
    <xf numFmtId="0" fontId="0" fillId="0" borderId="0" xfId="0" applyAlignment="1">
      <alignment wrapText="1"/>
    </xf>
    <xf numFmtId="164" fontId="24" fillId="15" borderId="53" xfId="1" applyNumberFormat="1" applyFont="1" applyFill="1" applyBorder="1" applyAlignment="1" applyProtection="1">
      <alignment wrapText="1"/>
    </xf>
    <xf numFmtId="168" fontId="24" fillId="15" borderId="53" xfId="1" applyNumberFormat="1" applyFont="1" applyFill="1" applyBorder="1" applyAlignment="1" applyProtection="1">
      <alignment wrapText="1"/>
    </xf>
    <xf numFmtId="0" fontId="7" fillId="0" borderId="53" xfId="5" applyFont="1" applyFill="1" applyBorder="1" applyAlignment="1" applyProtection="1">
      <alignment vertical="center" wrapText="1"/>
    </xf>
    <xf numFmtId="0" fontId="7" fillId="0" borderId="53" xfId="5" applyFont="1" applyFill="1" applyBorder="1" applyAlignment="1" applyProtection="1">
      <alignment horizontal="center" vertical="center" wrapText="1"/>
    </xf>
    <xf numFmtId="0" fontId="7" fillId="0" borderId="53" xfId="5" applyFont="1" applyFill="1" applyBorder="1" applyAlignment="1" applyProtection="1">
      <alignment horizontal="center" vertical="center"/>
    </xf>
    <xf numFmtId="0" fontId="9" fillId="14" borderId="53" xfId="5" applyFont="1" applyFill="1" applyBorder="1" applyAlignment="1" applyProtection="1"/>
    <xf numFmtId="164" fontId="9" fillId="14" borderId="53" xfId="5" applyNumberFormat="1" applyFont="1" applyFill="1" applyBorder="1" applyAlignment="1" applyProtection="1">
      <alignment horizontal="right" vertical="center" wrapText="1"/>
    </xf>
    <xf numFmtId="167" fontId="9" fillId="14" borderId="53" xfId="9" applyNumberFormat="1" applyFont="1" applyFill="1" applyBorder="1" applyAlignment="1" applyProtection="1">
      <alignment horizontal="right" vertical="center" wrapText="1"/>
    </xf>
    <xf numFmtId="0" fontId="7" fillId="0" borderId="53" xfId="5" applyFont="1" applyFill="1" applyBorder="1" applyAlignment="1" applyProtection="1">
      <alignment vertical="center"/>
    </xf>
    <xf numFmtId="164" fontId="7" fillId="0" borderId="53" xfId="6" applyNumberFormat="1" applyFont="1" applyFill="1" applyBorder="1" applyAlignment="1" applyProtection="1">
      <alignment wrapText="1"/>
    </xf>
    <xf numFmtId="164" fontId="7" fillId="6" borderId="53" xfId="6" applyNumberFormat="1" applyFont="1" applyFill="1" applyBorder="1" applyAlignment="1" applyProtection="1"/>
    <xf numFmtId="164" fontId="9" fillId="14" borderId="53" xfId="6" applyNumberFormat="1" applyFont="1" applyFill="1" applyBorder="1" applyAlignment="1" applyProtection="1">
      <alignment wrapText="1"/>
    </xf>
    <xf numFmtId="164" fontId="24" fillId="15" borderId="53" xfId="1" applyNumberFormat="1" applyFont="1" applyFill="1" applyBorder="1" applyAlignment="1" applyProtection="1">
      <alignment vertical="center" wrapText="1"/>
    </xf>
    <xf numFmtId="0" fontId="0" fillId="6" borderId="54" xfId="0" applyFill="1" applyBorder="1"/>
    <xf numFmtId="0" fontId="0" fillId="6" borderId="55" xfId="0" applyFill="1" applyBorder="1"/>
    <xf numFmtId="0" fontId="0" fillId="6" borderId="56" xfId="0" applyFill="1" applyBorder="1"/>
    <xf numFmtId="0" fontId="0" fillId="6" borderId="57" xfId="0" applyFill="1" applyBorder="1"/>
    <xf numFmtId="0" fontId="0" fillId="6" borderId="58" xfId="0" applyFill="1" applyBorder="1"/>
    <xf numFmtId="164" fontId="9" fillId="14" borderId="59" xfId="5" applyNumberFormat="1" applyFont="1" applyFill="1" applyBorder="1" applyAlignment="1" applyProtection="1">
      <alignment horizontal="right" vertical="center" wrapText="1"/>
    </xf>
    <xf numFmtId="164" fontId="9" fillId="14" borderId="60" xfId="5" applyNumberFormat="1" applyFont="1" applyFill="1" applyBorder="1" applyAlignment="1" applyProtection="1">
      <alignment horizontal="right" vertical="center" wrapText="1"/>
    </xf>
    <xf numFmtId="164" fontId="7" fillId="6" borderId="61" xfId="6" applyNumberFormat="1" applyFont="1" applyFill="1" applyBorder="1" applyAlignment="1" applyProtection="1"/>
    <xf numFmtId="164" fontId="7" fillId="6" borderId="62" xfId="6" applyNumberFormat="1" applyFont="1" applyFill="1" applyBorder="1" applyAlignment="1" applyProtection="1"/>
    <xf numFmtId="164" fontId="9" fillId="14" borderId="61" xfId="6" applyNumberFormat="1" applyFont="1" applyFill="1" applyBorder="1" applyAlignment="1" applyProtection="1">
      <alignment wrapText="1"/>
    </xf>
    <xf numFmtId="164" fontId="9" fillId="14" borderId="62" xfId="6" applyNumberFormat="1" applyFont="1" applyFill="1" applyBorder="1" applyAlignment="1" applyProtection="1">
      <alignment wrapText="1"/>
    </xf>
    <xf numFmtId="164" fontId="9" fillId="0" borderId="63" xfId="6" applyNumberFormat="1" applyFont="1" applyFill="1" applyBorder="1" applyAlignment="1" applyProtection="1"/>
    <xf numFmtId="164" fontId="9" fillId="0" borderId="64" xfId="6" applyNumberFormat="1" applyFont="1" applyFill="1" applyBorder="1" applyAlignment="1" applyProtection="1"/>
    <xf numFmtId="164" fontId="24" fillId="15" borderId="65" xfId="1" applyNumberFormat="1" applyFont="1" applyFill="1" applyBorder="1" applyAlignment="1" applyProtection="1">
      <alignment wrapText="1"/>
    </xf>
    <xf numFmtId="164" fontId="24" fillId="15" borderId="66" xfId="1" applyNumberFormat="1" applyFont="1" applyFill="1" applyBorder="1" applyAlignment="1" applyProtection="1">
      <alignment wrapText="1"/>
    </xf>
    <xf numFmtId="164" fontId="24" fillId="15" borderId="67" xfId="1" applyNumberFormat="1" applyFont="1" applyFill="1" applyBorder="1" applyAlignment="1" applyProtection="1">
      <alignment wrapText="1"/>
    </xf>
    <xf numFmtId="0" fontId="7" fillId="0" borderId="53" xfId="5" applyFont="1" applyFill="1" applyBorder="1" applyAlignment="1" applyProtection="1"/>
    <xf numFmtId="164" fontId="11" fillId="0" borderId="53" xfId="6" applyNumberFormat="1" applyFont="1" applyFill="1" applyBorder="1" applyAlignment="1" applyProtection="1">
      <alignment wrapText="1"/>
    </xf>
    <xf numFmtId="0" fontId="24" fillId="15" borderId="53" xfId="5" applyFont="1" applyFill="1" applyBorder="1" applyAlignment="1" applyProtection="1"/>
    <xf numFmtId="167" fontId="7" fillId="0" borderId="53" xfId="5" applyNumberFormat="1" applyFont="1" applyFill="1" applyBorder="1" applyAlignment="1" applyProtection="1">
      <alignment horizontal="center" vertical="center" wrapText="1"/>
    </xf>
    <xf numFmtId="164" fontId="24" fillId="15" borderId="53" xfId="1" applyNumberFormat="1" applyFont="1" applyFill="1" applyBorder="1" applyAlignment="1" applyProtection="1">
      <alignment horizontal="right" vertical="center" wrapText="1"/>
    </xf>
    <xf numFmtId="0" fontId="7" fillId="0" borderId="0" xfId="0" applyFont="1"/>
    <xf numFmtId="167" fontId="6" fillId="0" borderId="0" xfId="0" applyNumberFormat="1" applyFont="1"/>
    <xf numFmtId="167" fontId="7" fillId="0" borderId="0" xfId="0" applyNumberFormat="1" applyFont="1" applyAlignment="1">
      <alignment wrapText="1"/>
    </xf>
    <xf numFmtId="164" fontId="7" fillId="0" borderId="53" xfId="0" applyNumberFormat="1" applyFont="1" applyBorder="1"/>
    <xf numFmtId="164" fontId="9" fillId="14" borderId="53" xfId="0" applyNumberFormat="1" applyFont="1" applyFill="1" applyBorder="1"/>
    <xf numFmtId="164" fontId="7" fillId="15" borderId="53" xfId="0" applyNumberFormat="1" applyFont="1" applyFill="1" applyBorder="1"/>
    <xf numFmtId="167" fontId="6" fillId="0" borderId="0" xfId="0" applyNumberFormat="1" applyFont="1" applyAlignment="1">
      <alignment wrapText="1"/>
    </xf>
    <xf numFmtId="0" fontId="7" fillId="0" borderId="0" xfId="0" applyFont="1" applyAlignment="1">
      <alignment wrapText="1"/>
    </xf>
    <xf numFmtId="10" fontId="10" fillId="0" borderId="0" xfId="0" applyNumberFormat="1" applyFont="1"/>
    <xf numFmtId="0" fontId="8" fillId="0" borderId="70" xfId="0" applyFont="1" applyBorder="1"/>
    <xf numFmtId="166" fontId="0" fillId="0" borderId="0" xfId="0" applyNumberFormat="1"/>
    <xf numFmtId="166" fontId="10" fillId="0" borderId="0" xfId="0" applyNumberFormat="1" applyFont="1"/>
    <xf numFmtId="0" fontId="13" fillId="0" borderId="0" xfId="0" applyFont="1"/>
    <xf numFmtId="0" fontId="15" fillId="0" borderId="19" xfId="5" applyFill="1" applyBorder="1" applyAlignment="1" applyProtection="1">
      <alignment vertical="center"/>
    </xf>
    <xf numFmtId="0" fontId="15" fillId="0" borderId="0" xfId="5" applyFill="1" applyBorder="1" applyAlignment="1" applyProtection="1">
      <alignment vertical="center"/>
    </xf>
    <xf numFmtId="0" fontId="9" fillId="14" borderId="50" xfId="5" applyFont="1" applyFill="1" applyBorder="1" applyAlignment="1" applyProtection="1"/>
    <xf numFmtId="0" fontId="9" fillId="14" borderId="51" xfId="5" applyFont="1" applyFill="1" applyBorder="1" applyAlignment="1" applyProtection="1"/>
    <xf numFmtId="164" fontId="9" fillId="14" borderId="51" xfId="5" applyNumberFormat="1" applyFont="1" applyFill="1" applyBorder="1" applyAlignment="1" applyProtection="1"/>
    <xf numFmtId="166" fontId="9" fillId="14" borderId="51" xfId="5" applyNumberFormat="1" applyFont="1" applyFill="1" applyBorder="1" applyAlignment="1" applyProtection="1"/>
    <xf numFmtId="164" fontId="9" fillId="14" borderId="50" xfId="5" applyNumberFormat="1" applyFont="1" applyFill="1" applyBorder="1" applyAlignment="1" applyProtection="1"/>
    <xf numFmtId="164" fontId="9" fillId="14" borderId="52" xfId="5" applyNumberFormat="1" applyFont="1" applyFill="1" applyBorder="1" applyAlignment="1" applyProtection="1"/>
    <xf numFmtId="0" fontId="0" fillId="4" borderId="2" xfId="12" applyFont="1" applyProtection="1"/>
    <xf numFmtId="0" fontId="16" fillId="0" borderId="8" xfId="5" applyFont="1" applyFill="1" applyBorder="1" applyAlignment="1" applyProtection="1">
      <alignment vertical="center"/>
    </xf>
    <xf numFmtId="164" fontId="20" fillId="0" borderId="9" xfId="6" applyNumberFormat="1" applyFont="1" applyFill="1" applyBorder="1" applyAlignment="1" applyProtection="1"/>
    <xf numFmtId="166" fontId="20" fillId="0" borderId="9" xfId="6" applyNumberFormat="1" applyFont="1" applyFill="1" applyBorder="1" applyAlignment="1" applyProtection="1"/>
    <xf numFmtId="0" fontId="0" fillId="6" borderId="37" xfId="0" applyFill="1" applyBorder="1"/>
    <xf numFmtId="0" fontId="0" fillId="6" borderId="38" xfId="0" applyFill="1" applyBorder="1"/>
    <xf numFmtId="164" fontId="20" fillId="0" borderId="75" xfId="6" applyNumberFormat="1" applyFont="1" applyFill="1" applyBorder="1" applyAlignment="1" applyProtection="1"/>
    <xf numFmtId="164" fontId="20" fillId="0" borderId="42" xfId="6" applyNumberFormat="1" applyFont="1" applyFill="1" applyBorder="1" applyAlignment="1" applyProtection="1"/>
    <xf numFmtId="0" fontId="0" fillId="6" borderId="73" xfId="0" applyFill="1" applyBorder="1"/>
    <xf numFmtId="164" fontId="20" fillId="0" borderId="0" xfId="6" applyNumberFormat="1" applyFont="1" applyFill="1" applyBorder="1" applyAlignment="1" applyProtection="1"/>
    <xf numFmtId="166" fontId="20" fillId="0" borderId="0" xfId="6" applyNumberFormat="1" applyFont="1" applyFill="1" applyBorder="1" applyAlignment="1" applyProtection="1"/>
    <xf numFmtId="0" fontId="0" fillId="6" borderId="72" xfId="0" applyFill="1" applyBorder="1"/>
    <xf numFmtId="164" fontId="20" fillId="0" borderId="19" xfId="6" applyNumberFormat="1" applyFont="1" applyFill="1" applyBorder="1" applyAlignment="1" applyProtection="1"/>
    <xf numFmtId="0" fontId="22" fillId="6" borderId="0" xfId="0" applyFont="1" applyFill="1" applyAlignment="1">
      <alignment horizontal="left" vertical="center" indent="10"/>
    </xf>
    <xf numFmtId="0" fontId="0" fillId="6" borderId="39" xfId="0" applyFill="1" applyBorder="1"/>
    <xf numFmtId="0" fontId="0" fillId="6" borderId="40" xfId="0" applyFill="1" applyBorder="1"/>
    <xf numFmtId="164" fontId="36" fillId="6" borderId="0" xfId="0" applyNumberFormat="1" applyFont="1" applyFill="1"/>
    <xf numFmtId="166" fontId="0" fillId="6" borderId="0" xfId="0" applyNumberFormat="1" applyFill="1"/>
    <xf numFmtId="0" fontId="0" fillId="0" borderId="17" xfId="0" applyBorder="1"/>
    <xf numFmtId="0" fontId="33" fillId="5" borderId="0" xfId="0" applyFont="1" applyFill="1"/>
    <xf numFmtId="0" fontId="0" fillId="7" borderId="0" xfId="0" applyFill="1"/>
    <xf numFmtId="0" fontId="12" fillId="9" borderId="3" xfId="8" applyFill="1"/>
    <xf numFmtId="170" fontId="4" fillId="9" borderId="0" xfId="0" applyNumberFormat="1" applyFont="1" applyFill="1"/>
    <xf numFmtId="49" fontId="4" fillId="9" borderId="0" xfId="0" applyNumberFormat="1" applyFont="1" applyFill="1"/>
    <xf numFmtId="49" fontId="4" fillId="7" borderId="0" xfId="0" applyNumberFormat="1" applyFont="1" applyFill="1"/>
    <xf numFmtId="170" fontId="12" fillId="9" borderId="3" xfId="8" applyNumberFormat="1" applyFill="1"/>
    <xf numFmtId="0" fontId="38" fillId="9" borderId="3" xfId="8" applyFont="1" applyFill="1"/>
    <xf numFmtId="170" fontId="38" fillId="9" borderId="3" xfId="8" applyNumberFormat="1" applyFont="1" applyFill="1"/>
    <xf numFmtId="171" fontId="38" fillId="9" borderId="3" xfId="8" applyNumberFormat="1" applyFont="1" applyFill="1"/>
    <xf numFmtId="0" fontId="16" fillId="12" borderId="3" xfId="8" applyFont="1"/>
    <xf numFmtId="0" fontId="16" fillId="9" borderId="3" xfId="8" applyFont="1" applyFill="1"/>
    <xf numFmtId="170" fontId="13" fillId="9" borderId="0" xfId="0" applyNumberFormat="1" applyFont="1" applyFill="1"/>
    <xf numFmtId="170" fontId="10" fillId="0" borderId="0" xfId="0" applyNumberFormat="1" applyFont="1"/>
    <xf numFmtId="0" fontId="0" fillId="8" borderId="0" xfId="0" applyFill="1"/>
    <xf numFmtId="0" fontId="0" fillId="18" borderId="2" xfId="6" applyFont="1" applyFill="1" applyProtection="1"/>
    <xf numFmtId="0" fontId="0" fillId="18" borderId="0" xfId="0" applyFill="1"/>
    <xf numFmtId="0" fontId="9" fillId="0" borderId="0" xfId="0" applyFont="1" applyAlignment="1">
      <alignment horizontal="left"/>
    </xf>
    <xf numFmtId="0" fontId="5" fillId="0" borderId="0" xfId="0" applyFont="1"/>
    <xf numFmtId="0" fontId="7" fillId="0" borderId="53" xfId="2" applyFont="1" applyFill="1" applyBorder="1" applyAlignment="1" applyProtection="1">
      <alignment horizontal="left"/>
    </xf>
    <xf numFmtId="164" fontId="7" fillId="6" borderId="53" xfId="6" applyNumberFormat="1" applyFont="1" applyFill="1" applyBorder="1" applyAlignment="1" applyProtection="1">
      <alignment wrapText="1"/>
    </xf>
    <xf numFmtId="0" fontId="7" fillId="0" borderId="53" xfId="5" applyFont="1" applyFill="1" applyBorder="1" applyAlignment="1" applyProtection="1">
      <alignment horizontal="left"/>
    </xf>
    <xf numFmtId="0" fontId="28" fillId="0" borderId="0" xfId="0" applyFont="1"/>
    <xf numFmtId="0" fontId="25" fillId="0" borderId="0" xfId="0" applyFont="1"/>
    <xf numFmtId="0" fontId="9" fillId="0" borderId="0" xfId="0" applyFont="1"/>
    <xf numFmtId="0" fontId="6" fillId="0" borderId="53" xfId="0" applyFont="1" applyBorder="1" applyAlignment="1">
      <alignment horizontal="center" vertical="center"/>
    </xf>
    <xf numFmtId="0" fontId="6" fillId="0" borderId="53" xfId="0" applyFont="1" applyBorder="1" applyAlignment="1">
      <alignment horizontal="center" vertical="center" wrapText="1"/>
    </xf>
    <xf numFmtId="0" fontId="6" fillId="4" borderId="2" xfId="6" applyFont="1" applyAlignment="1" applyProtection="1"/>
    <xf numFmtId="0" fontId="24" fillId="15" borderId="53" xfId="0" applyFont="1" applyFill="1" applyBorder="1"/>
    <xf numFmtId="164" fontId="24" fillId="15" borderId="53" xfId="0" applyNumberFormat="1" applyFont="1" applyFill="1" applyBorder="1" applyAlignment="1">
      <alignment vertical="center"/>
    </xf>
    <xf numFmtId="0" fontId="9" fillId="0" borderId="0" xfId="5" applyFont="1" applyFill="1" applyBorder="1" applyAlignment="1" applyProtection="1">
      <alignment wrapText="1"/>
    </xf>
    <xf numFmtId="165" fontId="9" fillId="14" borderId="53" xfId="5" applyNumberFormat="1" applyFont="1" applyFill="1" applyBorder="1" applyAlignment="1" applyProtection="1">
      <alignment horizontal="right" vertical="center" wrapText="1"/>
    </xf>
    <xf numFmtId="169" fontId="9" fillId="14" borderId="53" xfId="5" applyNumberFormat="1" applyFont="1" applyFill="1" applyBorder="1" applyAlignment="1" applyProtection="1">
      <alignment horizontal="right" vertical="center" wrapText="1"/>
    </xf>
    <xf numFmtId="0" fontId="6" fillId="0" borderId="53" xfId="0" applyFont="1" applyBorder="1" applyAlignment="1">
      <alignment vertical="center" wrapText="1"/>
    </xf>
    <xf numFmtId="164" fontId="7" fillId="0" borderId="53" xfId="6" applyNumberFormat="1" applyFont="1" applyFill="1" applyBorder="1" applyAlignment="1" applyProtection="1"/>
    <xf numFmtId="0" fontId="8" fillId="0" borderId="0" xfId="0" applyFont="1"/>
    <xf numFmtId="0" fontId="7" fillId="0" borderId="0" xfId="5" applyFont="1" applyFill="1" applyBorder="1" applyAlignment="1" applyProtection="1">
      <alignment vertical="center"/>
    </xf>
    <xf numFmtId="0" fontId="7" fillId="0" borderId="0" xfId="5" applyFont="1" applyFill="1" applyBorder="1" applyAlignment="1" applyProtection="1">
      <alignment vertical="center" wrapText="1"/>
    </xf>
    <xf numFmtId="0" fontId="7" fillId="6" borderId="14" xfId="5" applyFont="1" applyFill="1" applyBorder="1" applyAlignment="1" applyProtection="1">
      <alignment horizontal="center" vertical="center" wrapText="1"/>
    </xf>
    <xf numFmtId="0" fontId="7" fillId="6" borderId="15" xfId="5" applyFont="1" applyFill="1" applyBorder="1" applyAlignment="1" applyProtection="1">
      <alignment horizontal="center" vertical="center" wrapText="1"/>
    </xf>
    <xf numFmtId="0" fontId="7" fillId="6" borderId="17" xfId="5" applyFont="1" applyFill="1" applyBorder="1" applyAlignment="1" applyProtection="1">
      <alignment horizontal="center" vertical="center" wrapText="1"/>
    </xf>
    <xf numFmtId="0" fontId="7" fillId="6" borderId="18" xfId="5" applyFont="1" applyFill="1" applyBorder="1" applyAlignment="1" applyProtection="1">
      <alignment horizontal="center" vertical="center" wrapText="1"/>
    </xf>
    <xf numFmtId="0" fontId="8" fillId="14" borderId="53" xfId="0" applyFont="1" applyFill="1" applyBorder="1" applyAlignment="1">
      <alignment vertical="center" wrapText="1"/>
    </xf>
    <xf numFmtId="164" fontId="8" fillId="14" borderId="53" xfId="0" applyNumberFormat="1" applyFont="1" applyFill="1" applyBorder="1"/>
    <xf numFmtId="164" fontId="8" fillId="14" borderId="25" xfId="0" applyNumberFormat="1" applyFont="1" applyFill="1" applyBorder="1"/>
    <xf numFmtId="164" fontId="8" fillId="14" borderId="26" xfId="0" applyNumberFormat="1" applyFont="1" applyFill="1" applyBorder="1"/>
    <xf numFmtId="164" fontId="8" fillId="14" borderId="35" xfId="0" applyNumberFormat="1" applyFont="1" applyFill="1" applyBorder="1"/>
    <xf numFmtId="164" fontId="8" fillId="14" borderId="36" xfId="0" applyNumberFormat="1" applyFont="1" applyFill="1" applyBorder="1"/>
    <xf numFmtId="0" fontId="10" fillId="11" borderId="2" xfId="6" applyFont="1" applyFill="1" applyProtection="1"/>
    <xf numFmtId="0" fontId="0" fillId="11" borderId="0" xfId="0" applyFill="1"/>
    <xf numFmtId="0" fontId="31" fillId="4" borderId="2" xfId="12" applyFont="1" applyProtection="1"/>
    <xf numFmtId="0" fontId="0" fillId="4" borderId="76" xfId="6" applyFont="1" applyBorder="1" applyProtection="1"/>
    <xf numFmtId="0" fontId="0" fillId="18" borderId="77" xfId="6" applyFont="1" applyFill="1" applyBorder="1" applyProtection="1"/>
    <xf numFmtId="0" fontId="31" fillId="16" borderId="10" xfId="10" applyBorder="1" applyProtection="1"/>
    <xf numFmtId="0" fontId="0" fillId="4" borderId="78" xfId="6" applyFont="1" applyBorder="1" applyProtection="1"/>
    <xf numFmtId="0" fontId="0" fillId="4" borderId="79" xfId="6" applyFont="1" applyBorder="1" applyProtection="1"/>
    <xf numFmtId="0" fontId="0" fillId="4" borderId="80" xfId="6" applyFont="1" applyBorder="1" applyProtection="1"/>
    <xf numFmtId="49" fontId="10" fillId="4" borderId="81" xfId="6" applyNumberFormat="1" applyFont="1" applyBorder="1" applyProtection="1"/>
    <xf numFmtId="0" fontId="0" fillId="4" borderId="82" xfId="6" applyFont="1" applyBorder="1" applyProtection="1"/>
    <xf numFmtId="49" fontId="10" fillId="4" borderId="83" xfId="6" applyNumberFormat="1" applyFont="1" applyBorder="1" applyProtection="1"/>
    <xf numFmtId="0" fontId="31" fillId="16" borderId="84" xfId="10" applyBorder="1" applyProtection="1"/>
    <xf numFmtId="172" fontId="0" fillId="4" borderId="2" xfId="6" applyNumberFormat="1" applyFont="1"/>
    <xf numFmtId="0" fontId="4" fillId="0" borderId="0" xfId="0" applyFont="1" applyAlignment="1">
      <alignment wrapText="1"/>
    </xf>
    <xf numFmtId="49" fontId="4" fillId="0" borderId="0" xfId="0" applyNumberFormat="1" applyFont="1" applyAlignment="1">
      <alignment wrapText="1"/>
    </xf>
    <xf numFmtId="49" fontId="4" fillId="9" borderId="0" xfId="0" applyNumberFormat="1" applyFont="1" applyFill="1" applyAlignment="1">
      <alignment wrapText="1"/>
    </xf>
    <xf numFmtId="170" fontId="31" fillId="4" borderId="2" xfId="6" applyNumberFormat="1" applyFont="1"/>
    <xf numFmtId="170" fontId="4" fillId="9" borderId="0" xfId="0" applyNumberFormat="1" applyFont="1" applyFill="1" applyAlignment="1">
      <alignment wrapText="1"/>
    </xf>
    <xf numFmtId="2" fontId="0" fillId="0" borderId="0" xfId="0" applyNumberFormat="1"/>
    <xf numFmtId="2" fontId="42" fillId="9" borderId="0" xfId="0" applyNumberFormat="1" applyFont="1" applyFill="1" applyAlignment="1">
      <alignment wrapText="1"/>
    </xf>
    <xf numFmtId="49" fontId="0" fillId="4" borderId="2" xfId="6" applyNumberFormat="1" applyFont="1"/>
    <xf numFmtId="49" fontId="4" fillId="7" borderId="0" xfId="0" applyNumberFormat="1" applyFont="1" applyFill="1" applyAlignment="1">
      <alignment wrapText="1"/>
    </xf>
    <xf numFmtId="170" fontId="7" fillId="14" borderId="12" xfId="5" applyNumberFormat="1" applyFont="1" applyFill="1" applyBorder="1" applyAlignment="1" applyProtection="1">
      <alignment horizontal="left"/>
      <protection locked="0"/>
    </xf>
    <xf numFmtId="0" fontId="7" fillId="14" borderId="12" xfId="5" applyFont="1" applyFill="1" applyBorder="1" applyAlignment="1" applyProtection="1">
      <protection locked="0"/>
    </xf>
    <xf numFmtId="0" fontId="7" fillId="14" borderId="86" xfId="5" applyFont="1" applyFill="1" applyBorder="1" applyAlignment="1" applyProtection="1">
      <protection locked="0"/>
    </xf>
    <xf numFmtId="167" fontId="7" fillId="0" borderId="1" xfId="9" applyNumberFormat="1" applyFont="1" applyFill="1" applyBorder="1" applyAlignment="1" applyProtection="1">
      <alignment horizontal="right"/>
    </xf>
    <xf numFmtId="164" fontId="29" fillId="15" borderId="32" xfId="6" applyNumberFormat="1" applyFont="1" applyFill="1" applyBorder="1" applyAlignment="1" applyProtection="1">
      <alignment horizontal="right"/>
    </xf>
    <xf numFmtId="167" fontId="24" fillId="15" borderId="1" xfId="9" applyNumberFormat="1" applyFont="1" applyFill="1" applyBorder="1" applyAlignment="1" applyProtection="1">
      <alignment horizontal="right"/>
    </xf>
    <xf numFmtId="0" fontId="28" fillId="15" borderId="41" xfId="0" applyFont="1" applyFill="1" applyBorder="1"/>
    <xf numFmtId="0" fontId="28" fillId="15" borderId="24" xfId="0" applyFont="1" applyFill="1" applyBorder="1"/>
    <xf numFmtId="0" fontId="28" fillId="15" borderId="29" xfId="0" applyFont="1" applyFill="1" applyBorder="1"/>
    <xf numFmtId="164" fontId="11" fillId="6" borderId="46" xfId="6" applyNumberFormat="1" applyFont="1" applyFill="1" applyBorder="1" applyAlignment="1" applyProtection="1"/>
    <xf numFmtId="164" fontId="11" fillId="6" borderId="31" xfId="6" applyNumberFormat="1" applyFont="1" applyFill="1" applyBorder="1" applyAlignment="1" applyProtection="1"/>
    <xf numFmtId="164" fontId="11" fillId="6" borderId="45" xfId="6" applyNumberFormat="1" applyFont="1" applyFill="1" applyBorder="1" applyAlignment="1" applyProtection="1"/>
    <xf numFmtId="164" fontId="29" fillId="15" borderId="46" xfId="6" applyNumberFormat="1" applyFont="1" applyFill="1" applyBorder="1" applyAlignment="1" applyProtection="1">
      <alignment horizontal="right"/>
    </xf>
    <xf numFmtId="164" fontId="29" fillId="15" borderId="31" xfId="6" applyNumberFormat="1" applyFont="1" applyFill="1" applyBorder="1" applyAlignment="1" applyProtection="1">
      <alignment horizontal="right"/>
    </xf>
    <xf numFmtId="164" fontId="29" fillId="15" borderId="45" xfId="6" applyNumberFormat="1" applyFont="1" applyFill="1" applyBorder="1" applyAlignment="1" applyProtection="1">
      <alignment horizontal="right"/>
    </xf>
    <xf numFmtId="164" fontId="11" fillId="14" borderId="46" xfId="6" applyNumberFormat="1" applyFont="1" applyFill="1" applyBorder="1" applyAlignment="1" applyProtection="1"/>
    <xf numFmtId="164" fontId="11" fillId="14" borderId="31" xfId="6" applyNumberFormat="1" applyFont="1" applyFill="1" applyBorder="1" applyAlignment="1" applyProtection="1"/>
    <xf numFmtId="164" fontId="11" fillId="14" borderId="45" xfId="6" applyNumberFormat="1" applyFont="1" applyFill="1" applyBorder="1" applyAlignment="1" applyProtection="1"/>
    <xf numFmtId="164" fontId="30" fillId="6" borderId="46" xfId="6" applyNumberFormat="1" applyFont="1" applyFill="1" applyBorder="1" applyAlignment="1" applyProtection="1"/>
    <xf numFmtId="164" fontId="30" fillId="6" borderId="31" xfId="6" applyNumberFormat="1" applyFont="1" applyFill="1" applyBorder="1" applyAlignment="1" applyProtection="1"/>
    <xf numFmtId="164" fontId="30" fillId="6" borderId="45" xfId="6" applyNumberFormat="1" applyFont="1" applyFill="1" applyBorder="1" applyAlignment="1" applyProtection="1"/>
    <xf numFmtId="168" fontId="24" fillId="15" borderId="33" xfId="9" applyNumberFormat="1" applyFont="1" applyFill="1" applyBorder="1" applyAlignment="1" applyProtection="1">
      <alignment horizontal="right" vertical="center"/>
    </xf>
    <xf numFmtId="0" fontId="1" fillId="19" borderId="3" xfId="14" applyBorder="1"/>
    <xf numFmtId="0" fontId="0" fillId="19" borderId="3" xfId="14" applyFont="1" applyBorder="1"/>
    <xf numFmtId="0" fontId="1" fillId="19" borderId="0" xfId="14" applyAlignment="1" applyProtection="1">
      <alignment horizontal="left"/>
    </xf>
    <xf numFmtId="0" fontId="1" fillId="19" borderId="0" xfId="14" applyAlignment="1" applyProtection="1"/>
    <xf numFmtId="0" fontId="0" fillId="19" borderId="0" xfId="14" applyFont="1" applyAlignment="1" applyProtection="1"/>
    <xf numFmtId="0" fontId="21" fillId="0" borderId="0" xfId="0" applyFont="1"/>
    <xf numFmtId="0" fontId="6" fillId="0" borderId="87" xfId="0" applyFont="1" applyBorder="1" applyAlignment="1">
      <alignment horizontal="center" vertical="center" wrapText="1"/>
    </xf>
    <xf numFmtId="0" fontId="0" fillId="0" borderId="90" xfId="0" applyBorder="1"/>
    <xf numFmtId="0" fontId="6" fillId="0" borderId="91" xfId="0" applyFont="1" applyBorder="1"/>
    <xf numFmtId="0" fontId="0" fillId="0" borderId="92" xfId="0" applyBorder="1"/>
    <xf numFmtId="0" fontId="0" fillId="0" borderId="74" xfId="0" applyBorder="1"/>
    <xf numFmtId="0" fontId="6" fillId="0" borderId="93" xfId="0" applyFont="1" applyBorder="1"/>
    <xf numFmtId="0" fontId="7" fillId="0" borderId="87" xfId="5" applyFont="1" applyFill="1" applyBorder="1" applyAlignment="1" applyProtection="1">
      <alignment horizontal="center" vertical="center"/>
    </xf>
    <xf numFmtId="0" fontId="7" fillId="0" borderId="87" xfId="5" applyFont="1" applyFill="1" applyBorder="1" applyAlignment="1" applyProtection="1">
      <alignment horizontal="center" vertical="center" wrapText="1"/>
    </xf>
    <xf numFmtId="0" fontId="6" fillId="0" borderId="88" xfId="0" applyFont="1" applyBorder="1"/>
    <xf numFmtId="0" fontId="6" fillId="0" borderId="89" xfId="0" applyFont="1" applyBorder="1"/>
    <xf numFmtId="0" fontId="6" fillId="0" borderId="92" xfId="0" applyFont="1" applyBorder="1"/>
    <xf numFmtId="0" fontId="6" fillId="0" borderId="74" xfId="0" applyFont="1" applyBorder="1"/>
    <xf numFmtId="164" fontId="7" fillId="6" borderId="87" xfId="6" applyNumberFormat="1" applyFont="1" applyFill="1" applyBorder="1" applyAlignment="1" applyProtection="1">
      <alignment wrapText="1"/>
    </xf>
    <xf numFmtId="164" fontId="24" fillId="15" borderId="87" xfId="1" applyNumberFormat="1" applyFont="1" applyFill="1" applyBorder="1" applyAlignment="1" applyProtection="1">
      <alignment wrapText="1"/>
    </xf>
    <xf numFmtId="164" fontId="5" fillId="0" borderId="90" xfId="0" applyNumberFormat="1" applyFont="1" applyBorder="1"/>
    <xf numFmtId="0" fontId="6" fillId="0" borderId="90" xfId="0" applyFont="1" applyBorder="1"/>
    <xf numFmtId="164" fontId="6" fillId="0" borderId="90" xfId="0" applyNumberFormat="1" applyFont="1" applyBorder="1"/>
    <xf numFmtId="164" fontId="6" fillId="0" borderId="92" xfId="0" applyNumberFormat="1" applyFont="1" applyBorder="1"/>
    <xf numFmtId="164" fontId="9" fillId="14" borderId="87" xfId="5" applyNumberFormat="1" applyFont="1" applyFill="1" applyBorder="1" applyAlignment="1" applyProtection="1">
      <alignment horizontal="right" vertical="center" wrapText="1"/>
    </xf>
    <xf numFmtId="164" fontId="7" fillId="6" borderId="87" xfId="6" applyNumberFormat="1" applyFont="1" applyFill="1" applyBorder="1" applyAlignment="1" applyProtection="1"/>
    <xf numFmtId="164" fontId="9" fillId="14" borderId="87" xfId="6" applyNumberFormat="1" applyFont="1" applyFill="1" applyBorder="1" applyAlignment="1" applyProtection="1">
      <alignment wrapText="1"/>
    </xf>
    <xf numFmtId="164" fontId="7" fillId="0" borderId="87" xfId="6" applyNumberFormat="1" applyFont="1" applyFill="1" applyBorder="1" applyAlignment="1" applyProtection="1"/>
    <xf numFmtId="10" fontId="6" fillId="0" borderId="0" xfId="0" applyNumberFormat="1" applyFont="1"/>
    <xf numFmtId="164" fontId="5" fillId="0" borderId="92" xfId="0" applyNumberFormat="1" applyFont="1" applyBorder="1"/>
    <xf numFmtId="0" fontId="6" fillId="0" borderId="74" xfId="0" applyFont="1" applyBorder="1" applyAlignment="1">
      <alignment wrapText="1"/>
    </xf>
    <xf numFmtId="167" fontId="6" fillId="0" borderId="91" xfId="0" applyNumberFormat="1" applyFont="1" applyBorder="1"/>
    <xf numFmtId="167" fontId="6" fillId="0" borderId="93" xfId="0" applyNumberFormat="1" applyFont="1" applyBorder="1"/>
    <xf numFmtId="166" fontId="6" fillId="0" borderId="91" xfId="0" applyNumberFormat="1" applyFont="1" applyBorder="1"/>
    <xf numFmtId="166" fontId="6" fillId="0" borderId="93" xfId="0" applyNumberFormat="1" applyFont="1" applyBorder="1"/>
    <xf numFmtId="0" fontId="0" fillId="0" borderId="88" xfId="0" applyBorder="1"/>
    <xf numFmtId="0" fontId="0" fillId="0" borderId="51" xfId="0" applyBorder="1"/>
    <xf numFmtId="0" fontId="0" fillId="0" borderId="89" xfId="0" applyBorder="1"/>
    <xf numFmtId="0" fontId="0" fillId="0" borderId="91" xfId="0" applyBorder="1"/>
    <xf numFmtId="0" fontId="0" fillId="0" borderId="93" xfId="0" applyBorder="1"/>
    <xf numFmtId="0" fontId="0" fillId="0" borderId="4" xfId="0" applyBorder="1"/>
    <xf numFmtId="0" fontId="0" fillId="0" borderId="97" xfId="0" applyBorder="1"/>
    <xf numFmtId="164" fontId="11" fillId="0" borderId="87" xfId="6" applyNumberFormat="1" applyFont="1" applyFill="1" applyBorder="1" applyAlignment="1" applyProtection="1">
      <alignment wrapText="1"/>
    </xf>
    <xf numFmtId="0" fontId="0" fillId="0" borderId="98" xfId="0" applyBorder="1"/>
    <xf numFmtId="0" fontId="1" fillId="19" borderId="0" xfId="14" applyAlignment="1" applyProtection="1">
      <alignment vertical="center"/>
    </xf>
    <xf numFmtId="0" fontId="0" fillId="0" borderId="0" xfId="0" applyAlignment="1">
      <alignment horizontal="center" vertical="center"/>
    </xf>
    <xf numFmtId="0" fontId="7" fillId="0" borderId="96" xfId="5" applyFont="1" applyFill="1" applyBorder="1" applyAlignment="1" applyProtection="1">
      <alignment horizontal="center" vertical="center" wrapText="1"/>
    </xf>
    <xf numFmtId="164" fontId="11" fillId="0" borderId="96" xfId="6" applyNumberFormat="1" applyFont="1" applyFill="1" applyBorder="1" applyAlignment="1" applyProtection="1">
      <alignment wrapText="1"/>
    </xf>
    <xf numFmtId="0" fontId="7" fillId="0" borderId="100" xfId="5" applyFont="1" applyFill="1" applyBorder="1" applyAlignment="1" applyProtection="1"/>
    <xf numFmtId="166" fontId="24" fillId="15" borderId="53" xfId="1" applyNumberFormat="1" applyFont="1" applyFill="1" applyBorder="1" applyAlignment="1" applyProtection="1">
      <alignment wrapText="1"/>
    </xf>
    <xf numFmtId="0" fontId="1" fillId="19" borderId="3" xfId="14" applyBorder="1" applyProtection="1"/>
    <xf numFmtId="0" fontId="0" fillId="19" borderId="3" xfId="14" applyFont="1" applyBorder="1" applyProtection="1"/>
    <xf numFmtId="0" fontId="6" fillId="0" borderId="100" xfId="0" applyFont="1" applyBorder="1" applyAlignment="1">
      <alignment vertical="center"/>
    </xf>
    <xf numFmtId="164" fontId="7" fillId="6" borderId="96" xfId="6" applyNumberFormat="1" applyFont="1" applyFill="1" applyBorder="1" applyAlignment="1" applyProtection="1">
      <alignment wrapText="1"/>
    </xf>
    <xf numFmtId="0" fontId="6" fillId="0" borderId="53" xfId="0" applyFont="1" applyBorder="1" applyAlignment="1">
      <alignment vertical="center"/>
    </xf>
    <xf numFmtId="0" fontId="24" fillId="15" borderId="53" xfId="0" applyFont="1" applyFill="1" applyBorder="1" applyAlignment="1">
      <alignment vertical="center"/>
    </xf>
    <xf numFmtId="0" fontId="6" fillId="0" borderId="98" xfId="0" applyFont="1" applyBorder="1"/>
    <xf numFmtId="0" fontId="6" fillId="0" borderId="97" xfId="0" applyFont="1" applyBorder="1"/>
    <xf numFmtId="0" fontId="12" fillId="4" borderId="2" xfId="6" applyFont="1"/>
    <xf numFmtId="167" fontId="24" fillId="15" borderId="6" xfId="9" applyNumberFormat="1" applyFont="1" applyFill="1" applyBorder="1" applyAlignment="1" applyProtection="1">
      <alignment horizontal="right"/>
    </xf>
    <xf numFmtId="164" fontId="29" fillId="15" borderId="103" xfId="6" applyNumberFormat="1" applyFont="1" applyFill="1" applyBorder="1" applyAlignment="1" applyProtection="1">
      <alignment horizontal="right"/>
    </xf>
    <xf numFmtId="164" fontId="29" fillId="15" borderId="104" xfId="6" applyNumberFormat="1" applyFont="1" applyFill="1" applyBorder="1" applyAlignment="1" applyProtection="1">
      <alignment horizontal="right"/>
    </xf>
    <xf numFmtId="164" fontId="29" fillId="15" borderId="105" xfId="6" applyNumberFormat="1" applyFont="1" applyFill="1" applyBorder="1" applyAlignment="1" applyProtection="1">
      <alignment horizontal="right"/>
    </xf>
    <xf numFmtId="164" fontId="29" fillId="15" borderId="106" xfId="6" applyNumberFormat="1" applyFont="1" applyFill="1" applyBorder="1" applyAlignment="1" applyProtection="1">
      <alignment horizontal="right"/>
    </xf>
    <xf numFmtId="164" fontId="29" fillId="15" borderId="107" xfId="6" applyNumberFormat="1" applyFont="1" applyFill="1" applyBorder="1" applyAlignment="1" applyProtection="1">
      <alignment horizontal="right"/>
    </xf>
    <xf numFmtId="167" fontId="24" fillId="15" borderId="108" xfId="9" applyNumberFormat="1" applyFont="1" applyFill="1" applyBorder="1" applyAlignment="1" applyProtection="1">
      <alignment horizontal="right"/>
    </xf>
    <xf numFmtId="164" fontId="29" fillId="15" borderId="109" xfId="6" applyNumberFormat="1" applyFont="1" applyFill="1" applyBorder="1" applyAlignment="1" applyProtection="1">
      <alignment horizontal="right"/>
    </xf>
    <xf numFmtId="164" fontId="29" fillId="15" borderId="71" xfId="6" applyNumberFormat="1" applyFont="1" applyFill="1" applyBorder="1" applyAlignment="1" applyProtection="1">
      <alignment horizontal="right"/>
    </xf>
    <xf numFmtId="164" fontId="29" fillId="15" borderId="23" xfId="6" applyNumberFormat="1" applyFont="1" applyFill="1" applyBorder="1" applyAlignment="1" applyProtection="1">
      <alignment horizontal="right"/>
    </xf>
    <xf numFmtId="0" fontId="5" fillId="0" borderId="14" xfId="0" applyFont="1" applyBorder="1"/>
    <xf numFmtId="164" fontId="28" fillId="0" borderId="14" xfId="0" applyNumberFormat="1" applyFont="1" applyBorder="1"/>
    <xf numFmtId="164" fontId="7" fillId="6" borderId="69" xfId="6" applyNumberFormat="1" applyFont="1" applyFill="1" applyBorder="1" applyAlignment="1" applyProtection="1">
      <alignment wrapText="1"/>
    </xf>
    <xf numFmtId="167" fontId="7" fillId="0" borderId="7" xfId="9" applyNumberFormat="1" applyFont="1" applyFill="1" applyBorder="1" applyAlignment="1" applyProtection="1">
      <alignment horizontal="right"/>
    </xf>
    <xf numFmtId="164" fontId="11" fillId="6" borderId="41" xfId="6" applyNumberFormat="1" applyFont="1" applyFill="1" applyBorder="1" applyAlignment="1" applyProtection="1"/>
    <xf numFmtId="164" fontId="11" fillId="6" borderId="24" xfId="6" applyNumberFormat="1" applyFont="1" applyFill="1" applyBorder="1" applyAlignment="1" applyProtection="1"/>
    <xf numFmtId="164" fontId="11" fillId="6" borderId="29" xfId="6" applyNumberFormat="1" applyFont="1" applyFill="1" applyBorder="1" applyAlignment="1" applyProtection="1"/>
    <xf numFmtId="0" fontId="7" fillId="6" borderId="11" xfId="5" applyFont="1" applyFill="1" applyBorder="1" applyAlignment="1" applyProtection="1"/>
    <xf numFmtId="0" fontId="7" fillId="0" borderId="5" xfId="5" applyFont="1" applyFill="1" applyBorder="1" applyAlignment="1" applyProtection="1"/>
    <xf numFmtId="0" fontId="9" fillId="14" borderId="5" xfId="5" applyFont="1" applyFill="1" applyBorder="1" applyAlignment="1" applyProtection="1"/>
    <xf numFmtId="0" fontId="9" fillId="14" borderId="12" xfId="5" applyFont="1" applyFill="1" applyBorder="1" applyAlignment="1" applyProtection="1">
      <alignment horizontal="left" vertical="top"/>
    </xf>
    <xf numFmtId="164" fontId="29" fillId="15" borderId="22" xfId="6" applyNumberFormat="1" applyFont="1" applyFill="1" applyBorder="1" applyAlignment="1" applyProtection="1">
      <alignment horizontal="right"/>
    </xf>
    <xf numFmtId="170" fontId="31" fillId="11" borderId="2" xfId="6" applyNumberFormat="1" applyFont="1" applyFill="1"/>
    <xf numFmtId="170" fontId="37" fillId="11" borderId="2" xfId="6" applyNumberFormat="1" applyFont="1" applyFill="1"/>
    <xf numFmtId="49" fontId="37" fillId="0" borderId="0" xfId="0" applyNumberFormat="1" applyFont="1"/>
    <xf numFmtId="170" fontId="41" fillId="6" borderId="0" xfId="15" applyNumberFormat="1" applyFill="1" applyBorder="1" applyAlignment="1" applyProtection="1">
      <alignment horizontal="left"/>
      <protection locked="0"/>
    </xf>
    <xf numFmtId="0" fontId="0" fillId="0" borderId="0" xfId="0" applyProtection="1">
      <protection locked="0"/>
    </xf>
    <xf numFmtId="0" fontId="43" fillId="0" borderId="0" xfId="0" applyFont="1" applyProtection="1">
      <protection locked="0"/>
    </xf>
    <xf numFmtId="0" fontId="0" fillId="0" borderId="19" xfId="0" applyBorder="1"/>
    <xf numFmtId="0" fontId="6" fillId="0" borderId="20" xfId="0" applyFont="1" applyBorder="1"/>
    <xf numFmtId="0" fontId="0" fillId="0" borderId="16" xfId="0" applyBorder="1"/>
    <xf numFmtId="0" fontId="6" fillId="0" borderId="18" xfId="0" applyFont="1" applyBorder="1"/>
    <xf numFmtId="167" fontId="7" fillId="6" borderId="53" xfId="6" applyNumberFormat="1" applyFont="1" applyFill="1" applyBorder="1" applyAlignment="1" applyProtection="1">
      <alignment horizontal="right" wrapText="1"/>
    </xf>
    <xf numFmtId="168" fontId="24" fillId="15" borderId="53" xfId="1" applyNumberFormat="1" applyFont="1" applyFill="1" applyBorder="1" applyAlignment="1" applyProtection="1">
      <alignment horizontal="right" wrapText="1"/>
    </xf>
    <xf numFmtId="167" fontId="8" fillId="14" borderId="53" xfId="9" applyNumberFormat="1" applyFont="1" applyFill="1" applyBorder="1" applyAlignment="1" applyProtection="1">
      <alignment horizontal="right"/>
    </xf>
    <xf numFmtId="166" fontId="7" fillId="0" borderId="53" xfId="6" applyNumberFormat="1" applyFont="1" applyFill="1" applyBorder="1" applyAlignment="1" applyProtection="1">
      <alignment horizontal="right" wrapText="1"/>
    </xf>
    <xf numFmtId="168" fontId="24" fillId="15" borderId="53" xfId="9" applyNumberFormat="1" applyFont="1" applyFill="1" applyBorder="1" applyAlignment="1" applyProtection="1">
      <alignment horizontal="right" vertical="center" wrapText="1"/>
    </xf>
    <xf numFmtId="166" fontId="8" fillId="14" borderId="53" xfId="0" applyNumberFormat="1" applyFont="1" applyFill="1" applyBorder="1" applyAlignment="1">
      <alignment horizontal="right"/>
    </xf>
    <xf numFmtId="167" fontId="7" fillId="0" borderId="53" xfId="9" applyNumberFormat="1" applyFont="1" applyFill="1" applyBorder="1" applyAlignment="1" applyProtection="1">
      <alignment horizontal="right" wrapText="1"/>
    </xf>
    <xf numFmtId="167" fontId="24" fillId="15" borderId="87" xfId="9" applyNumberFormat="1" applyFont="1" applyFill="1" applyBorder="1" applyAlignment="1" applyProtection="1">
      <alignment horizontal="right" vertical="center" wrapText="1"/>
    </xf>
    <xf numFmtId="167" fontId="7" fillId="0" borderId="87" xfId="9" applyNumberFormat="1" applyFont="1" applyFill="1" applyBorder="1" applyAlignment="1" applyProtection="1">
      <alignment horizontal="right" wrapText="1"/>
    </xf>
    <xf numFmtId="0" fontId="0" fillId="19" borderId="0" xfId="14" applyFont="1" applyAlignment="1" applyProtection="1">
      <alignment vertical="center"/>
    </xf>
    <xf numFmtId="167" fontId="9" fillId="14" borderId="53" xfId="9" applyNumberFormat="1" applyFont="1" applyFill="1" applyBorder="1" applyAlignment="1" applyProtection="1">
      <alignment horizontal="right" wrapText="1"/>
    </xf>
    <xf numFmtId="167" fontId="7" fillId="0" borderId="53" xfId="0" applyNumberFormat="1" applyFont="1" applyBorder="1" applyAlignment="1">
      <alignment horizontal="right"/>
    </xf>
    <xf numFmtId="166" fontId="11" fillId="0" borderId="53" xfId="9" applyNumberFormat="1" applyFont="1" applyFill="1" applyBorder="1" applyAlignment="1" applyProtection="1">
      <alignment horizontal="right" wrapText="1"/>
    </xf>
    <xf numFmtId="167" fontId="9" fillId="14" borderId="53" xfId="0" applyNumberFormat="1" applyFont="1" applyFill="1" applyBorder="1" applyAlignment="1">
      <alignment horizontal="right"/>
    </xf>
    <xf numFmtId="167" fontId="7" fillId="15" borderId="53" xfId="0" applyNumberFormat="1" applyFont="1" applyFill="1" applyBorder="1" applyAlignment="1">
      <alignment horizontal="right"/>
    </xf>
    <xf numFmtId="0" fontId="0" fillId="19" borderId="0" xfId="14" applyFont="1" applyAlignment="1" applyProtection="1">
      <alignment horizontal="left"/>
    </xf>
    <xf numFmtId="0" fontId="7" fillId="6" borderId="0" xfId="5" applyFont="1" applyFill="1" applyBorder="1" applyAlignment="1" applyProtection="1"/>
    <xf numFmtId="0" fontId="0" fillId="4" borderId="2" xfId="6" applyNumberFormat="1" applyFont="1"/>
    <xf numFmtId="167" fontId="11" fillId="0" borderId="32" xfId="9" applyNumberFormat="1" applyFont="1" applyFill="1" applyBorder="1" applyAlignment="1" applyProtection="1">
      <alignment horizontal="right"/>
    </xf>
    <xf numFmtId="164" fontId="28" fillId="0" borderId="0" xfId="0" applyNumberFormat="1" applyFont="1"/>
    <xf numFmtId="164" fontId="28" fillId="0" borderId="88" xfId="0" applyNumberFormat="1" applyFont="1" applyBorder="1"/>
    <xf numFmtId="164" fontId="28" fillId="0" borderId="51" xfId="0" applyNumberFormat="1" applyFont="1" applyBorder="1"/>
    <xf numFmtId="0" fontId="5" fillId="0" borderId="51" xfId="0" applyFont="1" applyBorder="1"/>
    <xf numFmtId="0" fontId="5" fillId="0" borderId="89" xfId="0" applyFont="1" applyBorder="1"/>
    <xf numFmtId="164" fontId="28" fillId="0" borderId="90" xfId="0" applyNumberFormat="1" applyFont="1" applyBorder="1"/>
    <xf numFmtId="0" fontId="5" fillId="0" borderId="91" xfId="0" applyFont="1" applyBorder="1"/>
    <xf numFmtId="0" fontId="7" fillId="0" borderId="117" xfId="5" applyFont="1" applyFill="1" applyBorder="1" applyAlignment="1" applyProtection="1">
      <alignment vertical="center"/>
    </xf>
    <xf numFmtId="164" fontId="24" fillId="15" borderId="119" xfId="1" applyNumberFormat="1" applyFont="1" applyFill="1" applyBorder="1" applyAlignment="1" applyProtection="1">
      <alignment vertical="center" wrapText="1"/>
    </xf>
    <xf numFmtId="167" fontId="24" fillId="15" borderId="120" xfId="9" applyNumberFormat="1" applyFont="1" applyFill="1" applyBorder="1" applyAlignment="1" applyProtection="1">
      <alignment horizontal="right" vertical="center" wrapText="1"/>
    </xf>
    <xf numFmtId="167" fontId="7" fillId="6" borderId="87" xfId="6" applyNumberFormat="1" applyFont="1" applyFill="1" applyBorder="1" applyAlignment="1" applyProtection="1">
      <alignment horizontal="right" wrapText="1"/>
    </xf>
    <xf numFmtId="168" fontId="24" fillId="15" borderId="121" xfId="9" applyNumberFormat="1" applyFont="1" applyFill="1" applyBorder="1" applyAlignment="1" applyProtection="1">
      <alignment horizontal="right" vertical="center"/>
    </xf>
    <xf numFmtId="164" fontId="40" fillId="14" borderId="32" xfId="6" applyNumberFormat="1" applyFont="1" applyFill="1" applyBorder="1" applyAlignment="1" applyProtection="1"/>
    <xf numFmtId="167" fontId="40" fillId="14" borderId="32" xfId="9" applyNumberFormat="1" applyFont="1" applyFill="1" applyBorder="1" applyAlignment="1" applyProtection="1">
      <alignment horizontal="right"/>
    </xf>
    <xf numFmtId="0" fontId="7" fillId="0" borderId="86" xfId="5" applyFont="1" applyFill="1" applyBorder="1" applyAlignment="1" applyProtection="1">
      <alignment horizontal="center" vertical="center" wrapText="1"/>
    </xf>
    <xf numFmtId="0" fontId="7" fillId="0" borderId="86" xfId="5" applyFont="1" applyFill="1" applyBorder="1" applyAlignment="1" applyProtection="1">
      <alignment horizontal="center" vertical="center"/>
    </xf>
    <xf numFmtId="0" fontId="6" fillId="0" borderId="51" xfId="0" applyFont="1" applyBorder="1"/>
    <xf numFmtId="0" fontId="7" fillId="0" borderId="94" xfId="5" applyFont="1" applyFill="1" applyBorder="1" applyAlignment="1" applyProtection="1">
      <alignment horizontal="center" vertical="center"/>
    </xf>
    <xf numFmtId="0" fontId="7" fillId="0" borderId="94" xfId="5" applyFont="1" applyFill="1" applyBorder="1" applyAlignment="1" applyProtection="1">
      <alignment horizontal="center" vertical="center" wrapText="1"/>
    </xf>
    <xf numFmtId="164" fontId="24" fillId="15" borderId="123" xfId="1" applyNumberFormat="1" applyFont="1" applyFill="1" applyBorder="1" applyAlignment="1" applyProtection="1">
      <alignment vertical="center" wrapText="1"/>
    </xf>
    <xf numFmtId="0" fontId="5" fillId="0" borderId="90" xfId="0" applyFont="1" applyBorder="1"/>
    <xf numFmtId="0" fontId="41" fillId="0" borderId="0" xfId="15" applyAlignment="1" applyProtection="1">
      <protection locked="0"/>
    </xf>
    <xf numFmtId="0" fontId="41" fillId="0" borderId="0" xfId="15" applyProtection="1">
      <protection locked="0"/>
    </xf>
    <xf numFmtId="49" fontId="0" fillId="20" borderId="0" xfId="0" applyNumberFormat="1" applyFill="1"/>
    <xf numFmtId="0" fontId="45" fillId="20" borderId="0" xfId="0" applyFont="1" applyFill="1" applyAlignment="1" applyProtection="1">
      <alignment horizontal="left" vertical="top"/>
      <protection locked="0"/>
    </xf>
    <xf numFmtId="49" fontId="10" fillId="20" borderId="2" xfId="6" applyNumberFormat="1" applyFont="1" applyFill="1" applyProtection="1"/>
    <xf numFmtId="49" fontId="10" fillId="20" borderId="0" xfId="0" applyNumberFormat="1" applyFont="1" applyFill="1"/>
    <xf numFmtId="0" fontId="12" fillId="20" borderId="3" xfId="8" applyFill="1"/>
    <xf numFmtId="170" fontId="37" fillId="5" borderId="2" xfId="6" applyNumberFormat="1" applyFont="1" applyFill="1"/>
    <xf numFmtId="0" fontId="12" fillId="5" borderId="3" xfId="8" applyFill="1"/>
    <xf numFmtId="0" fontId="8" fillId="0" borderId="0" xfId="0" applyFont="1" applyAlignment="1">
      <alignment horizontal="left"/>
    </xf>
    <xf numFmtId="0" fontId="0" fillId="14" borderId="0" xfId="14" applyFont="1" applyFill="1" applyAlignment="1" applyProtection="1">
      <alignment horizontal="left"/>
    </xf>
    <xf numFmtId="0" fontId="0" fillId="0" borderId="0" xfId="12" applyFont="1" applyFill="1" applyBorder="1" applyProtection="1"/>
    <xf numFmtId="14" fontId="0" fillId="5" borderId="0" xfId="0" applyNumberFormat="1" applyFill="1"/>
    <xf numFmtId="0" fontId="0" fillId="5" borderId="0" xfId="0" applyFill="1" applyAlignment="1">
      <alignment wrapText="1"/>
    </xf>
    <xf numFmtId="14" fontId="0" fillId="5" borderId="0" xfId="0" applyNumberFormat="1" applyFill="1" applyAlignment="1">
      <alignment wrapText="1"/>
    </xf>
    <xf numFmtId="49" fontId="32" fillId="0" borderId="0" xfId="0" applyNumberFormat="1" applyFont="1"/>
    <xf numFmtId="170" fontId="10" fillId="5" borderId="2" xfId="6" applyNumberFormat="1" applyFont="1" applyFill="1"/>
    <xf numFmtId="0" fontId="16" fillId="5" borderId="3" xfId="8" applyFont="1" applyFill="1"/>
    <xf numFmtId="0" fontId="0" fillId="0" borderId="0" xfId="0" quotePrefix="1"/>
    <xf numFmtId="0" fontId="46" fillId="0" borderId="0" xfId="0" applyFont="1"/>
    <xf numFmtId="0" fontId="47" fillId="9" borderId="3" xfId="8" applyFont="1" applyFill="1"/>
    <xf numFmtId="0" fontId="47" fillId="12" borderId="3" xfId="8" applyFont="1"/>
    <xf numFmtId="170" fontId="41" fillId="0" borderId="0" xfId="15" applyNumberFormat="1" applyFill="1" applyBorder="1" applyAlignment="1" applyProtection="1">
      <alignment horizontal="left"/>
      <protection locked="0"/>
    </xf>
    <xf numFmtId="164" fontId="20" fillId="6" borderId="2" xfId="6" applyNumberFormat="1" applyFont="1" applyFill="1" applyAlignment="1" applyProtection="1">
      <protection locked="0"/>
    </xf>
    <xf numFmtId="164" fontId="19" fillId="22" borderId="1" xfId="1" applyNumberFormat="1" applyFont="1" applyFill="1" applyAlignment="1" applyProtection="1"/>
    <xf numFmtId="0" fontId="53" fillId="0" borderId="0" xfId="0" applyFont="1" applyAlignment="1">
      <alignment vertical="center"/>
    </xf>
    <xf numFmtId="0" fontId="15" fillId="21" borderId="126" xfId="5" applyFill="1" applyBorder="1" applyAlignment="1" applyProtection="1">
      <alignment horizontal="left" vertical="top" wrapText="1"/>
    </xf>
    <xf numFmtId="0" fontId="15" fillId="0" borderId="0" xfId="5" applyFill="1" applyBorder="1" applyAlignment="1" applyProtection="1"/>
    <xf numFmtId="164" fontId="0" fillId="0" borderId="0" xfId="0" applyNumberFormat="1"/>
    <xf numFmtId="0" fontId="15" fillId="21" borderId="0" xfId="5" applyFill="1" applyBorder="1" applyAlignment="1" applyProtection="1">
      <alignment horizontal="left" vertical="top" wrapText="1"/>
    </xf>
    <xf numFmtId="0" fontId="0" fillId="19" borderId="0" xfId="14" quotePrefix="1" applyFont="1" applyAlignment="1" applyProtection="1">
      <alignment horizontal="left"/>
    </xf>
    <xf numFmtId="0" fontId="54" fillId="0" borderId="0" xfId="0" applyFont="1"/>
    <xf numFmtId="0" fontId="0" fillId="0" borderId="128" xfId="0" applyBorder="1"/>
    <xf numFmtId="0" fontId="7" fillId="4" borderId="2" xfId="6" applyFont="1" applyProtection="1"/>
    <xf numFmtId="0" fontId="52" fillId="3" borderId="125" xfId="5" applyFont="1" applyBorder="1" applyAlignment="1" applyProtection="1">
      <alignment vertical="center"/>
    </xf>
    <xf numFmtId="0" fontId="36" fillId="0" borderId="0" xfId="0" applyFont="1"/>
    <xf numFmtId="164" fontId="36" fillId="0" borderId="0" xfId="0" applyNumberFormat="1" applyFont="1"/>
    <xf numFmtId="0" fontId="56" fillId="0" borderId="0" xfId="0" applyFont="1"/>
    <xf numFmtId="49" fontId="10" fillId="5" borderId="2" xfId="6" applyNumberFormat="1" applyFont="1" applyFill="1"/>
    <xf numFmtId="0" fontId="0" fillId="5" borderId="2" xfId="6" applyFont="1" applyFill="1"/>
    <xf numFmtId="49" fontId="0" fillId="5" borderId="2" xfId="6" applyNumberFormat="1" applyFont="1" applyFill="1"/>
    <xf numFmtId="0" fontId="4" fillId="5" borderId="0" xfId="0" applyFont="1" applyFill="1" applyAlignment="1">
      <alignment wrapText="1"/>
    </xf>
    <xf numFmtId="173" fontId="0" fillId="0" borderId="0" xfId="0" applyNumberFormat="1"/>
    <xf numFmtId="0" fontId="58" fillId="0" borderId="0" xfId="0" applyFont="1"/>
    <xf numFmtId="0" fontId="38" fillId="0" borderId="0" xfId="0" applyFont="1" applyAlignment="1">
      <alignment vertical="top"/>
    </xf>
    <xf numFmtId="0" fontId="59" fillId="5" borderId="0" xfId="0" applyFont="1" applyFill="1" applyAlignment="1">
      <alignment vertical="top"/>
    </xf>
    <xf numFmtId="49" fontId="38" fillId="0" borderId="0" xfId="0" applyNumberFormat="1" applyFont="1" applyAlignment="1">
      <alignment vertical="top"/>
    </xf>
    <xf numFmtId="0" fontId="57" fillId="0" borderId="130" xfId="0" applyFont="1" applyBorder="1" applyAlignment="1">
      <alignment vertical="top"/>
    </xf>
    <xf numFmtId="0" fontId="38" fillId="0" borderId="130" xfId="0" applyFont="1" applyBorder="1" applyAlignment="1">
      <alignment vertical="top"/>
    </xf>
    <xf numFmtId="0" fontId="38" fillId="0" borderId="130" xfId="0" applyFont="1" applyBorder="1" applyAlignment="1">
      <alignment vertical="top" wrapText="1"/>
    </xf>
    <xf numFmtId="2" fontId="10" fillId="0" borderId="0" xfId="0" applyNumberFormat="1" applyFont="1"/>
    <xf numFmtId="2" fontId="7" fillId="0" borderId="0" xfId="0" applyNumberFormat="1" applyFont="1"/>
    <xf numFmtId="2" fontId="7" fillId="0" borderId="0" xfId="0" applyNumberFormat="1" applyFont="1" applyAlignment="1">
      <alignment vertical="center"/>
    </xf>
    <xf numFmtId="49" fontId="7" fillId="0" borderId="0" xfId="0" applyNumberFormat="1" applyFont="1"/>
    <xf numFmtId="49" fontId="11" fillId="0" borderId="0" xfId="0" applyNumberFormat="1" applyFont="1" applyAlignment="1">
      <alignment vertical="center"/>
    </xf>
    <xf numFmtId="49" fontId="7" fillId="0" borderId="0" xfId="0" applyNumberFormat="1" applyFont="1" applyAlignment="1">
      <alignment vertical="center"/>
    </xf>
    <xf numFmtId="14" fontId="33" fillId="5" borderId="0" xfId="0" applyNumberFormat="1" applyFont="1" applyFill="1"/>
    <xf numFmtId="14" fontId="4" fillId="7" borderId="0" xfId="0" applyNumberFormat="1" applyFont="1" applyFill="1"/>
    <xf numFmtId="173" fontId="33" fillId="0" borderId="0" xfId="0" applyNumberFormat="1" applyFont="1"/>
    <xf numFmtId="173" fontId="4" fillId="7" borderId="0" xfId="0" applyNumberFormat="1" applyFont="1" applyFill="1"/>
    <xf numFmtId="170" fontId="34" fillId="0" borderId="0" xfId="0" applyNumberFormat="1" applyFont="1"/>
    <xf numFmtId="170" fontId="4" fillId="7" borderId="0" xfId="0" applyNumberFormat="1" applyFont="1" applyFill="1"/>
    <xf numFmtId="173" fontId="34" fillId="0" borderId="0" xfId="0" applyNumberFormat="1" applyFont="1"/>
    <xf numFmtId="173" fontId="4" fillId="0" borderId="0" xfId="0" applyNumberFormat="1" applyFont="1"/>
    <xf numFmtId="170" fontId="4" fillId="0" borderId="0" xfId="0" applyNumberFormat="1" applyFont="1"/>
    <xf numFmtId="49" fontId="31" fillId="16" borderId="0" xfId="10" applyNumberFormat="1"/>
    <xf numFmtId="49" fontId="35" fillId="17" borderId="0" xfId="11" applyNumberFormat="1"/>
    <xf numFmtId="164" fontId="20" fillId="6" borderId="2" xfId="6" applyNumberFormat="1" applyFont="1" applyFill="1" applyAlignment="1" applyProtection="1"/>
    <xf numFmtId="164" fontId="20" fillId="6" borderId="127" xfId="6" applyNumberFormat="1" applyFont="1" applyFill="1" applyBorder="1" applyAlignment="1" applyProtection="1"/>
    <xf numFmtId="0" fontId="49" fillId="0" borderId="0" xfId="0" applyFont="1"/>
    <xf numFmtId="0" fontId="51" fillId="0" borderId="0" xfId="0" applyFont="1"/>
    <xf numFmtId="0" fontId="49" fillId="0" borderId="0" xfId="0" applyFont="1" applyAlignment="1">
      <alignment horizontal="center"/>
    </xf>
    <xf numFmtId="0" fontId="49" fillId="0" borderId="128" xfId="0" applyFont="1" applyBorder="1" applyAlignment="1">
      <alignment horizontal="center"/>
    </xf>
    <xf numFmtId="170" fontId="7" fillId="0" borderId="0" xfId="0" applyNumberFormat="1" applyFont="1"/>
    <xf numFmtId="170" fontId="7" fillId="0" borderId="0" xfId="0" applyNumberFormat="1" applyFont="1" applyAlignment="1">
      <alignment vertical="center"/>
    </xf>
    <xf numFmtId="0" fontId="5" fillId="4" borderId="2" xfId="6" applyFont="1" applyProtection="1"/>
    <xf numFmtId="0" fontId="0" fillId="6" borderId="19" xfId="0" applyFill="1" applyBorder="1" applyAlignment="1">
      <alignment vertical="center" wrapText="1"/>
    </xf>
    <xf numFmtId="0" fontId="0" fillId="6" borderId="20" xfId="0" applyFill="1" applyBorder="1" applyAlignment="1">
      <alignment vertical="center" wrapText="1"/>
    </xf>
    <xf numFmtId="164" fontId="9" fillId="14" borderId="51" xfId="5" applyNumberFormat="1" applyFont="1" applyFill="1" applyBorder="1" applyAlignment="1" applyProtection="1">
      <alignment horizontal="center"/>
    </xf>
    <xf numFmtId="164" fontId="9" fillId="14" borderId="35" xfId="5" applyNumberFormat="1" applyFont="1" applyFill="1" applyBorder="1" applyAlignment="1" applyProtection="1">
      <alignment horizontal="center"/>
    </xf>
    <xf numFmtId="164" fontId="9" fillId="14" borderId="36" xfId="5" applyNumberFormat="1" applyFont="1" applyFill="1" applyBorder="1" applyAlignment="1" applyProtection="1">
      <alignment horizontal="center"/>
    </xf>
    <xf numFmtId="14" fontId="0" fillId="9" borderId="0" xfId="0" applyNumberFormat="1" applyFill="1"/>
    <xf numFmtId="0" fontId="16" fillId="0" borderId="74" xfId="5" applyFont="1" applyFill="1" applyBorder="1" applyAlignment="1" applyProtection="1">
      <alignment vertical="center" wrapText="1"/>
    </xf>
    <xf numFmtId="0" fontId="0" fillId="0" borderId="36" xfId="0" applyBorder="1"/>
    <xf numFmtId="0" fontId="16" fillId="0" borderId="102" xfId="5" applyFont="1" applyFill="1" applyBorder="1" applyAlignment="1" applyProtection="1">
      <alignment vertical="center" wrapText="1"/>
    </xf>
    <xf numFmtId="0" fontId="16" fillId="0" borderId="134" xfId="5" applyFont="1" applyFill="1" applyBorder="1" applyAlignment="1" applyProtection="1">
      <alignment vertical="center"/>
    </xf>
    <xf numFmtId="164" fontId="9" fillId="14" borderId="0" xfId="5" applyNumberFormat="1" applyFont="1" applyFill="1" applyBorder="1" applyAlignment="1" applyProtection="1">
      <alignment horizontal="center"/>
    </xf>
    <xf numFmtId="0" fontId="16" fillId="0" borderId="136" xfId="5" applyFont="1" applyFill="1" applyBorder="1" applyAlignment="1" applyProtection="1">
      <alignment horizontal="center" vertical="center" wrapText="1"/>
    </xf>
    <xf numFmtId="0" fontId="16" fillId="0" borderId="137" xfId="5" applyFont="1" applyFill="1" applyBorder="1" applyAlignment="1" applyProtection="1">
      <alignment horizontal="center" vertical="center" wrapText="1"/>
    </xf>
    <xf numFmtId="0" fontId="16" fillId="0" borderId="15" xfId="5" applyFont="1" applyFill="1" applyBorder="1" applyAlignment="1" applyProtection="1">
      <alignment horizontal="center" vertical="center" wrapText="1"/>
    </xf>
    <xf numFmtId="164" fontId="9" fillId="14" borderId="36" xfId="5" applyNumberFormat="1" applyFont="1" applyFill="1" applyBorder="1" applyAlignment="1" applyProtection="1"/>
    <xf numFmtId="164" fontId="9" fillId="14" borderId="35" xfId="5" applyNumberFormat="1" applyFont="1" applyFill="1" applyBorder="1" applyAlignment="1" applyProtection="1"/>
    <xf numFmtId="49" fontId="33" fillId="0" borderId="0" xfId="0" applyNumberFormat="1" applyFont="1"/>
    <xf numFmtId="170" fontId="56" fillId="0" borderId="0" xfId="0" applyNumberFormat="1" applyFont="1"/>
    <xf numFmtId="170" fontId="62" fillId="0" borderId="0" xfId="0" applyNumberFormat="1" applyFont="1"/>
    <xf numFmtId="170" fontId="62" fillId="0" borderId="0" xfId="0" applyNumberFormat="1" applyFont="1" applyAlignment="1">
      <alignment vertical="center"/>
    </xf>
    <xf numFmtId="0" fontId="10" fillId="16" borderId="3" xfId="10" applyFont="1" applyBorder="1" applyProtection="1">
      <protection locked="0"/>
    </xf>
    <xf numFmtId="0" fontId="59" fillId="0" borderId="0" xfId="0" applyFont="1" applyAlignment="1">
      <alignment vertical="top"/>
    </xf>
    <xf numFmtId="49" fontId="5" fillId="0" borderId="0" xfId="0" applyNumberFormat="1" applyFont="1"/>
    <xf numFmtId="49" fontId="5" fillId="0" borderId="0" xfId="0" applyNumberFormat="1" applyFont="1" applyAlignment="1">
      <alignment vertical="center"/>
    </xf>
    <xf numFmtId="0" fontId="4" fillId="0" borderId="86" xfId="0" applyFont="1" applyBorder="1" applyAlignment="1">
      <alignment vertical="top"/>
    </xf>
    <xf numFmtId="0" fontId="4" fillId="0" borderId="86" xfId="0" applyFont="1" applyBorder="1" applyAlignment="1">
      <alignment vertical="center" wrapText="1"/>
    </xf>
    <xf numFmtId="0" fontId="38" fillId="25" borderId="130" xfId="0" applyFont="1" applyFill="1" applyBorder="1" applyAlignment="1">
      <alignment vertical="top"/>
    </xf>
    <xf numFmtId="170" fontId="38" fillId="25" borderId="130" xfId="0" applyNumberFormat="1" applyFont="1" applyFill="1" applyBorder="1" applyAlignment="1">
      <alignment vertical="top"/>
    </xf>
    <xf numFmtId="0" fontId="38" fillId="6" borderId="130" xfId="0" applyFont="1" applyFill="1" applyBorder="1" applyAlignment="1">
      <alignment vertical="top"/>
    </xf>
    <xf numFmtId="170" fontId="38" fillId="6" borderId="130" xfId="0" applyNumberFormat="1" applyFont="1" applyFill="1" applyBorder="1" applyAlignment="1">
      <alignment vertical="top" wrapText="1"/>
    </xf>
    <xf numFmtId="170" fontId="38" fillId="6" borderId="130" xfId="0" applyNumberFormat="1" applyFont="1" applyFill="1" applyBorder="1" applyAlignment="1">
      <alignment vertical="top"/>
    </xf>
    <xf numFmtId="2" fontId="38" fillId="6" borderId="130" xfId="0" applyNumberFormat="1" applyFont="1" applyFill="1" applyBorder="1" applyAlignment="1">
      <alignment vertical="top" wrapText="1"/>
    </xf>
    <xf numFmtId="0" fontId="38" fillId="6" borderId="130" xfId="0" applyFont="1" applyFill="1" applyBorder="1" applyAlignment="1">
      <alignment vertical="top" wrapText="1"/>
    </xf>
    <xf numFmtId="2" fontId="38" fillId="6" borderId="130" xfId="0" applyNumberFormat="1" applyFont="1" applyFill="1" applyBorder="1" applyAlignment="1">
      <alignment vertical="top"/>
    </xf>
    <xf numFmtId="0" fontId="57" fillId="26" borderId="130" xfId="0" applyFont="1" applyFill="1" applyBorder="1" applyAlignment="1">
      <alignment vertical="top"/>
    </xf>
    <xf numFmtId="0" fontId="57" fillId="26" borderId="131" xfId="0" applyFont="1" applyFill="1" applyBorder="1"/>
    <xf numFmtId="0" fontId="57" fillId="26" borderId="0" xfId="0" applyFont="1" applyFill="1"/>
    <xf numFmtId="0" fontId="57" fillId="13" borderId="130" xfId="0" applyFont="1" applyFill="1" applyBorder="1" applyAlignment="1">
      <alignment vertical="top"/>
    </xf>
    <xf numFmtId="0" fontId="12" fillId="24" borderId="130" xfId="0" applyFont="1" applyFill="1" applyBorder="1" applyAlignment="1">
      <alignment vertical="top" wrapText="1"/>
    </xf>
    <xf numFmtId="0" fontId="38" fillId="0" borderId="130" xfId="0" applyFont="1" applyBorder="1" applyAlignment="1">
      <alignment horizontal="left" vertical="center"/>
    </xf>
    <xf numFmtId="0" fontId="58" fillId="0" borderId="0" xfId="0" applyFont="1" applyAlignment="1" applyProtection="1">
      <alignment horizontal="center" vertical="center"/>
      <protection locked="0"/>
    </xf>
    <xf numFmtId="0" fontId="0" fillId="6" borderId="131" xfId="0" applyFill="1" applyBorder="1" applyAlignment="1" applyProtection="1">
      <alignment horizontal="center"/>
      <protection locked="0"/>
    </xf>
    <xf numFmtId="0" fontId="0" fillId="6" borderId="0" xfId="0" applyFill="1" applyAlignment="1" applyProtection="1">
      <alignment horizontal="center"/>
      <protection locked="0"/>
    </xf>
    <xf numFmtId="2" fontId="0" fillId="6" borderId="131" xfId="0" applyNumberFormat="1" applyFill="1" applyBorder="1" applyAlignment="1" applyProtection="1">
      <alignment horizontal="center"/>
      <protection locked="0"/>
    </xf>
    <xf numFmtId="2" fontId="0" fillId="6" borderId="0" xfId="0" applyNumberFormat="1" applyFill="1" applyAlignment="1" applyProtection="1">
      <alignment horizontal="center"/>
      <protection locked="0"/>
    </xf>
    <xf numFmtId="0" fontId="0" fillId="24" borderId="131" xfId="0" applyFill="1" applyBorder="1" applyAlignment="1" applyProtection="1">
      <alignment horizontal="center" wrapText="1"/>
      <protection locked="0"/>
    </xf>
    <xf numFmtId="0" fontId="0" fillId="24" borderId="0" xfId="0" applyFill="1" applyAlignment="1" applyProtection="1">
      <alignment horizontal="center" wrapText="1"/>
      <protection locked="0"/>
    </xf>
    <xf numFmtId="170" fontId="0" fillId="6" borderId="131" xfId="0" applyNumberFormat="1" applyFill="1" applyBorder="1" applyAlignment="1" applyProtection="1">
      <alignment horizontal="center"/>
      <protection locked="0"/>
    </xf>
    <xf numFmtId="170" fontId="0" fillId="6" borderId="0" xfId="0" applyNumberFormat="1" applyFill="1" applyAlignment="1" applyProtection="1">
      <alignment horizontal="center"/>
      <protection locked="0"/>
    </xf>
    <xf numFmtId="0" fontId="0" fillId="0" borderId="131" xfId="0" applyBorder="1" applyAlignment="1" applyProtection="1">
      <alignment horizontal="center"/>
      <protection locked="0"/>
    </xf>
    <xf numFmtId="0" fontId="0" fillId="0" borderId="0" xfId="0" applyAlignment="1" applyProtection="1">
      <alignment horizontal="center"/>
      <protection locked="0"/>
    </xf>
    <xf numFmtId="0" fontId="0" fillId="25" borderId="131" xfId="0" applyFill="1" applyBorder="1" applyAlignment="1">
      <alignment horizontal="center"/>
    </xf>
    <xf numFmtId="0" fontId="0" fillId="25" borderId="0" xfId="0" applyFill="1" applyAlignment="1">
      <alignment horizontal="center"/>
    </xf>
    <xf numFmtId="0" fontId="0" fillId="13" borderId="0" xfId="0" applyFill="1" applyAlignment="1" applyProtection="1">
      <alignment horizontal="center"/>
      <protection locked="0"/>
    </xf>
    <xf numFmtId="170" fontId="0" fillId="25" borderId="131" xfId="0" applyNumberFormat="1" applyFill="1" applyBorder="1" applyAlignment="1">
      <alignment horizontal="center"/>
    </xf>
    <xf numFmtId="170" fontId="0" fillId="25" borderId="0" xfId="0" applyNumberFormat="1" applyFill="1" applyAlignment="1">
      <alignment horizontal="center"/>
    </xf>
    <xf numFmtId="0" fontId="6" fillId="5" borderId="2" xfId="6" applyFont="1" applyFill="1" applyProtection="1"/>
    <xf numFmtId="49" fontId="7" fillId="0" borderId="0" xfId="0" applyNumberFormat="1" applyFont="1" applyAlignment="1">
      <alignment horizontal="left"/>
    </xf>
    <xf numFmtId="49" fontId="7" fillId="0" borderId="0" xfId="19" applyNumberFormat="1" applyFont="1" applyFill="1" applyAlignment="1">
      <alignment horizontal="left"/>
    </xf>
    <xf numFmtId="49" fontId="11" fillId="0" borderId="0" xfId="0" applyNumberFormat="1" applyFont="1" applyAlignment="1">
      <alignment horizontal="left"/>
    </xf>
    <xf numFmtId="164" fontId="20" fillId="8" borderId="2" xfId="6" applyNumberFormat="1" applyFont="1" applyFill="1" applyAlignment="1" applyProtection="1">
      <protection locked="0"/>
    </xf>
    <xf numFmtId="164" fontId="0" fillId="8" borderId="0" xfId="0" applyNumberFormat="1" applyFill="1"/>
    <xf numFmtId="0" fontId="0" fillId="0" borderId="0" xfId="0" applyAlignment="1">
      <alignment horizontal="left" vertical="top"/>
    </xf>
    <xf numFmtId="0" fontId="0" fillId="0" borderId="0" xfId="0" applyAlignment="1">
      <alignment horizontal="left" vertical="top" wrapText="1"/>
    </xf>
    <xf numFmtId="10" fontId="0" fillId="0" borderId="0" xfId="0" applyNumberFormat="1" applyProtection="1">
      <protection locked="0"/>
    </xf>
    <xf numFmtId="0" fontId="7" fillId="14" borderId="12" xfId="5" applyFont="1" applyFill="1" applyBorder="1" applyAlignment="1" applyProtection="1">
      <alignment wrapText="1"/>
      <protection locked="0"/>
    </xf>
    <xf numFmtId="0" fontId="7" fillId="0" borderId="69" xfId="5" applyFont="1" applyFill="1" applyBorder="1" applyAlignment="1" applyProtection="1">
      <alignment horizontal="center" vertical="center" wrapText="1"/>
    </xf>
    <xf numFmtId="0" fontId="7" fillId="0" borderId="115" xfId="5" applyFont="1" applyFill="1" applyBorder="1" applyAlignment="1" applyProtection="1">
      <alignment horizontal="center" vertical="center" wrapText="1"/>
    </xf>
    <xf numFmtId="0" fontId="7" fillId="0" borderId="110" xfId="5" applyFont="1" applyFill="1" applyBorder="1" applyAlignment="1" applyProtection="1">
      <alignment horizontal="center" vertical="center" wrapText="1"/>
    </xf>
    <xf numFmtId="0" fontId="7" fillId="0" borderId="111" xfId="5" applyFont="1" applyFill="1" applyBorder="1" applyAlignment="1" applyProtection="1">
      <alignment horizontal="center" vertical="center" wrapText="1"/>
    </xf>
    <xf numFmtId="10" fontId="0" fillId="0" borderId="0" xfId="0" applyNumberFormat="1"/>
    <xf numFmtId="49" fontId="0" fillId="4" borderId="2" xfId="6" applyNumberFormat="1" applyFont="1" applyAlignment="1"/>
    <xf numFmtId="0" fontId="6" fillId="0" borderId="0" xfId="0" applyFont="1" applyProtection="1">
      <protection locked="0"/>
    </xf>
    <xf numFmtId="170" fontId="69" fillId="6" borderId="0" xfId="15" applyNumberFormat="1" applyFont="1" applyFill="1" applyBorder="1" applyAlignment="1" applyProtection="1">
      <alignment horizontal="left"/>
      <protection locked="0"/>
    </xf>
    <xf numFmtId="0" fontId="0" fillId="0" borderId="95" xfId="0" applyBorder="1"/>
    <xf numFmtId="49" fontId="0" fillId="4" borderId="2" xfId="12" applyNumberFormat="1" applyFont="1" applyAlignment="1"/>
    <xf numFmtId="0" fontId="0" fillId="0" borderId="94" xfId="0" applyBorder="1"/>
    <xf numFmtId="0" fontId="0" fillId="0" borderId="35" xfId="0" applyBorder="1"/>
    <xf numFmtId="0" fontId="7" fillId="0" borderId="141" xfId="5" applyFont="1" applyFill="1" applyBorder="1" applyAlignment="1" applyProtection="1">
      <alignment horizontal="center" vertical="center" wrapText="1"/>
    </xf>
    <xf numFmtId="164" fontId="7" fillId="6" borderId="117" xfId="6" applyNumberFormat="1" applyFont="1" applyFill="1" applyBorder="1" applyAlignment="1" applyProtection="1">
      <alignment wrapText="1"/>
    </xf>
    <xf numFmtId="164" fontId="7" fillId="6" borderId="118" xfId="6" applyNumberFormat="1" applyFont="1" applyFill="1" applyBorder="1" applyAlignment="1" applyProtection="1">
      <alignment wrapText="1"/>
    </xf>
    <xf numFmtId="0" fontId="64" fillId="0" borderId="0" xfId="0" applyFont="1"/>
    <xf numFmtId="164" fontId="7" fillId="6" borderId="110" xfId="6" applyNumberFormat="1" applyFont="1" applyFill="1" applyBorder="1" applyAlignment="1" applyProtection="1">
      <alignment wrapText="1"/>
    </xf>
    <xf numFmtId="0" fontId="35" fillId="17" borderId="0" xfId="11"/>
    <xf numFmtId="0" fontId="35" fillId="17" borderId="0" xfId="11" applyProtection="1"/>
    <xf numFmtId="0" fontId="35" fillId="17" borderId="2" xfId="11" applyBorder="1" applyProtection="1"/>
    <xf numFmtId="0" fontId="0" fillId="11" borderId="2" xfId="6" applyFont="1" applyFill="1" applyProtection="1"/>
    <xf numFmtId="0" fontId="10" fillId="11" borderId="0" xfId="0" applyFont="1" applyFill="1"/>
    <xf numFmtId="0" fontId="16" fillId="0" borderId="86" xfId="5" applyFont="1" applyFill="1" applyBorder="1" applyAlignment="1"/>
    <xf numFmtId="0" fontId="24" fillId="15" borderId="65" xfId="5" applyFont="1" applyFill="1" applyBorder="1" applyAlignment="1" applyProtection="1">
      <alignment vertical="center"/>
    </xf>
    <xf numFmtId="0" fontId="16" fillId="0" borderId="142" xfId="5" applyFont="1" applyFill="1" applyBorder="1" applyAlignment="1"/>
    <xf numFmtId="0" fontId="24" fillId="15" borderId="142" xfId="5" applyFont="1" applyFill="1" applyBorder="1" applyAlignment="1" applyProtection="1">
      <alignment vertical="center"/>
    </xf>
    <xf numFmtId="164" fontId="20" fillId="6" borderId="142" xfId="6" applyNumberFormat="1" applyFont="1" applyFill="1" applyBorder="1" applyAlignment="1" applyProtection="1"/>
    <xf numFmtId="0" fontId="7" fillId="0" borderId="142" xfId="5" applyFont="1" applyFill="1" applyBorder="1" applyAlignment="1" applyProtection="1">
      <alignment horizontal="center" vertical="center" wrapText="1"/>
    </xf>
    <xf numFmtId="0" fontId="7" fillId="0" borderId="142" xfId="5" applyFont="1" applyFill="1" applyBorder="1" applyAlignment="1" applyProtection="1">
      <alignment horizontal="center" vertical="center"/>
    </xf>
    <xf numFmtId="0" fontId="16" fillId="0" borderId="0" xfId="5" applyFont="1" applyFill="1" applyBorder="1" applyAlignment="1" applyProtection="1"/>
    <xf numFmtId="0" fontId="0" fillId="0" borderId="146" xfId="0" applyBorder="1"/>
    <xf numFmtId="0" fontId="0" fillId="0" borderId="147" xfId="0" applyBorder="1"/>
    <xf numFmtId="170" fontId="0" fillId="7" borderId="0" xfId="0" applyNumberFormat="1" applyFill="1"/>
    <xf numFmtId="0" fontId="16" fillId="0" borderId="142" xfId="5" applyFont="1" applyFill="1" applyBorder="1" applyAlignment="1">
      <alignment horizontal="center" vertical="center" wrapText="1"/>
    </xf>
    <xf numFmtId="0" fontId="16" fillId="0" borderId="152" xfId="5" applyFont="1" applyFill="1" applyBorder="1" applyAlignment="1"/>
    <xf numFmtId="0" fontId="16" fillId="0" borderId="0" xfId="5" quotePrefix="1" applyFont="1" applyFill="1" applyBorder="1" applyAlignment="1" applyProtection="1"/>
    <xf numFmtId="0" fontId="35" fillId="17" borderId="142" xfId="11" applyBorder="1" applyAlignment="1" applyProtection="1">
      <alignment horizontal="center" vertical="center"/>
    </xf>
    <xf numFmtId="0" fontId="7" fillId="0" borderId="0" xfId="5" applyFont="1" applyFill="1" applyBorder="1" applyAlignment="1" applyProtection="1">
      <alignment horizontal="center" vertical="center" wrapText="1"/>
    </xf>
    <xf numFmtId="0" fontId="7" fillId="0" borderId="0" xfId="5" applyFont="1" applyFill="1" applyBorder="1" applyAlignment="1" applyProtection="1">
      <alignment horizontal="center" vertical="center"/>
    </xf>
    <xf numFmtId="0" fontId="52" fillId="3" borderId="0" xfId="5" applyFont="1" applyBorder="1" applyAlignment="1" applyProtection="1">
      <alignment vertical="center"/>
    </xf>
    <xf numFmtId="0" fontId="0" fillId="0" borderId="148" xfId="0" applyBorder="1"/>
    <xf numFmtId="0" fontId="0" fillId="0" borderId="149" xfId="0" applyBorder="1"/>
    <xf numFmtId="0" fontId="0" fillId="0" borderId="150" xfId="0" applyBorder="1"/>
    <xf numFmtId="0" fontId="49" fillId="25" borderId="0" xfId="0" applyFont="1" applyFill="1"/>
    <xf numFmtId="0" fontId="0" fillId="25" borderId="0" xfId="0" applyFill="1"/>
    <xf numFmtId="0" fontId="48" fillId="25" borderId="0" xfId="0" applyFont="1" applyFill="1"/>
    <xf numFmtId="0" fontId="49" fillId="25" borderId="0" xfId="0" applyFont="1" applyFill="1" applyAlignment="1">
      <alignment horizontal="center"/>
    </xf>
    <xf numFmtId="0" fontId="4" fillId="25" borderId="0" xfId="0" applyFont="1" applyFill="1" applyAlignment="1">
      <alignment wrapText="1"/>
    </xf>
    <xf numFmtId="0" fontId="72" fillId="0" borderId="128" xfId="0" applyFont="1" applyBorder="1"/>
    <xf numFmtId="164" fontId="36" fillId="0" borderId="128" xfId="0" applyNumberFormat="1" applyFont="1" applyBorder="1"/>
    <xf numFmtId="0" fontId="4" fillId="5" borderId="0" xfId="0" applyFont="1" applyFill="1"/>
    <xf numFmtId="0" fontId="10" fillId="5" borderId="0" xfId="0" applyFont="1" applyFill="1"/>
    <xf numFmtId="0" fontId="4" fillId="0" borderId="0" xfId="0" applyFont="1" applyAlignment="1">
      <alignment vertical="top" wrapText="1"/>
    </xf>
    <xf numFmtId="49" fontId="31" fillId="16" borderId="2" xfId="10" applyNumberFormat="1" applyBorder="1" applyProtection="1"/>
    <xf numFmtId="164" fontId="7" fillId="0" borderId="0" xfId="0" applyNumberFormat="1" applyFont="1"/>
    <xf numFmtId="49" fontId="35" fillId="17" borderId="2" xfId="11" applyNumberFormat="1" applyBorder="1" applyProtection="1"/>
    <xf numFmtId="0" fontId="7" fillId="14" borderId="87" xfId="5" applyFont="1" applyFill="1" applyBorder="1" applyAlignment="1" applyProtection="1">
      <alignment horizontal="center" vertical="center" wrapText="1"/>
    </xf>
    <xf numFmtId="0" fontId="7" fillId="14" borderId="94" xfId="5" applyFont="1" applyFill="1" applyBorder="1" applyAlignment="1" applyProtection="1">
      <alignment horizontal="center" vertical="center"/>
    </xf>
    <xf numFmtId="178" fontId="20" fillId="6" borderId="142" xfId="6" applyNumberFormat="1" applyFont="1" applyFill="1" applyBorder="1" applyAlignment="1" applyProtection="1">
      <alignment horizontal="right"/>
    </xf>
    <xf numFmtId="0" fontId="73" fillId="0" borderId="0" xfId="0" applyFont="1"/>
    <xf numFmtId="0" fontId="7" fillId="0" borderId="154" xfId="5" applyFont="1" applyFill="1" applyBorder="1" applyAlignment="1" applyProtection="1">
      <alignment horizontal="center" vertical="center"/>
    </xf>
    <xf numFmtId="0" fontId="36" fillId="0" borderId="156" xfId="0" applyFont="1" applyBorder="1"/>
    <xf numFmtId="166" fontId="36" fillId="0" borderId="74" xfId="0" applyNumberFormat="1" applyFont="1" applyBorder="1"/>
    <xf numFmtId="0" fontId="7" fillId="0" borderId="154" xfId="5" applyFont="1" applyFill="1" applyBorder="1" applyAlignment="1" applyProtection="1">
      <alignment horizontal="center" vertical="center" wrapText="1"/>
    </xf>
    <xf numFmtId="0" fontId="12" fillId="0" borderId="0" xfId="0" applyFont="1"/>
    <xf numFmtId="9" fontId="24" fillId="15" borderId="142" xfId="5" applyNumberFormat="1" applyFont="1" applyFill="1" applyBorder="1" applyAlignment="1" applyProtection="1">
      <alignment vertical="center"/>
    </xf>
    <xf numFmtId="0" fontId="7" fillId="0" borderId="0" xfId="5" applyFont="1" applyFill="1" applyBorder="1" applyAlignment="1" applyProtection="1"/>
    <xf numFmtId="0" fontId="9" fillId="0" borderId="0" xfId="0" applyFont="1" applyAlignment="1">
      <alignment wrapText="1"/>
    </xf>
    <xf numFmtId="0" fontId="6" fillId="0" borderId="0" xfId="0" applyFont="1" applyAlignment="1">
      <alignment vertical="center"/>
    </xf>
    <xf numFmtId="0" fontId="24" fillId="0" borderId="0" xfId="5" applyFont="1" applyFill="1" applyBorder="1" applyAlignment="1" applyProtection="1"/>
    <xf numFmtId="0" fontId="0" fillId="41" borderId="0" xfId="0" applyFill="1"/>
    <xf numFmtId="0" fontId="1" fillId="41" borderId="3" xfId="14" applyFill="1" applyBorder="1"/>
    <xf numFmtId="0" fontId="48" fillId="0" borderId="0" xfId="0" applyFont="1"/>
    <xf numFmtId="14" fontId="0" fillId="0" borderId="0" xfId="0" applyNumberFormat="1" applyProtection="1">
      <protection locked="0"/>
    </xf>
    <xf numFmtId="0" fontId="0" fillId="42" borderId="0" xfId="0" applyFill="1"/>
    <xf numFmtId="0" fontId="0" fillId="42" borderId="0" xfId="0" applyFill="1" applyProtection="1">
      <protection locked="0"/>
    </xf>
    <xf numFmtId="0" fontId="0" fillId="0" borderId="0" xfId="0" applyAlignment="1">
      <alignment vertical="top" wrapText="1"/>
    </xf>
    <xf numFmtId="0" fontId="0" fillId="0" borderId="0" xfId="0" applyAlignment="1">
      <alignment vertical="top"/>
    </xf>
    <xf numFmtId="0" fontId="7" fillId="13" borderId="53" xfId="5" applyFont="1" applyFill="1" applyBorder="1" applyAlignment="1" applyProtection="1">
      <alignment horizontal="center" vertical="center"/>
    </xf>
    <xf numFmtId="0" fontId="7" fillId="13" borderId="53" xfId="5" applyFont="1" applyFill="1" applyBorder="1" applyAlignment="1" applyProtection="1">
      <alignment horizontal="center" vertical="center" wrapText="1"/>
    </xf>
    <xf numFmtId="0" fontId="7" fillId="13" borderId="53" xfId="2" applyFont="1" applyFill="1" applyBorder="1" applyAlignment="1" applyProtection="1">
      <alignment horizontal="left"/>
    </xf>
    <xf numFmtId="164" fontId="7" fillId="13" borderId="53" xfId="6" applyNumberFormat="1" applyFont="1" applyFill="1" applyBorder="1" applyAlignment="1" applyProtection="1">
      <alignment wrapText="1"/>
    </xf>
    <xf numFmtId="167" fontId="7" fillId="13" borderId="53" xfId="6" applyNumberFormat="1" applyFont="1" applyFill="1" applyBorder="1" applyAlignment="1" applyProtection="1">
      <alignment horizontal="right" wrapText="1"/>
    </xf>
    <xf numFmtId="0" fontId="7" fillId="13" borderId="53" xfId="5" applyFont="1" applyFill="1" applyBorder="1" applyAlignment="1" applyProtection="1">
      <alignment horizontal="left"/>
    </xf>
    <xf numFmtId="164" fontId="6" fillId="13" borderId="90" xfId="0" applyNumberFormat="1" applyFont="1" applyFill="1" applyBorder="1"/>
    <xf numFmtId="0" fontId="6" fillId="13" borderId="0" xfId="0" applyFont="1" applyFill="1"/>
    <xf numFmtId="0" fontId="6" fillId="13" borderId="91" xfId="0" applyFont="1" applyFill="1" applyBorder="1"/>
    <xf numFmtId="164" fontId="6" fillId="13" borderId="92" xfId="0" applyNumberFormat="1" applyFont="1" applyFill="1" applyBorder="1"/>
    <xf numFmtId="0" fontId="6" fillId="13" borderId="74" xfId="0" applyFont="1" applyFill="1" applyBorder="1"/>
    <xf numFmtId="0" fontId="6" fillId="13" borderId="93" xfId="0" applyFont="1" applyFill="1" applyBorder="1"/>
    <xf numFmtId="2" fontId="13" fillId="11" borderId="86" xfId="0" applyNumberFormat="1" applyFont="1" applyFill="1" applyBorder="1" applyAlignment="1">
      <alignment horizontal="center" vertical="center"/>
    </xf>
    <xf numFmtId="179" fontId="20" fillId="6" borderId="142" xfId="6" applyNumberFormat="1" applyFont="1" applyFill="1" applyBorder="1" applyAlignment="1" applyProtection="1">
      <alignment horizontal="center"/>
    </xf>
    <xf numFmtId="0" fontId="0" fillId="0" borderId="0" xfId="0" applyAlignment="1">
      <alignment horizontal="center" vertical="center" wrapText="1"/>
    </xf>
    <xf numFmtId="0" fontId="9" fillId="43" borderId="100" xfId="5" applyFont="1" applyFill="1" applyBorder="1" applyAlignment="1" applyProtection="1"/>
    <xf numFmtId="164" fontId="9" fillId="43" borderId="96" xfId="6" applyNumberFormat="1" applyFont="1" applyFill="1" applyBorder="1" applyAlignment="1" applyProtection="1">
      <alignment wrapText="1"/>
    </xf>
    <xf numFmtId="164" fontId="9" fillId="43" borderId="53" xfId="6" applyNumberFormat="1" applyFont="1" applyFill="1" applyBorder="1" applyAlignment="1" applyProtection="1">
      <alignment wrapText="1"/>
    </xf>
    <xf numFmtId="0" fontId="9" fillId="43" borderId="53" xfId="5" applyFont="1" applyFill="1" applyBorder="1" applyAlignment="1" applyProtection="1"/>
    <xf numFmtId="0" fontId="24" fillId="44" borderId="101" xfId="5" applyFont="1" applyFill="1" applyBorder="1" applyAlignment="1" applyProtection="1"/>
    <xf numFmtId="164" fontId="24" fillId="44" borderId="96" xfId="1" applyNumberFormat="1" applyFont="1" applyFill="1" applyBorder="1" applyAlignment="1" applyProtection="1">
      <alignment vertical="center" wrapText="1"/>
    </xf>
    <xf numFmtId="166" fontId="24" fillId="44" borderId="53" xfId="1" applyNumberFormat="1" applyFont="1" applyFill="1" applyBorder="1" applyAlignment="1" applyProtection="1">
      <alignment wrapText="1"/>
    </xf>
    <xf numFmtId="164" fontId="24" fillId="44" borderId="96" xfId="1" applyNumberFormat="1" applyFont="1" applyFill="1" applyBorder="1" applyAlignment="1" applyProtection="1">
      <alignment horizontal="right" vertical="center" wrapText="1"/>
    </xf>
    <xf numFmtId="164" fontId="24" fillId="44" borderId="96" xfId="1" applyNumberFormat="1" applyFont="1" applyFill="1" applyBorder="1" applyAlignment="1" applyProtection="1">
      <alignment wrapText="1"/>
    </xf>
    <xf numFmtId="164" fontId="24" fillId="44" borderId="53" xfId="1" applyNumberFormat="1" applyFont="1" applyFill="1" applyBorder="1" applyAlignment="1" applyProtection="1">
      <alignment wrapText="1"/>
    </xf>
    <xf numFmtId="0" fontId="6" fillId="0" borderId="157" xfId="0" applyFont="1" applyBorder="1"/>
    <xf numFmtId="0" fontId="6" fillId="0" borderId="158" xfId="0" applyFont="1" applyBorder="1"/>
    <xf numFmtId="0" fontId="6" fillId="0" borderId="17" xfId="0" applyFont="1" applyBorder="1"/>
    <xf numFmtId="0" fontId="6" fillId="0" borderId="159" xfId="0" applyFont="1" applyBorder="1"/>
    <xf numFmtId="167" fontId="9" fillId="43" borderId="53" xfId="9" applyNumberFormat="1" applyFont="1" applyFill="1" applyBorder="1" applyAlignment="1" applyProtection="1">
      <alignment horizontal="right" wrapText="1"/>
    </xf>
    <xf numFmtId="49" fontId="10" fillId="18" borderId="167" xfId="0" applyNumberFormat="1" applyFont="1" applyFill="1" applyBorder="1"/>
    <xf numFmtId="0" fontId="4" fillId="18" borderId="0" xfId="0" applyFont="1" applyFill="1"/>
    <xf numFmtId="49" fontId="7" fillId="18" borderId="0" xfId="0" applyNumberFormat="1" applyFont="1" applyFill="1"/>
    <xf numFmtId="0" fontId="4" fillId="13" borderId="0" xfId="0" applyFont="1" applyFill="1"/>
    <xf numFmtId="49" fontId="13" fillId="57" borderId="0" xfId="0" applyNumberFormat="1" applyFont="1" applyFill="1"/>
    <xf numFmtId="49" fontId="13" fillId="0" borderId="0" xfId="0" applyNumberFormat="1" applyFont="1"/>
    <xf numFmtId="49" fontId="9" fillId="0" borderId="0" xfId="0" applyNumberFormat="1" applyFont="1" applyAlignment="1">
      <alignment horizontal="left"/>
    </xf>
    <xf numFmtId="0" fontId="6" fillId="0" borderId="0" xfId="0" applyFont="1" applyAlignment="1">
      <alignment horizontal="left" vertical="center"/>
    </xf>
    <xf numFmtId="0" fontId="6" fillId="0" borderId="0" xfId="67" applyFont="1"/>
    <xf numFmtId="0" fontId="6" fillId="18" borderId="0" xfId="0" applyFont="1" applyFill="1"/>
    <xf numFmtId="0" fontId="13" fillId="13" borderId="0" xfId="0" applyFont="1" applyFill="1"/>
    <xf numFmtId="49" fontId="13" fillId="13" borderId="0" xfId="0" applyNumberFormat="1" applyFont="1" applyFill="1"/>
    <xf numFmtId="0" fontId="13" fillId="13" borderId="0" xfId="0" applyFont="1" applyFill="1" applyAlignment="1">
      <alignment horizontal="left" vertical="center"/>
    </xf>
    <xf numFmtId="49" fontId="7" fillId="57" borderId="0" xfId="0" applyNumberFormat="1" applyFont="1" applyFill="1"/>
    <xf numFmtId="0" fontId="7" fillId="18" borderId="0" xfId="0" applyFont="1" applyFill="1"/>
    <xf numFmtId="0" fontId="83" fillId="18" borderId="2" xfId="6" applyFont="1" applyFill="1" applyProtection="1"/>
    <xf numFmtId="0" fontId="83" fillId="18" borderId="0" xfId="0" applyFont="1" applyFill="1"/>
    <xf numFmtId="164" fontId="24" fillId="15" borderId="142" xfId="5" applyNumberFormat="1" applyFont="1" applyFill="1" applyBorder="1" applyAlignment="1" applyProtection="1">
      <alignment vertical="center"/>
    </xf>
    <xf numFmtId="0" fontId="0" fillId="0" borderId="2" xfId="6" applyFont="1" applyFill="1" applyProtection="1"/>
    <xf numFmtId="0" fontId="73" fillId="0" borderId="0" xfId="0" applyFont="1" applyAlignment="1">
      <alignment vertical="top"/>
    </xf>
    <xf numFmtId="49" fontId="5" fillId="57" borderId="0" xfId="0" applyNumberFormat="1" applyFont="1" applyFill="1"/>
    <xf numFmtId="0" fontId="6" fillId="0" borderId="0" xfId="0" applyFont="1" applyAlignment="1">
      <alignment horizontal="left"/>
    </xf>
    <xf numFmtId="0" fontId="9" fillId="14" borderId="21" xfId="5" applyFont="1" applyFill="1" applyBorder="1" applyAlignment="1" applyProtection="1">
      <alignment vertical="top"/>
    </xf>
    <xf numFmtId="0" fontId="9" fillId="14" borderId="49" xfId="5" applyFont="1" applyFill="1" applyBorder="1" applyAlignment="1" applyProtection="1">
      <alignment vertical="top"/>
    </xf>
    <xf numFmtId="0" fontId="9" fillId="14" borderId="85" xfId="5" applyFont="1" applyFill="1" applyBorder="1" applyAlignment="1" applyProtection="1">
      <alignment vertical="top"/>
    </xf>
    <xf numFmtId="0" fontId="35" fillId="17" borderId="76" xfId="11" applyBorder="1" applyProtection="1"/>
    <xf numFmtId="0" fontId="1" fillId="19" borderId="169" xfId="14" applyBorder="1"/>
    <xf numFmtId="0" fontId="7" fillId="0" borderId="12" xfId="6" applyFont="1" applyFill="1" applyBorder="1" applyProtection="1"/>
    <xf numFmtId="0" fontId="6" fillId="0" borderId="12" xfId="0" applyFont="1" applyBorder="1" applyAlignment="1">
      <alignment horizontal="left"/>
    </xf>
    <xf numFmtId="0" fontId="5" fillId="0" borderId="12" xfId="6" applyFont="1" applyFill="1" applyBorder="1" applyProtection="1"/>
    <xf numFmtId="0" fontId="10" fillId="0" borderId="12" xfId="0" applyFont="1" applyBorder="1"/>
    <xf numFmtId="0" fontId="7" fillId="0" borderId="12" xfId="6" applyFont="1" applyFill="1" applyBorder="1" applyAlignment="1" applyProtection="1"/>
    <xf numFmtId="0" fontId="5" fillId="0" borderId="12" xfId="0" applyFont="1" applyBorder="1"/>
    <xf numFmtId="0" fontId="7" fillId="0" borderId="12" xfId="0" applyFont="1" applyBorder="1"/>
    <xf numFmtId="0" fontId="35" fillId="0" borderId="0" xfId="11" applyFill="1" applyBorder="1" applyProtection="1"/>
    <xf numFmtId="0" fontId="12" fillId="0" borderId="0" xfId="0" applyFont="1" applyAlignment="1">
      <alignment horizontal="center" vertical="center"/>
    </xf>
    <xf numFmtId="0" fontId="10" fillId="0" borderId="168" xfId="0" applyFont="1" applyBorder="1" applyAlignment="1">
      <alignment vertical="center"/>
    </xf>
    <xf numFmtId="0" fontId="13" fillId="0" borderId="168" xfId="0" applyFont="1" applyBorder="1" applyAlignment="1">
      <alignment vertical="center"/>
    </xf>
    <xf numFmtId="0" fontId="10" fillId="18" borderId="168" xfId="0" applyFont="1" applyFill="1" applyBorder="1" applyAlignment="1">
      <alignment vertical="center"/>
    </xf>
    <xf numFmtId="0" fontId="13" fillId="13" borderId="168" xfId="0" applyFont="1" applyFill="1" applyBorder="1" applyAlignment="1">
      <alignment vertical="center"/>
    </xf>
    <xf numFmtId="0" fontId="10" fillId="58" borderId="168" xfId="0" applyFont="1" applyFill="1" applyBorder="1" applyAlignment="1">
      <alignment vertical="center"/>
    </xf>
    <xf numFmtId="0" fontId="10" fillId="13" borderId="168" xfId="0" applyFont="1" applyFill="1" applyBorder="1" applyAlignment="1">
      <alignment vertical="center"/>
    </xf>
    <xf numFmtId="49" fontId="13" fillId="0" borderId="168" xfId="0" applyNumberFormat="1" applyFont="1" applyBorder="1" applyAlignment="1">
      <alignment vertical="center"/>
    </xf>
    <xf numFmtId="49" fontId="7" fillId="13" borderId="168" xfId="0" applyNumberFormat="1" applyFont="1" applyFill="1" applyBorder="1" applyAlignment="1">
      <alignment vertical="center"/>
    </xf>
    <xf numFmtId="49" fontId="7" fillId="0" borderId="168" xfId="0" applyNumberFormat="1" applyFont="1" applyBorder="1" applyAlignment="1">
      <alignment vertical="center"/>
    </xf>
    <xf numFmtId="49" fontId="13" fillId="13" borderId="168" xfId="0" applyNumberFormat="1" applyFont="1" applyFill="1" applyBorder="1" applyAlignment="1">
      <alignment vertical="center"/>
    </xf>
    <xf numFmtId="49" fontId="13" fillId="18" borderId="168" xfId="0" applyNumberFormat="1" applyFont="1" applyFill="1" applyBorder="1" applyAlignment="1">
      <alignment vertical="center"/>
    </xf>
    <xf numFmtId="49" fontId="7" fillId="58" borderId="168" xfId="0" applyNumberFormat="1" applyFont="1" applyFill="1" applyBorder="1" applyAlignment="1">
      <alignment vertical="center"/>
    </xf>
    <xf numFmtId="0" fontId="12" fillId="19" borderId="3" xfId="14" applyFont="1" applyBorder="1"/>
    <xf numFmtId="49" fontId="16" fillId="4" borderId="2" xfId="6" applyNumberFormat="1" applyFont="1" applyProtection="1"/>
    <xf numFmtId="49" fontId="85" fillId="17" borderId="2" xfId="11" applyNumberFormat="1" applyFont="1" applyBorder="1" applyProtection="1"/>
    <xf numFmtId="49" fontId="86" fillId="16" borderId="2" xfId="10" applyNumberFormat="1" applyFont="1" applyBorder="1" applyProtection="1"/>
    <xf numFmtId="49" fontId="85" fillId="17" borderId="0" xfId="11" applyNumberFormat="1" applyFont="1" applyBorder="1" applyProtection="1"/>
    <xf numFmtId="49" fontId="16" fillId="0" borderId="0" xfId="0" applyNumberFormat="1" applyFont="1"/>
    <xf numFmtId="0" fontId="9" fillId="14" borderId="30" xfId="5" applyFont="1" applyFill="1" applyBorder="1" applyAlignment="1" applyProtection="1">
      <alignment vertical="center"/>
    </xf>
    <xf numFmtId="0" fontId="9" fillId="14" borderId="43" xfId="5" applyFont="1" applyFill="1" applyBorder="1" applyAlignment="1" applyProtection="1">
      <alignment vertical="center"/>
    </xf>
    <xf numFmtId="0" fontId="9" fillId="14" borderId="44" xfId="5" applyFont="1" applyFill="1" applyBorder="1" applyAlignment="1" applyProtection="1">
      <alignment vertical="center"/>
    </xf>
    <xf numFmtId="0" fontId="9" fillId="14" borderId="47" xfId="5" applyFont="1" applyFill="1" applyBorder="1" applyAlignment="1" applyProtection="1">
      <alignment horizontal="right" vertical="center"/>
    </xf>
    <xf numFmtId="0" fontId="9" fillId="14" borderId="30" xfId="5" applyFont="1" applyFill="1" applyBorder="1" applyAlignment="1" applyProtection="1">
      <alignment horizontal="right" vertical="center" wrapText="1"/>
    </xf>
    <xf numFmtId="0" fontId="9" fillId="14" borderId="44" xfId="5" applyFont="1" applyFill="1" applyBorder="1" applyAlignment="1" applyProtection="1">
      <alignment horizontal="right" vertical="center" wrapText="1"/>
    </xf>
    <xf numFmtId="0" fontId="9" fillId="14" borderId="43" xfId="5" applyFont="1" applyFill="1" applyBorder="1" applyAlignment="1" applyProtection="1">
      <alignment horizontal="right" vertical="center"/>
    </xf>
    <xf numFmtId="0" fontId="9" fillId="14" borderId="48" xfId="5" applyFont="1" applyFill="1" applyBorder="1" applyAlignment="1" applyProtection="1">
      <alignment horizontal="right" vertical="center" wrapText="1"/>
    </xf>
    <xf numFmtId="0" fontId="9" fillId="14" borderId="47" xfId="5" applyFont="1" applyFill="1" applyBorder="1" applyAlignment="1" applyProtection="1">
      <alignment horizontal="right" vertical="center" wrapText="1"/>
    </xf>
    <xf numFmtId="0" fontId="9" fillId="14" borderId="30" xfId="5" applyFont="1" applyFill="1" applyBorder="1" applyAlignment="1" applyProtection="1">
      <alignment horizontal="right" vertical="center"/>
    </xf>
    <xf numFmtId="180" fontId="6" fillId="0" borderId="53" xfId="0" applyNumberFormat="1" applyFont="1" applyBorder="1" applyAlignment="1">
      <alignment horizontal="right" vertical="center"/>
    </xf>
    <xf numFmtId="180" fontId="24" fillId="15" borderId="53" xfId="0" applyNumberFormat="1" applyFont="1" applyFill="1" applyBorder="1" applyAlignment="1">
      <alignment horizontal="right" vertical="center"/>
    </xf>
    <xf numFmtId="180" fontId="6" fillId="0" borderId="53" xfId="0" applyNumberFormat="1" applyFont="1" applyBorder="1" applyAlignment="1">
      <alignment horizontal="right" vertical="top"/>
    </xf>
    <xf numFmtId="0" fontId="7" fillId="0" borderId="53" xfId="2" applyFont="1" applyFill="1" applyBorder="1" applyAlignment="1" applyProtection="1">
      <alignment horizontal="center" vertical="center" wrapText="1"/>
    </xf>
    <xf numFmtId="164" fontId="20" fillId="0" borderId="170" xfId="6" applyNumberFormat="1" applyFont="1" applyFill="1" applyBorder="1" applyAlignment="1" applyProtection="1"/>
    <xf numFmtId="0" fontId="44" fillId="0" borderId="0" xfId="5" applyFont="1" applyFill="1" applyBorder="1" applyAlignment="1" applyProtection="1">
      <alignment vertical="center"/>
    </xf>
    <xf numFmtId="49" fontId="7" fillId="0" borderId="142" xfId="0" applyNumberFormat="1" applyFont="1" applyBorder="1" applyAlignment="1">
      <alignment vertical="center"/>
    </xf>
    <xf numFmtId="0" fontId="32" fillId="0" borderId="156" xfId="0" applyFont="1" applyBorder="1"/>
    <xf numFmtId="166" fontId="32" fillId="0" borderId="74" xfId="0" applyNumberFormat="1" applyFont="1" applyBorder="1"/>
    <xf numFmtId="0" fontId="32" fillId="0" borderId="74" xfId="0" applyFont="1" applyBorder="1"/>
    <xf numFmtId="0" fontId="32" fillId="0" borderId="35" xfId="0" applyFont="1" applyBorder="1"/>
    <xf numFmtId="0" fontId="70" fillId="0" borderId="0" xfId="0" applyFont="1" applyAlignment="1">
      <alignment vertical="top"/>
    </xf>
    <xf numFmtId="0" fontId="70" fillId="0" borderId="91" xfId="0" applyFont="1" applyBorder="1" applyAlignment="1">
      <alignment vertical="top"/>
    </xf>
    <xf numFmtId="167" fontId="7" fillId="6" borderId="53" xfId="75" applyNumberFormat="1" applyFont="1" applyFill="1" applyBorder="1" applyAlignment="1" applyProtection="1">
      <alignment horizontal="right" wrapText="1"/>
    </xf>
    <xf numFmtId="164" fontId="7" fillId="6" borderId="117" xfId="75" applyNumberFormat="1" applyFont="1" applyFill="1" applyBorder="1" applyAlignment="1" applyProtection="1">
      <alignment wrapText="1"/>
    </xf>
    <xf numFmtId="0" fontId="32" fillId="18" borderId="2" xfId="6" applyFont="1" applyFill="1" applyProtection="1"/>
    <xf numFmtId="0" fontId="91" fillId="0" borderId="137" xfId="5" applyFont="1" applyFill="1" applyBorder="1" applyAlignment="1" applyProtection="1">
      <alignment horizontal="center" vertical="center" wrapText="1"/>
    </xf>
    <xf numFmtId="164" fontId="92" fillId="0" borderId="9" xfId="6" applyNumberFormat="1" applyFont="1" applyFill="1" applyBorder="1" applyAlignment="1" applyProtection="1"/>
    <xf numFmtId="0" fontId="91" fillId="0" borderId="136" xfId="5" applyFont="1" applyFill="1" applyBorder="1" applyAlignment="1" applyProtection="1">
      <alignment horizontal="center" vertical="center" wrapText="1"/>
    </xf>
    <xf numFmtId="164" fontId="32" fillId="0" borderId="0" xfId="0" applyNumberFormat="1" applyFont="1"/>
    <xf numFmtId="0" fontId="91" fillId="0" borderId="0" xfId="0" applyFont="1"/>
    <xf numFmtId="49" fontId="91" fillId="17" borderId="2" xfId="11" applyNumberFormat="1" applyFont="1" applyBorder="1" applyProtection="1"/>
    <xf numFmtId="49" fontId="32" fillId="17" borderId="2" xfId="11" applyNumberFormat="1" applyFont="1" applyBorder="1" applyProtection="1"/>
    <xf numFmtId="0" fontId="42" fillId="18" borderId="0" xfId="0" applyFont="1" applyFill="1"/>
    <xf numFmtId="0" fontId="42" fillId="0" borderId="0" xfId="0" applyFont="1"/>
    <xf numFmtId="0" fontId="5" fillId="0" borderId="0" xfId="67" applyFont="1"/>
    <xf numFmtId="49" fontId="32" fillId="18" borderId="167" xfId="0" applyNumberFormat="1" applyFont="1" applyFill="1" applyBorder="1"/>
    <xf numFmtId="0" fontId="5" fillId="0" borderId="0" xfId="0" applyFont="1" applyAlignment="1">
      <alignment horizontal="left" vertical="center"/>
    </xf>
    <xf numFmtId="49" fontId="5" fillId="18" borderId="0" xfId="0" applyNumberFormat="1" applyFont="1" applyFill="1"/>
    <xf numFmtId="0" fontId="5" fillId="18" borderId="0" xfId="0" applyFont="1" applyFill="1"/>
    <xf numFmtId="0" fontId="42" fillId="13" borderId="0" xfId="0" applyFont="1" applyFill="1"/>
    <xf numFmtId="0" fontId="42" fillId="13" borderId="0" xfId="0" applyFont="1" applyFill="1" applyAlignment="1">
      <alignment horizontal="left" vertical="center"/>
    </xf>
    <xf numFmtId="49" fontId="42" fillId="0" borderId="0" xfId="0" applyNumberFormat="1" applyFont="1"/>
    <xf numFmtId="0" fontId="91" fillId="19" borderId="3" xfId="14" applyFont="1" applyBorder="1"/>
    <xf numFmtId="49" fontId="91" fillId="4" borderId="2" xfId="6" applyNumberFormat="1" applyFont="1" applyProtection="1"/>
    <xf numFmtId="49" fontId="5" fillId="13" borderId="168" xfId="0" applyNumberFormat="1" applyFont="1" applyFill="1" applyBorder="1" applyAlignment="1">
      <alignment vertical="center"/>
    </xf>
    <xf numFmtId="49" fontId="5" fillId="0" borderId="168" xfId="0" applyNumberFormat="1" applyFont="1" applyBorder="1" applyAlignment="1">
      <alignment vertical="center"/>
    </xf>
    <xf numFmtId="49" fontId="91" fillId="16" borderId="2" xfId="10" applyNumberFormat="1" applyFont="1" applyBorder="1" applyProtection="1"/>
    <xf numFmtId="49" fontId="91" fillId="17" borderId="0" xfId="11" applyNumberFormat="1" applyFont="1" applyBorder="1" applyProtection="1"/>
    <xf numFmtId="0" fontId="93" fillId="0" borderId="105" xfId="5" applyFont="1" applyFill="1" applyBorder="1" applyAlignment="1" applyProtection="1">
      <alignment vertical="center"/>
    </xf>
    <xf numFmtId="0" fontId="25" fillId="14" borderId="51" xfId="5" applyFont="1" applyFill="1" applyBorder="1" applyAlignment="1" applyProtection="1"/>
    <xf numFmtId="49" fontId="91" fillId="0" borderId="0" xfId="0" applyNumberFormat="1" applyFont="1"/>
    <xf numFmtId="49" fontId="42" fillId="18" borderId="168" xfId="0" applyNumberFormat="1" applyFont="1" applyFill="1" applyBorder="1" applyAlignment="1">
      <alignment vertical="center"/>
    </xf>
    <xf numFmtId="0" fontId="16" fillId="20" borderId="0" xfId="5" quotePrefix="1" applyFont="1" applyFill="1" applyBorder="1" applyAlignment="1" applyProtection="1"/>
    <xf numFmtId="0" fontId="0" fillId="20" borderId="0" xfId="0" applyFill="1"/>
    <xf numFmtId="164" fontId="36" fillId="20" borderId="0" xfId="0" applyNumberFormat="1" applyFont="1" applyFill="1"/>
    <xf numFmtId="164" fontId="5" fillId="6" borderId="53" xfId="6" applyNumberFormat="1" applyFont="1" applyFill="1" applyBorder="1" applyAlignment="1" applyProtection="1">
      <alignment wrapText="1"/>
    </xf>
    <xf numFmtId="164" fontId="6" fillId="6" borderId="53" xfId="6" applyNumberFormat="1" applyFont="1" applyFill="1" applyBorder="1" applyAlignment="1" applyProtection="1">
      <alignment wrapText="1"/>
    </xf>
    <xf numFmtId="167" fontId="95" fillId="0" borderId="32" xfId="9" applyNumberFormat="1" applyFont="1" applyFill="1" applyBorder="1" applyAlignment="1" applyProtection="1">
      <alignment horizontal="right"/>
    </xf>
    <xf numFmtId="164" fontId="24" fillId="15" borderId="65" xfId="5" applyNumberFormat="1" applyFont="1" applyFill="1" applyBorder="1" applyAlignment="1" applyProtection="1">
      <alignment vertical="center"/>
    </xf>
    <xf numFmtId="0" fontId="94" fillId="5" borderId="0" xfId="0" applyFont="1" applyFill="1"/>
    <xf numFmtId="178" fontId="94" fillId="5" borderId="0" xfId="0" applyNumberFormat="1" applyFont="1" applyFill="1"/>
    <xf numFmtId="0" fontId="42" fillId="0" borderId="0" xfId="0" applyFont="1" applyAlignment="1">
      <alignment wrapText="1"/>
    </xf>
    <xf numFmtId="164" fontId="20" fillId="13" borderId="142" xfId="6" applyNumberFormat="1" applyFont="1" applyFill="1" applyBorder="1" applyAlignment="1" applyProtection="1"/>
    <xf numFmtId="178" fontId="20" fillId="13" borderId="142" xfId="6" applyNumberFormat="1" applyFont="1" applyFill="1" applyBorder="1" applyAlignment="1" applyProtection="1">
      <alignment horizontal="right"/>
    </xf>
    <xf numFmtId="0" fontId="7" fillId="14" borderId="142" xfId="5" applyFont="1" applyFill="1" applyBorder="1" applyAlignment="1" applyProtection="1">
      <alignment horizontal="center" vertical="center" wrapText="1"/>
    </xf>
    <xf numFmtId="0" fontId="43" fillId="0" borderId="0" xfId="0" applyFont="1"/>
    <xf numFmtId="168" fontId="24" fillId="15" borderId="33" xfId="9" applyNumberFormat="1" applyFont="1" applyFill="1" applyBorder="1" applyAlignment="1" applyProtection="1">
      <alignment horizontal="right"/>
    </xf>
    <xf numFmtId="173" fontId="4" fillId="8" borderId="0" xfId="0" applyNumberFormat="1" applyFont="1" applyFill="1"/>
    <xf numFmtId="0" fontId="16" fillId="0" borderId="142" xfId="5" applyFont="1" applyFill="1" applyBorder="1" applyAlignment="1">
      <alignment horizontal="left"/>
    </xf>
    <xf numFmtId="0" fontId="96" fillId="0" borderId="0" xfId="0" applyFont="1" applyAlignment="1">
      <alignment horizontal="right"/>
    </xf>
    <xf numFmtId="0" fontId="12" fillId="9" borderId="3" xfId="8" applyFill="1" applyAlignment="1">
      <alignment horizontal="right"/>
    </xf>
    <xf numFmtId="0" fontId="96" fillId="0" borderId="0" xfId="0" applyFont="1"/>
    <xf numFmtId="0" fontId="4" fillId="0" borderId="0" xfId="0" applyFont="1" applyAlignment="1">
      <alignment horizontal="left"/>
    </xf>
    <xf numFmtId="182" fontId="0" fillId="0" borderId="0" xfId="0" applyNumberFormat="1"/>
    <xf numFmtId="49" fontId="4" fillId="8" borderId="0" xfId="0" applyNumberFormat="1" applyFont="1" applyFill="1"/>
    <xf numFmtId="182" fontId="4" fillId="8" borderId="0" xfId="0" applyNumberFormat="1" applyFont="1" applyFill="1"/>
    <xf numFmtId="49" fontId="10" fillId="0" borderId="0" xfId="0" applyNumberFormat="1" applyFont="1" applyAlignment="1">
      <alignment horizontal="right"/>
    </xf>
    <xf numFmtId="0" fontId="6" fillId="4" borderId="2" xfId="6" applyFont="1" applyAlignment="1">
      <alignment horizontal="right"/>
    </xf>
    <xf numFmtId="49" fontId="0" fillId="0" borderId="0" xfId="0" applyNumberFormat="1" applyAlignment="1">
      <alignment horizontal="right"/>
    </xf>
    <xf numFmtId="0" fontId="12" fillId="62" borderId="3" xfId="8" applyFill="1" applyAlignment="1">
      <alignment horizontal="right"/>
    </xf>
    <xf numFmtId="14" fontId="10" fillId="8" borderId="0" xfId="0" applyNumberFormat="1" applyFont="1" applyFill="1"/>
    <xf numFmtId="182" fontId="4" fillId="7" borderId="0" xfId="0" applyNumberFormat="1" applyFont="1" applyFill="1"/>
    <xf numFmtId="0" fontId="0" fillId="63" borderId="0" xfId="0" applyFill="1"/>
    <xf numFmtId="0" fontId="7" fillId="60" borderId="12" xfId="5" applyFont="1" applyFill="1" applyBorder="1" applyAlignment="1" applyProtection="1">
      <protection locked="0"/>
    </xf>
    <xf numFmtId="0" fontId="6" fillId="8" borderId="0" xfId="0" applyFont="1" applyFill="1"/>
    <xf numFmtId="164" fontId="20" fillId="0" borderId="86" xfId="6" applyNumberFormat="1" applyFont="1" applyFill="1" applyBorder="1" applyAlignment="1" applyProtection="1"/>
    <xf numFmtId="0" fontId="36" fillId="61" borderId="86" xfId="0" applyFont="1" applyFill="1" applyBorder="1" applyAlignment="1">
      <alignment horizontal="left" vertical="center"/>
    </xf>
    <xf numFmtId="0" fontId="0" fillId="18" borderId="0" xfId="0" applyFill="1" applyAlignment="1">
      <alignment horizontal="right"/>
    </xf>
    <xf numFmtId="0" fontId="34" fillId="0" borderId="0" xfId="0" applyFont="1" applyAlignment="1">
      <alignment horizontal="right"/>
    </xf>
    <xf numFmtId="0" fontId="32" fillId="9" borderId="0" xfId="0" applyFont="1" applyFill="1" applyAlignment="1">
      <alignment horizontal="right"/>
    </xf>
    <xf numFmtId="0" fontId="32" fillId="60" borderId="0" xfId="0" applyFont="1" applyFill="1"/>
    <xf numFmtId="0" fontId="42" fillId="8" borderId="0" xfId="0" applyFont="1" applyFill="1"/>
    <xf numFmtId="0" fontId="0" fillId="0" borderId="0" xfId="0" applyAlignment="1">
      <alignment horizontal="right"/>
    </xf>
    <xf numFmtId="0" fontId="42" fillId="60" borderId="0" xfId="0" applyFont="1" applyFill="1"/>
    <xf numFmtId="0" fontId="31" fillId="16" borderId="0" xfId="10"/>
    <xf numFmtId="164" fontId="97" fillId="61" borderId="86" xfId="6" applyNumberFormat="1" applyFont="1" applyFill="1" applyBorder="1" applyAlignment="1" applyProtection="1"/>
    <xf numFmtId="49" fontId="0" fillId="8" borderId="0" xfId="0" applyNumberFormat="1" applyFill="1"/>
    <xf numFmtId="164" fontId="9" fillId="13" borderId="53" xfId="6" applyNumberFormat="1" applyFont="1" applyFill="1" applyBorder="1" applyAlignment="1" applyProtection="1">
      <alignment wrapText="1"/>
    </xf>
    <xf numFmtId="166" fontId="9" fillId="13" borderId="53" xfId="6" applyNumberFormat="1" applyFont="1" applyFill="1" applyBorder="1" applyAlignment="1" applyProtection="1">
      <alignment wrapText="1"/>
    </xf>
    <xf numFmtId="0" fontId="64" fillId="0" borderId="0" xfId="0" applyFont="1" applyAlignment="1">
      <alignment vertical="top"/>
    </xf>
    <xf numFmtId="164" fontId="9" fillId="57" borderId="53" xfId="6" applyNumberFormat="1" applyFont="1" applyFill="1" applyBorder="1" applyAlignment="1" applyProtection="1">
      <alignment wrapText="1"/>
    </xf>
    <xf numFmtId="166" fontId="9" fillId="57" borderId="53" xfId="6" applyNumberFormat="1" applyFont="1" applyFill="1" applyBorder="1" applyAlignment="1" applyProtection="1">
      <alignment wrapText="1"/>
    </xf>
    <xf numFmtId="164" fontId="9" fillId="64" borderId="53" xfId="6" applyNumberFormat="1" applyFont="1" applyFill="1" applyBorder="1" applyAlignment="1" applyProtection="1">
      <alignment wrapText="1"/>
    </xf>
    <xf numFmtId="166" fontId="9" fillId="64" borderId="53" xfId="6" applyNumberFormat="1" applyFont="1" applyFill="1" applyBorder="1" applyAlignment="1" applyProtection="1">
      <alignment wrapText="1"/>
    </xf>
    <xf numFmtId="173" fontId="0" fillId="8" borderId="0" xfId="0" applyNumberFormat="1" applyFill="1"/>
    <xf numFmtId="0" fontId="4" fillId="8" borderId="0" xfId="0" applyFont="1" applyFill="1"/>
    <xf numFmtId="0" fontId="35" fillId="17" borderId="0" xfId="11" applyBorder="1" applyProtection="1"/>
    <xf numFmtId="0" fontId="11" fillId="0" borderId="32" xfId="9" applyNumberFormat="1" applyFont="1" applyFill="1" applyBorder="1" applyAlignment="1" applyProtection="1">
      <alignment horizontal="right"/>
    </xf>
    <xf numFmtId="0" fontId="31" fillId="16" borderId="0" xfId="10" applyBorder="1" applyProtection="1"/>
    <xf numFmtId="0" fontId="32" fillId="18" borderId="84" xfId="6" applyFont="1" applyFill="1" applyBorder="1" applyProtection="1"/>
    <xf numFmtId="14" fontId="36" fillId="0" borderId="0" xfId="0" applyNumberFormat="1" applyFont="1"/>
    <xf numFmtId="0" fontId="10" fillId="0" borderId="98" xfId="0" applyFont="1" applyBorder="1"/>
    <xf numFmtId="0" fontId="10" fillId="16" borderId="2" xfId="10" applyFont="1" applyBorder="1" applyProtection="1"/>
    <xf numFmtId="0" fontId="10" fillId="63" borderId="0" xfId="0" applyFont="1" applyFill="1"/>
    <xf numFmtId="0" fontId="9" fillId="42" borderId="86" xfId="5" applyFont="1" applyFill="1" applyBorder="1" applyAlignment="1" applyProtection="1">
      <protection locked="0"/>
    </xf>
    <xf numFmtId="0" fontId="0" fillId="4" borderId="0" xfId="12" applyFont="1" applyBorder="1" applyProtection="1"/>
    <xf numFmtId="0" fontId="0" fillId="0" borderId="0" xfId="0" applyNumberFormat="1"/>
    <xf numFmtId="0" fontId="16" fillId="0" borderId="143" xfId="5" applyFont="1" applyFill="1" applyBorder="1" applyAlignment="1">
      <alignment horizontal="left" vertical="center"/>
    </xf>
    <xf numFmtId="0" fontId="16" fillId="0" borderId="146" xfId="5" applyFont="1" applyFill="1" applyBorder="1" applyAlignment="1">
      <alignment horizontal="left" vertical="center"/>
    </xf>
    <xf numFmtId="0" fontId="16" fillId="0" borderId="148" xfId="5" applyFont="1" applyFill="1" applyBorder="1" applyAlignment="1">
      <alignment horizontal="left" vertical="center"/>
    </xf>
    <xf numFmtId="0" fontId="16" fillId="0" borderId="151" xfId="5" applyFont="1" applyFill="1" applyBorder="1" applyAlignment="1">
      <alignment horizontal="left" vertical="center"/>
    </xf>
    <xf numFmtId="0" fontId="16" fillId="0" borderId="152" xfId="5" applyFont="1" applyFill="1" applyBorder="1" applyAlignment="1">
      <alignment horizontal="left" vertical="center"/>
    </xf>
    <xf numFmtId="0" fontId="16" fillId="0" borderId="153" xfId="5" applyFont="1" applyFill="1" applyBorder="1" applyAlignment="1">
      <alignment horizontal="left" vertical="center"/>
    </xf>
    <xf numFmtId="0" fontId="0" fillId="0" borderId="143" xfId="0" applyBorder="1" applyAlignment="1">
      <alignment horizontal="left" vertical="top" wrapText="1"/>
    </xf>
    <xf numFmtId="0" fontId="0" fillId="0" borderId="144" xfId="0" applyBorder="1" applyAlignment="1">
      <alignment horizontal="left" vertical="top" wrapText="1"/>
    </xf>
    <xf numFmtId="0" fontId="0" fillId="0" borderId="145" xfId="0" applyBorder="1" applyAlignment="1">
      <alignment horizontal="left" vertical="top" wrapText="1"/>
    </xf>
    <xf numFmtId="0" fontId="9" fillId="0" borderId="12" xfId="5" applyFont="1" applyFill="1" applyBorder="1" applyAlignment="1" applyProtection="1">
      <alignment horizontal="center" vertical="center" wrapText="1"/>
    </xf>
    <xf numFmtId="0" fontId="9" fillId="14" borderId="154" xfId="5" applyFont="1" applyFill="1" applyBorder="1" applyAlignment="1" applyProtection="1">
      <alignment horizontal="center" vertical="center"/>
    </xf>
    <xf numFmtId="0" fontId="9" fillId="14" borderId="155" xfId="5" applyFont="1" applyFill="1" applyBorder="1" applyAlignment="1" applyProtection="1">
      <alignment horizontal="center" vertical="center"/>
    </xf>
    <xf numFmtId="0" fontId="8" fillId="0" borderId="149" xfId="0" applyFont="1" applyBorder="1" applyAlignment="1">
      <alignment horizontal="left" wrapText="1"/>
    </xf>
    <xf numFmtId="0" fontId="0" fillId="0" borderId="19" xfId="0" applyBorder="1" applyAlignment="1">
      <alignment horizontal="left" vertical="top" wrapText="1"/>
    </xf>
    <xf numFmtId="0" fontId="0" fillId="0" borderId="0" xfId="0" applyAlignment="1">
      <alignment horizontal="left" vertical="top" wrapText="1"/>
    </xf>
    <xf numFmtId="0" fontId="50" fillId="0" borderId="149"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13" fillId="0" borderId="146" xfId="5" applyFont="1" applyFill="1" applyBorder="1" applyAlignment="1">
      <alignment horizontal="center" vertical="center" wrapText="1"/>
    </xf>
    <xf numFmtId="0" fontId="13" fillId="0" borderId="0" xfId="5" applyFont="1" applyFill="1" applyBorder="1" applyAlignment="1">
      <alignment horizontal="center" vertical="center" wrapText="1"/>
    </xf>
    <xf numFmtId="0" fontId="24" fillId="15" borderId="154" xfId="5" applyFont="1" applyFill="1" applyBorder="1" applyAlignment="1" applyProtection="1">
      <alignment horizontal="left" vertical="center"/>
    </xf>
    <xf numFmtId="0" fontId="24" fillId="15" borderId="155" xfId="5" applyFont="1" applyFill="1" applyBorder="1" applyAlignment="1" applyProtection="1">
      <alignment horizontal="left" vertical="center"/>
    </xf>
    <xf numFmtId="0" fontId="16" fillId="0" borderId="151" xfId="5" applyFont="1" applyFill="1" applyBorder="1" applyAlignment="1">
      <alignment horizontal="center" vertical="center" wrapText="1"/>
    </xf>
    <xf numFmtId="0" fontId="16" fillId="0" borderId="152" xfId="5" applyFont="1" applyFill="1" applyBorder="1" applyAlignment="1">
      <alignment horizontal="center" vertical="center" wrapText="1"/>
    </xf>
    <xf numFmtId="0" fontId="16" fillId="0" borderId="153" xfId="5" applyFont="1" applyFill="1" applyBorder="1" applyAlignment="1">
      <alignment horizontal="center" vertical="center" wrapText="1"/>
    </xf>
    <xf numFmtId="0" fontId="50" fillId="0" borderId="0" xfId="0" applyFont="1" applyAlignment="1">
      <alignment horizontal="left" wrapText="1"/>
    </xf>
    <xf numFmtId="0" fontId="16" fillId="0" borderId="145" xfId="5" applyFont="1" applyFill="1" applyBorder="1" applyAlignment="1">
      <alignment horizontal="center" vertical="center" wrapText="1"/>
    </xf>
    <xf numFmtId="0" fontId="16" fillId="0" borderId="147" xfId="5" applyFont="1" applyFill="1" applyBorder="1" applyAlignment="1">
      <alignment horizontal="center" vertical="center" wrapText="1"/>
    </xf>
    <xf numFmtId="0" fontId="16" fillId="0" borderId="150" xfId="5" applyFont="1" applyFill="1" applyBorder="1" applyAlignment="1">
      <alignment horizontal="center" vertical="center" wrapText="1"/>
    </xf>
    <xf numFmtId="0" fontId="13" fillId="0" borderId="151" xfId="5" applyFont="1" applyFill="1" applyBorder="1" applyAlignment="1">
      <alignment horizontal="center" vertical="center"/>
    </xf>
    <xf numFmtId="0" fontId="13" fillId="0" borderId="153" xfId="5" applyFont="1" applyFill="1" applyBorder="1" applyAlignment="1">
      <alignment horizontal="center" vertical="center"/>
    </xf>
    <xf numFmtId="0" fontId="7" fillId="0" borderId="142" xfId="5" applyFont="1" applyFill="1" applyBorder="1" applyAlignment="1" applyProtection="1">
      <alignment horizontal="center" vertical="center" wrapText="1"/>
    </xf>
    <xf numFmtId="0" fontId="16" fillId="0" borderId="0" xfId="0" applyFont="1" applyAlignment="1">
      <alignment horizontal="left" vertical="top" wrapText="1"/>
    </xf>
    <xf numFmtId="0" fontId="12" fillId="0" borderId="0" xfId="0" applyFont="1" applyAlignment="1">
      <alignment horizontal="left" vertical="top" wrapText="1"/>
    </xf>
    <xf numFmtId="0" fontId="24" fillId="15" borderId="143" xfId="5" applyFont="1" applyFill="1" applyBorder="1" applyAlignment="1" applyProtection="1">
      <alignment horizontal="left" vertical="center"/>
    </xf>
    <xf numFmtId="0" fontId="24" fillId="15" borderId="145" xfId="5" applyFont="1" applyFill="1" applyBorder="1" applyAlignment="1" applyProtection="1">
      <alignment horizontal="left" vertical="center"/>
    </xf>
    <xf numFmtId="0" fontId="13" fillId="0" borderId="142" xfId="5" applyFont="1" applyFill="1" applyBorder="1" applyAlignment="1">
      <alignment horizontal="left" vertical="center"/>
    </xf>
    <xf numFmtId="0" fontId="4" fillId="11" borderId="0" xfId="0" applyFont="1" applyFill="1" applyAlignment="1">
      <alignment horizontal="center"/>
    </xf>
    <xf numFmtId="0" fontId="0" fillId="0" borderId="143" xfId="0" applyBorder="1" applyAlignment="1">
      <alignment horizontal="left" wrapText="1"/>
    </xf>
    <xf numFmtId="0" fontId="0" fillId="0" borderId="144" xfId="0" applyBorder="1" applyAlignment="1">
      <alignment horizontal="left" wrapText="1"/>
    </xf>
    <xf numFmtId="0" fontId="0" fillId="0" borderId="145" xfId="0" applyBorder="1" applyAlignment="1">
      <alignment horizontal="left" wrapText="1"/>
    </xf>
    <xf numFmtId="0" fontId="0" fillId="0" borderId="129" xfId="0" applyBorder="1" applyAlignment="1">
      <alignment horizontal="center" vertical="center" wrapText="1"/>
    </xf>
    <xf numFmtId="0" fontId="63" fillId="0" borderId="0" xfId="0" applyFont="1" applyAlignment="1">
      <alignment horizontal="center"/>
    </xf>
    <xf numFmtId="0" fontId="4" fillId="0" borderId="0" xfId="0" applyFont="1" applyAlignment="1">
      <alignment horizontal="left"/>
    </xf>
    <xf numFmtId="0" fontId="40" fillId="0" borderId="149" xfId="0" applyFont="1" applyBorder="1" applyAlignment="1">
      <alignment horizontal="left" wrapText="1"/>
    </xf>
    <xf numFmtId="0" fontId="50" fillId="0" borderId="149" xfId="0" quotePrefix="1" applyFont="1" applyBorder="1" applyAlignment="1">
      <alignment horizontal="left" wrapText="1"/>
    </xf>
    <xf numFmtId="0" fontId="8" fillId="0" borderId="0" xfId="0" applyFont="1" applyAlignment="1">
      <alignment horizontal="left" wrapText="1"/>
    </xf>
    <xf numFmtId="0" fontId="8" fillId="0" borderId="0" xfId="0" applyFont="1" applyAlignment="1">
      <alignment horizontal="left" vertical="top" wrapText="1"/>
    </xf>
    <xf numFmtId="0" fontId="24" fillId="15" borderId="146" xfId="5" applyFont="1" applyFill="1" applyBorder="1" applyAlignment="1" applyProtection="1">
      <alignment horizontal="left" vertical="center"/>
    </xf>
    <xf numFmtId="0" fontId="24" fillId="15" borderId="147" xfId="5" applyFont="1" applyFill="1" applyBorder="1" applyAlignment="1" applyProtection="1">
      <alignment horizontal="left" vertical="center"/>
    </xf>
    <xf numFmtId="0" fontId="71" fillId="0" borderId="0" xfId="0" applyFont="1" applyAlignment="1">
      <alignment horizontal="center" vertical="center" wrapText="1"/>
    </xf>
    <xf numFmtId="0" fontId="16" fillId="0" borderId="143" xfId="5" applyFont="1" applyFill="1" applyBorder="1" applyAlignment="1">
      <alignment horizontal="left" vertical="center" wrapText="1"/>
    </xf>
    <xf numFmtId="0" fontId="16" fillId="0" borderId="146" xfId="5" applyFont="1" applyFill="1" applyBorder="1" applyAlignment="1">
      <alignment horizontal="left" vertical="center" wrapText="1"/>
    </xf>
    <xf numFmtId="0" fontId="16" fillId="0" borderId="148" xfId="5" applyFont="1" applyFill="1" applyBorder="1" applyAlignment="1">
      <alignment horizontal="left" vertical="center" wrapText="1"/>
    </xf>
    <xf numFmtId="0" fontId="16" fillId="0" borderId="151" xfId="5" applyFont="1" applyFill="1" applyBorder="1" applyAlignment="1">
      <alignment horizontal="left" vertical="center" wrapText="1"/>
    </xf>
    <xf numFmtId="0" fontId="16" fillId="0" borderId="152" xfId="5" applyFont="1" applyFill="1" applyBorder="1" applyAlignment="1">
      <alignment horizontal="left" vertical="center" wrapText="1"/>
    </xf>
    <xf numFmtId="0" fontId="16" fillId="0" borderId="153" xfId="5" applyFont="1" applyFill="1" applyBorder="1" applyAlignment="1">
      <alignment horizontal="left" vertical="center" wrapText="1"/>
    </xf>
    <xf numFmtId="0" fontId="48" fillId="0" borderId="74" xfId="0" applyFont="1" applyBorder="1" applyAlignment="1">
      <alignment horizontal="center"/>
    </xf>
    <xf numFmtId="0" fontId="41" fillId="0" borderId="0" xfId="15" applyAlignment="1" applyProtection="1">
      <alignment horizontal="left"/>
      <protection locked="0"/>
    </xf>
    <xf numFmtId="0" fontId="7" fillId="0" borderId="53" xfId="5" applyFont="1" applyFill="1" applyBorder="1" applyAlignment="1" applyProtection="1">
      <alignment horizontal="center" vertical="center" wrapText="1"/>
    </xf>
    <xf numFmtId="0" fontId="6" fillId="0" borderId="88" xfId="0" applyFont="1" applyBorder="1" applyAlignment="1">
      <alignment horizontal="center" vertical="center" wrapText="1"/>
    </xf>
    <xf numFmtId="0" fontId="6" fillId="0" borderId="51" xfId="0" applyFont="1" applyBorder="1" applyAlignment="1">
      <alignment horizontal="center" vertical="center" wrapText="1"/>
    </xf>
    <xf numFmtId="0" fontId="6" fillId="0" borderId="89" xfId="0" applyFont="1" applyBorder="1" applyAlignment="1">
      <alignment horizontal="center" vertical="center" wrapText="1"/>
    </xf>
    <xf numFmtId="0" fontId="6" fillId="0" borderId="92" xfId="0" applyFont="1" applyBorder="1" applyAlignment="1">
      <alignment horizontal="center" vertical="center" wrapText="1"/>
    </xf>
    <xf numFmtId="0" fontId="6" fillId="0" borderId="74" xfId="0" applyFont="1" applyBorder="1" applyAlignment="1">
      <alignment horizontal="center" vertical="center" wrapText="1"/>
    </xf>
    <xf numFmtId="0" fontId="6" fillId="0" borderId="93" xfId="0" applyFont="1" applyBorder="1" applyAlignment="1">
      <alignment horizontal="center" vertical="center" wrapText="1"/>
    </xf>
    <xf numFmtId="0" fontId="7" fillId="0" borderId="53" xfId="5" applyFont="1" applyFill="1" applyBorder="1" applyAlignment="1" applyProtection="1">
      <alignment horizontal="center" vertical="center"/>
    </xf>
    <xf numFmtId="0" fontId="26" fillId="0" borderId="94" xfId="0" applyFont="1" applyBorder="1" applyAlignment="1">
      <alignment horizontal="center" vertical="center" wrapText="1"/>
    </xf>
    <xf numFmtId="0" fontId="26" fillId="0" borderId="35" xfId="0" applyFont="1" applyBorder="1" applyAlignment="1">
      <alignment horizontal="center" vertical="center" wrapText="1"/>
    </xf>
    <xf numFmtId="0" fontId="26" fillId="0" borderId="95" xfId="0" applyFont="1" applyBorder="1" applyAlignment="1">
      <alignment horizontal="center" vertical="center" wrapText="1"/>
    </xf>
    <xf numFmtId="0" fontId="6" fillId="0" borderId="88" xfId="0" applyFont="1" applyBorder="1" applyAlignment="1">
      <alignment horizontal="center" vertical="center"/>
    </xf>
    <xf numFmtId="0" fontId="6" fillId="0" borderId="51" xfId="0" applyFont="1" applyBorder="1" applyAlignment="1">
      <alignment horizontal="center" vertical="center"/>
    </xf>
    <xf numFmtId="0" fontId="6" fillId="0" borderId="89" xfId="0" applyFont="1" applyBorder="1" applyAlignment="1">
      <alignment horizontal="center" vertical="center"/>
    </xf>
    <xf numFmtId="0" fontId="6" fillId="0" borderId="92" xfId="0" applyFont="1" applyBorder="1" applyAlignment="1">
      <alignment horizontal="center" vertical="center"/>
    </xf>
    <xf numFmtId="0" fontId="6" fillId="0" borderId="74" xfId="0" applyFont="1" applyBorder="1" applyAlignment="1">
      <alignment horizontal="center" vertical="center"/>
    </xf>
    <xf numFmtId="0" fontId="6" fillId="0" borderId="93" xfId="0" applyFont="1" applyBorder="1" applyAlignment="1">
      <alignment horizontal="center" vertical="center"/>
    </xf>
    <xf numFmtId="0" fontId="7" fillId="0" borderId="87" xfId="5" applyFont="1" applyFill="1" applyBorder="1" applyAlignment="1" applyProtection="1">
      <alignment horizontal="center" vertical="center" wrapText="1"/>
    </xf>
    <xf numFmtId="0" fontId="7" fillId="13" borderId="53" xfId="5" applyFont="1" applyFill="1" applyBorder="1" applyAlignment="1" applyProtection="1">
      <alignment horizontal="center" vertical="center"/>
    </xf>
    <xf numFmtId="0" fontId="7" fillId="13" borderId="53" xfId="5" applyFont="1" applyFill="1" applyBorder="1" applyAlignment="1" applyProtection="1">
      <alignment horizontal="center" vertical="center" wrapText="1"/>
    </xf>
    <xf numFmtId="0" fontId="6" fillId="13" borderId="88" xfId="0" applyFont="1" applyFill="1" applyBorder="1" applyAlignment="1">
      <alignment horizontal="center" vertical="center"/>
    </xf>
    <xf numFmtId="0" fontId="6" fillId="13" borderId="51" xfId="0" applyFont="1" applyFill="1" applyBorder="1" applyAlignment="1">
      <alignment horizontal="center" vertical="center"/>
    </xf>
    <xf numFmtId="0" fontId="6" fillId="13" borderId="89" xfId="0" applyFont="1" applyFill="1" applyBorder="1" applyAlignment="1">
      <alignment horizontal="center" vertical="center"/>
    </xf>
    <xf numFmtId="0" fontId="6" fillId="13" borderId="92" xfId="0" applyFont="1" applyFill="1" applyBorder="1" applyAlignment="1">
      <alignment horizontal="center" vertical="center"/>
    </xf>
    <xf numFmtId="0" fontId="6" fillId="13" borderId="74" xfId="0" applyFont="1" applyFill="1" applyBorder="1" applyAlignment="1">
      <alignment horizontal="center" vertical="center"/>
    </xf>
    <xf numFmtId="0" fontId="6" fillId="13" borderId="93" xfId="0" applyFont="1" applyFill="1" applyBorder="1" applyAlignment="1">
      <alignment horizontal="center" vertical="center"/>
    </xf>
    <xf numFmtId="0" fontId="6" fillId="0" borderId="53" xfId="0" applyFont="1" applyBorder="1" applyAlignment="1">
      <alignment horizontal="center" vertical="center"/>
    </xf>
    <xf numFmtId="0" fontId="6" fillId="0" borderId="87" xfId="0" applyFont="1" applyBorder="1" applyAlignment="1">
      <alignment horizontal="center" vertical="center"/>
    </xf>
    <xf numFmtId="0" fontId="8" fillId="14" borderId="68" xfId="0" applyFont="1" applyFill="1" applyBorder="1" applyAlignment="1">
      <alignment horizontal="center" vertical="center" wrapText="1"/>
    </xf>
    <xf numFmtId="0" fontId="8" fillId="14" borderId="69" xfId="0" applyFont="1" applyFill="1" applyBorder="1" applyAlignment="1">
      <alignment horizontal="center" vertical="center" wrapText="1"/>
    </xf>
    <xf numFmtId="0" fontId="8" fillId="14" borderId="53" xfId="0" applyFont="1" applyFill="1" applyBorder="1" applyAlignment="1">
      <alignment horizontal="center" vertical="center" wrapText="1"/>
    </xf>
    <xf numFmtId="0" fontId="8" fillId="0" borderId="0" xfId="0" applyFont="1" applyAlignment="1">
      <alignment horizontal="center" wrapText="1"/>
    </xf>
    <xf numFmtId="0" fontId="8" fillId="0" borderId="70" xfId="0" applyFont="1" applyBorder="1" applyAlignment="1">
      <alignment horizontal="center" wrapText="1"/>
    </xf>
    <xf numFmtId="0" fontId="7" fillId="0" borderId="68" xfId="5" applyFont="1" applyFill="1" applyBorder="1" applyAlignment="1" applyProtection="1">
      <alignment horizontal="center" vertical="center" wrapText="1"/>
    </xf>
    <xf numFmtId="0" fontId="7" fillId="0" borderId="69" xfId="5" applyFont="1" applyFill="1" applyBorder="1" applyAlignment="1" applyProtection="1">
      <alignment horizontal="center" vertical="center" wrapText="1"/>
    </xf>
    <xf numFmtId="0" fontId="0" fillId="0" borderId="88" xfId="0" applyBorder="1" applyAlignment="1">
      <alignment horizontal="center" vertical="center" wrapText="1"/>
    </xf>
    <xf numFmtId="0" fontId="0" fillId="0" borderId="51" xfId="0" applyBorder="1" applyAlignment="1">
      <alignment horizontal="center" vertical="center" wrapText="1"/>
    </xf>
    <xf numFmtId="0" fontId="0" fillId="0" borderId="89" xfId="0" applyBorder="1" applyAlignment="1">
      <alignment horizontal="center" vertical="center" wrapText="1"/>
    </xf>
    <xf numFmtId="0" fontId="0" fillId="0" borderId="92" xfId="0" applyBorder="1" applyAlignment="1">
      <alignment horizontal="center" vertical="center" wrapText="1"/>
    </xf>
    <xf numFmtId="0" fontId="0" fillId="0" borderId="74" xfId="0" applyBorder="1" applyAlignment="1">
      <alignment horizontal="center" vertical="center" wrapText="1"/>
    </xf>
    <xf numFmtId="0" fontId="0" fillId="0" borderId="93" xfId="0" applyBorder="1" applyAlignment="1">
      <alignment horizontal="center" vertical="center" wrapText="1"/>
    </xf>
    <xf numFmtId="0" fontId="8" fillId="0" borderId="91" xfId="0" applyFont="1" applyBorder="1" applyAlignment="1">
      <alignment horizontal="left" wrapText="1"/>
    </xf>
    <xf numFmtId="0" fontId="8" fillId="0" borderId="70" xfId="0" applyFont="1" applyBorder="1" applyAlignment="1">
      <alignment horizontal="left" wrapText="1"/>
    </xf>
    <xf numFmtId="0" fontId="8" fillId="0" borderId="124" xfId="0" applyFont="1" applyBorder="1" applyAlignment="1">
      <alignment horizontal="left" wrapText="1"/>
    </xf>
    <xf numFmtId="0" fontId="26" fillId="0" borderId="112"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26" xfId="0" applyFont="1" applyBorder="1" applyAlignment="1">
      <alignment horizontal="center" vertical="center" wrapText="1"/>
    </xf>
    <xf numFmtId="0" fontId="6" fillId="0" borderId="99" xfId="0" applyFont="1" applyBorder="1" applyAlignment="1">
      <alignment horizontal="center" vertical="center"/>
    </xf>
    <xf numFmtId="0" fontId="6" fillId="0" borderId="100" xfId="0" applyFont="1" applyBorder="1" applyAlignment="1">
      <alignment horizontal="center" vertical="center"/>
    </xf>
    <xf numFmtId="0" fontId="7" fillId="0" borderId="96" xfId="5" applyFont="1" applyFill="1" applyBorder="1" applyAlignment="1" applyProtection="1">
      <alignment horizontal="center" vertical="center" wrapText="1"/>
    </xf>
    <xf numFmtId="0" fontId="0" fillId="0" borderId="4" xfId="0" applyBorder="1" applyAlignment="1">
      <alignment horizontal="center" vertical="center" wrapText="1"/>
    </xf>
    <xf numFmtId="0" fontId="0" fillId="0" borderId="97" xfId="0" applyBorder="1" applyAlignment="1">
      <alignment horizontal="center" vertical="center" wrapText="1"/>
    </xf>
    <xf numFmtId="0" fontId="7" fillId="0" borderId="99" xfId="5" applyFont="1" applyFill="1" applyBorder="1" applyAlignment="1" applyProtection="1">
      <alignment horizontal="center" vertical="center"/>
    </xf>
    <xf numFmtId="0" fontId="7" fillId="0" borderId="100" xfId="5" applyFont="1" applyFill="1" applyBorder="1" applyAlignment="1" applyProtection="1">
      <alignment horizontal="center" vertical="center"/>
    </xf>
    <xf numFmtId="0" fontId="87" fillId="20" borderId="12" xfId="0" applyFont="1" applyFill="1" applyBorder="1" applyAlignment="1">
      <alignment horizontal="left" vertical="top" wrapText="1"/>
    </xf>
    <xf numFmtId="0" fontId="87" fillId="20" borderId="12" xfId="0" applyFont="1" applyFill="1" applyBorder="1" applyAlignment="1">
      <alignment horizontal="left" vertical="top"/>
    </xf>
    <xf numFmtId="0" fontId="12" fillId="6" borderId="13" xfId="0" applyFont="1" applyFill="1" applyBorder="1" applyAlignment="1">
      <alignment horizontal="center" vertical="center" textRotation="90" wrapText="1"/>
    </xf>
    <xf numFmtId="0" fontId="12" fillId="6" borderId="19" xfId="0" applyFont="1" applyFill="1" applyBorder="1" applyAlignment="1">
      <alignment horizontal="center" vertical="center" textRotation="90" wrapText="1"/>
    </xf>
    <xf numFmtId="0" fontId="12" fillId="6" borderId="102" xfId="0" applyFont="1" applyFill="1" applyBorder="1" applyAlignment="1">
      <alignment horizontal="center" vertical="center" textRotation="90" wrapText="1"/>
    </xf>
    <xf numFmtId="0" fontId="12" fillId="6" borderId="21" xfId="0" applyFont="1" applyFill="1" applyBorder="1" applyAlignment="1">
      <alignment horizontal="center" vertical="center" textRotation="90" wrapText="1"/>
    </xf>
    <xf numFmtId="0" fontId="12" fillId="6" borderId="85" xfId="0" applyFont="1" applyFill="1" applyBorder="1" applyAlignment="1">
      <alignment horizontal="center" vertical="center" textRotation="90" wrapText="1"/>
    </xf>
    <xf numFmtId="0" fontId="12" fillId="6" borderId="133" xfId="0" applyFont="1" applyFill="1" applyBorder="1" applyAlignment="1">
      <alignment horizontal="center" vertical="center" textRotation="90" wrapText="1"/>
    </xf>
    <xf numFmtId="0" fontId="0" fillId="6" borderId="13" xfId="0" applyFill="1" applyBorder="1" applyAlignment="1">
      <alignment horizontal="center" vertical="center" wrapText="1"/>
    </xf>
    <xf numFmtId="0" fontId="0" fillId="6" borderId="15"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13" borderId="88" xfId="0" applyFill="1" applyBorder="1" applyAlignment="1">
      <alignment horizontal="center" vertical="center" wrapText="1"/>
    </xf>
    <xf numFmtId="0" fontId="0" fillId="13" borderId="51" xfId="0" applyFill="1" applyBorder="1" applyAlignment="1">
      <alignment horizontal="center" vertical="center" wrapText="1"/>
    </xf>
    <xf numFmtId="0" fontId="0" fillId="13" borderId="89" xfId="0" applyFill="1" applyBorder="1" applyAlignment="1">
      <alignment horizontal="center" vertical="center" wrapText="1"/>
    </xf>
    <xf numFmtId="0" fontId="0" fillId="13" borderId="92" xfId="0" applyFill="1" applyBorder="1" applyAlignment="1">
      <alignment horizontal="center" vertical="center" wrapText="1"/>
    </xf>
    <xf numFmtId="0" fontId="0" fillId="13" borderId="74" xfId="0" applyFill="1" applyBorder="1" applyAlignment="1">
      <alignment horizontal="center" vertical="center" wrapText="1"/>
    </xf>
    <xf numFmtId="0" fontId="0" fillId="13" borderId="93" xfId="0" applyFill="1" applyBorder="1" applyAlignment="1">
      <alignment horizontal="center" vertical="center" wrapText="1"/>
    </xf>
    <xf numFmtId="0" fontId="16" fillId="0" borderId="136" xfId="5" applyFont="1" applyFill="1" applyBorder="1" applyAlignment="1" applyProtection="1">
      <alignment horizontal="center" vertical="center" wrapText="1"/>
    </xf>
    <xf numFmtId="0" fontId="16" fillId="0" borderId="138" xfId="5" applyFont="1" applyFill="1" applyBorder="1" applyAlignment="1" applyProtection="1">
      <alignment horizontal="center" vertical="center" wrapText="1"/>
    </xf>
    <xf numFmtId="0" fontId="16" fillId="0" borderId="88" xfId="5" applyFont="1" applyFill="1" applyBorder="1" applyAlignment="1" applyProtection="1">
      <alignment horizontal="center" vertical="center" wrapText="1"/>
    </xf>
    <xf numFmtId="0" fontId="16" fillId="0" borderId="51" xfId="5" applyFont="1" applyFill="1" applyBorder="1" applyAlignment="1" applyProtection="1">
      <alignment horizontal="center" vertical="center" wrapText="1"/>
    </xf>
    <xf numFmtId="0" fontId="16" fillId="0" borderId="52" xfId="5" applyFont="1" applyFill="1" applyBorder="1" applyAlignment="1" applyProtection="1">
      <alignment horizontal="center" vertical="center" wrapText="1"/>
    </xf>
    <xf numFmtId="164" fontId="9" fillId="14" borderId="135" xfId="5" applyNumberFormat="1" applyFont="1" applyFill="1" applyBorder="1" applyAlignment="1" applyProtection="1">
      <alignment horizontal="center"/>
    </xf>
    <xf numFmtId="164" fontId="9" fillId="14" borderId="74" xfId="5" applyNumberFormat="1" applyFont="1" applyFill="1" applyBorder="1" applyAlignment="1" applyProtection="1">
      <alignment horizontal="center"/>
    </xf>
    <xf numFmtId="164" fontId="9" fillId="14" borderId="132" xfId="5" applyNumberFormat="1" applyFont="1" applyFill="1" applyBorder="1" applyAlignment="1" applyProtection="1">
      <alignment horizontal="center"/>
    </xf>
    <xf numFmtId="164" fontId="9" fillId="14" borderId="35" xfId="5" applyNumberFormat="1" applyFont="1" applyFill="1" applyBorder="1" applyAlignment="1" applyProtection="1">
      <alignment horizontal="center"/>
    </xf>
    <xf numFmtId="0" fontId="9" fillId="14" borderId="47" xfId="5" applyFont="1" applyFill="1" applyBorder="1" applyAlignment="1" applyProtection="1">
      <alignment horizontal="center" vertical="center" wrapText="1"/>
    </xf>
    <xf numFmtId="0" fontId="9" fillId="14" borderId="30" xfId="5" applyFont="1" applyFill="1" applyBorder="1" applyAlignment="1" applyProtection="1">
      <alignment horizontal="center" vertical="center" wrapText="1"/>
    </xf>
    <xf numFmtId="0" fontId="9" fillId="14" borderId="48" xfId="5" applyFont="1" applyFill="1" applyBorder="1" applyAlignment="1" applyProtection="1">
      <alignment horizontal="center" vertical="center" wrapText="1"/>
    </xf>
    <xf numFmtId="0" fontId="9" fillId="14" borderId="47" xfId="5" applyFont="1" applyFill="1" applyBorder="1" applyAlignment="1" applyProtection="1">
      <alignment horizontal="center" vertical="center"/>
    </xf>
    <xf numFmtId="0" fontId="9" fillId="14" borderId="30" xfId="5" applyFont="1" applyFill="1" applyBorder="1" applyAlignment="1" applyProtection="1">
      <alignment horizontal="center" vertical="center"/>
    </xf>
    <xf numFmtId="0" fontId="9" fillId="14" borderId="44" xfId="5" applyFont="1" applyFill="1" applyBorder="1" applyAlignment="1" applyProtection="1">
      <alignment horizontal="center" vertical="center" wrapText="1"/>
    </xf>
    <xf numFmtId="0" fontId="9" fillId="14" borderId="104" xfId="5" applyFont="1" applyFill="1" applyBorder="1" applyAlignment="1" applyProtection="1">
      <alignment horizontal="center" vertical="center" wrapText="1"/>
    </xf>
    <xf numFmtId="0" fontId="9" fillId="14" borderId="19" xfId="5" applyFont="1" applyFill="1" applyBorder="1" applyAlignment="1" applyProtection="1">
      <alignment horizontal="center" vertical="center" wrapText="1"/>
    </xf>
    <xf numFmtId="0" fontId="9" fillId="14" borderId="41" xfId="5" applyFont="1" applyFill="1" applyBorder="1" applyAlignment="1" applyProtection="1">
      <alignment horizontal="center" vertical="center" wrapText="1"/>
    </xf>
    <xf numFmtId="0" fontId="9" fillId="14" borderId="43" xfId="5" applyFont="1" applyFill="1" applyBorder="1" applyAlignment="1" applyProtection="1">
      <alignment horizontal="center" vertical="center" wrapText="1"/>
    </xf>
    <xf numFmtId="0" fontId="6" fillId="0" borderId="90" xfId="0" applyFont="1" applyBorder="1" applyAlignment="1">
      <alignment horizontal="center" vertical="center" wrapText="1"/>
    </xf>
    <xf numFmtId="0" fontId="6" fillId="0" borderId="0" xfId="0" applyFont="1" applyAlignment="1">
      <alignment horizontal="center" vertical="center" wrapText="1"/>
    </xf>
    <xf numFmtId="0" fontId="6" fillId="0" borderId="91" xfId="0" applyFont="1" applyBorder="1" applyAlignment="1">
      <alignment horizontal="center" vertical="center" wrapText="1"/>
    </xf>
    <xf numFmtId="0" fontId="6" fillId="0" borderId="88" xfId="0" applyFont="1" applyBorder="1" applyAlignment="1">
      <alignment horizontal="center"/>
    </xf>
    <xf numFmtId="0" fontId="6" fillId="0" borderId="51" xfId="0" applyFont="1" applyBorder="1" applyAlignment="1">
      <alignment horizontal="center"/>
    </xf>
    <xf numFmtId="0" fontId="6" fillId="0" borderId="89" xfId="0" applyFont="1" applyBorder="1" applyAlignment="1">
      <alignment horizontal="center"/>
    </xf>
    <xf numFmtId="164" fontId="7" fillId="0" borderId="88" xfId="0" applyNumberFormat="1" applyFont="1" applyBorder="1" applyAlignment="1">
      <alignment horizontal="center" vertical="center" wrapText="1"/>
    </xf>
    <xf numFmtId="164" fontId="7" fillId="0" borderId="51" xfId="0" applyNumberFormat="1" applyFont="1" applyBorder="1" applyAlignment="1">
      <alignment horizontal="center" vertical="center" wrapText="1"/>
    </xf>
    <xf numFmtId="164" fontId="7" fillId="0" borderId="89" xfId="0" applyNumberFormat="1" applyFont="1" applyBorder="1" applyAlignment="1">
      <alignment horizontal="center" vertical="center" wrapText="1"/>
    </xf>
    <xf numFmtId="164" fontId="7" fillId="0" borderId="92" xfId="0" applyNumberFormat="1" applyFont="1" applyBorder="1" applyAlignment="1">
      <alignment horizontal="center" vertical="center" wrapText="1"/>
    </xf>
    <xf numFmtId="164" fontId="7" fillId="0" borderId="74" xfId="0" applyNumberFormat="1" applyFont="1" applyBorder="1" applyAlignment="1">
      <alignment horizontal="center" vertical="center" wrapText="1"/>
    </xf>
    <xf numFmtId="164" fontId="7" fillId="0" borderId="93" xfId="0" applyNumberFormat="1" applyFont="1" applyBorder="1" applyAlignment="1">
      <alignment horizontal="center" vertical="center" wrapText="1"/>
    </xf>
    <xf numFmtId="0" fontId="7" fillId="0" borderId="68" xfId="5" applyFont="1" applyFill="1" applyBorder="1" applyAlignment="1" applyProtection="1">
      <alignment horizontal="center" vertical="center"/>
    </xf>
    <xf numFmtId="0" fontId="7" fillId="0" borderId="69" xfId="5" applyFont="1" applyFill="1" applyBorder="1" applyAlignment="1" applyProtection="1">
      <alignment horizontal="center" vertical="center"/>
    </xf>
    <xf numFmtId="0" fontId="7" fillId="0" borderId="122" xfId="5" applyFont="1" applyFill="1" applyBorder="1" applyAlignment="1" applyProtection="1">
      <alignment horizontal="center" vertical="center" wrapText="1"/>
    </xf>
    <xf numFmtId="0" fontId="7" fillId="0" borderId="86" xfId="5" applyFont="1" applyFill="1" applyBorder="1" applyAlignment="1" applyProtection="1">
      <alignment horizontal="center" vertical="center" wrapText="1"/>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7" fillId="0" borderId="113" xfId="5" applyFont="1" applyFill="1" applyBorder="1" applyAlignment="1" applyProtection="1">
      <alignment horizontal="center" vertical="center" wrapText="1"/>
    </xf>
    <xf numFmtId="0" fontId="7" fillId="0" borderId="115" xfId="5" applyFont="1" applyFill="1" applyBorder="1" applyAlignment="1" applyProtection="1">
      <alignment horizontal="center" vertical="center" wrapText="1"/>
    </xf>
    <xf numFmtId="0" fontId="7" fillId="0" borderId="114" xfId="5" applyFont="1" applyFill="1" applyBorder="1" applyAlignment="1" applyProtection="1">
      <alignment horizontal="center" vertical="center" wrapText="1"/>
    </xf>
    <xf numFmtId="0" fontId="7" fillId="0" borderId="65" xfId="5" applyFont="1" applyFill="1" applyBorder="1" applyAlignment="1" applyProtection="1">
      <alignment horizontal="center" vertical="center" wrapText="1"/>
    </xf>
    <xf numFmtId="0" fontId="7" fillId="0" borderId="142" xfId="5" applyFont="1" applyFill="1" applyBorder="1" applyAlignment="1" applyProtection="1">
      <alignment horizontal="left"/>
    </xf>
    <xf numFmtId="0" fontId="24" fillId="15" borderId="57" xfId="5" applyFont="1" applyFill="1" applyBorder="1" applyAlignment="1" applyProtection="1">
      <alignment horizontal="left"/>
    </xf>
    <xf numFmtId="0" fontId="24" fillId="15" borderId="0" xfId="5" applyFont="1" applyFill="1" applyBorder="1" applyAlignment="1" applyProtection="1">
      <alignment horizontal="left"/>
    </xf>
    <xf numFmtId="0" fontId="9" fillId="0" borderId="0" xfId="0" applyFont="1" applyAlignment="1">
      <alignment horizontal="left" wrapText="1"/>
    </xf>
    <xf numFmtId="0" fontId="6" fillId="0" borderId="142" xfId="0" applyFont="1" applyBorder="1" applyAlignment="1">
      <alignment horizontal="left" vertical="center"/>
    </xf>
    <xf numFmtId="0" fontId="7" fillId="0" borderId="87" xfId="5" applyFont="1" applyFill="1" applyBorder="1" applyAlignment="1" applyProtection="1">
      <alignment horizontal="left"/>
    </xf>
    <xf numFmtId="0" fontId="7" fillId="0" borderId="96" xfId="5" applyFont="1" applyFill="1" applyBorder="1" applyAlignment="1" applyProtection="1">
      <alignment horizontal="left"/>
    </xf>
    <xf numFmtId="0" fontId="7" fillId="0" borderId="110" xfId="5" applyFont="1" applyFill="1" applyBorder="1" applyAlignment="1" applyProtection="1">
      <alignment horizontal="left"/>
    </xf>
    <xf numFmtId="0" fontId="7" fillId="0" borderId="111" xfId="5" applyFont="1" applyFill="1" applyBorder="1" applyAlignment="1" applyProtection="1">
      <alignment horizontal="left"/>
    </xf>
    <xf numFmtId="0" fontId="9" fillId="0" borderId="0" xfId="0" applyFont="1" applyAlignment="1">
      <alignment horizontal="left"/>
    </xf>
    <xf numFmtId="0" fontId="70" fillId="0" borderId="88" xfId="0" applyFont="1" applyBorder="1" applyAlignment="1">
      <alignment horizontal="center" vertical="center"/>
    </xf>
    <xf numFmtId="0" fontId="70" fillId="0" borderId="51" xfId="0" applyFont="1" applyBorder="1" applyAlignment="1">
      <alignment horizontal="center" vertical="center"/>
    </xf>
    <xf numFmtId="0" fontId="70" fillId="0" borderId="89" xfId="0" applyFont="1" applyBorder="1" applyAlignment="1">
      <alignment horizontal="center" vertical="center"/>
    </xf>
    <xf numFmtId="0" fontId="70" fillId="0" borderId="92" xfId="0" applyFont="1" applyBorder="1" applyAlignment="1">
      <alignment horizontal="center" vertical="center"/>
    </xf>
    <xf numFmtId="0" fontId="70" fillId="0" borderId="74" xfId="0" applyFont="1" applyBorder="1" applyAlignment="1">
      <alignment horizontal="center" vertical="center"/>
    </xf>
    <xf numFmtId="0" fontId="70" fillId="0" borderId="93" xfId="0" applyFont="1" applyBorder="1" applyAlignment="1">
      <alignment horizontal="center" vertical="center"/>
    </xf>
    <xf numFmtId="0" fontId="70" fillId="0" borderId="90" xfId="0" applyFont="1" applyBorder="1" applyAlignment="1">
      <alignment horizontal="center" vertical="top"/>
    </xf>
    <xf numFmtId="0" fontId="70" fillId="0" borderId="0" xfId="0" applyFont="1" applyAlignment="1">
      <alignment horizontal="center" vertical="top"/>
    </xf>
    <xf numFmtId="0" fontId="70" fillId="0" borderId="91" xfId="0" applyFont="1" applyBorder="1" applyAlignment="1">
      <alignment horizontal="center" vertical="top"/>
    </xf>
    <xf numFmtId="0" fontId="7" fillId="0" borderId="117" xfId="5" applyFont="1" applyFill="1" applyBorder="1" applyAlignment="1" applyProtection="1">
      <alignment horizontal="center" vertical="center" wrapText="1"/>
    </xf>
    <xf numFmtId="0" fontId="7" fillId="0" borderId="116" xfId="5" applyFont="1" applyFill="1" applyBorder="1" applyAlignment="1" applyProtection="1">
      <alignment horizontal="center" vertical="center" wrapText="1"/>
    </xf>
    <xf numFmtId="0" fontId="7" fillId="14" borderId="96" xfId="5" applyFont="1" applyFill="1" applyBorder="1" applyAlignment="1" applyProtection="1">
      <alignment horizontal="center" vertical="center" wrapText="1"/>
    </xf>
    <xf numFmtId="0" fontId="7" fillId="14" borderId="53" xfId="5" applyFont="1" applyFill="1" applyBorder="1" applyAlignment="1" applyProtection="1">
      <alignment horizontal="center" vertical="center" wrapText="1"/>
    </xf>
    <xf numFmtId="0" fontId="9" fillId="13" borderId="87" xfId="5" applyFont="1" applyFill="1" applyBorder="1" applyAlignment="1" applyProtection="1">
      <alignment horizontal="left"/>
    </xf>
    <xf numFmtId="0" fontId="9" fillId="13" borderId="96" xfId="5" applyFont="1" applyFill="1" applyBorder="1" applyAlignment="1" applyProtection="1">
      <alignment horizontal="left"/>
    </xf>
    <xf numFmtId="0" fontId="7" fillId="11" borderId="139" xfId="5" applyFont="1" applyFill="1" applyBorder="1" applyAlignment="1" applyProtection="1">
      <alignment horizontal="center" vertical="center" wrapText="1"/>
    </xf>
    <xf numFmtId="0" fontId="7" fillId="11" borderId="140" xfId="5" applyFont="1" applyFill="1" applyBorder="1" applyAlignment="1" applyProtection="1">
      <alignment horizontal="center" vertical="center" wrapText="1"/>
    </xf>
    <xf numFmtId="0" fontId="7" fillId="14" borderId="87" xfId="5" applyFont="1" applyFill="1" applyBorder="1" applyAlignment="1" applyProtection="1">
      <alignment horizontal="center" vertical="center" wrapText="1"/>
    </xf>
    <xf numFmtId="0" fontId="7" fillId="59" borderId="139" xfId="5" applyFont="1" applyFill="1" applyBorder="1" applyAlignment="1" applyProtection="1">
      <alignment horizontal="center" vertical="center" wrapText="1"/>
    </xf>
    <xf numFmtId="0" fontId="7" fillId="59" borderId="140" xfId="5" applyFont="1" applyFill="1" applyBorder="1" applyAlignment="1" applyProtection="1">
      <alignment horizontal="center" vertical="center" wrapText="1"/>
    </xf>
  </cellXfs>
  <cellStyles count="223">
    <cellStyle name="20 % - Aksentti1" xfId="20" builtinId="30" customBuiltin="1"/>
    <cellStyle name="20 % - Aksentti1 2" xfId="180" xr:uid="{2E4C48CD-FFE3-4BAB-AC4B-6662E954C073}"/>
    <cellStyle name="20 % - Aksentti1 3" xfId="117" xr:uid="{CA1AEBFA-4AF8-453D-A3CE-49D0AFB0BEAA}"/>
    <cellStyle name="20 % - Aksentti2" xfId="22" builtinId="34" customBuiltin="1"/>
    <cellStyle name="20 % - Aksentti2 2" xfId="183" xr:uid="{5DB07F3D-3C43-4DBE-8E4D-C5E3D19FAC3E}"/>
    <cellStyle name="20 % - Aksentti2 3" xfId="120" xr:uid="{8B8C759A-F911-41DB-A050-B318CCA8A493}"/>
    <cellStyle name="20 % - Aksentti3" xfId="24" builtinId="38" customBuiltin="1"/>
    <cellStyle name="20 % - Aksentti3 2" xfId="186" xr:uid="{C0B547A1-B5C4-49D6-ADF9-BAAF47E16827}"/>
    <cellStyle name="20 % - Aksentti3 3" xfId="123" xr:uid="{F527CC8A-0D59-4340-B0E0-E29A873FE291}"/>
    <cellStyle name="20 % - Aksentti4" xfId="26" builtinId="42" customBuiltin="1"/>
    <cellStyle name="20 % - Aksentti4 2" xfId="83" xr:uid="{5BFF8FDB-1EE1-42C9-833B-DF9A067104E5}"/>
    <cellStyle name="20 % - Aksentti4 2 2" xfId="164" xr:uid="{DB0EB9A9-6F02-4E27-B3AB-D36D1FD24F87}"/>
    <cellStyle name="20 % - Aksentti4 2 3" xfId="137" xr:uid="{7566FCF1-989A-423C-ABD3-80492BF3DF91}"/>
    <cellStyle name="20 % - Aksentti4 3" xfId="188" xr:uid="{CD186BEE-7F7D-45A4-AF3D-2E5DEDB14463}"/>
    <cellStyle name="20 % - Aksentti4 4" xfId="125" xr:uid="{08E4635C-989C-4076-9314-F3565D7296B9}"/>
    <cellStyle name="20 % - Aksentti5" xfId="28" builtinId="46" customBuiltin="1"/>
    <cellStyle name="20 % - Aksentti5 2" xfId="190" xr:uid="{AB364EF6-B70A-42B7-B4FA-AF7ECA0E9D41}"/>
    <cellStyle name="20 % - Aksentti5 3" xfId="127" xr:uid="{588CE962-3746-495F-92FD-D331AFF6A9C3}"/>
    <cellStyle name="20 % - Aksentti6" xfId="30" builtinId="50" customBuiltin="1"/>
    <cellStyle name="20 % - Aksentti6 2" xfId="193" xr:uid="{B3D89073-A54A-4457-8B2F-44A6B63E0390}"/>
    <cellStyle name="20 % - Aksentti6 3" xfId="130" xr:uid="{D3E8FF01-0D43-4AE5-ADCA-8598C540DC8F}"/>
    <cellStyle name="40 % - Aksentti1" xfId="21" builtinId="31" customBuiltin="1"/>
    <cellStyle name="40 % - Aksentti1 2" xfId="181" xr:uid="{46E9CBAC-3EFC-4B7C-A2DC-29F31E32079A}"/>
    <cellStyle name="40 % - Aksentti1 3" xfId="118" xr:uid="{A101D470-5DA8-4EBB-9291-78EB99CF61A0}"/>
    <cellStyle name="40 % - Aksentti2" xfId="23" builtinId="35" customBuiltin="1"/>
    <cellStyle name="40 % - Aksentti2 2" xfId="77" xr:uid="{9A7B2D0F-0B8E-470A-AC47-FEC7763F15C0}"/>
    <cellStyle name="40 % - Aksentti2 2 2" xfId="84" xr:uid="{AA545DCA-324A-4C64-BD28-8EDB8B93B06E}"/>
    <cellStyle name="40 % - Aksentti2 2 2 2" xfId="165" xr:uid="{2A1C6DA6-D602-4A5D-97BB-56610C9AD9DB}"/>
    <cellStyle name="40 % - Aksentti2 2 2 3" xfId="138" xr:uid="{DDA6B31F-51D7-488D-82A4-37B2B2132E57}"/>
    <cellStyle name="40 % - Aksentti2 2 3" xfId="161" xr:uid="{0AE8A660-FD16-4C75-8033-EA3B61EC2B0A}"/>
    <cellStyle name="40 % - Aksentti2 2 4" xfId="134" xr:uid="{47FDC4AD-0F8A-44E2-B57D-1FDC06D59C3B}"/>
    <cellStyle name="40 % - Aksentti2 3" xfId="184" xr:uid="{10D39735-DE11-4B33-B3A3-ADACEBD54057}"/>
    <cellStyle name="40 % - Aksentti2 4" xfId="121" xr:uid="{30AFBE41-824E-4B0D-9D7E-18C3EB65F68F}"/>
    <cellStyle name="40 % - Aksentti3" xfId="25" builtinId="39" customBuiltin="1"/>
    <cellStyle name="40 % - Aksentti3 2" xfId="187" xr:uid="{502BF341-C999-4340-AC4F-E2111E8DF5F0}"/>
    <cellStyle name="40 % - Aksentti3 3" xfId="124" xr:uid="{6FCE3AC7-8C04-4C9D-B309-48B6B0CB7CEF}"/>
    <cellStyle name="40 % - Aksentti4" xfId="27" builtinId="43" customBuiltin="1"/>
    <cellStyle name="40 % - Aksentti4 2" xfId="189" xr:uid="{261EAB46-7729-4493-9642-F04B7DB0AB1A}"/>
    <cellStyle name="40 % - Aksentti4 3" xfId="126" xr:uid="{10A2AD9C-3435-45EA-9518-C97B3004BD7E}"/>
    <cellStyle name="40 % - Aksentti5" xfId="29" builtinId="47" customBuiltin="1"/>
    <cellStyle name="40 % - Aksentti5 2" xfId="191" xr:uid="{846F3CFA-4A99-4B75-AAB5-F92A389BA8C9}"/>
    <cellStyle name="40 % - Aksentti5 3" xfId="128" xr:uid="{E03B7A87-7DA7-4BC9-B182-76E54CE17B5C}"/>
    <cellStyle name="40 % - Aksentti6" xfId="31" builtinId="51" customBuiltin="1"/>
    <cellStyle name="40 % - Aksentti6 2" xfId="194" xr:uid="{9AC3F5D9-3D64-47A1-A8C0-486564F830FD}"/>
    <cellStyle name="40 % - Aksentti6 3" xfId="131" xr:uid="{A0FAC7F3-B90D-4FB3-A59C-F7FE6864B30E}"/>
    <cellStyle name="60 % - Aksentti1" xfId="58" builtinId="32" customBuiltin="1"/>
    <cellStyle name="60 % - Aksentti1 2" xfId="182" xr:uid="{A9ACDC37-48F0-4198-8093-2EF9A2D2D34B}"/>
    <cellStyle name="60 % - Aksentti1 3" xfId="119" xr:uid="{67FBE05E-2A17-4E39-9CE8-DF9CEF725C0F}"/>
    <cellStyle name="60 % - Aksentti2" xfId="60" builtinId="36" customBuiltin="1"/>
    <cellStyle name="60 % - Aksentti2 2" xfId="185" xr:uid="{4D634659-385A-4219-B43B-AC6D96CD5B78}"/>
    <cellStyle name="60 % - Aksentti2 3" xfId="122" xr:uid="{7E6D90FE-6206-4EFF-9825-74EB89B33E90}"/>
    <cellStyle name="60 % - Aksentti3 2" xfId="99" xr:uid="{28345F4F-84FD-4BD4-B39B-B97D02DC32A3}"/>
    <cellStyle name="60 % - Aksentti3 2 2" xfId="179" xr:uid="{30D17C3E-236B-4DED-BD46-BC1D4039E277}"/>
    <cellStyle name="60 % - Aksentti3 2 3" xfId="152" xr:uid="{6118EEFF-023B-400B-85D7-EFC52F00CF93}"/>
    <cellStyle name="60 % - Aksentti3 3" xfId="101" xr:uid="{AE7C066D-74C7-4083-8D22-5C35F39270D7}"/>
    <cellStyle name="60 % - Aksentti3 3 2" xfId="197" xr:uid="{1488D1CB-123B-4D9A-9299-A1EDA2DBFCBB}"/>
    <cellStyle name="60 % - Aksentti3 3 3" xfId="154" xr:uid="{120FB50B-256D-434A-BAE5-1E87C2584B50}"/>
    <cellStyle name="60 % - Aksentti4" xfId="14" builtinId="44"/>
    <cellStyle name="60 % - Aksentti4 2" xfId="95" xr:uid="{EFECBBFF-BC73-4BC9-8E43-BF20EB22E24D}"/>
    <cellStyle name="60 % - Aksentti4 2 2" xfId="176" xr:uid="{2A9182B2-9D54-41E0-B359-0ACC078C6C3B}"/>
    <cellStyle name="60 % - Aksentti4 2 3" xfId="149" xr:uid="{3278FAC6-C93C-4BE9-A679-50DB028C33F3}"/>
    <cellStyle name="60 % - Aksentti4 3" xfId="112" xr:uid="{DC340151-D699-4E50-8BED-0A69F1F31471}"/>
    <cellStyle name="60 % - Aksentti4 3 2" xfId="203" xr:uid="{5DCFF970-F06E-4C71-BCDC-AA06DAA1EABF}"/>
    <cellStyle name="60 % - Aksentti4 3 3" xfId="160" xr:uid="{36CF4521-FE24-4575-9953-12D0FB3BEAAF}"/>
    <cellStyle name="60 % - Aksentti4 4" xfId="210" xr:uid="{3E876E1E-6A92-449E-B1F8-900494C82D5D}"/>
    <cellStyle name="60 % - Aksentti4 4 2" xfId="221" xr:uid="{8F949A6D-7B46-4D57-831D-1DEE070AC35F}"/>
    <cellStyle name="60 % - Aksentti5" xfId="64" builtinId="48" customBuiltin="1"/>
    <cellStyle name="60 % - Aksentti5 2" xfId="192" xr:uid="{6B486E17-75F5-4784-9EA6-157F644529D2}"/>
    <cellStyle name="60 % - Aksentti5 3" xfId="129" xr:uid="{5D09398B-A2A8-4833-B4D5-A77D8EE247E0}"/>
    <cellStyle name="60 % - Aksentti6" xfId="66" builtinId="52" customBuiltin="1"/>
    <cellStyle name="60 % - Aksentti6 2" xfId="195" xr:uid="{11A5A911-010E-4909-970D-7853FA7D588C}"/>
    <cellStyle name="60 % - Aksentti6 3" xfId="132" xr:uid="{046989A0-1B51-403F-8660-D8E3A74CC9F3}"/>
    <cellStyle name="Aksentti1" xfId="57" builtinId="29" customBuiltin="1"/>
    <cellStyle name="Aksentti2" xfId="59" builtinId="33" customBuiltin="1"/>
    <cellStyle name="Aksentti3" xfId="61" builtinId="37" customBuiltin="1"/>
    <cellStyle name="Aksentti4" xfId="62" builtinId="41" customBuiltin="1"/>
    <cellStyle name="Aksentti5" xfId="63" builtinId="45" customBuiltin="1"/>
    <cellStyle name="Aksentti6" xfId="65" builtinId="49" customBuiltin="1"/>
    <cellStyle name="ColumnHeader" xfId="39" xr:uid="{CE23A8DD-2FF9-4B07-B172-02C9E49B844E}"/>
    <cellStyle name="ColumnHeaderBlue" xfId="40" xr:uid="{6F8E81E4-6629-4BA9-94D7-2434F2D186D2}"/>
    <cellStyle name="Comma [0] 2" xfId="35" xr:uid="{64CA8FA8-5C8F-402B-8065-C4A5DFDCDD81}"/>
    <cellStyle name="Comma 2" xfId="34" xr:uid="{96F3C0A3-C020-4492-88F6-C80278666993}"/>
    <cellStyle name="Comma 3" xfId="33" xr:uid="{D6403D53-F868-4AA1-8C56-0827501A5907}"/>
    <cellStyle name="Currency [0] 2" xfId="37" xr:uid="{B633069D-298C-40B0-994C-CBA304165F5B}"/>
    <cellStyle name="Currency 2" xfId="36" xr:uid="{1ABFB1A5-AA46-4361-9971-9C0863212527}"/>
    <cellStyle name="Currency 3" xfId="32" xr:uid="{6C75447A-458F-4C93-B75E-509A91027864}"/>
    <cellStyle name="Highlight" xfId="41" xr:uid="{FCC04B55-664F-48E9-BCAB-4BB2BBAB9731}"/>
    <cellStyle name="Huomautus" xfId="12" builtinId="10"/>
    <cellStyle name="Huomautus 2" xfId="6" xr:uid="{00000000-0005-0000-0000-000002000000}"/>
    <cellStyle name="Huomautus 2 2" xfId="75" xr:uid="{052EFDA4-1B48-40DC-8B12-BFA6585A4516}"/>
    <cellStyle name="Huomautus 2 3" xfId="163" xr:uid="{1C71C046-C85A-4E4B-A3F9-D9C2A8765762}"/>
    <cellStyle name="Huomautus 2 4" xfId="136" xr:uid="{EF8794A2-3BE6-49E6-89B6-D19FEABED9C0}"/>
    <cellStyle name="Huomautus 2 5" xfId="208" xr:uid="{4890C200-9864-49E8-A893-E53619572A5E}"/>
    <cellStyle name="Huomautus 2 5 2" xfId="214" xr:uid="{63B2BD36-C3FC-4E94-ACE7-6EF03FDD3EBC}"/>
    <cellStyle name="Huomautus 2 6" xfId="82" xr:uid="{409F972F-FDAD-4430-9A66-913213B807B9}"/>
    <cellStyle name="Huomautus 3" xfId="4" xr:uid="{00000000-0005-0000-0000-000003000000}"/>
    <cellStyle name="Huomautus 3 2" xfId="212" xr:uid="{23672184-FD5D-4035-BEBA-766BD40F36CD}"/>
    <cellStyle name="Huomautus 3 3" xfId="81" xr:uid="{6F7038DF-2C30-41A4-9309-B8AA54F3B907}"/>
    <cellStyle name="Huomautus 4" xfId="93" xr:uid="{8A77CC42-FE07-46BA-B10C-1EEA29284ADC}"/>
    <cellStyle name="Huomautus 4 2" xfId="174" xr:uid="{60BBDCDB-972C-4847-9CB7-E0370F2BBDC3}"/>
    <cellStyle name="Huomautus 4 3" xfId="147" xr:uid="{6E76230B-648C-416D-B5FF-6801B4743433}"/>
    <cellStyle name="Huomautus 5" xfId="96" xr:uid="{12FD0221-31E0-4B8C-BBCE-7C33A7A5E47F}"/>
    <cellStyle name="Huomautus 5 2" xfId="177" xr:uid="{F9650912-08E9-4FC6-B963-9F526B3364C5}"/>
    <cellStyle name="Huomautus 5 3" xfId="150" xr:uid="{40EF24B8-5780-4622-A974-E2CB24AD824B}"/>
    <cellStyle name="Huomautus 6" xfId="111" xr:uid="{C9F62E22-3460-456A-8308-54A725734260}"/>
    <cellStyle name="Huomautus 6 2" xfId="202" xr:uid="{35AC38AE-F22A-4479-B48B-13394321FA6B}"/>
    <cellStyle name="Huomautus 6 3" xfId="159" xr:uid="{D63B95CC-CF14-4B33-80D9-82A27699CFA4}"/>
    <cellStyle name="Huomautus 7" xfId="211" xr:uid="{09789280-C033-4212-AB43-EB3138E770DD}"/>
    <cellStyle name="Huomautus 7 2" xfId="220" xr:uid="{40B93961-84B2-43DF-91A7-202B62AD79C9}"/>
    <cellStyle name="Huomautus 8" xfId="70" xr:uid="{C1A576BA-936B-4D90-8082-2D0E58A5EE2F}"/>
    <cellStyle name="Huono" xfId="11" builtinId="27" customBuiltin="1"/>
    <cellStyle name="Hyperlink" xfId="102" xr:uid="{14F19B20-0A63-4D10-8358-4B2BAD95AB5A}"/>
    <cellStyle name="Hyperlinkki" xfId="15" builtinId="8"/>
    <cellStyle name="Hyperlinkki 2" xfId="43" xr:uid="{681B4DD3-B176-47A3-A60B-BA4C3C0E9ACE}"/>
    <cellStyle name="Hyperlinkki 2 2" xfId="74" xr:uid="{8A2213BF-8479-49A1-B8F8-8493998900F4}"/>
    <cellStyle name="Hyperlinkki 2 3" xfId="109" xr:uid="{8810D099-5462-4F23-9F0F-CB57DA963F81}"/>
    <cellStyle name="Hyperlinkki 2 4" xfId="86" xr:uid="{D52B3F72-C966-495F-B4A8-A8BF3495DD77}"/>
    <cellStyle name="Hyperlinkki 3" xfId="87" xr:uid="{28F9F64C-61A3-4444-BE9A-2D9F5452F948}"/>
    <cellStyle name="Hyperlinkki 4" xfId="213" xr:uid="{F7A41CCA-BA5A-40A3-B8F0-9EC2C2604E7D}"/>
    <cellStyle name="Hyperlinkki 5" xfId="97" xr:uid="{7A10BB9D-1E05-4D96-9747-F8A1A35B788E}"/>
    <cellStyle name="Hyvä" xfId="10" builtinId="26" customBuiltin="1"/>
    <cellStyle name="Laskenta" xfId="2" builtinId="22" customBuiltin="1"/>
    <cellStyle name="Laskenta 2" xfId="5" xr:uid="{00000000-0005-0000-0000-000008000000}"/>
    <cellStyle name="Linkitetty solu" xfId="52" builtinId="24" customBuiltin="1"/>
    <cellStyle name="luettelo" xfId="3" xr:uid="{00000000-0005-0000-0000-000009000000}"/>
    <cellStyle name="Neutraali" xfId="50" builtinId="28" customBuiltin="1"/>
    <cellStyle name="Neutraali 2" xfId="19" xr:uid="{00000000-0005-0000-0000-000007000000}"/>
    <cellStyle name="Neutraali 2 2" xfId="215" xr:uid="{A6DD4ED8-B7DC-4759-A3F9-F636F22D1D96}"/>
    <cellStyle name="Neutraali 3" xfId="17" xr:uid="{00000000-0005-0000-0000-000039000000}"/>
    <cellStyle name="Normaali" xfId="0" builtinId="0"/>
    <cellStyle name="Normaali 10" xfId="108" xr:uid="{4FD24C58-A5CF-4E8A-9305-70277B0B22F3}"/>
    <cellStyle name="Normaali 10 2" xfId="209" xr:uid="{AD07275A-EE5A-4A0F-BE4D-1B262AAEE20A}"/>
    <cellStyle name="Normaali 10 2 2" xfId="69" xr:uid="{F47F5F6A-E81D-408E-851A-48E14989AB03}"/>
    <cellStyle name="Normaali 10 2 3" xfId="217" xr:uid="{7CEF5EB5-C303-49DC-AE4E-2945C847D9B4}"/>
    <cellStyle name="Normaali 11" xfId="100" xr:uid="{5E7868E5-B22A-48B0-9B00-560161A1F8F5}"/>
    <cellStyle name="Normaali 11 2" xfId="196" xr:uid="{65478ACA-3F85-409C-98DF-BE6DB1E16B37}"/>
    <cellStyle name="Normaali 11 3" xfId="153" xr:uid="{878AE269-DD5B-4849-8948-3C47604A624C}"/>
    <cellStyle name="Normaali 12" xfId="133" xr:uid="{ECE4BA85-531A-4280-81F3-D0926B5D4785}"/>
    <cellStyle name="Normaali 13" xfId="206" xr:uid="{48F1F689-6F44-485C-AEDE-DE32AA94FB93}"/>
    <cellStyle name="Normaali 14" xfId="68" xr:uid="{741939D0-46E5-4CC5-9987-19769848BE19}"/>
    <cellStyle name="Normaali 15" xfId="216" xr:uid="{BC41715C-66FD-4178-8FB4-0A239CBD9524}"/>
    <cellStyle name="Normaali 2" xfId="13" xr:uid="{00000000-0005-0000-0000-00000B000000}"/>
    <cellStyle name="Normaali 2 2" xfId="67" xr:uid="{D3FC793C-9B7A-469F-A330-0764B12538BF}"/>
    <cellStyle name="Normaali 2 2 2" xfId="85" xr:uid="{B7E44AFD-560B-4734-A595-B86943324FA0}"/>
    <cellStyle name="Normaali 2 2 2 2" xfId="72" xr:uid="{2E3B27F0-925E-4BAB-A32F-04005657395F}"/>
    <cellStyle name="Normaali 2 2 2 2 2" xfId="92" xr:uid="{8C2AFC0C-0B54-4CAD-AC7C-9257ED395DDE}"/>
    <cellStyle name="Normaali 2 2 2 2 2 2" xfId="173" xr:uid="{2AB1CA2C-17D8-4F7B-9776-A1A98D5DB935}"/>
    <cellStyle name="Normaali 2 2 2 2 2 3" xfId="146" xr:uid="{5EADF479-7A37-4339-8BB6-B5AE995B7430}"/>
    <cellStyle name="Normaali 2 2 2 2 3" xfId="170" xr:uid="{916E6C0C-05F4-46D6-9C7C-39142D8D9AB2}"/>
    <cellStyle name="Normaali 2 2 2 2 4" xfId="143" xr:uid="{947D47B3-AAB0-4CB8-B8F7-45EB623B7865}"/>
    <cellStyle name="Normaali 2 2 2 2 5" xfId="222" xr:uid="{8980E05D-E7AC-41C2-8091-17DB412B6AB3}"/>
    <cellStyle name="Normaali 2 2 2 3" xfId="166" xr:uid="{DB833B9C-BB26-41E4-B37F-226BB79A2C89}"/>
    <cellStyle name="Normaali 2 2 2 4" xfId="139" xr:uid="{DD7386A1-FE4A-4DE5-B246-97D63466B9A9}"/>
    <cellStyle name="Normaali 2 2 3" xfId="80" xr:uid="{84F1F1CE-CFF2-4FAA-9F73-2674BCCBEB08}"/>
    <cellStyle name="Normaali 2 3" xfId="71" xr:uid="{476D97B5-204E-40D9-AC5C-300AF0CDD3CF}"/>
    <cellStyle name="Normaali 2 3 2" xfId="172" xr:uid="{AE3C2C5B-342B-4D8D-A7FE-8F3981E10B4B}"/>
    <cellStyle name="Normaali 2 3 3" xfId="145" xr:uid="{D455CDCD-C399-48F7-901F-4EABA39D1B38}"/>
    <cellStyle name="Normaali 2 3 4" xfId="91" xr:uid="{DFCB3C66-C055-402A-8052-F9CDF9747A89}"/>
    <cellStyle name="Normaali 2 4" xfId="162" xr:uid="{AC74A263-0B26-47E8-979E-77FE0DBE9BF1}"/>
    <cellStyle name="Normaali 2 5" xfId="135" xr:uid="{DFB86FAA-D47C-41E0-AF2A-7D6609FD18A0}"/>
    <cellStyle name="Normaali 2 6" xfId="219" xr:uid="{F2438E35-32F7-4E09-967E-B718DD57C27D}"/>
    <cellStyle name="Normaali 3" xfId="7" xr:uid="{00000000-0005-0000-0000-00000C000000}"/>
    <cellStyle name="Normaali 3 2" xfId="106" xr:uid="{ED9461EF-5E8C-46CD-8BF2-88064FD895D7}"/>
    <cellStyle name="Normaali 3 3" xfId="79" xr:uid="{85E40DCA-5339-4450-8321-538C5D907E66}"/>
    <cellStyle name="Normaali 4" xfId="16" xr:uid="{00000000-0005-0000-0000-000038000000}"/>
    <cellStyle name="Normaali 4 2" xfId="167" xr:uid="{D1410E23-47A9-486B-9AEF-4DDF035453B2}"/>
    <cellStyle name="Normaali 4 3" xfId="140" xr:uid="{45E3E6C0-FABA-471B-864D-879E8BA3FFB2}"/>
    <cellStyle name="Normaali 4 4" xfId="88" xr:uid="{4FCB1A1C-717E-4117-A442-2C32C5D989C6}"/>
    <cellStyle name="Normaali 5" xfId="44" xr:uid="{C905C10C-4CBC-400F-A508-A218B3BB1172}"/>
    <cellStyle name="Normaali 5 2" xfId="105" xr:uid="{7892AEBC-5899-405F-ABE0-5D2738882C6E}"/>
    <cellStyle name="Normaali 5 2 2" xfId="200" xr:uid="{7E1F9FEA-3FB0-4F7E-BDAE-CCEB9EDC9BB6}"/>
    <cellStyle name="Normaali 5 2 3" xfId="157" xr:uid="{F57CF4E2-1412-444B-8971-3B254082ACEA}"/>
    <cellStyle name="Normaali 5 3" xfId="141" xr:uid="{43F8CAD7-91FD-4D38-8E47-56E962D3A394}"/>
    <cellStyle name="Normaali 5 4" xfId="168" xr:uid="{ADC916B2-2CF5-40B6-9E33-B4542B0AE112}"/>
    <cellStyle name="Normaali 5 5" xfId="115" xr:uid="{13E75ABD-4F89-453B-BB78-2D85123E96AB}"/>
    <cellStyle name="Normaali 5 6" xfId="205" xr:uid="{3EA1015E-0A96-40B9-862A-5FF3EB2D41E4}"/>
    <cellStyle name="Normaali 6" xfId="89" xr:uid="{A891EFBA-A2A0-43F2-B03B-4844197FB1B1}"/>
    <cellStyle name="Normaali 6 2" xfId="110" xr:uid="{43828CDF-58D5-460A-809A-5544F8E85332}"/>
    <cellStyle name="Normaali 7" xfId="73" xr:uid="{D3F15E44-5471-4E9D-9C3E-2ECD81D7A65A}"/>
    <cellStyle name="Normaali 7 2" xfId="142" xr:uid="{B61F0C22-D0E7-4912-89A8-36F59F288A1C}"/>
    <cellStyle name="Normaali 7 3" xfId="169" xr:uid="{70E5B554-390B-4AFF-96B7-AB6FE1B56CD0}"/>
    <cellStyle name="Normaali 7 4" xfId="116" xr:uid="{C94B3AC6-AC31-4AE6-A710-0AE8066F7C8E}"/>
    <cellStyle name="Normaali 7 5" xfId="218" xr:uid="{93E96EA9-894D-4A1A-AFB5-44C7D0D19FBF}"/>
    <cellStyle name="Normaali 8" xfId="94" xr:uid="{BCFC1AF4-2571-40EB-BBF6-B50DD54101FE}"/>
    <cellStyle name="Normaali 8 2" xfId="103" xr:uid="{E331AC32-E63B-42A0-B17F-93BA6C6F1EFD}"/>
    <cellStyle name="Normaali 8 2 2" xfId="198" xr:uid="{080AFBB4-9E4F-4DA1-8E8D-C5DBC3530C8E}"/>
    <cellStyle name="Normaali 8 2 3" xfId="155" xr:uid="{11527E95-B415-48A1-A02C-23EFFA58701F}"/>
    <cellStyle name="Normaali 8 3" xfId="148" xr:uid="{92165C97-5542-43FF-B61C-B0476AC95C35}"/>
    <cellStyle name="Normaali 8 4" xfId="175" xr:uid="{A797E847-EB7D-41A5-B37D-167A318B6DB9}"/>
    <cellStyle name="Normaali 8 5" xfId="114" xr:uid="{4BF01B13-C2E2-4503-9359-F39AA2A189A7}"/>
    <cellStyle name="Normaali 8 6" xfId="204" xr:uid="{0966CCA5-126B-4AFE-AF85-46EA66770219}"/>
    <cellStyle name="Normaali 9" xfId="98" xr:uid="{E0AC3030-4682-4BEC-AACF-F5D500936A07}"/>
    <cellStyle name="Normaali 9 2" xfId="107" xr:uid="{7BAD31DF-C24C-4042-BE7D-B5993F0D9FD5}"/>
    <cellStyle name="Normaali 9 2 2" xfId="201" xr:uid="{F1B5F0F8-9AB8-4A2D-BE1D-0662954CDD31}"/>
    <cellStyle name="Normaali 9 2 3" xfId="158" xr:uid="{70357FC7-FA49-4B80-8B72-60A05F471926}"/>
    <cellStyle name="Normaali 9 3" xfId="178" xr:uid="{30348795-EC01-4A35-8009-872C8E560CAE}"/>
    <cellStyle name="Normaali 9 4" xfId="151" xr:uid="{442DDC68-6B9C-4A6F-9E89-10F9205FFAFA}"/>
    <cellStyle name="Normal" xfId="78" xr:uid="{4611ADBB-C97C-4667-8783-DCD6570368A1}"/>
    <cellStyle name="Normal 2" xfId="42" xr:uid="{2087E9E3-30CC-4ACF-A169-6C1E8EA2D5F4}"/>
    <cellStyle name="Normal 2 2" xfId="113" xr:uid="{53EC3B13-684A-4205-83DE-A46DE89B7C74}"/>
    <cellStyle name="Normal 3" xfId="18" xr:uid="{00000000-0005-0000-0000-00000A000000}"/>
    <cellStyle name="Otsikko" xfId="45" builtinId="15" customBuiltin="1"/>
    <cellStyle name="Otsikko 1" xfId="46" builtinId="16" customBuiltin="1"/>
    <cellStyle name="Otsikko 2" xfId="47" builtinId="17" customBuiltin="1"/>
    <cellStyle name="Otsikko 3" xfId="48" builtinId="18" customBuiltin="1"/>
    <cellStyle name="Otsikko 4" xfId="49" builtinId="19" customBuiltin="1"/>
    <cellStyle name="Percent 2" xfId="38" xr:uid="{1F2E58ED-B634-43EC-BA43-DE5F50D82456}"/>
    <cellStyle name="Pilkku 2" xfId="90" xr:uid="{DDEFD2AE-541E-4598-94CA-49C594122128}"/>
    <cellStyle name="Pilkku 2 2" xfId="104" xr:uid="{43370951-C73B-4843-B876-040CB7AE02A9}"/>
    <cellStyle name="Pilkku 2 2 2" xfId="199" xr:uid="{F59EACF0-FD5D-432C-A048-3B16CB09279B}"/>
    <cellStyle name="Pilkku 2 2 3" xfId="156" xr:uid="{A3449DC3-9F9D-4DDF-8DB8-5CD1D2512576}"/>
    <cellStyle name="Pilkku 2 3" xfId="171" xr:uid="{17700DF8-3CEF-423C-A7AA-A20501966A00}"/>
    <cellStyle name="Pilkku 2 4" xfId="144" xr:uid="{BD6ECBAE-6352-4B73-85D8-270D72AD6865}"/>
    <cellStyle name="Pilkku 3" xfId="207" xr:uid="{93E75C9A-9101-48AA-98B9-41A899AF51BB}"/>
    <cellStyle name="Prosenttia" xfId="9" builtinId="5"/>
    <cellStyle name="Prosenttia 2" xfId="76" xr:uid="{EFD1F1F8-E6B7-47F2-AE7B-6FD7BF4C4D99}"/>
    <cellStyle name="Selittävä teksti" xfId="55" builtinId="53" customBuiltin="1"/>
    <cellStyle name="Summa" xfId="56" builtinId="25" customBuiltin="1"/>
    <cellStyle name="Syöttö" xfId="1" builtinId="20" customBuiltin="1"/>
    <cellStyle name="Tarkistussolu" xfId="53" builtinId="23" customBuiltin="1"/>
    <cellStyle name="tietokantaan" xfId="8" xr:uid="{00000000-0005-0000-0000-00000F000000}"/>
    <cellStyle name="Tulostus" xfId="51" builtinId="21" customBuiltin="1"/>
    <cellStyle name="Varoitusteksti" xfId="54" builtinId="11" customBuiltin="1"/>
  </cellStyles>
  <dxfs count="13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5"/>
        </patternFill>
      </fill>
    </dxf>
    <dxf>
      <fill>
        <patternFill>
          <bgColor rgb="FFFF0000"/>
        </patternFill>
      </fill>
    </dxf>
    <dxf>
      <fill>
        <patternFill>
          <bgColor rgb="FF92D050"/>
        </patternFill>
      </fill>
    </dxf>
    <dxf>
      <fill>
        <patternFill>
          <bgColor theme="5"/>
        </patternFill>
      </fill>
    </dxf>
    <dxf>
      <fill>
        <patternFill>
          <bgColor rgb="FFFF0000"/>
        </patternFill>
      </fill>
    </dxf>
    <dxf>
      <fill>
        <patternFill>
          <bgColor rgb="FFFF0000"/>
        </patternFill>
      </fill>
    </dxf>
    <dxf>
      <fill>
        <patternFill>
          <bgColor rgb="FFFF0000"/>
        </patternFill>
      </fill>
    </dxf>
    <dxf>
      <fill>
        <patternFill>
          <bgColor theme="5"/>
        </patternFill>
      </fill>
    </dxf>
    <dxf>
      <fill>
        <patternFill>
          <bgColor rgb="FFFF0000"/>
        </patternFill>
      </fill>
    </dxf>
    <dxf>
      <fill>
        <patternFill>
          <bgColor rgb="FFFF0000"/>
        </patternFill>
      </fill>
    </dxf>
    <dxf>
      <fill>
        <patternFill>
          <bgColor theme="9" tint="0.59996337778862885"/>
        </patternFill>
      </fill>
    </dxf>
    <dxf>
      <fill>
        <patternFill>
          <bgColor theme="9" tint="0.59996337778862885"/>
        </patternFill>
      </fill>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color theme="0"/>
      </font>
      <fill>
        <patternFill patternType="none">
          <bgColor auto="1"/>
        </patternFill>
      </fill>
      <border>
        <left/>
        <right/>
        <top/>
        <bottom/>
      </border>
    </dxf>
    <dxf>
      <font>
        <b/>
        <i val="0"/>
        <color rgb="FFFF0000"/>
      </font>
      <fill>
        <patternFill>
          <bgColor theme="9" tint="0.59996337778862885"/>
        </patternFill>
      </fill>
    </dxf>
    <dxf>
      <fill>
        <patternFill patternType="solid">
          <fgColor indexed="64"/>
          <bgColor theme="4" tint="0.79998168889431442"/>
        </patternFill>
      </fill>
      <protection locked="0" hidden="0"/>
    </dxf>
    <dxf>
      <fill>
        <patternFill patternType="solid">
          <fgColor indexed="64"/>
          <bgColor theme="4" tint="0.79998168889431442"/>
        </patternFill>
      </fill>
      <protection locked="0" hidden="0"/>
    </dxf>
    <dxf>
      <fill>
        <patternFill patternType="solid">
          <fgColor indexed="64"/>
          <bgColor theme="4" tint="0.79998168889431442"/>
        </patternFill>
      </fill>
    </dxf>
    <dxf>
      <numFmt numFmtId="14" formatCode="0.00\ %"/>
      <protection locked="0" hidden="0"/>
    </dxf>
    <dxf>
      <fill>
        <patternFill patternType="solid">
          <fgColor indexed="64"/>
          <bgColor theme="4" tint="0.79998168889431442"/>
        </patternFill>
      </fill>
    </dxf>
    <dxf>
      <numFmt numFmtId="0" formatCode="General"/>
      <protection locked="0" hidden="0"/>
    </dxf>
    <dxf>
      <fill>
        <patternFill patternType="solid">
          <fgColor indexed="64"/>
          <bgColor theme="4" tint="0.79998168889431442"/>
        </patternFill>
      </fill>
    </dxf>
    <dxf>
      <fill>
        <patternFill patternType="solid">
          <fgColor indexed="64"/>
          <bgColor theme="4" tint="0.79998168889431442"/>
        </patternFill>
      </fill>
      <protection locked="1" hidden="0"/>
    </dxf>
    <dxf>
      <fill>
        <patternFill patternType="solid">
          <fgColor indexed="64"/>
          <bgColor theme="4" tint="0.79998168889431442"/>
        </patternFill>
      </fill>
    </dxf>
    <dxf>
      <protection locked="0" hidden="0"/>
    </dxf>
    <dxf>
      <fill>
        <patternFill patternType="solid">
          <fgColor indexed="64"/>
          <bgColor theme="4" tint="0.79998168889431442"/>
        </patternFill>
      </fill>
    </dxf>
    <dxf>
      <protection locked="0" hidden="0"/>
    </dxf>
    <dxf>
      <fill>
        <patternFill patternType="solid">
          <fgColor indexed="64"/>
          <bgColor theme="4" tint="0.79998168889431442"/>
        </patternFill>
      </fill>
    </dxf>
    <dxf>
      <protection locked="0" hidden="0"/>
    </dxf>
    <dxf>
      <fill>
        <patternFill patternType="solid">
          <fgColor indexed="64"/>
          <bgColor theme="4" tint="0.79998168889431442"/>
        </patternFill>
      </fill>
    </dxf>
    <dxf>
      <protection locked="0" hidden="0"/>
    </dxf>
    <dxf>
      <alignment horizontal="left" vertical="top" textRotation="0" wrapText="0" indent="0" justifyLastLine="0" shrinkToFit="0" readingOrder="0"/>
    </dxf>
    <dxf>
      <fill>
        <patternFill patternType="solid">
          <fgColor indexed="64"/>
          <bgColor theme="4" tint="0.79998168889431442"/>
        </patternFill>
      </fill>
    </dxf>
    <dxf>
      <fill>
        <patternFill patternType="solid">
          <fgColor indexed="64"/>
          <bgColor theme="4" tint="0.79998168889431442"/>
        </patternFill>
      </fill>
      <protection locked="0" hidden="0"/>
    </dxf>
    <dxf>
      <fill>
        <patternFill patternType="solid">
          <fgColor indexed="64"/>
          <bgColor theme="4" tint="0.79998168889431442"/>
        </patternFill>
      </fill>
    </dxf>
    <dxf>
      <numFmt numFmtId="14" formatCode="0.00\ %"/>
      <protection locked="0" hidden="0"/>
    </dxf>
    <dxf>
      <fill>
        <patternFill patternType="solid">
          <fgColor indexed="64"/>
          <bgColor theme="4" tint="0.79998168889431442"/>
        </patternFill>
      </fill>
    </dxf>
    <dxf>
      <numFmt numFmtId="0" formatCode="General"/>
      <protection locked="0" hidden="0"/>
    </dxf>
    <dxf>
      <fill>
        <patternFill patternType="solid">
          <fgColor indexed="64"/>
          <bgColor theme="4" tint="0.79998168889431442"/>
        </patternFill>
      </fill>
    </dxf>
    <dxf>
      <fill>
        <patternFill patternType="solid">
          <fgColor indexed="64"/>
          <bgColor theme="4" tint="0.79998168889431442"/>
        </patternFill>
      </fill>
      <protection locked="1" hidden="0"/>
    </dxf>
    <dxf>
      <fill>
        <patternFill patternType="solid">
          <fgColor indexed="64"/>
          <bgColor theme="4" tint="0.79998168889431442"/>
        </patternFill>
      </fill>
    </dxf>
    <dxf>
      <protection locked="0" hidden="0"/>
    </dxf>
    <dxf>
      <fill>
        <patternFill patternType="solid">
          <fgColor indexed="64"/>
          <bgColor theme="4" tint="0.79998168889431442"/>
        </patternFill>
      </fill>
    </dxf>
    <dxf>
      <protection locked="0" hidden="0"/>
    </dxf>
    <dxf>
      <fill>
        <patternFill patternType="solid">
          <fgColor indexed="64"/>
          <bgColor theme="4" tint="0.79998168889431442"/>
        </patternFill>
      </fill>
    </dxf>
    <dxf>
      <protection locked="0" hidden="0"/>
    </dxf>
    <dxf>
      <fill>
        <patternFill patternType="solid">
          <fgColor indexed="64"/>
          <bgColor theme="4" tint="0.79998168889431442"/>
        </patternFill>
      </fill>
    </dxf>
    <dxf>
      <protection locked="0" hidden="0"/>
    </dxf>
    <dxf>
      <alignment horizontal="left" vertical="top" textRotation="0" wrapText="0" indent="0" justifyLastLine="0" shrinkToFit="0" readingOrder="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protection locked="0" hidden="0"/>
    </dxf>
    <dxf>
      <alignment horizontal="center" textRotation="0" indent="0" justifyLastLine="0" shrinkToFit="0" readingOrder="0"/>
      <border diagonalUp="0" diagonalDown="0" outline="0">
        <left style="thick">
          <color rgb="FF7030A0"/>
        </left>
        <right/>
        <top/>
        <bottom/>
      </border>
      <protection locked="0" hidden="0"/>
    </dxf>
    <dxf>
      <font>
        <b/>
        <i val="0"/>
        <strike val="0"/>
        <condense val="0"/>
        <extend val="0"/>
        <outline val="0"/>
        <shadow val="0"/>
        <u val="none"/>
        <vertAlign val="baseline"/>
        <sz val="9"/>
        <color theme="1"/>
        <name val="Calibri"/>
        <family val="2"/>
        <scheme val="minor"/>
      </font>
      <alignment horizontal="general" vertical="top" textRotation="0" wrapText="0" indent="0" justifyLastLine="0" shrinkToFit="0" readingOrder="0"/>
      <border diagonalUp="0" diagonalDown="0">
        <left/>
        <right style="thick">
          <color rgb="FF7030A0"/>
        </right>
        <top/>
        <bottom/>
        <vertical/>
        <horizontal/>
      </border>
    </dxf>
    <dxf>
      <protection locked="0" hidden="0"/>
    </dxf>
    <dxf>
      <font>
        <b val="0"/>
        <i/>
        <strike val="0"/>
        <condense val="0"/>
        <extend val="0"/>
        <outline val="0"/>
        <shadow val="0"/>
        <u val="none"/>
        <vertAlign val="baseline"/>
        <sz val="9"/>
        <color theme="1"/>
        <name val="Calibri"/>
        <family val="2"/>
        <scheme val="minor"/>
      </font>
      <fill>
        <patternFill patternType="solid">
          <fgColor indexed="64"/>
          <bgColor theme="0" tint="-0.34998626667073579"/>
        </patternFill>
      </fill>
    </dxf>
  </dxfs>
  <tableStyles count="0" defaultTableStyle="TableStyleMedium2" defaultPivotStyle="PivotStyleLight16"/>
  <colors>
    <mruColors>
      <color rgb="FFDAD3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06/relationships/rdRichValueTypes" Target="richData/rdRichValueTyp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Structure" Target="richData/rdrichvaluestructure.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5.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6.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7.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8.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19.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20.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1.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2.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3.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4.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5.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26.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27.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29.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30.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1.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2.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3.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4.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5.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36.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37.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38.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39.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4.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40.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41.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42.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43.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44.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45.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46.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47.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48.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49.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5.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6.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7.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1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Ex1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Ex1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Ex1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Ex1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Ex1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Ex1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Ex1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Ex18.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Ex19.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Ex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Ex7.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Ex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0.25584808730676384"/>
          <c:y val="7.560137457044673E-2"/>
          <c:w val="0.70657719023379972"/>
          <c:h val="0.6901707389669075"/>
        </c:manualLayout>
      </c:layout>
      <c:barChart>
        <c:barDir val="bar"/>
        <c:grouping val="stacked"/>
        <c:varyColors val="0"/>
        <c:ser>
          <c:idx val="0"/>
          <c:order val="0"/>
          <c:tx>
            <c:strRef>
              <c:f>Parkki!$D$16</c:f>
              <c:strCache>
                <c:ptCount val="1"/>
                <c:pt idx="0">
                  <c:v>Naisia</c:v>
                </c:pt>
              </c:strCache>
            </c:strRef>
          </c:tx>
          <c:spPr>
            <a:solidFill>
              <a:schemeClr val="accent4">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Parkki!$B$17:$B$22</c:f>
              <c:strCache>
                <c:ptCount val="6"/>
                <c:pt idx="0">
                  <c:v>Alle 16-vuotiaita</c:v>
                </c:pt>
                <c:pt idx="1">
                  <c:v>16-17-vuotiaita</c:v>
                </c:pt>
                <c:pt idx="2">
                  <c:v>18-20-vuotiaita</c:v>
                </c:pt>
                <c:pt idx="3">
                  <c:v>21-25-vuotiaita</c:v>
                </c:pt>
                <c:pt idx="4">
                  <c:v>26-28-vuotiaita</c:v>
                </c:pt>
                <c:pt idx="5">
                  <c:v>ei tietoa</c:v>
                </c:pt>
              </c:strCache>
            </c:strRef>
          </c:cat>
          <c:val>
            <c:numRef>
              <c:f>Parkki!$D$17:$D$22</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8D66-48D9-AD11-C313C25BF23E}"/>
            </c:ext>
          </c:extLst>
        </c:ser>
        <c:ser>
          <c:idx val="1"/>
          <c:order val="1"/>
          <c:tx>
            <c:strRef>
              <c:f>Parkki!$E$16</c:f>
              <c:strCache>
                <c:ptCount val="1"/>
                <c:pt idx="0">
                  <c:v>Miehiä*</c:v>
                </c:pt>
              </c:strCache>
            </c:strRef>
          </c:tx>
          <c:spPr>
            <a:solidFill>
              <a:schemeClr val="accent4">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Parkki!$B$17:$B$22</c:f>
              <c:strCache>
                <c:ptCount val="6"/>
                <c:pt idx="0">
                  <c:v>Alle 16-vuotiaita</c:v>
                </c:pt>
                <c:pt idx="1">
                  <c:v>16-17-vuotiaita</c:v>
                </c:pt>
                <c:pt idx="2">
                  <c:v>18-20-vuotiaita</c:v>
                </c:pt>
                <c:pt idx="3">
                  <c:v>21-25-vuotiaita</c:v>
                </c:pt>
                <c:pt idx="4">
                  <c:v>26-28-vuotiaita</c:v>
                </c:pt>
                <c:pt idx="5">
                  <c:v>ei tietoa</c:v>
                </c:pt>
              </c:strCache>
            </c:strRef>
          </c:cat>
          <c:val>
            <c:numRef>
              <c:f>Parkki!$E$17:$E$22</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8D66-48D9-AD11-C313C25BF23E}"/>
            </c:ext>
          </c:extLst>
        </c:ser>
        <c:dLbls>
          <c:dLblPos val="ctr"/>
          <c:showLegendKey val="0"/>
          <c:showVal val="1"/>
          <c:showCatName val="0"/>
          <c:showSerName val="0"/>
          <c:showPercent val="0"/>
          <c:showBubbleSize val="0"/>
        </c:dLbls>
        <c:gapWidth val="26"/>
        <c:overlap val="100"/>
        <c:axId val="664001288"/>
        <c:axId val="830968720"/>
      </c:barChart>
      <c:catAx>
        <c:axId val="6640012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i-FI"/>
          </a:p>
        </c:txPr>
        <c:crossAx val="830968720"/>
        <c:crosses val="autoZero"/>
        <c:auto val="1"/>
        <c:lblAlgn val="ctr"/>
        <c:lblOffset val="100"/>
        <c:noMultiLvlLbl val="0"/>
      </c:catAx>
      <c:valAx>
        <c:axId val="830968720"/>
        <c:scaling>
          <c:orientation val="minMax"/>
        </c:scaling>
        <c:delete val="1"/>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n-US"/>
                  <a:t>Nuorten määrä</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fi-FI"/>
            </a:p>
          </c:txPr>
        </c:title>
        <c:numFmt formatCode="#\ ##0;\ \-#\ ##0;\ \-\ " sourceLinked="1"/>
        <c:majorTickMark val="out"/>
        <c:minorTickMark val="none"/>
        <c:tickLblPos val="nextTo"/>
        <c:crossAx val="664001288"/>
        <c:crosses val="max"/>
        <c:crossBetween val="between"/>
      </c:valAx>
      <c:spPr>
        <a:noFill/>
        <a:ln>
          <a:noFill/>
        </a:ln>
        <a:effectLst/>
      </c:spPr>
    </c:plotArea>
    <c:legend>
      <c:legendPos val="b"/>
      <c:layout>
        <c:manualLayout>
          <c:xMode val="edge"/>
          <c:yMode val="edge"/>
          <c:x val="0.39749968060141072"/>
          <c:y val="0.87714695456882308"/>
          <c:w val="0.29381335018861326"/>
          <c:h val="0.115980193197499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i-F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fi-FI"/>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0.25584808730676384"/>
          <c:y val="7.7238222138674956E-2"/>
          <c:w val="0.70657719023379972"/>
          <c:h val="0.67644096003184628"/>
        </c:manualLayout>
      </c:layout>
      <c:barChart>
        <c:barDir val="bar"/>
        <c:grouping val="stacked"/>
        <c:varyColors val="0"/>
        <c:ser>
          <c:idx val="0"/>
          <c:order val="0"/>
          <c:tx>
            <c:strRef>
              <c:f>Parkki!$D$78</c:f>
              <c:strCache>
                <c:ptCount val="1"/>
                <c:pt idx="0">
                  <c:v>Naisia</c:v>
                </c:pt>
              </c:strCache>
            </c:strRef>
          </c:tx>
          <c:spPr>
            <a:solidFill>
              <a:schemeClr val="accent4">
                <a:shade val="76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Parkki!$B$79:$B$84</c:f>
              <c:strCache>
                <c:ptCount val="6"/>
                <c:pt idx="0">
                  <c:v>Alle 16-vuotiaita</c:v>
                </c:pt>
                <c:pt idx="1">
                  <c:v>16-17-vuotiaita</c:v>
                </c:pt>
                <c:pt idx="2">
                  <c:v>18-20-vuotiaita</c:v>
                </c:pt>
                <c:pt idx="3">
                  <c:v>21-25-vuotiaita</c:v>
                </c:pt>
                <c:pt idx="4">
                  <c:v>26-28-vuotiaita</c:v>
                </c:pt>
                <c:pt idx="5">
                  <c:v>ei tietoa</c:v>
                </c:pt>
              </c:strCache>
            </c:strRef>
          </c:cat>
          <c:val>
            <c:numRef>
              <c:f>Parkki!$D$79:$D$84</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0BE-48D2-80AB-4883A2FD451F}"/>
            </c:ext>
          </c:extLst>
        </c:ser>
        <c:ser>
          <c:idx val="1"/>
          <c:order val="1"/>
          <c:tx>
            <c:strRef>
              <c:f>Parkki!$E$78</c:f>
              <c:strCache>
                <c:ptCount val="1"/>
                <c:pt idx="0">
                  <c:v>Miehiä*</c:v>
                </c:pt>
              </c:strCache>
            </c:strRef>
          </c:tx>
          <c:spPr>
            <a:solidFill>
              <a:schemeClr val="accent4">
                <a:tint val="77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Parkki!$B$79:$B$84</c:f>
              <c:strCache>
                <c:ptCount val="6"/>
                <c:pt idx="0">
                  <c:v>Alle 16-vuotiaita</c:v>
                </c:pt>
                <c:pt idx="1">
                  <c:v>16-17-vuotiaita</c:v>
                </c:pt>
                <c:pt idx="2">
                  <c:v>18-20-vuotiaita</c:v>
                </c:pt>
                <c:pt idx="3">
                  <c:v>21-25-vuotiaita</c:v>
                </c:pt>
                <c:pt idx="4">
                  <c:v>26-28-vuotiaita</c:v>
                </c:pt>
                <c:pt idx="5">
                  <c:v>ei tietoa</c:v>
                </c:pt>
              </c:strCache>
            </c:strRef>
          </c:cat>
          <c:val>
            <c:numRef>
              <c:f>Parkki!$E$79:$E$84</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C0BE-48D2-80AB-4883A2FD451F}"/>
            </c:ext>
          </c:extLst>
        </c:ser>
        <c:dLbls>
          <c:dLblPos val="ctr"/>
          <c:showLegendKey val="0"/>
          <c:showVal val="1"/>
          <c:showCatName val="0"/>
          <c:showSerName val="0"/>
          <c:showPercent val="0"/>
          <c:showBubbleSize val="0"/>
        </c:dLbls>
        <c:gapWidth val="26"/>
        <c:overlap val="100"/>
        <c:axId val="664001288"/>
        <c:axId val="830968720"/>
      </c:barChart>
      <c:catAx>
        <c:axId val="6640012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crossAx val="830968720"/>
        <c:crosses val="autoZero"/>
        <c:auto val="1"/>
        <c:lblAlgn val="ctr"/>
        <c:lblOffset val="100"/>
        <c:noMultiLvlLbl val="0"/>
      </c:catAx>
      <c:valAx>
        <c:axId val="830968720"/>
        <c:scaling>
          <c:orientation val="minMax"/>
        </c:scaling>
        <c:delete val="1"/>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fi-FI"/>
                  <a:t>Nuorten määrä</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fi-FI"/>
            </a:p>
          </c:txPr>
        </c:title>
        <c:numFmt formatCode="#\ ##0;\ \-#\ ##0;\ \-\ " sourceLinked="1"/>
        <c:majorTickMark val="out"/>
        <c:minorTickMark val="none"/>
        <c:tickLblPos val="nextTo"/>
        <c:crossAx val="664001288"/>
        <c:crosses val="max"/>
        <c:crossBetween val="between"/>
      </c:valAx>
      <c:spPr>
        <a:noFill/>
        <a:ln>
          <a:noFill/>
        </a:ln>
        <a:effectLst/>
      </c:spPr>
    </c:plotArea>
    <c:legend>
      <c:legendPos val="b"/>
      <c:layout>
        <c:manualLayout>
          <c:xMode val="edge"/>
          <c:yMode val="edge"/>
          <c:x val="0.3906679128815132"/>
          <c:y val="0.85342209002095437"/>
          <c:w val="0.29381335018861326"/>
          <c:h val="0.11849128374680017"/>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Tavoitettu</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pieChart>
        <c:varyColors val="1"/>
        <c:ser>
          <c:idx val="0"/>
          <c:order val="0"/>
          <c:dPt>
            <c:idx val="0"/>
            <c:bubble3D val="0"/>
            <c:spPr>
              <a:solidFill>
                <a:schemeClr val="accent4">
                  <a:shade val="76000"/>
                </a:schemeClr>
              </a:solidFill>
              <a:ln w="19050">
                <a:solidFill>
                  <a:schemeClr val="lt1"/>
                </a:solidFill>
              </a:ln>
              <a:effectLst/>
            </c:spPr>
            <c:extLst>
              <c:ext xmlns:c16="http://schemas.microsoft.com/office/drawing/2014/chart" uri="{C3380CC4-5D6E-409C-BE32-E72D297353CC}">
                <c16:uniqueId val="{00000001-4FD1-486E-BF9F-930EA42CBA54}"/>
              </c:ext>
            </c:extLst>
          </c:dPt>
          <c:dPt>
            <c:idx val="1"/>
            <c:bubble3D val="0"/>
            <c:spPr>
              <a:solidFill>
                <a:schemeClr val="accent4">
                  <a:tint val="77000"/>
                </a:schemeClr>
              </a:solidFill>
              <a:ln w="19050">
                <a:solidFill>
                  <a:schemeClr val="lt1"/>
                </a:solidFill>
              </a:ln>
              <a:effectLst/>
            </c:spPr>
            <c:extLst>
              <c:ext xmlns:c16="http://schemas.microsoft.com/office/drawing/2014/chart" uri="{C3380CC4-5D6E-409C-BE32-E72D297353CC}">
                <c16:uniqueId val="{00000003-4FD1-486E-BF9F-930EA42CBA54}"/>
              </c:ext>
            </c:extLst>
          </c:dPt>
          <c:dLbls>
            <c:dLbl>
              <c:idx val="1"/>
              <c:dLblPos val="bestFit"/>
              <c:showLegendKey val="0"/>
              <c:showVal val="0"/>
              <c:showCatName val="1"/>
              <c:showSerName val="0"/>
              <c:showPercent val="1"/>
              <c:showBubbleSize val="0"/>
              <c:extLst>
                <c:ext xmlns:c15="http://schemas.microsoft.com/office/drawing/2012/chart" uri="{CE6537A1-D6FC-4f65-9D91-7224C49458BB}">
                  <c15:layout>
                    <c:manualLayout>
                      <c:w val="0.25078439906355693"/>
                      <c:h val="0.16975770796267095"/>
                    </c:manualLayout>
                  </c15:layout>
                </c:ext>
                <c:ext xmlns:c16="http://schemas.microsoft.com/office/drawing/2014/chart" uri="{C3380CC4-5D6E-409C-BE32-E72D297353CC}">
                  <c16:uniqueId val="{00000003-4FD1-486E-BF9F-930EA42CBA54}"/>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dLblPos val="bestFit"/>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Parkki!$D$78:$E$78</c:f>
              <c:strCache>
                <c:ptCount val="2"/>
                <c:pt idx="0">
                  <c:v>Naisia</c:v>
                </c:pt>
                <c:pt idx="1">
                  <c:v>Miehiä*</c:v>
                </c:pt>
              </c:strCache>
            </c:strRef>
          </c:cat>
          <c:val>
            <c:numRef>
              <c:f>Parkki!$D$85:$E$85</c:f>
              <c:numCache>
                <c:formatCode>General</c:formatCode>
                <c:ptCount val="2"/>
                <c:pt idx="0">
                  <c:v>0</c:v>
                </c:pt>
                <c:pt idx="1">
                  <c:v>0</c:v>
                </c:pt>
              </c:numCache>
            </c:numRef>
          </c:val>
          <c:extLst>
            <c:ext xmlns:c16="http://schemas.microsoft.com/office/drawing/2014/chart" uri="{C3380CC4-5D6E-409C-BE32-E72D297353CC}">
              <c16:uniqueId val="{00000004-4FD1-486E-BF9F-930EA42CBA54}"/>
            </c:ext>
          </c:extLst>
        </c:ser>
        <c:dLbls>
          <c:dLblPos val="bestFit"/>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pieChart>
        <c:varyColors val="1"/>
        <c:ser>
          <c:idx val="1"/>
          <c:order val="0"/>
          <c:dPt>
            <c:idx val="0"/>
            <c:bubble3D val="0"/>
            <c:spPr>
              <a:solidFill>
                <a:schemeClr val="accent3">
                  <a:lumMod val="60000"/>
                  <a:lumOff val="40000"/>
                </a:schemeClr>
              </a:solidFill>
            </c:spPr>
            <c:extLst>
              <c:ext xmlns:c16="http://schemas.microsoft.com/office/drawing/2014/chart" uri="{C3380CC4-5D6E-409C-BE32-E72D297353CC}">
                <c16:uniqueId val="{00000001-A6D1-48FF-8C0E-81D8DC7CA23B}"/>
              </c:ext>
            </c:extLst>
          </c:dPt>
          <c:dPt>
            <c:idx val="1"/>
            <c:bubble3D val="0"/>
            <c:spPr>
              <a:solidFill>
                <a:schemeClr val="accent2">
                  <a:tint val="77000"/>
                </a:schemeClr>
              </a:solidFill>
            </c:spPr>
            <c:extLst>
              <c:ext xmlns:c16="http://schemas.microsoft.com/office/drawing/2014/chart" uri="{C3380CC4-5D6E-409C-BE32-E72D297353CC}">
                <c16:uniqueId val="{00000003-A6D1-48FF-8C0E-81D8DC7CA23B}"/>
              </c:ext>
            </c:extLst>
          </c:dPt>
          <c:dLbls>
            <c:spPr>
              <a:noFill/>
              <a:ln>
                <a:noFill/>
              </a:ln>
              <a:effectLst/>
            </c:sp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Parkki!$B$90:$B$91</c:f>
              <c:strCache>
                <c:ptCount val="2"/>
                <c:pt idx="0">
                  <c:v>Yhä asiakkuudessa</c:v>
                </c:pt>
                <c:pt idx="1">
                  <c:v>Päättynyt asiakkuus</c:v>
                </c:pt>
              </c:strCache>
            </c:strRef>
          </c:cat>
          <c:val>
            <c:numRef>
              <c:f>Parkki!$C$90:$C$91</c:f>
              <c:numCache>
                <c:formatCode>#\ ##0;\ \-#\ ##0;\ \-\ </c:formatCode>
                <c:ptCount val="2"/>
                <c:pt idx="0">
                  <c:v>0</c:v>
                </c:pt>
                <c:pt idx="1">
                  <c:v>0</c:v>
                </c:pt>
              </c:numCache>
            </c:numRef>
          </c:val>
          <c:extLst>
            <c:ext xmlns:c16="http://schemas.microsoft.com/office/drawing/2014/chart" uri="{C3380CC4-5D6E-409C-BE32-E72D297353CC}">
              <c16:uniqueId val="{00000004-A6D1-48FF-8C0E-81D8DC7CA23B}"/>
            </c:ext>
          </c:extLst>
        </c:ser>
        <c:ser>
          <c:idx val="0"/>
          <c:order val="1"/>
          <c:dPt>
            <c:idx val="0"/>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6-A6D1-48FF-8C0E-81D8DC7CA23B}"/>
              </c:ext>
            </c:extLst>
          </c:dPt>
          <c:dPt>
            <c:idx val="1"/>
            <c:bubble3D val="0"/>
            <c:spPr>
              <a:solidFill>
                <a:schemeClr val="accent2">
                  <a:tint val="77000"/>
                </a:schemeClr>
              </a:solidFill>
              <a:ln w="19050">
                <a:solidFill>
                  <a:schemeClr val="lt1"/>
                </a:solidFill>
              </a:ln>
              <a:effectLst/>
            </c:spPr>
            <c:extLst>
              <c:ext xmlns:c16="http://schemas.microsoft.com/office/drawing/2014/chart" uri="{C3380CC4-5D6E-409C-BE32-E72D297353CC}">
                <c16:uniqueId val="{00000008-A6D1-48FF-8C0E-81D8DC7CA23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Parkki!$B$90:$B$91</c:f>
              <c:strCache>
                <c:ptCount val="2"/>
                <c:pt idx="0">
                  <c:v>Yhä asiakkuudessa</c:v>
                </c:pt>
                <c:pt idx="1">
                  <c:v>Päättynyt asiakkuus</c:v>
                </c:pt>
              </c:strCache>
            </c:strRef>
          </c:cat>
          <c:val>
            <c:numRef>
              <c:f>Parkki!$C$47:$C$48</c:f>
              <c:numCache>
                <c:formatCode>#\ ##0;\ \-#\ ##0;\ \-\ </c:formatCode>
                <c:ptCount val="2"/>
                <c:pt idx="0">
                  <c:v>0</c:v>
                </c:pt>
                <c:pt idx="1">
                  <c:v>0</c:v>
                </c:pt>
              </c:numCache>
            </c:numRef>
          </c:val>
          <c:extLst>
            <c:ext xmlns:c16="http://schemas.microsoft.com/office/drawing/2014/chart" uri="{C3380CC4-5D6E-409C-BE32-E72D297353CC}">
              <c16:uniqueId val="{00000009-A6D1-48FF-8C0E-81D8DC7CA23B}"/>
            </c:ext>
          </c:extLst>
        </c:ser>
        <c:dLbls>
          <c:dLblPos val="bestFit"/>
          <c:showLegendKey val="0"/>
          <c:showVal val="1"/>
          <c:showCatName val="0"/>
          <c:showSerName val="0"/>
          <c:showPercent val="0"/>
          <c:showBubbleSize val="0"/>
          <c:showLeaderLines val="1"/>
        </c:dLbls>
        <c:firstSliceAng val="0"/>
      </c:pieChart>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ln>
      <a:solidFill>
        <a:schemeClr val="bg1">
          <a:lumMod val="85000"/>
        </a:schemeClr>
      </a:solidFill>
    </a:ln>
  </c:spPr>
  <c:txPr>
    <a:bodyPr/>
    <a:lstStyle/>
    <a:p>
      <a:pPr>
        <a:defRPr/>
      </a:pPr>
      <a:endParaRPr lang="fi-FI"/>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i-FI" sz="1400" b="0" i="0" u="none" strike="noStrike" kern="1200" spc="0" baseline="0">
                <a:solidFill>
                  <a:sysClr val="windowText" lastClr="000000">
                    <a:lumMod val="65000"/>
                    <a:lumOff val="35000"/>
                  </a:sysClr>
                </a:solidFill>
                <a:latin typeface="+mn-lt"/>
                <a:ea typeface="+mn-ea"/>
                <a:cs typeface="+mn-cs"/>
              </a:defRPr>
            </a:pPr>
            <a:r>
              <a:rPr lang="fi-FI" sz="1400" b="0" i="0" u="none" strike="noStrike" kern="1200" spc="0" baseline="0">
                <a:solidFill>
                  <a:sysClr val="windowText" lastClr="000000">
                    <a:lumMod val="65000"/>
                    <a:lumOff val="35000"/>
                  </a:sysClr>
                </a:solidFill>
                <a:latin typeface="+mn-lt"/>
                <a:ea typeface="+mn-ea"/>
                <a:cs typeface="+mn-cs"/>
              </a:rPr>
              <a:t>TAVOITETUT nuoret toimenpiteissä</a:t>
            </a:r>
          </a:p>
        </c:rich>
      </c:tx>
      <c:overlay val="0"/>
      <c:spPr>
        <a:noFill/>
        <a:ln>
          <a:noFill/>
        </a:ln>
        <a:effectLst/>
      </c:spPr>
      <c:txPr>
        <a:bodyPr rot="0" spcFirstLastPara="1" vertOverflow="ellipsis" vert="horz" wrap="square" anchor="ctr" anchorCtr="1"/>
        <a:lstStyle/>
        <a:p>
          <a:pPr algn="ctr" rtl="0">
            <a:defRPr lang="fi-FI" sz="1400" b="0" i="0" u="none" strike="noStrike" kern="1200" spc="0" baseline="0">
              <a:solidFill>
                <a:sysClr val="windowText" lastClr="000000">
                  <a:lumMod val="65000"/>
                  <a:lumOff val="35000"/>
                </a:sysClr>
              </a:solidFill>
              <a:latin typeface="+mn-lt"/>
              <a:ea typeface="+mn-ea"/>
              <a:cs typeface="+mn-cs"/>
            </a:defRPr>
          </a:pPr>
          <a:endParaRPr lang="fi-FI"/>
        </a:p>
      </c:txPr>
    </c:title>
    <c:autoTitleDeleted val="0"/>
    <c:plotArea>
      <c:layout/>
      <c:pieChart>
        <c:varyColors val="1"/>
        <c:ser>
          <c:idx val="0"/>
          <c:order val="0"/>
          <c:dPt>
            <c:idx val="0"/>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02-A829-4F16-9052-0F29BCB465DC}"/>
              </c:ext>
            </c:extLst>
          </c:dPt>
          <c:dPt>
            <c:idx val="1"/>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03-A829-4F16-9052-0F29BCB465DC}"/>
              </c:ext>
            </c:extLst>
          </c:dPt>
          <c:dPt>
            <c:idx val="2"/>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04-A829-4F16-9052-0F29BCB465D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fi-FI"/>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Parkki!$D$293:$E$293</c:f>
              <c:strCache>
                <c:ptCount val="2"/>
                <c:pt idx="0">
                  <c:v>Toimenpiteissä</c:v>
                </c:pt>
                <c:pt idx="1">
                  <c:v>Ei vielä toimenpiteitä</c:v>
                </c:pt>
              </c:strCache>
            </c:strRef>
          </c:cat>
          <c:val>
            <c:numRef>
              <c:f>Parkki!$D$300:$E$300</c:f>
              <c:numCache>
                <c:formatCode>General</c:formatCode>
                <c:ptCount val="2"/>
                <c:pt idx="0">
                  <c:v>0</c:v>
                </c:pt>
                <c:pt idx="1">
                  <c:v>0</c:v>
                </c:pt>
              </c:numCache>
            </c:numRef>
          </c:val>
          <c:extLst>
            <c:ext xmlns:c16="http://schemas.microsoft.com/office/drawing/2014/chart" uri="{C3380CC4-5D6E-409C-BE32-E72D297353CC}">
              <c16:uniqueId val="{00000000-A829-4F16-9052-0F29BCB465DC}"/>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0.25584808730676384"/>
          <c:y val="7.7238222138674956E-2"/>
          <c:w val="0.70657719023379972"/>
          <c:h val="0.70452758626409184"/>
        </c:manualLayout>
      </c:layout>
      <c:barChart>
        <c:barDir val="bar"/>
        <c:grouping val="stacked"/>
        <c:varyColors val="0"/>
        <c:ser>
          <c:idx val="0"/>
          <c:order val="0"/>
          <c:tx>
            <c:strRef>
              <c:f>Parkki!$D$305</c:f>
              <c:strCache>
                <c:ptCount val="1"/>
                <c:pt idx="0">
                  <c:v>Naisia</c:v>
                </c:pt>
              </c:strCache>
            </c:strRef>
          </c:tx>
          <c:spPr>
            <a:solidFill>
              <a:schemeClr val="accent4">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Parkki!$B$306:$B$311</c:f>
              <c:strCache>
                <c:ptCount val="6"/>
                <c:pt idx="0">
                  <c:v>Alle 16-vuotiaita</c:v>
                </c:pt>
                <c:pt idx="1">
                  <c:v>16-17-vuotiaita</c:v>
                </c:pt>
                <c:pt idx="2">
                  <c:v>18-20-vuotiaita</c:v>
                </c:pt>
                <c:pt idx="3">
                  <c:v>21-25-vuotiaita</c:v>
                </c:pt>
                <c:pt idx="4">
                  <c:v>26-28-vuotiaita</c:v>
                </c:pt>
                <c:pt idx="5">
                  <c:v>ei tietoa</c:v>
                </c:pt>
              </c:strCache>
            </c:strRef>
          </c:cat>
          <c:val>
            <c:numRef>
              <c:f>Parkki!$D$306:$D$311</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51B-49CD-BD0C-0BF82CD0A511}"/>
            </c:ext>
          </c:extLst>
        </c:ser>
        <c:ser>
          <c:idx val="1"/>
          <c:order val="1"/>
          <c:tx>
            <c:strRef>
              <c:f>Parkki!$E$305</c:f>
              <c:strCache>
                <c:ptCount val="1"/>
                <c:pt idx="0">
                  <c:v>Miehiä*</c:v>
                </c:pt>
              </c:strCache>
            </c:strRef>
          </c:tx>
          <c:spPr>
            <a:solidFill>
              <a:schemeClr val="accent4">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Parkki!$B$306:$B$311</c:f>
              <c:strCache>
                <c:ptCount val="6"/>
                <c:pt idx="0">
                  <c:v>Alle 16-vuotiaita</c:v>
                </c:pt>
                <c:pt idx="1">
                  <c:v>16-17-vuotiaita</c:v>
                </c:pt>
                <c:pt idx="2">
                  <c:v>18-20-vuotiaita</c:v>
                </c:pt>
                <c:pt idx="3">
                  <c:v>21-25-vuotiaita</c:v>
                </c:pt>
                <c:pt idx="4">
                  <c:v>26-28-vuotiaita</c:v>
                </c:pt>
                <c:pt idx="5">
                  <c:v>ei tietoa</c:v>
                </c:pt>
              </c:strCache>
            </c:strRef>
          </c:cat>
          <c:val>
            <c:numRef>
              <c:f>Parkki!$E$306:$E$311</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351B-49CD-BD0C-0BF82CD0A511}"/>
            </c:ext>
          </c:extLst>
        </c:ser>
        <c:dLbls>
          <c:dLblPos val="ctr"/>
          <c:showLegendKey val="0"/>
          <c:showVal val="1"/>
          <c:showCatName val="0"/>
          <c:showSerName val="0"/>
          <c:showPercent val="0"/>
          <c:showBubbleSize val="0"/>
        </c:dLbls>
        <c:gapWidth val="26"/>
        <c:overlap val="100"/>
        <c:axId val="664001288"/>
        <c:axId val="830968720"/>
      </c:barChart>
      <c:catAx>
        <c:axId val="6640012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30968720"/>
        <c:crosses val="autoZero"/>
        <c:auto val="1"/>
        <c:lblAlgn val="ctr"/>
        <c:lblOffset val="100"/>
        <c:noMultiLvlLbl val="0"/>
      </c:catAx>
      <c:valAx>
        <c:axId val="830968720"/>
        <c:scaling>
          <c:orientation val="minMax"/>
        </c:scaling>
        <c:delete val="1"/>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i-FI"/>
                  <a:t>Nuorten</a:t>
                </a:r>
                <a:r>
                  <a:rPr lang="fi-FI" baseline="0"/>
                  <a:t> määrä</a:t>
                </a:r>
                <a:endParaRPr lang="fi-FI"/>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i-FI"/>
            </a:p>
          </c:txPr>
        </c:title>
        <c:numFmt formatCode="#\ ##0;\ \-#\ ##0;\ \-\ " sourceLinked="1"/>
        <c:majorTickMark val="out"/>
        <c:minorTickMark val="none"/>
        <c:tickLblPos val="nextTo"/>
        <c:crossAx val="664001288"/>
        <c:crosses val="max"/>
        <c:crossBetween val="between"/>
      </c:valAx>
      <c:spPr>
        <a:noFill/>
        <a:ln>
          <a:noFill/>
        </a:ln>
        <a:effectLst/>
      </c:spPr>
    </c:plotArea>
    <c:legend>
      <c:legendPos val="b"/>
      <c:layout>
        <c:manualLayout>
          <c:xMode val="edge"/>
          <c:yMode val="edge"/>
          <c:x val="0.34967730656212809"/>
          <c:y val="0.88150871625319982"/>
          <c:w val="0.29381335018861326"/>
          <c:h val="0.1184912837468001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a:t>Toimenpiteissä</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pieChart>
        <c:varyColors val="1"/>
        <c:ser>
          <c:idx val="0"/>
          <c:order val="0"/>
          <c:dPt>
            <c:idx val="0"/>
            <c:bubble3D val="0"/>
            <c:spPr>
              <a:solidFill>
                <a:schemeClr val="accent4">
                  <a:shade val="76000"/>
                </a:schemeClr>
              </a:solidFill>
              <a:ln w="19050">
                <a:solidFill>
                  <a:schemeClr val="lt1"/>
                </a:solidFill>
              </a:ln>
              <a:effectLst/>
            </c:spPr>
            <c:extLst>
              <c:ext xmlns:c16="http://schemas.microsoft.com/office/drawing/2014/chart" uri="{C3380CC4-5D6E-409C-BE32-E72D297353CC}">
                <c16:uniqueId val="{00000001-29D2-4C9F-8184-03D853448FDA}"/>
              </c:ext>
            </c:extLst>
          </c:dPt>
          <c:dPt>
            <c:idx val="1"/>
            <c:bubble3D val="0"/>
            <c:spPr>
              <a:solidFill>
                <a:schemeClr val="accent4">
                  <a:tint val="77000"/>
                </a:schemeClr>
              </a:solidFill>
              <a:ln w="19050">
                <a:solidFill>
                  <a:schemeClr val="lt1"/>
                </a:solidFill>
              </a:ln>
              <a:effectLst/>
            </c:spPr>
            <c:extLst>
              <c:ext xmlns:c16="http://schemas.microsoft.com/office/drawing/2014/chart" uri="{C3380CC4-5D6E-409C-BE32-E72D297353CC}">
                <c16:uniqueId val="{00000003-29D2-4C9F-8184-03D853448FDA}"/>
              </c:ext>
            </c:extLst>
          </c:dPt>
          <c:dLbls>
            <c:dLbl>
              <c:idx val="1"/>
              <c:layout>
                <c:manualLayout>
                  <c:x val="6.5702251692301261E-2"/>
                  <c:y val="0.10233326260147335"/>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35916374383788041"/>
                      <c:h val="0.21379982291112337"/>
                    </c:manualLayout>
                  </c15:layout>
                </c:ext>
                <c:ext xmlns:c16="http://schemas.microsoft.com/office/drawing/2014/chart" uri="{C3380CC4-5D6E-409C-BE32-E72D297353CC}">
                  <c16:uniqueId val="{00000003-29D2-4C9F-8184-03D853448FD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i-FI"/>
              </a:p>
            </c:txPr>
            <c:dLblPos val="bestFit"/>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Parkki!$D$305:$E$305</c:f>
              <c:strCache>
                <c:ptCount val="2"/>
                <c:pt idx="0">
                  <c:v>Naisia</c:v>
                </c:pt>
                <c:pt idx="1">
                  <c:v>Miehiä*</c:v>
                </c:pt>
              </c:strCache>
            </c:strRef>
          </c:cat>
          <c:val>
            <c:numRef>
              <c:f>Parkki!$D$312:$E$312</c:f>
              <c:numCache>
                <c:formatCode>General</c:formatCode>
                <c:ptCount val="2"/>
                <c:pt idx="0">
                  <c:v>0</c:v>
                </c:pt>
                <c:pt idx="1">
                  <c:v>0</c:v>
                </c:pt>
              </c:numCache>
            </c:numRef>
          </c:val>
          <c:extLst>
            <c:ext xmlns:c16="http://schemas.microsoft.com/office/drawing/2014/chart" uri="{C3380CC4-5D6E-409C-BE32-E72D297353CC}">
              <c16:uniqueId val="{00000004-29D2-4C9F-8184-03D853448FDA}"/>
            </c:ext>
          </c:extLst>
        </c:ser>
        <c:dLbls>
          <c:dLblPos val="bestFit"/>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4">
                <a:lumMod val="60000"/>
                <a:lumOff val="40000"/>
              </a:schemeClr>
            </a:solidFill>
            <a:ln>
              <a:noFill/>
            </a:ln>
            <a:effectLst/>
          </c:spPr>
          <c:invertIfNegative val="0"/>
          <c:dLbls>
            <c:spPr>
              <a:solidFill>
                <a:schemeClr val="bg1"/>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Parkki!$G$319:$G$373</c:f>
              <c:strCache>
                <c:ptCount val="55"/>
                <c:pt idx="0">
                  <c:v>Etsivien tuki ja rinnalla kulkeminen</c:v>
                </c:pt>
                <c:pt idx="1">
                  <c:v>Menetelmällinen työskentely nuoren kanssa</c:v>
                </c:pt>
                <c:pt idx="2">
                  <c:v>Ryhmämuotoinen toiminta</c:v>
                </c:pt>
                <c:pt idx="3">
                  <c:v>Monialainen verkostoyhteistyö</c:v>
                </c:pt>
                <c:pt idx="4">
                  <c:v>Nuotta-valmennus</c:v>
                </c:pt>
                <c:pt idx="5">
                  <c:v>Palveluihin ohjaaminen</c:v>
                </c:pt>
                <c:pt idx="6">
                  <c:v>Tuki viranomaisasioiden hoitamiseen</c:v>
                </c:pt>
                <c:pt idx="7">
                  <c:v>Ohjattu opiskelupaikan haussa</c:v>
                </c:pt>
                <c:pt idx="8">
                  <c:v>Asumiseen liittyvä tuki</c:v>
                </c:pt>
                <c:pt idx="9">
                  <c:v>Työnhaun ohjaus ja neuvonta</c:v>
                </c:pt>
                <c:pt idx="10">
                  <c:v>Yhteiset tutustumiskäynnit</c:v>
                </c:pt>
                <c:pt idx="11">
                  <c:v>Ohjaus toisille etsiville</c:v>
                </c:pt>
                <c:pt idx="12">
                  <c:v>Sovari-kysely toimitettu nuorelle</c:v>
                </c:pt>
                <c:pt idx="13">
                  <c:v>0</c:v>
                </c:pt>
                <c:pt idx="14">
                  <c:v>0</c:v>
                </c:pt>
                <c:pt idx="15">
                  <c:v>0</c:v>
                </c:pt>
                <c:pt idx="16">
                  <c:v>Mielenterveyden hoito</c:v>
                </c:pt>
                <c:pt idx="17">
                  <c:v>Päihde- ja riippuvuushoito</c:v>
                </c:pt>
                <c:pt idx="18">
                  <c:v>Matalan kynnyksen apu mielenterveyteen ja/tai päihdeongelmiin</c:v>
                </c:pt>
                <c:pt idx="19">
                  <c:v>Muut terveyteen liittyvät palvelut</c:v>
                </c:pt>
                <c:pt idx="20">
                  <c:v>Toimeentuloon liittyvät palvelut</c:v>
                </c:pt>
                <c:pt idx="21">
                  <c:v>Velkaneuvonta ja muu talouteen liittyvä neuvonta</c:v>
                </c:pt>
                <c:pt idx="22">
                  <c:v>Lastensuojelu ja jälkihuolto</c:v>
                </c:pt>
                <c:pt idx="23">
                  <c:v>Muu sosiaalityön palvelu</c:v>
                </c:pt>
                <c:pt idx="24">
                  <c:v>Kelan ammatillinen kuntoutus</c:v>
                </c:pt>
                <c:pt idx="25">
                  <c:v>Muu kuntoutus</c:v>
                </c:pt>
                <c:pt idx="26">
                  <c:v>Nuorisotoimen palvelut</c:v>
                </c:pt>
                <c:pt idx="27">
                  <c:v>Kulttuuri- ja taidetoiminta</c:v>
                </c:pt>
                <c:pt idx="28">
                  <c:v>Liikunta- ja ulkoilutoiminta</c:v>
                </c:pt>
                <c:pt idx="29">
                  <c:v>Järjestöjen toiminta</c:v>
                </c:pt>
                <c:pt idx="30">
                  <c:v>Muu vapaa-ajan toiminta</c:v>
                </c:pt>
                <c:pt idx="31">
                  <c:v>Peruskoulun opinnot</c:v>
                </c:pt>
                <c:pt idx="32">
                  <c:v>TUVA-koulutus</c:v>
                </c:pt>
                <c:pt idx="33">
                  <c:v>Lukion opinnot</c:v>
                </c:pt>
                <c:pt idx="34">
                  <c:v>Ammatilliset perusopinnot</c:v>
                </c:pt>
                <c:pt idx="35">
                  <c:v>Muut ammatilliset opinnot</c:v>
                </c:pt>
                <c:pt idx="36">
                  <c:v>Oppisopimuskoulutus</c:v>
                </c:pt>
                <c:pt idx="37">
                  <c:v>Korkeakouluopinnot</c:v>
                </c:pt>
                <c:pt idx="38">
                  <c:v>Kansanopiston opinnot</c:v>
                </c:pt>
                <c:pt idx="39">
                  <c:v>Muu opiskelu</c:v>
                </c:pt>
                <c:pt idx="40">
                  <c:v>Ilmoittautuminen työttömäksi työnhakijaksi</c:v>
                </c:pt>
                <c:pt idx="41">
                  <c:v>Kuntouttava työtoiminta (muualle kuin työpajaan)</c:v>
                </c:pt>
                <c:pt idx="42">
                  <c:v>Työkokeilu (muualle kuin työpajaan)</c:v>
                </c:pt>
                <c:pt idx="43">
                  <c:v>Starttivalmennus</c:v>
                </c:pt>
                <c:pt idx="44">
                  <c:v>Nuorten työpajatoiminta</c:v>
                </c:pt>
                <c:pt idx="45">
                  <c:v>Ammatinvalinta- ja uraohjaus</c:v>
                </c:pt>
                <c:pt idx="46">
                  <c:v>Kuntakokeilu (vanha)</c:v>
                </c:pt>
                <c:pt idx="47">
                  <c:v>Muut työelämään liittyvät palvelut</c:v>
                </c:pt>
                <c:pt idx="48">
                  <c:v>Työhön avoimille työmarkkinoille</c:v>
                </c:pt>
                <c:pt idx="49">
                  <c:v>Ohjaamo</c:v>
                </c:pt>
                <c:pt idx="50">
                  <c:v>Ohjaaminen kotouttamistoimenpiteisiin</c:v>
                </c:pt>
                <c:pt idx="51">
                  <c:v>Varusmiespalvelu</c:v>
                </c:pt>
                <c:pt idx="52">
                  <c:v>Siviilipalvelu</c:v>
                </c:pt>
                <c:pt idx="53">
                  <c:v>Poliisi</c:v>
                </c:pt>
                <c:pt idx="54">
                  <c:v>Muut toimenpiteet</c:v>
                </c:pt>
              </c:strCache>
            </c:strRef>
          </c:cat>
          <c:val>
            <c:numRef>
              <c:f>Parkki!$H$319:$H$373</c:f>
              <c:numCache>
                <c:formatCode>0.0\ %</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extLst>
            <c:ext xmlns:c16="http://schemas.microsoft.com/office/drawing/2014/chart" uri="{C3380CC4-5D6E-409C-BE32-E72D297353CC}">
              <c16:uniqueId val="{00000000-61E3-4671-971A-8A54087790C5}"/>
            </c:ext>
          </c:extLst>
        </c:ser>
        <c:dLbls>
          <c:showLegendKey val="0"/>
          <c:showVal val="0"/>
          <c:showCatName val="0"/>
          <c:showSerName val="0"/>
          <c:showPercent val="0"/>
          <c:showBubbleSize val="0"/>
        </c:dLbls>
        <c:gapWidth val="40"/>
        <c:overlap val="10"/>
        <c:axId val="995596584"/>
        <c:axId val="995594944"/>
      </c:barChart>
      <c:catAx>
        <c:axId val="995596584"/>
        <c:scaling>
          <c:orientation val="maxMin"/>
        </c:scaling>
        <c:delete val="1"/>
        <c:axPos val="l"/>
        <c:numFmt formatCode="General" sourceLinked="1"/>
        <c:majorTickMark val="out"/>
        <c:minorTickMark val="none"/>
        <c:tickLblPos val="nextTo"/>
        <c:crossAx val="995594944"/>
        <c:crosses val="autoZero"/>
        <c:auto val="1"/>
        <c:lblAlgn val="ctr"/>
        <c:lblOffset val="100"/>
        <c:noMultiLvlLbl val="0"/>
      </c:catAx>
      <c:valAx>
        <c:axId val="99559494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95596584"/>
        <c:crosses val="max"/>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fi-FI" sz="1600" b="0" i="0" u="none" strike="noStrike" kern="1200" cap="none" spc="20" baseline="0">
                <a:solidFill>
                  <a:sysClr val="windowText" lastClr="000000">
                    <a:lumMod val="65000"/>
                    <a:lumOff val="35000"/>
                  </a:sysClr>
                </a:solidFill>
                <a:latin typeface="Calibri" panose="020F0502020204030204"/>
                <a:ea typeface="Calibri" panose="020F0502020204030204" pitchFamily="34" charset="0"/>
                <a:cs typeface="Calibri" panose="020F0502020204030204" pitchFamily="34" charset="0"/>
              </a:defRPr>
            </a:pPr>
            <a:r>
              <a:rPr lang="fi-FI" sz="1600" b="0" i="0" u="none" strike="noStrike" cap="none" spc="20" baseline="0" dirty="0">
                <a:solidFill>
                  <a:sysClr val="windowText" lastClr="000000">
                    <a:lumMod val="65000"/>
                    <a:lumOff val="35000"/>
                  </a:sysClr>
                </a:solidFill>
                <a:latin typeface="Calibri" panose="020F0502020204030204"/>
                <a:ea typeface="Calibri" panose="020F0502020204030204" pitchFamily="34" charset="0"/>
                <a:cs typeface="Calibri" panose="020F0502020204030204" pitchFamily="34" charset="0"/>
              </a:rPr>
              <a:t>Mitä kautta TAVOITETUT nuoret ohjautuivat etsivän nuorisotyön piiriin?</a:t>
            </a:r>
          </a:p>
        </c:rich>
      </c:tx>
      <c:layout>
        <c:manualLayout>
          <c:xMode val="edge"/>
          <c:yMode val="edge"/>
          <c:x val="0.1373279146558293"/>
          <c:y val="2.7027027027027029E-2"/>
        </c:manualLayout>
      </c:layout>
      <c:overlay val="0"/>
      <c:spPr>
        <a:noFill/>
        <a:ln>
          <a:noFill/>
        </a:ln>
        <a:effectLst/>
      </c:spPr>
      <c:txPr>
        <a:bodyPr rot="0" spcFirstLastPara="1" vertOverflow="ellipsis" vert="horz" wrap="square" anchor="ctr" anchorCtr="1"/>
        <a:lstStyle/>
        <a:p>
          <a:pPr>
            <a:defRPr lang="fi-FI" sz="1600" b="0" i="0" u="none" strike="noStrike" kern="1200" cap="none" spc="20" baseline="0">
              <a:solidFill>
                <a:sysClr val="windowText" lastClr="000000">
                  <a:lumMod val="65000"/>
                  <a:lumOff val="35000"/>
                </a:sysClr>
              </a:solidFill>
              <a:latin typeface="Calibri" panose="020F0502020204030204"/>
              <a:ea typeface="Calibri" panose="020F0502020204030204" pitchFamily="34" charset="0"/>
              <a:cs typeface="Calibri" panose="020F0502020204030204" pitchFamily="34" charset="0"/>
            </a:defRPr>
          </a:pPr>
          <a:endParaRPr lang="fi-FI"/>
        </a:p>
      </c:txPr>
    </c:title>
    <c:autoTitleDeleted val="0"/>
    <c:plotArea>
      <c:layout/>
      <c:pieChart>
        <c:varyColors val="1"/>
        <c:ser>
          <c:idx val="0"/>
          <c:order val="0"/>
          <c:dPt>
            <c:idx val="0"/>
            <c:bubble3D val="0"/>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1-528D-483C-919B-2B4BAF17FD71}"/>
              </c:ext>
            </c:extLst>
          </c:dPt>
          <c:dPt>
            <c:idx val="1"/>
            <c:bubble3D val="0"/>
            <c:spPr>
              <a:gradFill rotWithShape="1">
                <a:gsLst>
                  <a:gs pos="0">
                    <a:schemeClr val="accent2">
                      <a:tint val="50000"/>
                      <a:satMod val="300000"/>
                    </a:schemeClr>
                  </a:gs>
                  <a:gs pos="35000">
                    <a:schemeClr val="accent2">
                      <a:tint val="37000"/>
                      <a:satMod val="300000"/>
                    </a:schemeClr>
                  </a:gs>
                  <a:gs pos="100000">
                    <a:schemeClr val="accent2">
                      <a:tint val="15000"/>
                      <a:satMod val="350000"/>
                    </a:schemeClr>
                  </a:gs>
                </a:gsLst>
                <a:lin ang="16200000" scaled="1"/>
              </a:gradFill>
              <a:ln w="9525" cap="flat" cmpd="sng" algn="ctr">
                <a:solidFill>
                  <a:schemeClr val="accent2">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3-528D-483C-919B-2B4BAF17FD71}"/>
              </c:ext>
            </c:extLst>
          </c:dPt>
          <c:dPt>
            <c:idx val="2"/>
            <c:bubble3D val="0"/>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5-528D-483C-919B-2B4BAF17FD71}"/>
              </c:ext>
            </c:extLst>
          </c:dPt>
          <c:dPt>
            <c:idx val="3"/>
            <c:bubble3D val="0"/>
            <c:spPr>
              <a:gradFill rotWithShape="1">
                <a:gsLst>
                  <a:gs pos="0">
                    <a:schemeClr val="accent4">
                      <a:tint val="50000"/>
                      <a:satMod val="300000"/>
                    </a:schemeClr>
                  </a:gs>
                  <a:gs pos="35000">
                    <a:schemeClr val="accent4">
                      <a:tint val="37000"/>
                      <a:satMod val="300000"/>
                    </a:schemeClr>
                  </a:gs>
                  <a:gs pos="100000">
                    <a:schemeClr val="accent4">
                      <a:tint val="15000"/>
                      <a:satMod val="350000"/>
                    </a:schemeClr>
                  </a:gs>
                </a:gsLst>
                <a:lin ang="16200000" scaled="1"/>
              </a:gradFill>
              <a:ln w="9525" cap="flat" cmpd="sng" algn="ctr">
                <a:solidFill>
                  <a:schemeClr val="accent4">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7-528D-483C-919B-2B4BAF17FD71}"/>
              </c:ext>
            </c:extLst>
          </c:dPt>
          <c:dPt>
            <c:idx val="4"/>
            <c:bubble3D val="0"/>
            <c:spPr>
              <a:gradFill rotWithShape="1">
                <a:gsLst>
                  <a:gs pos="0">
                    <a:schemeClr val="accent5">
                      <a:tint val="50000"/>
                      <a:satMod val="300000"/>
                    </a:schemeClr>
                  </a:gs>
                  <a:gs pos="35000">
                    <a:schemeClr val="accent5">
                      <a:tint val="37000"/>
                      <a:satMod val="300000"/>
                    </a:schemeClr>
                  </a:gs>
                  <a:gs pos="100000">
                    <a:schemeClr val="accent5">
                      <a:tint val="15000"/>
                      <a:satMod val="350000"/>
                    </a:schemeClr>
                  </a:gs>
                </a:gsLst>
                <a:lin ang="16200000" scaled="1"/>
              </a:gradFill>
              <a:ln w="9525" cap="flat" cmpd="sng" algn="ctr">
                <a:solidFill>
                  <a:schemeClr val="accent5">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9-528D-483C-919B-2B4BAF17FD71}"/>
              </c:ext>
            </c:extLst>
          </c:dPt>
          <c:dPt>
            <c:idx val="5"/>
            <c:bubble3D val="0"/>
            <c:spPr>
              <a:gradFill rotWithShape="1">
                <a:gsLst>
                  <a:gs pos="0">
                    <a:schemeClr val="accent6">
                      <a:tint val="50000"/>
                      <a:satMod val="300000"/>
                    </a:schemeClr>
                  </a:gs>
                  <a:gs pos="35000">
                    <a:schemeClr val="accent6">
                      <a:tint val="37000"/>
                      <a:satMod val="300000"/>
                    </a:schemeClr>
                  </a:gs>
                  <a:gs pos="100000">
                    <a:schemeClr val="accent6">
                      <a:tint val="15000"/>
                      <a:satMod val="350000"/>
                    </a:schemeClr>
                  </a:gs>
                </a:gsLst>
                <a:lin ang="16200000" scaled="1"/>
              </a:gradFill>
              <a:ln w="9525" cap="flat" cmpd="sng" algn="ctr">
                <a:solidFill>
                  <a:schemeClr val="accent6">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B-528D-483C-919B-2B4BAF17FD71}"/>
              </c:ext>
            </c:extLst>
          </c:dPt>
          <c:dPt>
            <c:idx val="6"/>
            <c:bubble3D val="0"/>
            <c:spPr>
              <a:gradFill rotWithShape="1">
                <a:gsLst>
                  <a:gs pos="0">
                    <a:schemeClr val="accent1">
                      <a:lumMod val="60000"/>
                      <a:tint val="50000"/>
                      <a:satMod val="300000"/>
                    </a:schemeClr>
                  </a:gs>
                  <a:gs pos="35000">
                    <a:schemeClr val="accent1">
                      <a:lumMod val="60000"/>
                      <a:tint val="37000"/>
                      <a:satMod val="300000"/>
                    </a:schemeClr>
                  </a:gs>
                  <a:gs pos="100000">
                    <a:schemeClr val="accent1">
                      <a:lumMod val="60000"/>
                      <a:tint val="15000"/>
                      <a:satMod val="350000"/>
                    </a:schemeClr>
                  </a:gs>
                </a:gsLst>
                <a:lin ang="16200000" scaled="1"/>
              </a:gradFill>
              <a:ln w="9525" cap="flat" cmpd="sng" algn="ctr">
                <a:solidFill>
                  <a:schemeClr val="accent1">
                    <a:lumMod val="60000"/>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D-528D-483C-919B-2B4BAF17FD71}"/>
              </c:ext>
            </c:extLst>
          </c:dPt>
          <c:dPt>
            <c:idx val="7"/>
            <c:bubble3D val="0"/>
            <c:spPr>
              <a:gradFill rotWithShape="1">
                <a:gsLst>
                  <a:gs pos="0">
                    <a:schemeClr val="accent2">
                      <a:lumMod val="60000"/>
                      <a:tint val="50000"/>
                      <a:satMod val="300000"/>
                    </a:schemeClr>
                  </a:gs>
                  <a:gs pos="35000">
                    <a:schemeClr val="accent2">
                      <a:lumMod val="60000"/>
                      <a:tint val="37000"/>
                      <a:satMod val="300000"/>
                    </a:schemeClr>
                  </a:gs>
                  <a:gs pos="100000">
                    <a:schemeClr val="accent2">
                      <a:lumMod val="60000"/>
                      <a:tint val="15000"/>
                      <a:satMod val="350000"/>
                    </a:schemeClr>
                  </a:gs>
                </a:gsLst>
                <a:lin ang="16200000" scaled="1"/>
              </a:gradFill>
              <a:ln w="9525" cap="flat" cmpd="sng" algn="ctr">
                <a:solidFill>
                  <a:schemeClr val="accent2">
                    <a:lumMod val="60000"/>
                    <a:shade val="95000"/>
                  </a:schemeClr>
                </a:solidFill>
                <a:round/>
              </a:ln>
              <a:effectLst>
                <a:outerShdw blurRad="40000" dist="20000" dir="5400000" rotWithShape="0">
                  <a:srgbClr val="000000">
                    <a:alpha val="38000"/>
                  </a:srgbClr>
                </a:outerShdw>
              </a:effectLst>
            </c:spPr>
            <c:extLst>
              <c:ext xmlns:c16="http://schemas.microsoft.com/office/drawing/2014/chart" uri="{C3380CC4-5D6E-409C-BE32-E72D297353CC}">
                <c16:uniqueId val="{0000000F-528D-483C-919B-2B4BAF17FD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65000"/>
                        <a:lumOff val="35000"/>
                      </a:schemeClr>
                    </a:solidFill>
                    <a:latin typeface="+mn-lt"/>
                    <a:ea typeface="+mn-ea"/>
                    <a:cs typeface="+mn-cs"/>
                  </a:defRPr>
                </a:pPr>
                <a:endParaRPr lang="fi-FI"/>
              </a:p>
            </c:txPr>
            <c:dLblPos val="ctr"/>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val>
            <c:numRef>
              <c:f>Parkki!$W$128:$W$135</c:f>
            </c:numRef>
          </c:val>
          <c:extLst>
            <c:ext xmlns:c15="http://schemas.microsoft.com/office/drawing/2012/chart" uri="{02D57815-91ED-43cb-92C2-25804820EDAC}">
              <c15:filteredCategoryTitle>
                <c15:cat>
                  <c:multiLvlStrRef>
                    <c:extLst>
                      <c:ext uri="{02D57815-91ED-43cb-92C2-25804820EDAC}">
                        <c15:formulaRef>
                          <c15:sqref>Parkki!$V$128:$V$135</c15:sqref>
                        </c15:formulaRef>
                      </c:ext>
                    </c:extLst>
                  </c:multiLvlStrRef>
                </c15:cat>
              </c15:filteredCategoryTitle>
            </c:ext>
            <c:ext xmlns:c16="http://schemas.microsoft.com/office/drawing/2014/chart" uri="{C3380CC4-5D6E-409C-BE32-E72D297353CC}">
              <c16:uniqueId val="{00000000-BB85-401F-BF51-1A61DE5E97E4}"/>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50000"/>
                  <a:lumOff val="50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1541949939184431"/>
          <c:w val="1"/>
          <c:h val="0.84580500608155684"/>
        </c:manualLayout>
      </c:layout>
      <c:barChart>
        <c:barDir val="bar"/>
        <c:grouping val="stacked"/>
        <c:varyColors val="0"/>
        <c:ser>
          <c:idx val="0"/>
          <c:order val="0"/>
          <c:tx>
            <c:strRef>
              <c:f>Asiakastilastot!$F$62</c:f>
              <c:strCache>
                <c:ptCount val="1"/>
                <c:pt idx="0">
                  <c:v>Miehiä</c:v>
                </c:pt>
              </c:strCache>
            </c:strRef>
          </c:tx>
          <c:spPr>
            <a:solidFill>
              <a:schemeClr val="accent4">
                <a:lumMod val="75000"/>
              </a:schemeClr>
            </a:solidFill>
            <a:ln>
              <a:noFill/>
            </a:ln>
            <a:effectLst/>
          </c:spPr>
          <c:invertIfNegative val="0"/>
          <c:dPt>
            <c:idx val="1"/>
            <c:invertIfNegative val="0"/>
            <c:bubble3D val="0"/>
            <c:extLst>
              <c:ext xmlns:c16="http://schemas.microsoft.com/office/drawing/2014/chart" uri="{C3380CC4-5D6E-409C-BE32-E72D297353CC}">
                <c16:uniqueId val="{00000000-C440-4F8F-BD16-E305A764871A}"/>
              </c:ext>
            </c:extLst>
          </c:dPt>
          <c:dPt>
            <c:idx val="5"/>
            <c:invertIfNegative val="0"/>
            <c:bubble3D val="0"/>
            <c:spPr>
              <a:solidFill>
                <a:schemeClr val="accent4">
                  <a:lumMod val="75000"/>
                </a:schemeClr>
              </a:solidFill>
              <a:ln>
                <a:noFill/>
              </a:ln>
              <a:effectLst/>
            </c:spPr>
            <c:extLst>
              <c:ext xmlns:c16="http://schemas.microsoft.com/office/drawing/2014/chart" uri="{C3380CC4-5D6E-409C-BE32-E72D297353CC}">
                <c16:uniqueId val="{00000002-C440-4F8F-BD16-E305A764871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Asiakastilastot!$G$64:$G$71</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C440-4F8F-BD16-E305A764871A}"/>
            </c:ext>
          </c:extLst>
        </c:ser>
        <c:ser>
          <c:idx val="1"/>
          <c:order val="1"/>
          <c:tx>
            <c:strRef>
              <c:f>Asiakastilastot!$D$62</c:f>
              <c:strCache>
                <c:ptCount val="1"/>
                <c:pt idx="0">
                  <c:v>Naisia</c:v>
                </c:pt>
              </c:strCache>
            </c:strRef>
          </c:tx>
          <c:spPr>
            <a:solidFill>
              <a:schemeClr val="accent4">
                <a:lumMod val="40000"/>
                <a:lumOff val="60000"/>
              </a:schemeClr>
            </a:solidFill>
            <a:ln>
              <a:noFill/>
            </a:ln>
            <a:effectLst/>
          </c:spPr>
          <c:invertIfNegative val="0"/>
          <c:dPt>
            <c:idx val="1"/>
            <c:invertIfNegative val="0"/>
            <c:bubble3D val="0"/>
            <c:extLst>
              <c:ext xmlns:c16="http://schemas.microsoft.com/office/drawing/2014/chart" uri="{C3380CC4-5D6E-409C-BE32-E72D297353CC}">
                <c16:uniqueId val="{00000004-C440-4F8F-BD16-E305A764871A}"/>
              </c:ext>
            </c:extLst>
          </c:dPt>
          <c:dPt>
            <c:idx val="5"/>
            <c:invertIfNegative val="0"/>
            <c:bubble3D val="0"/>
            <c:spPr>
              <a:solidFill>
                <a:schemeClr val="accent4">
                  <a:lumMod val="40000"/>
                  <a:lumOff val="60000"/>
                </a:schemeClr>
              </a:solidFill>
              <a:ln>
                <a:noFill/>
              </a:ln>
              <a:effectLst/>
            </c:spPr>
            <c:extLst>
              <c:ext xmlns:c16="http://schemas.microsoft.com/office/drawing/2014/chart" uri="{C3380CC4-5D6E-409C-BE32-E72D297353CC}">
                <c16:uniqueId val="{00000006-C440-4F8F-BD16-E305A764871A}"/>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Asiakastilastot!$E$64:$E$71</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7-C440-4F8F-BD16-E305A764871A}"/>
            </c:ext>
          </c:extLst>
        </c:ser>
        <c:dLbls>
          <c:dLblPos val="ctr"/>
          <c:showLegendKey val="0"/>
          <c:showVal val="1"/>
          <c:showCatName val="0"/>
          <c:showSerName val="0"/>
          <c:showPercent val="0"/>
          <c:showBubbleSize val="0"/>
        </c:dLbls>
        <c:gapWidth val="79"/>
        <c:overlap val="100"/>
        <c:axId val="106701312"/>
        <c:axId val="106376576"/>
      </c:barChart>
      <c:catAx>
        <c:axId val="106701312"/>
        <c:scaling>
          <c:orientation val="maxMin"/>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fi-FI"/>
          </a:p>
        </c:txPr>
        <c:crossAx val="106376576"/>
        <c:crosses val="autoZero"/>
        <c:auto val="1"/>
        <c:lblAlgn val="ctr"/>
        <c:lblOffset val="100"/>
        <c:noMultiLvlLbl val="0"/>
      </c:catAx>
      <c:valAx>
        <c:axId val="106376576"/>
        <c:scaling>
          <c:orientation val="minMax"/>
          <c:max val="100"/>
        </c:scaling>
        <c:delete val="1"/>
        <c:axPos val="t"/>
        <c:numFmt formatCode="0" sourceLinked="0"/>
        <c:majorTickMark val="none"/>
        <c:minorTickMark val="none"/>
        <c:tickLblPos val="nextTo"/>
        <c:crossAx val="10670131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fi-FI"/>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col"/>
        <c:grouping val="stacked"/>
        <c:varyColors val="0"/>
        <c:ser>
          <c:idx val="0"/>
          <c:order val="0"/>
          <c:tx>
            <c:v>Naisia</c:v>
          </c:tx>
          <c:spPr>
            <a:solidFill>
              <a:schemeClr val="accent4">
                <a:shade val="76000"/>
              </a:schemeClr>
            </a:solidFill>
            <a:ln>
              <a:noFill/>
            </a:ln>
            <a:effectLst/>
          </c:spPr>
          <c:invertIfNegative val="0"/>
          <c:cat>
            <c:strRef>
              <c:f>(Asiakastilastot!$A$35:$A$57,Asiakastilastot!$A$59)</c:f>
              <c:strCache>
                <c:ptCount val="24"/>
                <c:pt idx="0">
                  <c:v>7v</c:v>
                </c:pt>
                <c:pt idx="1">
                  <c:v>8v</c:v>
                </c:pt>
                <c:pt idx="2">
                  <c:v>9v</c:v>
                </c:pt>
                <c:pt idx="3">
                  <c:v>10v</c:v>
                </c:pt>
                <c:pt idx="4">
                  <c:v>11v</c:v>
                </c:pt>
                <c:pt idx="5">
                  <c:v>12v</c:v>
                </c:pt>
                <c:pt idx="6">
                  <c:v>13v</c:v>
                </c:pt>
                <c:pt idx="7">
                  <c:v>14v</c:v>
                </c:pt>
                <c:pt idx="8">
                  <c:v>15v</c:v>
                </c:pt>
                <c:pt idx="9">
                  <c:v>16v</c:v>
                </c:pt>
                <c:pt idx="10">
                  <c:v>17v</c:v>
                </c:pt>
                <c:pt idx="11">
                  <c:v>18v</c:v>
                </c:pt>
                <c:pt idx="12">
                  <c:v>19v</c:v>
                </c:pt>
                <c:pt idx="13">
                  <c:v>20v</c:v>
                </c:pt>
                <c:pt idx="14">
                  <c:v>21v</c:v>
                </c:pt>
                <c:pt idx="15">
                  <c:v>22v</c:v>
                </c:pt>
                <c:pt idx="16">
                  <c:v>23v</c:v>
                </c:pt>
                <c:pt idx="17">
                  <c:v>24v</c:v>
                </c:pt>
                <c:pt idx="18">
                  <c:v>25v</c:v>
                </c:pt>
                <c:pt idx="19">
                  <c:v>26v</c:v>
                </c:pt>
                <c:pt idx="20">
                  <c:v>27v</c:v>
                </c:pt>
                <c:pt idx="21">
                  <c:v>28v</c:v>
                </c:pt>
                <c:pt idx="22">
                  <c:v>ikä ei tietoa</c:v>
                </c:pt>
                <c:pt idx="23">
                  <c:v>tiedoksi: 29 v. ja vanhempi</c:v>
                </c:pt>
              </c:strCache>
            </c:strRef>
          </c:cat>
          <c:val>
            <c:numRef>
              <c:f>(Asiakastilastot!$D$35:$D$57,Asiakastilastot!$D$59)</c:f>
              <c:numCache>
                <c:formatCode>#\ ##0;\ \-#\ ##0;\ \-\ </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440B-452E-8F80-F27386764170}"/>
            </c:ext>
          </c:extLst>
        </c:ser>
        <c:ser>
          <c:idx val="1"/>
          <c:order val="1"/>
          <c:tx>
            <c:v>Miehiä</c:v>
          </c:tx>
          <c:spPr>
            <a:solidFill>
              <a:schemeClr val="accent4">
                <a:tint val="77000"/>
              </a:schemeClr>
            </a:solidFill>
            <a:ln>
              <a:noFill/>
            </a:ln>
            <a:effectLst/>
          </c:spPr>
          <c:invertIfNegative val="0"/>
          <c:cat>
            <c:strRef>
              <c:f>(Asiakastilastot!$A$35:$A$57,Asiakastilastot!$A$59)</c:f>
              <c:strCache>
                <c:ptCount val="24"/>
                <c:pt idx="0">
                  <c:v>7v</c:v>
                </c:pt>
                <c:pt idx="1">
                  <c:v>8v</c:v>
                </c:pt>
                <c:pt idx="2">
                  <c:v>9v</c:v>
                </c:pt>
                <c:pt idx="3">
                  <c:v>10v</c:v>
                </c:pt>
                <c:pt idx="4">
                  <c:v>11v</c:v>
                </c:pt>
                <c:pt idx="5">
                  <c:v>12v</c:v>
                </c:pt>
                <c:pt idx="6">
                  <c:v>13v</c:v>
                </c:pt>
                <c:pt idx="7">
                  <c:v>14v</c:v>
                </c:pt>
                <c:pt idx="8">
                  <c:v>15v</c:v>
                </c:pt>
                <c:pt idx="9">
                  <c:v>16v</c:v>
                </c:pt>
                <c:pt idx="10">
                  <c:v>17v</c:v>
                </c:pt>
                <c:pt idx="11">
                  <c:v>18v</c:v>
                </c:pt>
                <c:pt idx="12">
                  <c:v>19v</c:v>
                </c:pt>
                <c:pt idx="13">
                  <c:v>20v</c:v>
                </c:pt>
                <c:pt idx="14">
                  <c:v>21v</c:v>
                </c:pt>
                <c:pt idx="15">
                  <c:v>22v</c:v>
                </c:pt>
                <c:pt idx="16">
                  <c:v>23v</c:v>
                </c:pt>
                <c:pt idx="17">
                  <c:v>24v</c:v>
                </c:pt>
                <c:pt idx="18">
                  <c:v>25v</c:v>
                </c:pt>
                <c:pt idx="19">
                  <c:v>26v</c:v>
                </c:pt>
                <c:pt idx="20">
                  <c:v>27v</c:v>
                </c:pt>
                <c:pt idx="21">
                  <c:v>28v</c:v>
                </c:pt>
                <c:pt idx="22">
                  <c:v>ikä ei tietoa</c:v>
                </c:pt>
                <c:pt idx="23">
                  <c:v>tiedoksi: 29 v. ja vanhempi</c:v>
                </c:pt>
              </c:strCache>
            </c:strRef>
          </c:cat>
          <c:val>
            <c:numRef>
              <c:f>(Asiakastilastot!$E$35:$E$57,Asiakastilastot!$E$59)</c:f>
              <c:numCache>
                <c:formatCode>#\ ##0;\ \-#\ ##0;\ \-\ </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440B-452E-8F80-F27386764170}"/>
            </c:ext>
          </c:extLst>
        </c:ser>
        <c:dLbls>
          <c:showLegendKey val="0"/>
          <c:showVal val="0"/>
          <c:showCatName val="0"/>
          <c:showSerName val="0"/>
          <c:showPercent val="0"/>
          <c:showBubbleSize val="0"/>
        </c:dLbls>
        <c:gapWidth val="55"/>
        <c:overlap val="100"/>
        <c:axId val="422157152"/>
        <c:axId val="422153872"/>
      </c:barChart>
      <c:catAx>
        <c:axId val="422157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422153872"/>
        <c:crosses val="autoZero"/>
        <c:auto val="1"/>
        <c:lblAlgn val="ctr"/>
        <c:lblOffset val="100"/>
        <c:noMultiLvlLbl val="0"/>
      </c:catAx>
      <c:valAx>
        <c:axId val="422153872"/>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4221571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fi-FI"/>
              <a:t>Yhteydenottopyynnöt</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fi-FI"/>
        </a:p>
      </c:txPr>
    </c:title>
    <c:autoTitleDeleted val="0"/>
    <c:plotArea>
      <c:layout/>
      <c:pieChart>
        <c:varyColors val="1"/>
        <c:ser>
          <c:idx val="0"/>
          <c:order val="0"/>
          <c:dPt>
            <c:idx val="0"/>
            <c:bubble3D val="0"/>
            <c:spPr>
              <a:solidFill>
                <a:schemeClr val="accent4">
                  <a:shade val="76000"/>
                </a:schemeClr>
              </a:solidFill>
              <a:ln w="19050">
                <a:solidFill>
                  <a:schemeClr val="lt1"/>
                </a:solidFill>
              </a:ln>
              <a:effectLst/>
            </c:spPr>
            <c:extLst>
              <c:ext xmlns:c16="http://schemas.microsoft.com/office/drawing/2014/chart" uri="{C3380CC4-5D6E-409C-BE32-E72D297353CC}">
                <c16:uniqueId val="{00000001-A1A5-4468-BCA7-BC035F231408}"/>
              </c:ext>
            </c:extLst>
          </c:dPt>
          <c:dPt>
            <c:idx val="1"/>
            <c:bubble3D val="0"/>
            <c:spPr>
              <a:solidFill>
                <a:schemeClr val="accent4">
                  <a:tint val="77000"/>
                </a:schemeClr>
              </a:solidFill>
              <a:ln w="19050">
                <a:solidFill>
                  <a:schemeClr val="lt1"/>
                </a:solidFill>
              </a:ln>
              <a:effectLst/>
            </c:spPr>
            <c:extLst>
              <c:ext xmlns:c16="http://schemas.microsoft.com/office/drawing/2014/chart" uri="{C3380CC4-5D6E-409C-BE32-E72D297353CC}">
                <c16:uniqueId val="{00000003-A1A5-4468-BCA7-BC035F231408}"/>
              </c:ext>
            </c:extLst>
          </c:dPt>
          <c:dLbls>
            <c:dLbl>
              <c:idx val="1"/>
              <c:dLblPos val="bestFit"/>
              <c:showLegendKey val="0"/>
              <c:showVal val="0"/>
              <c:showCatName val="1"/>
              <c:showSerName val="0"/>
              <c:showPercent val="1"/>
              <c:showBubbleSize val="0"/>
              <c:extLst>
                <c:ext xmlns:c15="http://schemas.microsoft.com/office/drawing/2012/chart" uri="{CE6537A1-D6FC-4f65-9D91-7224C49458BB}">
                  <c15:layout>
                    <c:manualLayout>
                      <c:w val="0.25680547377324159"/>
                      <c:h val="0.19519431038862081"/>
                    </c:manualLayout>
                  </c15:layout>
                </c:ext>
                <c:ext xmlns:c16="http://schemas.microsoft.com/office/drawing/2014/chart" uri="{C3380CC4-5D6E-409C-BE32-E72D297353CC}">
                  <c16:uniqueId val="{00000003-A1A5-4468-BCA7-BC035F231408}"/>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fi-FI"/>
              </a:p>
            </c:txPr>
            <c:dLblPos val="bestFit"/>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Parkki!$D$16:$E$16</c:f>
              <c:strCache>
                <c:ptCount val="2"/>
                <c:pt idx="0">
                  <c:v>Naisia</c:v>
                </c:pt>
                <c:pt idx="1">
                  <c:v>Miehiä*</c:v>
                </c:pt>
              </c:strCache>
            </c:strRef>
          </c:cat>
          <c:val>
            <c:numRef>
              <c:f>Parkki!$D$23:$E$23</c:f>
              <c:numCache>
                <c:formatCode>General</c:formatCode>
                <c:ptCount val="2"/>
                <c:pt idx="0">
                  <c:v>0</c:v>
                </c:pt>
                <c:pt idx="1">
                  <c:v>0</c:v>
                </c:pt>
              </c:numCache>
            </c:numRef>
          </c:val>
          <c:extLst>
            <c:ext xmlns:c16="http://schemas.microsoft.com/office/drawing/2014/chart" uri="{C3380CC4-5D6E-409C-BE32-E72D297353CC}">
              <c16:uniqueId val="{00000004-A1A5-4468-BCA7-BC035F231408}"/>
            </c:ext>
          </c:extLst>
        </c:ser>
        <c:dLbls>
          <c:dLblPos val="bestFit"/>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pieChart>
        <c:varyColors val="1"/>
        <c:ser>
          <c:idx val="0"/>
          <c:order val="0"/>
          <c:dPt>
            <c:idx val="0"/>
            <c:bubble3D val="0"/>
            <c:spPr>
              <a:solidFill>
                <a:schemeClr val="accent4">
                  <a:shade val="65000"/>
                </a:schemeClr>
              </a:solidFill>
              <a:ln w="19050">
                <a:solidFill>
                  <a:schemeClr val="lt1"/>
                </a:solidFill>
              </a:ln>
              <a:effectLst/>
            </c:spPr>
            <c:extLst>
              <c:ext xmlns:c16="http://schemas.microsoft.com/office/drawing/2014/chart" uri="{C3380CC4-5D6E-409C-BE32-E72D297353CC}">
                <c16:uniqueId val="{00000001-C676-4953-9DDE-B8CC80C4CBBC}"/>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B3F5-4AD1-B413-C680FC9F7D38}"/>
              </c:ext>
            </c:extLst>
          </c:dPt>
          <c:dPt>
            <c:idx val="2"/>
            <c:bubble3D val="0"/>
            <c:spPr>
              <a:solidFill>
                <a:schemeClr val="accent4">
                  <a:tint val="65000"/>
                </a:schemeClr>
              </a:solidFill>
              <a:ln w="19050">
                <a:solidFill>
                  <a:schemeClr val="lt1"/>
                </a:solidFill>
              </a:ln>
              <a:effectLst/>
            </c:spPr>
            <c:extLst>
              <c:ext xmlns:c16="http://schemas.microsoft.com/office/drawing/2014/chart" uri="{C3380CC4-5D6E-409C-BE32-E72D297353CC}">
                <c16:uniqueId val="{00000005-B3F5-4AD1-B413-C680FC9F7D38}"/>
              </c:ext>
            </c:extLst>
          </c:dPt>
          <c:dLbls>
            <c:dLbl>
              <c:idx val="0"/>
              <c:layout>
                <c:manualLayout>
                  <c:x val="3.9589042872186482E-3"/>
                  <c:y val="4.8073996092043617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676-4953-9DDE-B8CC80C4CBB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Asiakastilastot!$G$87:$G$89</c:f>
              <c:strCache>
                <c:ptCount val="3"/>
                <c:pt idx="0">
                  <c:v>kotimaiset kielet </c:v>
                </c:pt>
                <c:pt idx="1">
                  <c:v>vierasperäiset kielet</c:v>
                </c:pt>
                <c:pt idx="2">
                  <c:v>ei tietoa</c:v>
                </c:pt>
              </c:strCache>
            </c:strRef>
          </c:cat>
          <c:val>
            <c:numRef>
              <c:f>Asiakastilastot!$H$87:$H$89</c:f>
              <c:numCache>
                <c:formatCode>0.00%</c:formatCode>
                <c:ptCount val="3"/>
                <c:pt idx="0">
                  <c:v>0</c:v>
                </c:pt>
                <c:pt idx="1">
                  <c:v>0</c:v>
                </c:pt>
                <c:pt idx="2">
                  <c:v>0</c:v>
                </c:pt>
              </c:numCache>
            </c:numRef>
          </c:val>
          <c:extLst>
            <c:ext xmlns:c16="http://schemas.microsoft.com/office/drawing/2014/chart" uri="{C3380CC4-5D6E-409C-BE32-E72D297353CC}">
              <c16:uniqueId val="{00000000-C676-4953-9DDE-B8CC80C4CBBC}"/>
            </c:ext>
          </c:extLst>
        </c:ser>
        <c:dLbls>
          <c:showLegendKey val="0"/>
          <c:showVal val="1"/>
          <c:showCatName val="1"/>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3.1414337661491258E-2"/>
          <c:y val="0.10654248366013074"/>
          <c:w val="0.88896118691161685"/>
          <c:h val="0.85195424836601308"/>
        </c:manualLayout>
      </c:layout>
      <c:barChart>
        <c:barDir val="bar"/>
        <c:grouping val="stacked"/>
        <c:varyColors val="0"/>
        <c:ser>
          <c:idx val="0"/>
          <c:order val="0"/>
          <c:tx>
            <c:v>Naisia</c:v>
          </c:tx>
          <c:spPr>
            <a:solidFill>
              <a:schemeClr val="accent4">
                <a:shade val="76000"/>
              </a:schemeClr>
            </a:solidFill>
            <a:ln>
              <a:noFill/>
            </a:ln>
            <a:effectLst/>
          </c:spPr>
          <c:invertIfNegative val="0"/>
          <c:cat>
            <c:strRef>
              <c:f>Asiakastilastot!$M$107:$M$130</c:f>
              <c:strCache>
                <c:ptCount val="24"/>
                <c:pt idx="0">
                  <c:v>Peruskoulu</c:v>
                </c:pt>
                <c:pt idx="1">
                  <c:v>Edelleen peruskoulussa</c:v>
                </c:pt>
                <c:pt idx="2">
                  <c:v>Peruskoulu keskeytynyt</c:v>
                </c:pt>
                <c:pt idx="3">
                  <c:v>Peruskoulu suoritettu </c:v>
                </c:pt>
                <c:pt idx="4">
                  <c:v>Lukio</c:v>
                </c:pt>
                <c:pt idx="5">
                  <c:v>Suorittamassa lukiota</c:v>
                </c:pt>
                <c:pt idx="6">
                  <c:v>Lukio keskeytynyt</c:v>
                </c:pt>
                <c:pt idx="7">
                  <c:v>Lukion oppimäärä</c:v>
                </c:pt>
                <c:pt idx="8">
                  <c:v>Ylioppilas</c:v>
                </c:pt>
                <c:pt idx="9">
                  <c:v>Ammatillinen perustutkinto</c:v>
                </c:pt>
                <c:pt idx="10">
                  <c:v>Suorittamassa 2. asteen ammatillista tutkintoa</c:v>
                </c:pt>
                <c:pt idx="11">
                  <c:v>Keskeytynyt 2. asteen ammatillinen tutkinto</c:v>
                </c:pt>
                <c:pt idx="12">
                  <c:v>2. asteen ammatillinen tutkinto suoritettu</c:v>
                </c:pt>
                <c:pt idx="13">
                  <c:v>Korkeakoulututkinto</c:v>
                </c:pt>
                <c:pt idx="14">
                  <c:v>Suorittamassa korkeakoulututkintoa</c:v>
                </c:pt>
                <c:pt idx="15">
                  <c:v>Keskeytynyt korkeakoulututkinto </c:v>
                </c:pt>
                <c:pt idx="16">
                  <c:v>Korkeakoulututkinto suoritettu</c:v>
                </c:pt>
                <c:pt idx="17">
                  <c:v>Muu tutkinto</c:v>
                </c:pt>
                <c:pt idx="19">
                  <c:v>Ulkomailla suoritettu tutkinto</c:v>
                </c:pt>
                <c:pt idx="20">
                  <c:v>Muu</c:v>
                </c:pt>
                <c:pt idx="21">
                  <c:v>Ei tietoa</c:v>
                </c:pt>
                <c:pt idx="22">
                  <c:v>Ei tietoa</c:v>
                </c:pt>
                <c:pt idx="23">
                  <c:v>Ei kirjattu</c:v>
                </c:pt>
              </c:strCache>
            </c:strRef>
          </c:cat>
          <c:val>
            <c:numRef>
              <c:f>Asiakastilastot!$N$107:$N$130</c:f>
              <c:numCache>
                <c:formatCode>#\ ##0;\ \-#\ ##0;\ \-\ </c:formatCode>
                <c:ptCount val="24"/>
                <c:pt idx="0">
                  <c:v>0</c:v>
                </c:pt>
                <c:pt idx="1">
                  <c:v>0</c:v>
                </c:pt>
                <c:pt idx="2">
                  <c:v>0</c:v>
                </c:pt>
                <c:pt idx="3">
                  <c:v>0</c:v>
                </c:pt>
                <c:pt idx="5">
                  <c:v>0</c:v>
                </c:pt>
                <c:pt idx="6">
                  <c:v>0</c:v>
                </c:pt>
                <c:pt idx="7">
                  <c:v>0</c:v>
                </c:pt>
                <c:pt idx="8">
                  <c:v>0</c:v>
                </c:pt>
                <c:pt idx="10">
                  <c:v>0</c:v>
                </c:pt>
                <c:pt idx="11">
                  <c:v>0</c:v>
                </c:pt>
                <c:pt idx="12">
                  <c:v>0</c:v>
                </c:pt>
                <c:pt idx="14">
                  <c:v>0</c:v>
                </c:pt>
                <c:pt idx="15">
                  <c:v>0</c:v>
                </c:pt>
                <c:pt idx="16">
                  <c:v>0</c:v>
                </c:pt>
                <c:pt idx="19">
                  <c:v>0</c:v>
                </c:pt>
                <c:pt idx="20">
                  <c:v>0</c:v>
                </c:pt>
                <c:pt idx="22">
                  <c:v>0</c:v>
                </c:pt>
                <c:pt idx="23">
                  <c:v>0</c:v>
                </c:pt>
              </c:numCache>
            </c:numRef>
          </c:val>
          <c:extLst>
            <c:ext xmlns:c16="http://schemas.microsoft.com/office/drawing/2014/chart" uri="{C3380CC4-5D6E-409C-BE32-E72D297353CC}">
              <c16:uniqueId val="{00000000-63B9-476B-ACBA-46ECE80938D4}"/>
            </c:ext>
          </c:extLst>
        </c:ser>
        <c:ser>
          <c:idx val="1"/>
          <c:order val="1"/>
          <c:tx>
            <c:v>Miehiä</c:v>
          </c:tx>
          <c:spPr>
            <a:solidFill>
              <a:schemeClr val="accent4">
                <a:tint val="77000"/>
              </a:schemeClr>
            </a:solidFill>
            <a:ln>
              <a:noFill/>
            </a:ln>
            <a:effectLst/>
          </c:spPr>
          <c:invertIfNegative val="0"/>
          <c:cat>
            <c:strRef>
              <c:f>Asiakastilastot!$M$107:$M$130</c:f>
              <c:strCache>
                <c:ptCount val="24"/>
                <c:pt idx="0">
                  <c:v>Peruskoulu</c:v>
                </c:pt>
                <c:pt idx="1">
                  <c:v>Edelleen peruskoulussa</c:v>
                </c:pt>
                <c:pt idx="2">
                  <c:v>Peruskoulu keskeytynyt</c:v>
                </c:pt>
                <c:pt idx="3">
                  <c:v>Peruskoulu suoritettu </c:v>
                </c:pt>
                <c:pt idx="4">
                  <c:v>Lukio</c:v>
                </c:pt>
                <c:pt idx="5">
                  <c:v>Suorittamassa lukiota</c:v>
                </c:pt>
                <c:pt idx="6">
                  <c:v>Lukio keskeytynyt</c:v>
                </c:pt>
                <c:pt idx="7">
                  <c:v>Lukion oppimäärä</c:v>
                </c:pt>
                <c:pt idx="8">
                  <c:v>Ylioppilas</c:v>
                </c:pt>
                <c:pt idx="9">
                  <c:v>Ammatillinen perustutkinto</c:v>
                </c:pt>
                <c:pt idx="10">
                  <c:v>Suorittamassa 2. asteen ammatillista tutkintoa</c:v>
                </c:pt>
                <c:pt idx="11">
                  <c:v>Keskeytynyt 2. asteen ammatillinen tutkinto</c:v>
                </c:pt>
                <c:pt idx="12">
                  <c:v>2. asteen ammatillinen tutkinto suoritettu</c:v>
                </c:pt>
                <c:pt idx="13">
                  <c:v>Korkeakoulututkinto</c:v>
                </c:pt>
                <c:pt idx="14">
                  <c:v>Suorittamassa korkeakoulututkintoa</c:v>
                </c:pt>
                <c:pt idx="15">
                  <c:v>Keskeytynyt korkeakoulututkinto </c:v>
                </c:pt>
                <c:pt idx="16">
                  <c:v>Korkeakoulututkinto suoritettu</c:v>
                </c:pt>
                <c:pt idx="17">
                  <c:v>Muu tutkinto</c:v>
                </c:pt>
                <c:pt idx="19">
                  <c:v>Ulkomailla suoritettu tutkinto</c:v>
                </c:pt>
                <c:pt idx="20">
                  <c:v>Muu</c:v>
                </c:pt>
                <c:pt idx="21">
                  <c:v>Ei tietoa</c:v>
                </c:pt>
                <c:pt idx="22">
                  <c:v>Ei tietoa</c:v>
                </c:pt>
                <c:pt idx="23">
                  <c:v>Ei kirjattu</c:v>
                </c:pt>
              </c:strCache>
            </c:strRef>
          </c:cat>
          <c:val>
            <c:numRef>
              <c:f>Asiakastilastot!$O$107:$O$130</c:f>
              <c:numCache>
                <c:formatCode>#\ ##0;\ \-#\ ##0;\ \-\ </c:formatCode>
                <c:ptCount val="24"/>
                <c:pt idx="0">
                  <c:v>0</c:v>
                </c:pt>
                <c:pt idx="1">
                  <c:v>0</c:v>
                </c:pt>
                <c:pt idx="2">
                  <c:v>0</c:v>
                </c:pt>
                <c:pt idx="3">
                  <c:v>0</c:v>
                </c:pt>
                <c:pt idx="5">
                  <c:v>0</c:v>
                </c:pt>
                <c:pt idx="6">
                  <c:v>0</c:v>
                </c:pt>
                <c:pt idx="7">
                  <c:v>0</c:v>
                </c:pt>
                <c:pt idx="8">
                  <c:v>0</c:v>
                </c:pt>
                <c:pt idx="10">
                  <c:v>0</c:v>
                </c:pt>
                <c:pt idx="11">
                  <c:v>0</c:v>
                </c:pt>
                <c:pt idx="12">
                  <c:v>0</c:v>
                </c:pt>
                <c:pt idx="14">
                  <c:v>0</c:v>
                </c:pt>
                <c:pt idx="15">
                  <c:v>0</c:v>
                </c:pt>
                <c:pt idx="16">
                  <c:v>0</c:v>
                </c:pt>
                <c:pt idx="19">
                  <c:v>0</c:v>
                </c:pt>
                <c:pt idx="20">
                  <c:v>0</c:v>
                </c:pt>
                <c:pt idx="22">
                  <c:v>0</c:v>
                </c:pt>
                <c:pt idx="23">
                  <c:v>0</c:v>
                </c:pt>
              </c:numCache>
            </c:numRef>
          </c:val>
          <c:extLst>
            <c:ext xmlns:c16="http://schemas.microsoft.com/office/drawing/2014/chart" uri="{C3380CC4-5D6E-409C-BE32-E72D297353CC}">
              <c16:uniqueId val="{00000001-63B9-476B-ACBA-46ECE80938D4}"/>
            </c:ext>
          </c:extLst>
        </c:ser>
        <c:dLbls>
          <c:showLegendKey val="0"/>
          <c:showVal val="0"/>
          <c:showCatName val="0"/>
          <c:showSerName val="0"/>
          <c:showPercent val="0"/>
          <c:showBubbleSize val="0"/>
        </c:dLbls>
        <c:gapWidth val="55"/>
        <c:overlap val="100"/>
        <c:axId val="1023586536"/>
        <c:axId val="1023583912"/>
      </c:barChart>
      <c:catAx>
        <c:axId val="1023586536"/>
        <c:scaling>
          <c:orientation val="maxMin"/>
        </c:scaling>
        <c:delete val="1"/>
        <c:axPos val="l"/>
        <c:numFmt formatCode="General" sourceLinked="1"/>
        <c:majorTickMark val="none"/>
        <c:minorTickMark val="none"/>
        <c:tickLblPos val="nextTo"/>
        <c:crossAx val="1023583912"/>
        <c:crosses val="autoZero"/>
        <c:auto val="1"/>
        <c:lblAlgn val="ctr"/>
        <c:lblOffset val="100"/>
        <c:noMultiLvlLbl val="0"/>
      </c:catAx>
      <c:valAx>
        <c:axId val="1023583912"/>
        <c:scaling>
          <c:orientation val="minMax"/>
        </c:scaling>
        <c:delete val="0"/>
        <c:axPos val="t"/>
        <c:majorGridlines>
          <c:spPr>
            <a:ln w="9525" cap="flat" cmpd="sng" algn="ctr">
              <a:solidFill>
                <a:schemeClr val="tx1">
                  <a:lumMod val="50000"/>
                  <a:lumOff val="50000"/>
                </a:schemeClr>
              </a:solidFill>
              <a:prstDash val="dash"/>
              <a:round/>
              <a:headEnd type="triangle"/>
            </a:ln>
            <a:effectLst/>
          </c:spPr>
        </c:majorGridlines>
        <c:numFmt formatCode="#\ ##0;\ \-#\ ##0;\ \-\ "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02358653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bar"/>
        <c:grouping val="stacked"/>
        <c:varyColors val="0"/>
        <c:ser>
          <c:idx val="0"/>
          <c:order val="0"/>
          <c:tx>
            <c:v>Naisia</c:v>
          </c:tx>
          <c:spPr>
            <a:solidFill>
              <a:schemeClr val="accent4">
                <a:shade val="76000"/>
              </a:schemeClr>
            </a:solidFill>
            <a:ln>
              <a:noFill/>
            </a:ln>
            <a:effectLst/>
          </c:spPr>
          <c:invertIfNegative val="0"/>
          <c:cat>
            <c:strRef>
              <c:f>Asiakastilastot!$M$138:$M$154</c:f>
              <c:strCache>
                <c:ptCount val="17"/>
                <c:pt idx="0">
                  <c:v>Peruskoulu</c:v>
                </c:pt>
                <c:pt idx="1">
                  <c:v>Edelleen peruskoulussa</c:v>
                </c:pt>
                <c:pt idx="2">
                  <c:v>Peruskoulu keskeytynyt</c:v>
                </c:pt>
                <c:pt idx="3">
                  <c:v>Peruskoulu suoritettu </c:v>
                </c:pt>
                <c:pt idx="4">
                  <c:v>Toinen aste</c:v>
                </c:pt>
                <c:pt idx="5">
                  <c:v>Lukion oppimäärä</c:v>
                </c:pt>
                <c:pt idx="6">
                  <c:v>Ylioppilas</c:v>
                </c:pt>
                <c:pt idx="7">
                  <c:v>2. asteen ammatillinen tutkinto suoritettu</c:v>
                </c:pt>
                <c:pt idx="8">
                  <c:v>Korkeakoulututkinto</c:v>
                </c:pt>
                <c:pt idx="9">
                  <c:v>Ammattikorkeakoulututkinto</c:v>
                </c:pt>
                <c:pt idx="10">
                  <c:v>Yliopistotutkinto</c:v>
                </c:pt>
                <c:pt idx="11">
                  <c:v>Muu tutkinto</c:v>
                </c:pt>
                <c:pt idx="12">
                  <c:v>Ulkomailla suoritettu tutkinto</c:v>
                </c:pt>
                <c:pt idx="13">
                  <c:v>Muu</c:v>
                </c:pt>
                <c:pt idx="14">
                  <c:v>Ei tietoa</c:v>
                </c:pt>
                <c:pt idx="15">
                  <c:v>Ei tietoa</c:v>
                </c:pt>
                <c:pt idx="16">
                  <c:v>Ei kirjattu</c:v>
                </c:pt>
              </c:strCache>
            </c:strRef>
          </c:cat>
          <c:val>
            <c:numRef>
              <c:f>Asiakastilastot!$N$138:$N$154</c:f>
              <c:numCache>
                <c:formatCode>#\ ##0;\ \-#\ ##0;\ \-\ </c:formatCode>
                <c:ptCount val="17"/>
                <c:pt idx="0">
                  <c:v>0</c:v>
                </c:pt>
                <c:pt idx="1">
                  <c:v>0</c:v>
                </c:pt>
                <c:pt idx="2">
                  <c:v>0</c:v>
                </c:pt>
                <c:pt idx="3">
                  <c:v>0</c:v>
                </c:pt>
                <c:pt idx="5">
                  <c:v>0</c:v>
                </c:pt>
                <c:pt idx="6">
                  <c:v>0</c:v>
                </c:pt>
                <c:pt idx="7">
                  <c:v>0</c:v>
                </c:pt>
                <c:pt idx="9">
                  <c:v>0</c:v>
                </c:pt>
                <c:pt idx="10">
                  <c:v>0</c:v>
                </c:pt>
                <c:pt idx="12">
                  <c:v>0</c:v>
                </c:pt>
                <c:pt idx="13">
                  <c:v>0</c:v>
                </c:pt>
                <c:pt idx="15">
                  <c:v>0</c:v>
                </c:pt>
                <c:pt idx="16">
                  <c:v>0</c:v>
                </c:pt>
              </c:numCache>
            </c:numRef>
          </c:val>
          <c:extLst>
            <c:ext xmlns:c16="http://schemas.microsoft.com/office/drawing/2014/chart" uri="{C3380CC4-5D6E-409C-BE32-E72D297353CC}">
              <c16:uniqueId val="{00000000-A606-4383-82D2-E80E3D65A1D4}"/>
            </c:ext>
          </c:extLst>
        </c:ser>
        <c:ser>
          <c:idx val="1"/>
          <c:order val="1"/>
          <c:tx>
            <c:v>Miehiä</c:v>
          </c:tx>
          <c:spPr>
            <a:solidFill>
              <a:schemeClr val="accent4">
                <a:tint val="77000"/>
              </a:schemeClr>
            </a:solidFill>
            <a:ln>
              <a:noFill/>
            </a:ln>
            <a:effectLst/>
          </c:spPr>
          <c:invertIfNegative val="0"/>
          <c:cat>
            <c:strRef>
              <c:f>Asiakastilastot!$M$138:$M$154</c:f>
              <c:strCache>
                <c:ptCount val="17"/>
                <c:pt idx="0">
                  <c:v>Peruskoulu</c:v>
                </c:pt>
                <c:pt idx="1">
                  <c:v>Edelleen peruskoulussa</c:v>
                </c:pt>
                <c:pt idx="2">
                  <c:v>Peruskoulu keskeytynyt</c:v>
                </c:pt>
                <c:pt idx="3">
                  <c:v>Peruskoulu suoritettu </c:v>
                </c:pt>
                <c:pt idx="4">
                  <c:v>Toinen aste</c:v>
                </c:pt>
                <c:pt idx="5">
                  <c:v>Lukion oppimäärä</c:v>
                </c:pt>
                <c:pt idx="6">
                  <c:v>Ylioppilas</c:v>
                </c:pt>
                <c:pt idx="7">
                  <c:v>2. asteen ammatillinen tutkinto suoritettu</c:v>
                </c:pt>
                <c:pt idx="8">
                  <c:v>Korkeakoulututkinto</c:v>
                </c:pt>
                <c:pt idx="9">
                  <c:v>Ammattikorkeakoulututkinto</c:v>
                </c:pt>
                <c:pt idx="10">
                  <c:v>Yliopistotutkinto</c:v>
                </c:pt>
                <c:pt idx="11">
                  <c:v>Muu tutkinto</c:v>
                </c:pt>
                <c:pt idx="12">
                  <c:v>Ulkomailla suoritettu tutkinto</c:v>
                </c:pt>
                <c:pt idx="13">
                  <c:v>Muu</c:v>
                </c:pt>
                <c:pt idx="14">
                  <c:v>Ei tietoa</c:v>
                </c:pt>
                <c:pt idx="15">
                  <c:v>Ei tietoa</c:v>
                </c:pt>
                <c:pt idx="16">
                  <c:v>Ei kirjattu</c:v>
                </c:pt>
              </c:strCache>
            </c:strRef>
          </c:cat>
          <c:val>
            <c:numRef>
              <c:f>Asiakastilastot!$O$138:$O$154</c:f>
              <c:numCache>
                <c:formatCode>#\ ##0;\ \-#\ ##0;\ \-\ </c:formatCode>
                <c:ptCount val="17"/>
                <c:pt idx="0">
                  <c:v>0</c:v>
                </c:pt>
                <c:pt idx="1">
                  <c:v>0</c:v>
                </c:pt>
                <c:pt idx="2">
                  <c:v>0</c:v>
                </c:pt>
                <c:pt idx="3">
                  <c:v>0</c:v>
                </c:pt>
                <c:pt idx="5">
                  <c:v>0</c:v>
                </c:pt>
                <c:pt idx="6">
                  <c:v>0</c:v>
                </c:pt>
                <c:pt idx="7">
                  <c:v>0</c:v>
                </c:pt>
                <c:pt idx="9">
                  <c:v>0</c:v>
                </c:pt>
                <c:pt idx="10">
                  <c:v>0</c:v>
                </c:pt>
                <c:pt idx="12">
                  <c:v>0</c:v>
                </c:pt>
                <c:pt idx="13">
                  <c:v>0</c:v>
                </c:pt>
                <c:pt idx="15">
                  <c:v>0</c:v>
                </c:pt>
                <c:pt idx="16">
                  <c:v>0</c:v>
                </c:pt>
              </c:numCache>
            </c:numRef>
          </c:val>
          <c:extLst>
            <c:ext xmlns:c16="http://schemas.microsoft.com/office/drawing/2014/chart" uri="{C3380CC4-5D6E-409C-BE32-E72D297353CC}">
              <c16:uniqueId val="{00000001-A606-4383-82D2-E80E3D65A1D4}"/>
            </c:ext>
          </c:extLst>
        </c:ser>
        <c:dLbls>
          <c:showLegendKey val="0"/>
          <c:showVal val="0"/>
          <c:showCatName val="0"/>
          <c:showSerName val="0"/>
          <c:showPercent val="0"/>
          <c:showBubbleSize val="0"/>
        </c:dLbls>
        <c:gapWidth val="55"/>
        <c:overlap val="100"/>
        <c:axId val="874977784"/>
        <c:axId val="874981720"/>
      </c:barChart>
      <c:catAx>
        <c:axId val="874977784"/>
        <c:scaling>
          <c:orientation val="maxMin"/>
        </c:scaling>
        <c:delete val="1"/>
        <c:axPos val="l"/>
        <c:numFmt formatCode="General" sourceLinked="1"/>
        <c:majorTickMark val="none"/>
        <c:minorTickMark val="none"/>
        <c:tickLblPos val="nextTo"/>
        <c:crossAx val="874981720"/>
        <c:crosses val="autoZero"/>
        <c:auto val="1"/>
        <c:lblAlgn val="ctr"/>
        <c:lblOffset val="100"/>
        <c:noMultiLvlLbl val="0"/>
      </c:catAx>
      <c:valAx>
        <c:axId val="874981720"/>
        <c:scaling>
          <c:orientation val="minMax"/>
        </c:scaling>
        <c:delete val="0"/>
        <c:axPos val="t"/>
        <c:majorGridlines>
          <c:spPr>
            <a:ln w="9525" cap="flat" cmpd="sng" algn="ctr">
              <a:solidFill>
                <a:schemeClr val="tx1">
                  <a:lumMod val="50000"/>
                  <a:lumOff val="50000"/>
                </a:schemeClr>
              </a:solidFill>
              <a:prstDash val="dash"/>
              <a:round/>
              <a:headEnd type="triangle"/>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87497778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3.1522825759907135E-2"/>
          <c:y val="0.20160388372492399"/>
          <c:w val="0.90126893898280203"/>
          <c:h val="0.37322694651652444"/>
        </c:manualLayout>
      </c:layout>
      <c:barChart>
        <c:barDir val="bar"/>
        <c:grouping val="stacked"/>
        <c:varyColors val="0"/>
        <c:ser>
          <c:idx val="0"/>
          <c:order val="0"/>
          <c:tx>
            <c:strRef>
              <c:f>Asiakastilastot!$A$15</c:f>
              <c:strCache>
                <c:ptCount val="1"/>
                <c:pt idx="0">
                  <c:v>Yhteydenottopyyntö</c:v>
                </c:pt>
              </c:strCache>
            </c:strRef>
          </c:tx>
          <c:spPr>
            <a:solidFill>
              <a:schemeClr val="accent4">
                <a:shade val="65000"/>
              </a:schemeClr>
            </a:solidFill>
            <a:ln>
              <a:noFill/>
            </a:ln>
            <a:effectLst/>
          </c:spPr>
          <c:invertIfNegative val="0"/>
          <c:val>
            <c:numRef>
              <c:f>Asiakastilastot!$C$15</c:f>
              <c:numCache>
                <c:formatCode>#\ ##0.0%;\ \-#\ ##0.0%;\ \-\ </c:formatCode>
                <c:ptCount val="1"/>
                <c:pt idx="0">
                  <c:v>0</c:v>
                </c:pt>
              </c:numCache>
            </c:numRef>
          </c:val>
          <c:extLst>
            <c:ext xmlns:c16="http://schemas.microsoft.com/office/drawing/2014/chart" uri="{C3380CC4-5D6E-409C-BE32-E72D297353CC}">
              <c16:uniqueId val="{00000000-CFE1-4270-86E6-211F3D919FAA}"/>
            </c:ext>
          </c:extLst>
        </c:ser>
        <c:ser>
          <c:idx val="1"/>
          <c:order val="1"/>
          <c:tx>
            <c:strRef>
              <c:f>Asiakastilastot!$A$16</c:f>
              <c:strCache>
                <c:ptCount val="1"/>
                <c:pt idx="0">
                  <c:v>Kontakti</c:v>
                </c:pt>
              </c:strCache>
            </c:strRef>
          </c:tx>
          <c:spPr>
            <a:solidFill>
              <a:schemeClr val="accent4"/>
            </a:solidFill>
            <a:ln>
              <a:noFill/>
            </a:ln>
            <a:effectLst/>
          </c:spPr>
          <c:invertIfNegative val="0"/>
          <c:val>
            <c:numRef>
              <c:f>Asiakastilastot!$C$16</c:f>
              <c:numCache>
                <c:formatCode>#\ ##0.0%;\ \-#\ ##0.0%;\ \-\ </c:formatCode>
                <c:ptCount val="1"/>
                <c:pt idx="0">
                  <c:v>0</c:v>
                </c:pt>
              </c:numCache>
            </c:numRef>
          </c:val>
          <c:extLst>
            <c:ext xmlns:c16="http://schemas.microsoft.com/office/drawing/2014/chart" uri="{C3380CC4-5D6E-409C-BE32-E72D297353CC}">
              <c16:uniqueId val="{00000001-CFE1-4270-86E6-211F3D919FAA}"/>
            </c:ext>
          </c:extLst>
        </c:ser>
        <c:ser>
          <c:idx val="2"/>
          <c:order val="2"/>
          <c:tx>
            <c:strRef>
              <c:f>Asiakastilastot!$A$17</c:f>
              <c:strCache>
                <c:ptCount val="1"/>
                <c:pt idx="0">
                  <c:v>Tavoitettu</c:v>
                </c:pt>
              </c:strCache>
            </c:strRef>
          </c:tx>
          <c:spPr>
            <a:solidFill>
              <a:schemeClr val="accent4">
                <a:tint val="65000"/>
              </a:schemeClr>
            </a:solidFill>
            <a:ln>
              <a:noFill/>
            </a:ln>
            <a:effectLst/>
          </c:spPr>
          <c:invertIfNegative val="0"/>
          <c:val>
            <c:numRef>
              <c:f>Asiakastilastot!$C$17</c:f>
              <c:numCache>
                <c:formatCode>#\ ##0.0%;\ \-#\ ##0.0%;\ \-\ </c:formatCode>
                <c:ptCount val="1"/>
                <c:pt idx="0">
                  <c:v>0</c:v>
                </c:pt>
              </c:numCache>
            </c:numRef>
          </c:val>
          <c:extLst>
            <c:ext xmlns:c16="http://schemas.microsoft.com/office/drawing/2014/chart" uri="{C3380CC4-5D6E-409C-BE32-E72D297353CC}">
              <c16:uniqueId val="{00000002-CFE1-4270-86E6-211F3D919FAA}"/>
            </c:ext>
          </c:extLst>
        </c:ser>
        <c:dLbls>
          <c:showLegendKey val="0"/>
          <c:showVal val="0"/>
          <c:showCatName val="0"/>
          <c:showSerName val="0"/>
          <c:showPercent val="0"/>
          <c:showBubbleSize val="0"/>
        </c:dLbls>
        <c:gapWidth val="40"/>
        <c:overlap val="100"/>
        <c:axId val="973151352"/>
        <c:axId val="973147416"/>
      </c:barChart>
      <c:catAx>
        <c:axId val="973151352"/>
        <c:scaling>
          <c:orientation val="minMax"/>
        </c:scaling>
        <c:delete val="1"/>
        <c:axPos val="l"/>
        <c:majorTickMark val="none"/>
        <c:minorTickMark val="none"/>
        <c:tickLblPos val="nextTo"/>
        <c:crossAx val="973147416"/>
        <c:crosses val="autoZero"/>
        <c:auto val="1"/>
        <c:lblAlgn val="ctr"/>
        <c:lblOffset val="100"/>
        <c:noMultiLvlLbl val="0"/>
      </c:catAx>
      <c:valAx>
        <c:axId val="973147416"/>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 ##0.0%;\ \-#\ ##0.0%;\ \-\ "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731513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pieChart>
        <c:varyColors val="1"/>
        <c:ser>
          <c:idx val="0"/>
          <c:order val="0"/>
          <c:dPt>
            <c:idx val="0"/>
            <c:bubble3D val="0"/>
            <c:spPr>
              <a:solidFill>
                <a:schemeClr val="accent4">
                  <a:shade val="53000"/>
                </a:schemeClr>
              </a:solidFill>
              <a:ln w="19050">
                <a:solidFill>
                  <a:schemeClr val="lt1"/>
                </a:solidFill>
              </a:ln>
              <a:effectLst/>
            </c:spPr>
            <c:extLst>
              <c:ext xmlns:c16="http://schemas.microsoft.com/office/drawing/2014/chart" uri="{C3380CC4-5D6E-409C-BE32-E72D297353CC}">
                <c16:uniqueId val="{00000001-7DF8-45BE-BEB9-E006D139A162}"/>
              </c:ext>
            </c:extLst>
          </c:dPt>
          <c:dPt>
            <c:idx val="1"/>
            <c:bubble3D val="0"/>
            <c:spPr>
              <a:solidFill>
                <a:schemeClr val="accent4">
                  <a:shade val="76000"/>
                </a:schemeClr>
              </a:solidFill>
              <a:ln w="19050">
                <a:solidFill>
                  <a:schemeClr val="lt1"/>
                </a:solidFill>
              </a:ln>
              <a:effectLst/>
            </c:spPr>
            <c:extLst>
              <c:ext xmlns:c16="http://schemas.microsoft.com/office/drawing/2014/chart" uri="{C3380CC4-5D6E-409C-BE32-E72D297353CC}">
                <c16:uniqueId val="{00000003-7DF8-45BE-BEB9-E006D139A162}"/>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7DF8-45BE-BEB9-E006D139A162}"/>
              </c:ext>
            </c:extLst>
          </c:dPt>
          <c:dPt>
            <c:idx val="3"/>
            <c:bubble3D val="0"/>
            <c:spPr>
              <a:solidFill>
                <a:schemeClr val="accent4">
                  <a:tint val="77000"/>
                </a:schemeClr>
              </a:solidFill>
              <a:ln w="19050">
                <a:solidFill>
                  <a:schemeClr val="lt1"/>
                </a:solidFill>
              </a:ln>
              <a:effectLst/>
            </c:spPr>
            <c:extLst>
              <c:ext xmlns:c16="http://schemas.microsoft.com/office/drawing/2014/chart" uri="{C3380CC4-5D6E-409C-BE32-E72D297353CC}">
                <c16:uniqueId val="{00000007-7DF8-45BE-BEB9-E006D139A162}"/>
              </c:ext>
            </c:extLst>
          </c:dPt>
          <c:dPt>
            <c:idx val="4"/>
            <c:bubble3D val="0"/>
            <c:spPr>
              <a:solidFill>
                <a:schemeClr val="accent4">
                  <a:tint val="54000"/>
                </a:schemeClr>
              </a:solidFill>
              <a:ln w="19050">
                <a:solidFill>
                  <a:schemeClr val="lt1"/>
                </a:solidFill>
              </a:ln>
              <a:effectLst/>
            </c:spPr>
            <c:extLst>
              <c:ext xmlns:c16="http://schemas.microsoft.com/office/drawing/2014/chart" uri="{C3380CC4-5D6E-409C-BE32-E72D297353CC}">
                <c16:uniqueId val="{00000009-7DF8-45BE-BEB9-E006D139A16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Asiakastilastot!$B$161:$B$165</c:f>
              <c:strCache>
                <c:ptCount val="5"/>
                <c:pt idx="0">
                  <c:v>Peruskoulu</c:v>
                </c:pt>
                <c:pt idx="1">
                  <c:v>Toinen aste</c:v>
                </c:pt>
                <c:pt idx="2">
                  <c:v>Korkeakoulututkinto</c:v>
                </c:pt>
                <c:pt idx="3">
                  <c:v>Muu tutkinto</c:v>
                </c:pt>
                <c:pt idx="4">
                  <c:v>Ei tietoa</c:v>
                </c:pt>
              </c:strCache>
            </c:strRef>
          </c:cat>
          <c:val>
            <c:numRef>
              <c:f>Asiakastilastot!$C$161:$C$165</c:f>
              <c:numCache>
                <c:formatCode>#\ ##0.0%;\ \-#\ ##0.0%;\ \-\ </c:formatCode>
                <c:ptCount val="5"/>
                <c:pt idx="0">
                  <c:v>0</c:v>
                </c:pt>
                <c:pt idx="1">
                  <c:v>0</c:v>
                </c:pt>
                <c:pt idx="2">
                  <c:v>0</c:v>
                </c:pt>
                <c:pt idx="3">
                  <c:v>0</c:v>
                </c:pt>
                <c:pt idx="4">
                  <c:v>0</c:v>
                </c:pt>
              </c:numCache>
            </c:numRef>
          </c:val>
          <c:extLst>
            <c:ext xmlns:c16="http://schemas.microsoft.com/office/drawing/2014/chart" uri="{C3380CC4-5D6E-409C-BE32-E72D297353CC}">
              <c16:uniqueId val="{00000000-9322-4868-863E-154D0571DFAF}"/>
            </c:ext>
          </c:extLst>
        </c:ser>
        <c:dLbls>
          <c:showLegendKey val="0"/>
          <c:showVal val="1"/>
          <c:showCatName val="1"/>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pieChart>
        <c:varyColors val="1"/>
        <c:ser>
          <c:idx val="0"/>
          <c:order val="0"/>
          <c:dPt>
            <c:idx val="0"/>
            <c:bubble3D val="0"/>
            <c:spPr>
              <a:solidFill>
                <a:schemeClr val="accent4">
                  <a:shade val="53000"/>
                </a:schemeClr>
              </a:solidFill>
              <a:ln w="19050">
                <a:solidFill>
                  <a:schemeClr val="lt1"/>
                </a:solidFill>
              </a:ln>
              <a:effectLst/>
            </c:spPr>
            <c:extLst>
              <c:ext xmlns:c16="http://schemas.microsoft.com/office/drawing/2014/chart" uri="{C3380CC4-5D6E-409C-BE32-E72D297353CC}">
                <c16:uniqueId val="{00000001-785D-40F8-99B8-25D309EDA608}"/>
              </c:ext>
            </c:extLst>
          </c:dPt>
          <c:dPt>
            <c:idx val="1"/>
            <c:bubble3D val="0"/>
            <c:spPr>
              <a:solidFill>
                <a:schemeClr val="accent4">
                  <a:shade val="76000"/>
                </a:schemeClr>
              </a:solidFill>
              <a:ln w="19050">
                <a:solidFill>
                  <a:schemeClr val="lt1"/>
                </a:solidFill>
              </a:ln>
              <a:effectLst/>
            </c:spPr>
            <c:extLst>
              <c:ext xmlns:c16="http://schemas.microsoft.com/office/drawing/2014/chart" uri="{C3380CC4-5D6E-409C-BE32-E72D297353CC}">
                <c16:uniqueId val="{00000003-785D-40F8-99B8-25D309EDA608}"/>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785D-40F8-99B8-25D309EDA608}"/>
              </c:ext>
            </c:extLst>
          </c:dPt>
          <c:dPt>
            <c:idx val="3"/>
            <c:bubble3D val="0"/>
            <c:spPr>
              <a:solidFill>
                <a:schemeClr val="accent4">
                  <a:tint val="77000"/>
                </a:schemeClr>
              </a:solidFill>
              <a:ln w="19050">
                <a:solidFill>
                  <a:schemeClr val="lt1"/>
                </a:solidFill>
              </a:ln>
              <a:effectLst/>
            </c:spPr>
            <c:extLst>
              <c:ext xmlns:c16="http://schemas.microsoft.com/office/drawing/2014/chart" uri="{C3380CC4-5D6E-409C-BE32-E72D297353CC}">
                <c16:uniqueId val="{00000007-785D-40F8-99B8-25D309EDA608}"/>
              </c:ext>
            </c:extLst>
          </c:dPt>
          <c:dPt>
            <c:idx val="4"/>
            <c:bubble3D val="0"/>
            <c:spPr>
              <a:solidFill>
                <a:schemeClr val="accent4">
                  <a:tint val="54000"/>
                </a:schemeClr>
              </a:solidFill>
              <a:ln w="19050">
                <a:solidFill>
                  <a:schemeClr val="lt1"/>
                </a:solidFill>
              </a:ln>
              <a:effectLst/>
            </c:spPr>
            <c:extLst>
              <c:ext xmlns:c16="http://schemas.microsoft.com/office/drawing/2014/chart" uri="{C3380CC4-5D6E-409C-BE32-E72D297353CC}">
                <c16:uniqueId val="{00000009-785D-40F8-99B8-25D309EDA60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Asiakastilastot!$G$161:$G$165</c:f>
              <c:strCache>
                <c:ptCount val="5"/>
                <c:pt idx="0">
                  <c:v>Peruskoulu</c:v>
                </c:pt>
                <c:pt idx="1">
                  <c:v>Toinen aste</c:v>
                </c:pt>
                <c:pt idx="2">
                  <c:v>Korkeakoulututkinto</c:v>
                </c:pt>
                <c:pt idx="3">
                  <c:v>Muu tutkinto</c:v>
                </c:pt>
                <c:pt idx="4">
                  <c:v>Ei tietoa</c:v>
                </c:pt>
              </c:strCache>
            </c:strRef>
          </c:cat>
          <c:val>
            <c:numRef>
              <c:f>Asiakastilastot!$H$161:$H$165</c:f>
              <c:numCache>
                <c:formatCode>0.0\ %</c:formatCode>
                <c:ptCount val="5"/>
                <c:pt idx="0">
                  <c:v>0</c:v>
                </c:pt>
                <c:pt idx="1">
                  <c:v>0</c:v>
                </c:pt>
                <c:pt idx="2">
                  <c:v>0</c:v>
                </c:pt>
                <c:pt idx="3">
                  <c:v>0</c:v>
                </c:pt>
                <c:pt idx="4">
                  <c:v>0</c:v>
                </c:pt>
              </c:numCache>
            </c:numRef>
          </c:val>
          <c:extLst>
            <c:ext xmlns:c16="http://schemas.microsoft.com/office/drawing/2014/chart" uri="{C3380CC4-5D6E-409C-BE32-E72D297353CC}">
              <c16:uniqueId val="{00000000-F9C3-4B91-8CF4-DE36DB5DE493}"/>
            </c:ext>
          </c:extLst>
        </c:ser>
        <c:dLbls>
          <c:showLegendKey val="0"/>
          <c:showVal val="1"/>
          <c:showCatName val="1"/>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3.1522825759907135E-2"/>
          <c:y val="0.20160388372492399"/>
          <c:w val="0.90126893898280203"/>
          <c:h val="0.37322694651652444"/>
        </c:manualLayout>
      </c:layout>
      <c:barChart>
        <c:barDir val="bar"/>
        <c:grouping val="stacked"/>
        <c:varyColors val="0"/>
        <c:ser>
          <c:idx val="0"/>
          <c:order val="0"/>
          <c:tx>
            <c:strRef>
              <c:f>Asiakastilastot!$A$25</c:f>
              <c:strCache>
                <c:ptCount val="1"/>
                <c:pt idx="0">
                  <c:v>Yhteydenottopyyntö</c:v>
                </c:pt>
              </c:strCache>
            </c:strRef>
          </c:tx>
          <c:spPr>
            <a:solidFill>
              <a:schemeClr val="accent4">
                <a:shade val="65000"/>
              </a:schemeClr>
            </a:solidFill>
            <a:ln>
              <a:noFill/>
            </a:ln>
            <a:effectLst/>
          </c:spPr>
          <c:invertIfNegative val="0"/>
          <c:val>
            <c:numRef>
              <c:f>Asiakastilastot!$C$25</c:f>
              <c:numCache>
                <c:formatCode>#\ ##0.0%;\ \-#\ ##0.0%;\ \-\ </c:formatCode>
                <c:ptCount val="1"/>
                <c:pt idx="0">
                  <c:v>0</c:v>
                </c:pt>
              </c:numCache>
            </c:numRef>
          </c:val>
          <c:extLst>
            <c:ext xmlns:c16="http://schemas.microsoft.com/office/drawing/2014/chart" uri="{C3380CC4-5D6E-409C-BE32-E72D297353CC}">
              <c16:uniqueId val="{00000000-D658-48E5-8A1B-664988F32BFA}"/>
            </c:ext>
          </c:extLst>
        </c:ser>
        <c:ser>
          <c:idx val="1"/>
          <c:order val="1"/>
          <c:tx>
            <c:strRef>
              <c:f>Asiakastilastot!$A$26</c:f>
              <c:strCache>
                <c:ptCount val="1"/>
                <c:pt idx="0">
                  <c:v>Kontakti</c:v>
                </c:pt>
              </c:strCache>
            </c:strRef>
          </c:tx>
          <c:spPr>
            <a:solidFill>
              <a:schemeClr val="accent4"/>
            </a:solidFill>
            <a:ln>
              <a:noFill/>
            </a:ln>
            <a:effectLst/>
          </c:spPr>
          <c:invertIfNegative val="0"/>
          <c:val>
            <c:numRef>
              <c:f>Asiakastilastot!$C$26</c:f>
              <c:numCache>
                <c:formatCode>#\ ##0.0%;\ \-#\ ##0.0%;\ \-\ </c:formatCode>
                <c:ptCount val="1"/>
                <c:pt idx="0">
                  <c:v>0</c:v>
                </c:pt>
              </c:numCache>
            </c:numRef>
          </c:val>
          <c:extLst>
            <c:ext xmlns:c16="http://schemas.microsoft.com/office/drawing/2014/chart" uri="{C3380CC4-5D6E-409C-BE32-E72D297353CC}">
              <c16:uniqueId val="{00000001-D658-48E5-8A1B-664988F32BFA}"/>
            </c:ext>
          </c:extLst>
        </c:ser>
        <c:ser>
          <c:idx val="2"/>
          <c:order val="2"/>
          <c:tx>
            <c:strRef>
              <c:f>Asiakastilastot!$A$27</c:f>
              <c:strCache>
                <c:ptCount val="1"/>
                <c:pt idx="0">
                  <c:v>Tavoitettu</c:v>
                </c:pt>
              </c:strCache>
            </c:strRef>
          </c:tx>
          <c:spPr>
            <a:solidFill>
              <a:schemeClr val="accent4">
                <a:tint val="65000"/>
              </a:schemeClr>
            </a:solidFill>
            <a:ln>
              <a:noFill/>
            </a:ln>
            <a:effectLst/>
          </c:spPr>
          <c:invertIfNegative val="0"/>
          <c:val>
            <c:numRef>
              <c:f>Asiakastilastot!$C$27</c:f>
              <c:numCache>
                <c:formatCode>#\ ##0.0%;\ \-#\ ##0.0%;\ \-\ </c:formatCode>
                <c:ptCount val="1"/>
                <c:pt idx="0">
                  <c:v>0</c:v>
                </c:pt>
              </c:numCache>
            </c:numRef>
          </c:val>
          <c:extLst>
            <c:ext xmlns:c16="http://schemas.microsoft.com/office/drawing/2014/chart" uri="{C3380CC4-5D6E-409C-BE32-E72D297353CC}">
              <c16:uniqueId val="{00000002-D658-48E5-8A1B-664988F32BFA}"/>
            </c:ext>
          </c:extLst>
        </c:ser>
        <c:dLbls>
          <c:showLegendKey val="0"/>
          <c:showVal val="0"/>
          <c:showCatName val="0"/>
          <c:showSerName val="0"/>
          <c:showPercent val="0"/>
          <c:showBubbleSize val="0"/>
        </c:dLbls>
        <c:gapWidth val="40"/>
        <c:overlap val="100"/>
        <c:axId val="973151352"/>
        <c:axId val="973147416"/>
      </c:barChart>
      <c:catAx>
        <c:axId val="973151352"/>
        <c:scaling>
          <c:orientation val="minMax"/>
        </c:scaling>
        <c:delete val="1"/>
        <c:axPos val="l"/>
        <c:majorTickMark val="none"/>
        <c:minorTickMark val="none"/>
        <c:tickLblPos val="nextTo"/>
        <c:crossAx val="973147416"/>
        <c:crosses val="autoZero"/>
        <c:auto val="1"/>
        <c:lblAlgn val="ctr"/>
        <c:lblOffset val="100"/>
        <c:noMultiLvlLbl val="0"/>
      </c:catAx>
      <c:valAx>
        <c:axId val="973147416"/>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 ##0.0%;\ \-#\ ##0.0%;\ \-\ "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97315135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pieChart>
        <c:varyColors val="1"/>
        <c:ser>
          <c:idx val="0"/>
          <c:order val="0"/>
          <c:dPt>
            <c:idx val="0"/>
            <c:bubble3D val="0"/>
            <c:spPr>
              <a:solidFill>
                <a:schemeClr val="accent4">
                  <a:shade val="47000"/>
                </a:schemeClr>
              </a:solidFill>
              <a:ln w="19050">
                <a:solidFill>
                  <a:schemeClr val="lt1"/>
                </a:solidFill>
              </a:ln>
              <a:effectLst/>
            </c:spPr>
            <c:extLst>
              <c:ext xmlns:c16="http://schemas.microsoft.com/office/drawing/2014/chart" uri="{C3380CC4-5D6E-409C-BE32-E72D297353CC}">
                <c16:uniqueId val="{00000001-913B-4F84-9593-08877D5AE6C7}"/>
              </c:ext>
            </c:extLst>
          </c:dPt>
          <c:dPt>
            <c:idx val="1"/>
            <c:bubble3D val="0"/>
            <c:spPr>
              <a:solidFill>
                <a:schemeClr val="accent4">
                  <a:shade val="65000"/>
                </a:schemeClr>
              </a:solidFill>
              <a:ln w="19050">
                <a:solidFill>
                  <a:schemeClr val="lt1"/>
                </a:solidFill>
              </a:ln>
              <a:effectLst/>
            </c:spPr>
            <c:extLst>
              <c:ext xmlns:c16="http://schemas.microsoft.com/office/drawing/2014/chart" uri="{C3380CC4-5D6E-409C-BE32-E72D297353CC}">
                <c16:uniqueId val="{00000003-913B-4F84-9593-08877D5AE6C7}"/>
              </c:ext>
            </c:extLst>
          </c:dPt>
          <c:dPt>
            <c:idx val="2"/>
            <c:bubble3D val="0"/>
            <c:spPr>
              <a:solidFill>
                <a:schemeClr val="accent4">
                  <a:shade val="82000"/>
                </a:schemeClr>
              </a:solidFill>
              <a:ln w="19050">
                <a:solidFill>
                  <a:schemeClr val="lt1"/>
                </a:solidFill>
              </a:ln>
              <a:effectLst/>
            </c:spPr>
            <c:extLst>
              <c:ext xmlns:c16="http://schemas.microsoft.com/office/drawing/2014/chart" uri="{C3380CC4-5D6E-409C-BE32-E72D297353CC}">
                <c16:uniqueId val="{00000005-913B-4F84-9593-08877D5AE6C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13B-4F84-9593-08877D5AE6C7}"/>
              </c:ext>
            </c:extLst>
          </c:dPt>
          <c:dPt>
            <c:idx val="4"/>
            <c:bubble3D val="0"/>
            <c:spPr>
              <a:solidFill>
                <a:schemeClr val="accent4">
                  <a:tint val="83000"/>
                </a:schemeClr>
              </a:solidFill>
              <a:ln w="19050">
                <a:solidFill>
                  <a:schemeClr val="lt1"/>
                </a:solidFill>
              </a:ln>
              <a:effectLst/>
            </c:spPr>
            <c:extLst>
              <c:ext xmlns:c16="http://schemas.microsoft.com/office/drawing/2014/chart" uri="{C3380CC4-5D6E-409C-BE32-E72D297353CC}">
                <c16:uniqueId val="{00000009-913B-4F84-9593-08877D5AE6C7}"/>
              </c:ext>
            </c:extLst>
          </c:dPt>
          <c:dPt>
            <c:idx val="5"/>
            <c:bubble3D val="0"/>
            <c:spPr>
              <a:solidFill>
                <a:schemeClr val="accent4">
                  <a:tint val="65000"/>
                </a:schemeClr>
              </a:solidFill>
              <a:ln w="19050">
                <a:solidFill>
                  <a:schemeClr val="lt1"/>
                </a:solidFill>
              </a:ln>
              <a:effectLst/>
            </c:spPr>
            <c:extLst>
              <c:ext xmlns:c16="http://schemas.microsoft.com/office/drawing/2014/chart" uri="{C3380CC4-5D6E-409C-BE32-E72D297353CC}">
                <c16:uniqueId val="{0000000B-913B-4F84-9593-08877D5AE6C7}"/>
              </c:ext>
            </c:extLst>
          </c:dPt>
          <c:dPt>
            <c:idx val="6"/>
            <c:bubble3D val="0"/>
            <c:spPr>
              <a:solidFill>
                <a:schemeClr val="accent4">
                  <a:tint val="48000"/>
                </a:schemeClr>
              </a:solidFill>
              <a:ln w="19050">
                <a:solidFill>
                  <a:schemeClr val="lt1"/>
                </a:solidFill>
              </a:ln>
              <a:effectLst/>
            </c:spPr>
            <c:extLst>
              <c:ext xmlns:c16="http://schemas.microsoft.com/office/drawing/2014/chart" uri="{C3380CC4-5D6E-409C-BE32-E72D297353CC}">
                <c16:uniqueId val="{0000000D-913B-4F84-9593-08877D5AE6C7}"/>
              </c:ext>
            </c:extLst>
          </c:dPt>
          <c:dPt>
            <c:idx val="7"/>
            <c:bubble3D val="0"/>
            <c:spPr>
              <a:solidFill>
                <a:schemeClr val="accent4">
                  <a:tint val="46000"/>
                </a:schemeClr>
              </a:solidFill>
              <a:ln w="19050">
                <a:solidFill>
                  <a:schemeClr val="lt1"/>
                </a:solidFill>
              </a:ln>
              <a:effectLst/>
            </c:spPr>
            <c:extLst>
              <c:ext xmlns:c16="http://schemas.microsoft.com/office/drawing/2014/chart" uri="{C3380CC4-5D6E-409C-BE32-E72D297353CC}">
                <c16:uniqueId val="{0000000F-998D-426F-B66D-4BF335E7664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dLblPos val="outEnd"/>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Saapuminen!$A$70:$A$77</c:f>
              <c:strCache>
                <c:ptCount val="8"/>
                <c:pt idx="0">
                  <c:v>Oppilaitos</c:v>
                </c:pt>
                <c:pt idx="1">
                  <c:v>Sosiaali- ja terveyspalvelut ja kuntoutus</c:v>
                </c:pt>
                <c:pt idx="2">
                  <c:v>Nuorisotyö</c:v>
                </c:pt>
                <c:pt idx="3">
                  <c:v>Työllisyyspalvelut</c:v>
                </c:pt>
                <c:pt idx="4">
                  <c:v>Virallinen toimiala</c:v>
                </c:pt>
                <c:pt idx="5">
                  <c:v>Suoraan /kavereiden- tai sukulaisen yhteydenotto</c:v>
                </c:pt>
                <c:pt idx="6">
                  <c:v>Muut</c:v>
                </c:pt>
                <c:pt idx="7">
                  <c:v>Ei tietoa</c:v>
                </c:pt>
              </c:strCache>
            </c:strRef>
          </c:cat>
          <c:val>
            <c:numRef>
              <c:f>Saapuminen!$C$70:$C$77</c:f>
              <c:numCache>
                <c:formatCode>#\ ##0.0%;\ \-#\ ##0.0%;\ \-\ </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142A-4402-9E1B-E66D858EA91D}"/>
            </c:ext>
          </c:extLst>
        </c:ser>
        <c:dLbls>
          <c:dLblPos val="outEnd"/>
          <c:showLegendKey val="0"/>
          <c:showVal val="1"/>
          <c:showCatName val="1"/>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1541949939184431"/>
          <c:w val="1"/>
          <c:h val="0.84580500608155684"/>
        </c:manualLayout>
      </c:layout>
      <c:barChart>
        <c:barDir val="bar"/>
        <c:grouping val="stacked"/>
        <c:varyColors val="0"/>
        <c:ser>
          <c:idx val="0"/>
          <c:order val="0"/>
          <c:tx>
            <c:strRef>
              <c:f>Saapuminen!$F$95</c:f>
              <c:strCache>
                <c:ptCount val="1"/>
                <c:pt idx="0">
                  <c:v>Ei</c:v>
                </c:pt>
              </c:strCache>
            </c:strRef>
          </c:tx>
          <c:spPr>
            <a:solidFill>
              <a:schemeClr val="accent4">
                <a:lumMod val="20000"/>
                <a:lumOff val="80000"/>
              </a:schemeClr>
            </a:solidFill>
          </c:spPr>
          <c:invertIfNegative val="0"/>
          <c:dPt>
            <c:idx val="1"/>
            <c:invertIfNegative val="0"/>
            <c:bubble3D val="0"/>
            <c:extLst>
              <c:ext xmlns:c16="http://schemas.microsoft.com/office/drawing/2014/chart" uri="{C3380CC4-5D6E-409C-BE32-E72D297353CC}">
                <c16:uniqueId val="{00000000-5610-46AB-BC50-47281B78E2F0}"/>
              </c:ext>
            </c:extLst>
          </c:dPt>
          <c:dPt>
            <c:idx val="5"/>
            <c:invertIfNegative val="0"/>
            <c:bubble3D val="0"/>
            <c:spPr>
              <a:solidFill>
                <a:schemeClr val="accent4">
                  <a:lumMod val="75000"/>
                </a:schemeClr>
              </a:solidFill>
            </c:spPr>
            <c:extLst>
              <c:ext xmlns:c16="http://schemas.microsoft.com/office/drawing/2014/chart" uri="{C3380CC4-5D6E-409C-BE32-E72D297353CC}">
                <c16:uniqueId val="{00000002-5610-46AB-BC50-47281B78E2F0}"/>
              </c:ext>
            </c:extLst>
          </c:dPt>
          <c:dLbls>
            <c:dLbl>
              <c:idx val="5"/>
              <c:spPr>
                <a:noFill/>
                <a:ln>
                  <a:noFill/>
                </a:ln>
                <a:effectLst/>
              </c:spPr>
              <c:txPr>
                <a:bodyPr wrap="square" lIns="38100" tIns="19050" rIns="38100" bIns="19050" anchor="ctr">
                  <a:spAutoFit/>
                </a:bodyPr>
                <a:lstStyle/>
                <a:p>
                  <a:pPr>
                    <a:defRPr sz="1100" b="1">
                      <a:solidFill>
                        <a:schemeClr val="bg1"/>
                      </a:solidFill>
                    </a:defRPr>
                  </a:pPr>
                  <a:endParaRPr lang="fi-FI"/>
                </a:p>
              </c:txPr>
              <c:showLegendKey val="0"/>
              <c:showVal val="1"/>
              <c:showCatName val="0"/>
              <c:showSerName val="0"/>
              <c:showPercent val="0"/>
              <c:showBubbleSize val="0"/>
              <c:extLst>
                <c:ext xmlns:c16="http://schemas.microsoft.com/office/drawing/2014/chart" uri="{C3380CC4-5D6E-409C-BE32-E72D297353CC}">
                  <c16:uniqueId val="{00000002-5610-46AB-BC50-47281B78E2F0}"/>
                </c:ext>
              </c:extLst>
            </c:dLbl>
            <c:spPr>
              <a:noFill/>
              <a:ln>
                <a:noFill/>
              </a:ln>
              <a:effectLst/>
            </c:spPr>
            <c:txPr>
              <a:bodyPr wrap="square" lIns="38100" tIns="19050" rIns="38100" bIns="19050" anchor="ctr">
                <a:spAutoFit/>
              </a:bodyPr>
              <a:lstStyle/>
              <a:p>
                <a:pPr>
                  <a:defRPr sz="1100"/>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Saapuminen!$G$97:$G$103</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3-5610-46AB-BC50-47281B78E2F0}"/>
            </c:ext>
          </c:extLst>
        </c:ser>
        <c:ser>
          <c:idx val="1"/>
          <c:order val="1"/>
          <c:tx>
            <c:strRef>
              <c:f>Saapuminen!$D$95</c:f>
              <c:strCache>
                <c:ptCount val="1"/>
                <c:pt idx="0">
                  <c:v>Kyllä</c:v>
                </c:pt>
              </c:strCache>
            </c:strRef>
          </c:tx>
          <c:spPr>
            <a:solidFill>
              <a:schemeClr val="accent3">
                <a:lumMod val="40000"/>
                <a:lumOff val="60000"/>
              </a:schemeClr>
            </a:solidFill>
          </c:spPr>
          <c:invertIfNegative val="0"/>
          <c:dPt>
            <c:idx val="1"/>
            <c:invertIfNegative val="0"/>
            <c:bubble3D val="0"/>
            <c:extLst>
              <c:ext xmlns:c16="http://schemas.microsoft.com/office/drawing/2014/chart" uri="{C3380CC4-5D6E-409C-BE32-E72D297353CC}">
                <c16:uniqueId val="{00000004-5610-46AB-BC50-47281B78E2F0}"/>
              </c:ext>
            </c:extLst>
          </c:dPt>
          <c:dPt>
            <c:idx val="5"/>
            <c:invertIfNegative val="0"/>
            <c:bubble3D val="0"/>
            <c:spPr>
              <a:solidFill>
                <a:schemeClr val="accent3">
                  <a:lumMod val="75000"/>
                </a:schemeClr>
              </a:solidFill>
            </c:spPr>
            <c:extLst>
              <c:ext xmlns:c16="http://schemas.microsoft.com/office/drawing/2014/chart" uri="{C3380CC4-5D6E-409C-BE32-E72D297353CC}">
                <c16:uniqueId val="{00000006-5610-46AB-BC50-47281B78E2F0}"/>
              </c:ext>
            </c:extLst>
          </c:dPt>
          <c:dLbls>
            <c:dLbl>
              <c:idx val="5"/>
              <c:numFmt formatCode="#,##0.0" sourceLinked="0"/>
              <c:spPr>
                <a:noFill/>
                <a:ln>
                  <a:noFill/>
                </a:ln>
                <a:effectLst/>
              </c:spPr>
              <c:txPr>
                <a:bodyPr wrap="square" lIns="38100" tIns="19050" rIns="38100" bIns="19050" anchor="ctr">
                  <a:spAutoFit/>
                </a:bodyPr>
                <a:lstStyle/>
                <a:p>
                  <a:pPr>
                    <a:defRPr sz="1100" b="1">
                      <a:solidFill>
                        <a:schemeClr val="bg1"/>
                      </a:solidFill>
                    </a:defRPr>
                  </a:pPr>
                  <a:endParaRPr lang="fi-FI"/>
                </a:p>
              </c:txPr>
              <c:showLegendKey val="0"/>
              <c:showVal val="1"/>
              <c:showCatName val="0"/>
              <c:showSerName val="0"/>
              <c:showPercent val="0"/>
              <c:showBubbleSize val="0"/>
              <c:extLst>
                <c:ext xmlns:c16="http://schemas.microsoft.com/office/drawing/2014/chart" uri="{C3380CC4-5D6E-409C-BE32-E72D297353CC}">
                  <c16:uniqueId val="{00000006-5610-46AB-BC50-47281B78E2F0}"/>
                </c:ext>
              </c:extLst>
            </c:dLbl>
            <c:numFmt formatCode="#,##0.0" sourceLinked="0"/>
            <c:spPr>
              <a:noFill/>
              <a:ln>
                <a:noFill/>
              </a:ln>
              <a:effectLst/>
            </c:spPr>
            <c:txPr>
              <a:bodyPr wrap="square" lIns="38100" tIns="19050" rIns="38100" bIns="19050" anchor="ctr">
                <a:spAutoFit/>
              </a:bodyPr>
              <a:lstStyle/>
              <a:p>
                <a:pPr>
                  <a:defRPr sz="1100"/>
                </a:pPr>
                <a:endParaRPr lang="fi-FI"/>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Saapuminen!$E$97:$E$103</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7-5610-46AB-BC50-47281B78E2F0}"/>
            </c:ext>
          </c:extLst>
        </c:ser>
        <c:dLbls>
          <c:showLegendKey val="0"/>
          <c:showVal val="0"/>
          <c:showCatName val="0"/>
          <c:showSerName val="0"/>
          <c:showPercent val="0"/>
          <c:showBubbleSize val="0"/>
        </c:dLbls>
        <c:gapWidth val="22"/>
        <c:overlap val="100"/>
        <c:axId val="106701312"/>
        <c:axId val="106376576"/>
      </c:barChart>
      <c:catAx>
        <c:axId val="106701312"/>
        <c:scaling>
          <c:orientation val="maxMin"/>
        </c:scaling>
        <c:delete val="1"/>
        <c:axPos val="l"/>
        <c:majorTickMark val="out"/>
        <c:minorTickMark val="none"/>
        <c:tickLblPos val="nextTo"/>
        <c:crossAx val="106376576"/>
        <c:crosses val="autoZero"/>
        <c:auto val="1"/>
        <c:lblAlgn val="ctr"/>
        <c:lblOffset val="100"/>
        <c:noMultiLvlLbl val="0"/>
      </c:catAx>
      <c:valAx>
        <c:axId val="106376576"/>
        <c:scaling>
          <c:orientation val="minMax"/>
          <c:max val="100"/>
        </c:scaling>
        <c:delete val="1"/>
        <c:axPos val="t"/>
        <c:majorGridlines/>
        <c:numFmt formatCode="0" sourceLinked="0"/>
        <c:majorTickMark val="out"/>
        <c:minorTickMark val="none"/>
        <c:tickLblPos val="nextTo"/>
        <c:crossAx val="106701312"/>
        <c:crosses val="autoZero"/>
        <c:crossBetween val="between"/>
      </c:valAx>
    </c:plotArea>
    <c:legend>
      <c:legendPos val="r"/>
      <c:layout>
        <c:manualLayout>
          <c:xMode val="edge"/>
          <c:yMode val="edge"/>
          <c:x val="0.12393171786081222"/>
          <c:y val="1.6830303619454975E-2"/>
          <c:w val="0.69829068241469816"/>
          <c:h val="0.10724919801691456"/>
        </c:manualLayout>
      </c:layout>
      <c:overlay val="0"/>
      <c:txPr>
        <a:bodyPr/>
        <a:lstStyle/>
        <a:p>
          <a:pPr rtl="0">
            <a:defRPr sz="1100"/>
          </a:pPr>
          <a:endParaRPr lang="fi-FI"/>
        </a:p>
      </c:txPr>
    </c:legend>
    <c:plotVisOnly val="1"/>
    <c:dispBlanksAs val="gap"/>
    <c:showDLblsOverMax val="0"/>
  </c:chart>
  <c:spPr>
    <a:noFill/>
    <a:ln>
      <a:noFill/>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i-FI" sz="1050"/>
              <a:t>Kaikki ilmoitukset suhteessa hakuajan</a:t>
            </a:r>
            <a:r>
              <a:rPr lang="fi-FI" sz="1050" baseline="0"/>
              <a:t> ensimmäiseen ohjaavaan tahoon (%)</a:t>
            </a:r>
          </a:p>
        </c:rich>
      </c:tx>
      <c:layout>
        <c:manualLayout>
          <c:xMode val="edge"/>
          <c:yMode val="edge"/>
          <c:x val="2.9740004126142632E-2"/>
          <c:y val="7.7745383867832843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i-FI"/>
        </a:p>
      </c:txPr>
    </c:title>
    <c:autoTitleDeleted val="0"/>
    <c:plotArea>
      <c:layout/>
      <c:barChart>
        <c:barDir val="bar"/>
        <c:grouping val="clustered"/>
        <c:varyColors val="0"/>
        <c:ser>
          <c:idx val="0"/>
          <c:order val="0"/>
          <c:tx>
            <c:v>1. ohjaava taho</c:v>
          </c:tx>
          <c:spPr>
            <a:solidFill>
              <a:schemeClr val="accent2"/>
            </a:solidFill>
            <a:ln>
              <a:noFill/>
            </a:ln>
            <a:effectLst/>
          </c:spPr>
          <c:invertIfNegative val="0"/>
          <c:val>
            <c:numRef>
              <c:f>Saapuminen!$C$14:$C$62</c:f>
              <c:numCache>
                <c:formatCode>#\ ##0.0%;\ \-#\ ##0.0%;\ \-\ </c:formatCode>
                <c:ptCount val="49"/>
                <c:pt idx="0">
                  <c:v>0</c:v>
                </c:pt>
                <c:pt idx="1">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numCache>
            </c:numRef>
          </c:val>
          <c:extLst>
            <c:ext xmlns:c16="http://schemas.microsoft.com/office/drawing/2014/chart" uri="{C3380CC4-5D6E-409C-BE32-E72D297353CC}">
              <c16:uniqueId val="{00000000-8834-46D2-8561-FFA6D9EAD6E7}"/>
            </c:ext>
          </c:extLst>
        </c:ser>
        <c:ser>
          <c:idx val="1"/>
          <c:order val="1"/>
          <c:tx>
            <c:v>Kaikki ilmoitukset</c:v>
          </c:tx>
          <c:spPr>
            <a:solidFill>
              <a:schemeClr val="accent4"/>
            </a:solidFill>
            <a:ln>
              <a:noFill/>
            </a:ln>
            <a:effectLst/>
          </c:spPr>
          <c:invertIfNegative val="0"/>
          <c:val>
            <c:numRef>
              <c:f>Saapuminen!$O$14:$O$62</c:f>
              <c:numCache>
                <c:formatCode>#\ ##0.0%;\ \-#\ ##0.0%;\ \-\ </c:formatCode>
                <c:ptCount val="4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numCache>
            </c:numRef>
          </c:val>
          <c:extLst>
            <c:ext xmlns:c16="http://schemas.microsoft.com/office/drawing/2014/chart" uri="{C3380CC4-5D6E-409C-BE32-E72D297353CC}">
              <c16:uniqueId val="{00000001-8834-46D2-8561-FFA6D9EAD6E7}"/>
            </c:ext>
          </c:extLst>
        </c:ser>
        <c:dLbls>
          <c:showLegendKey val="0"/>
          <c:showVal val="0"/>
          <c:showCatName val="0"/>
          <c:showSerName val="0"/>
          <c:showPercent val="0"/>
          <c:showBubbleSize val="0"/>
        </c:dLbls>
        <c:gapWidth val="94"/>
        <c:overlap val="23"/>
        <c:axId val="1758322863"/>
        <c:axId val="1149136671"/>
      </c:barChart>
      <c:catAx>
        <c:axId val="1758322863"/>
        <c:scaling>
          <c:orientation val="maxMin"/>
        </c:scaling>
        <c:delete val="1"/>
        <c:axPos val="l"/>
        <c:majorTickMark val="out"/>
        <c:minorTickMark val="none"/>
        <c:tickLblPos val="nextTo"/>
        <c:crossAx val="1149136671"/>
        <c:crosses val="autoZero"/>
        <c:auto val="1"/>
        <c:lblAlgn val="ctr"/>
        <c:lblOffset val="100"/>
        <c:noMultiLvlLbl val="0"/>
      </c:catAx>
      <c:valAx>
        <c:axId val="1149136671"/>
        <c:scaling>
          <c:orientation val="minMax"/>
        </c:scaling>
        <c:delete val="0"/>
        <c:axPos val="t"/>
        <c:majorGridlines>
          <c:spPr>
            <a:ln w="9525" cap="flat" cmpd="sng" algn="ctr">
              <a:solidFill>
                <a:schemeClr val="tx1">
                  <a:lumMod val="15000"/>
                  <a:lumOff val="85000"/>
                </a:schemeClr>
              </a:solidFill>
              <a:round/>
            </a:ln>
            <a:effectLst/>
          </c:spPr>
        </c:majorGridlines>
        <c:numFmt formatCode="#\ ##0.0%;\ \-#\ ##0.0%;\ \-\ "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i-FI"/>
          </a:p>
        </c:txPr>
        <c:crossAx val="1758322863"/>
        <c:crosses val="autoZero"/>
        <c:crossBetween val="between"/>
      </c:valAx>
      <c:spPr>
        <a:noFill/>
        <a:ln>
          <a:noFill/>
        </a:ln>
        <a:effectLst/>
      </c:spPr>
    </c:plotArea>
    <c:legend>
      <c:legendPos val="b"/>
      <c:layout>
        <c:manualLayout>
          <c:xMode val="edge"/>
          <c:yMode val="edge"/>
          <c:x val="0.7130915563673127"/>
          <c:y val="9.1145749638437915E-3"/>
          <c:w val="0.28402161042760327"/>
          <c:h val="3.6013661557611418E-2"/>
        </c:manualLayout>
      </c:layout>
      <c:overlay val="1"/>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0.25584808730676384"/>
          <c:y val="7.8431372549019607E-2"/>
          <c:w val="0.70657719023379972"/>
          <c:h val="0.71422347607618553"/>
        </c:manualLayout>
      </c:layout>
      <c:barChart>
        <c:barDir val="bar"/>
        <c:grouping val="stacked"/>
        <c:varyColors val="0"/>
        <c:ser>
          <c:idx val="0"/>
          <c:order val="0"/>
          <c:tx>
            <c:strRef>
              <c:f>Parkki!$D$35</c:f>
              <c:strCache>
                <c:ptCount val="1"/>
                <c:pt idx="0">
                  <c:v>Naisia</c:v>
                </c:pt>
              </c:strCache>
            </c:strRef>
          </c:tx>
          <c:spPr>
            <a:solidFill>
              <a:schemeClr val="accent4">
                <a:shade val="76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Parkki!$B$36:$B$41</c:f>
              <c:strCache>
                <c:ptCount val="6"/>
                <c:pt idx="0">
                  <c:v>Alle 16-vuotiaita</c:v>
                </c:pt>
                <c:pt idx="1">
                  <c:v>16-17-vuotiaita</c:v>
                </c:pt>
                <c:pt idx="2">
                  <c:v>18-20-vuotiaita</c:v>
                </c:pt>
                <c:pt idx="3">
                  <c:v>21-25-vuotiaita</c:v>
                </c:pt>
                <c:pt idx="4">
                  <c:v>26-28-vuotiaita</c:v>
                </c:pt>
                <c:pt idx="5">
                  <c:v>ei tietoa</c:v>
                </c:pt>
              </c:strCache>
            </c:strRef>
          </c:cat>
          <c:val>
            <c:numRef>
              <c:f>Parkki!$D$36:$D$41</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2BEE-4897-901B-88199F999995}"/>
            </c:ext>
          </c:extLst>
        </c:ser>
        <c:ser>
          <c:idx val="1"/>
          <c:order val="1"/>
          <c:tx>
            <c:strRef>
              <c:f>Parkki!$E$35</c:f>
              <c:strCache>
                <c:ptCount val="1"/>
                <c:pt idx="0">
                  <c:v>Miehiä*</c:v>
                </c:pt>
              </c:strCache>
            </c:strRef>
          </c:tx>
          <c:spPr>
            <a:solidFill>
              <a:schemeClr val="accent4">
                <a:tint val="77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Parkki!$B$36:$B$41</c:f>
              <c:strCache>
                <c:ptCount val="6"/>
                <c:pt idx="0">
                  <c:v>Alle 16-vuotiaita</c:v>
                </c:pt>
                <c:pt idx="1">
                  <c:v>16-17-vuotiaita</c:v>
                </c:pt>
                <c:pt idx="2">
                  <c:v>18-20-vuotiaita</c:v>
                </c:pt>
                <c:pt idx="3">
                  <c:v>21-25-vuotiaita</c:v>
                </c:pt>
                <c:pt idx="4">
                  <c:v>26-28-vuotiaita</c:v>
                </c:pt>
                <c:pt idx="5">
                  <c:v>ei tietoa</c:v>
                </c:pt>
              </c:strCache>
            </c:strRef>
          </c:cat>
          <c:val>
            <c:numRef>
              <c:f>Parkki!$E$36:$E$41</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2BEE-4897-901B-88199F999995}"/>
            </c:ext>
          </c:extLst>
        </c:ser>
        <c:dLbls>
          <c:dLblPos val="ctr"/>
          <c:showLegendKey val="0"/>
          <c:showVal val="1"/>
          <c:showCatName val="0"/>
          <c:showSerName val="0"/>
          <c:showPercent val="0"/>
          <c:showBubbleSize val="0"/>
        </c:dLbls>
        <c:gapWidth val="26"/>
        <c:overlap val="100"/>
        <c:axId val="664001288"/>
        <c:axId val="830968720"/>
      </c:barChart>
      <c:catAx>
        <c:axId val="6640012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crossAx val="830968720"/>
        <c:crosses val="autoZero"/>
        <c:auto val="1"/>
        <c:lblAlgn val="ctr"/>
        <c:lblOffset val="100"/>
        <c:noMultiLvlLbl val="0"/>
      </c:catAx>
      <c:valAx>
        <c:axId val="830968720"/>
        <c:scaling>
          <c:orientation val="minMax"/>
        </c:scaling>
        <c:delete val="1"/>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fi-FI"/>
                  <a:t>Nuorten määrä</a:t>
                </a:r>
              </a:p>
            </c:rich>
          </c:tx>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fi-FI"/>
            </a:p>
          </c:txPr>
        </c:title>
        <c:numFmt formatCode="#\ ##0;\ \-#\ ##0;\ \-\ " sourceLinked="1"/>
        <c:majorTickMark val="out"/>
        <c:minorTickMark val="none"/>
        <c:tickLblPos val="nextTo"/>
        <c:crossAx val="664001288"/>
        <c:crosses val="max"/>
        <c:crossBetween val="between"/>
      </c:valAx>
      <c:spPr>
        <a:noFill/>
        <a:ln>
          <a:noFill/>
        </a:ln>
        <a:effectLst/>
      </c:spPr>
    </c:plotArea>
    <c:legend>
      <c:legendPos val="b"/>
      <c:layout>
        <c:manualLayout>
          <c:xMode val="edge"/>
          <c:yMode val="edge"/>
          <c:x val="0.35309319042207682"/>
          <c:y val="0.90106867657585588"/>
          <c:w val="0.29381335018861326"/>
          <c:h val="9.1801198646960569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col"/>
        <c:grouping val="clustered"/>
        <c:varyColors val="0"/>
        <c:ser>
          <c:idx val="0"/>
          <c:order val="0"/>
          <c:spPr>
            <a:solidFill>
              <a:schemeClr val="accent4"/>
            </a:solidFill>
            <a:ln>
              <a:noFill/>
            </a:ln>
            <a:effectLst/>
          </c:spPr>
          <c:invertIfNegative val="0"/>
          <c:cat>
            <c:strRef>
              <c:f>Tilanne!$A$14:$A$25</c:f>
              <c:strCache>
                <c:ptCount val="12"/>
                <c:pt idx="0">
                  <c:v>Peruskoulussa</c:v>
                </c:pt>
                <c:pt idx="1">
                  <c:v>Työssä käyvä</c:v>
                </c:pt>
                <c:pt idx="2">
                  <c:v>Työttömäksi ilmoittautunut työnhakija</c:v>
                </c:pt>
                <c:pt idx="3">
                  <c:v>Työtön, ei työttömäksi ilmoittautunut</c:v>
                </c:pt>
                <c:pt idx="4">
                  <c:v>Opiskelija</c:v>
                </c:pt>
                <c:pt idx="5">
                  <c:v>Sairaana</c:v>
                </c:pt>
                <c:pt idx="6">
                  <c:v>Kuntoutuksessa</c:v>
                </c:pt>
                <c:pt idx="7">
                  <c:v>Eläkkeellä</c:v>
                </c:pt>
                <c:pt idx="8">
                  <c:v>Asevelvollisuus</c:v>
                </c:pt>
                <c:pt idx="9">
                  <c:v>Perhevapaalla kotona (lastenhoito)</c:v>
                </c:pt>
                <c:pt idx="10">
                  <c:v>Kotoutumistoimeenpiteessä</c:v>
                </c:pt>
                <c:pt idx="11">
                  <c:v>Muu</c:v>
                </c:pt>
              </c:strCache>
            </c:strRef>
          </c:cat>
          <c:val>
            <c:numRef>
              <c:f>Tilanne!$B$14:$B$25</c:f>
              <c:numCache>
                <c:formatCode>#\ ##0;\ \-#\ ##0;\ \-\ </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15E-4928-A7DF-17E812A345B3}"/>
            </c:ext>
          </c:extLst>
        </c:ser>
        <c:dLbls>
          <c:showLegendKey val="0"/>
          <c:showVal val="0"/>
          <c:showCatName val="0"/>
          <c:showSerName val="0"/>
          <c:showPercent val="0"/>
          <c:showBubbleSize val="0"/>
        </c:dLbls>
        <c:gapWidth val="100"/>
        <c:axId val="465253920"/>
        <c:axId val="465259168"/>
      </c:barChart>
      <c:catAx>
        <c:axId val="465253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65259168"/>
        <c:crosses val="autoZero"/>
        <c:auto val="1"/>
        <c:lblAlgn val="ctr"/>
        <c:lblOffset val="100"/>
        <c:noMultiLvlLbl val="0"/>
      </c:catAx>
      <c:valAx>
        <c:axId val="465259168"/>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652539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Tilanne!$A$35:$A$49</c:f>
              <c:strCache>
                <c:ptCount val="15"/>
                <c:pt idx="0">
                  <c:v>Palkka</c:v>
                </c:pt>
                <c:pt idx="1">
                  <c:v>Palkkatuki'</c:v>
                </c:pt>
                <c:pt idx="2">
                  <c:v>Työttömyysturva</c:v>
                </c:pt>
                <c:pt idx="3">
                  <c:v>Työmarkkinatuki'</c:v>
                </c:pt>
                <c:pt idx="4">
                  <c:v>Toimeentulotuki </c:v>
                </c:pt>
                <c:pt idx="5">
                  <c:v>Pitkäaikainen toimeentulotuki</c:v>
                </c:pt>
                <c:pt idx="6">
                  <c:v>Kuntoutusraha'</c:v>
                </c:pt>
                <c:pt idx="7">
                  <c:v>Kuntoutustuki</c:v>
                </c:pt>
                <c:pt idx="8">
                  <c:v>Opintotuki</c:v>
                </c:pt>
                <c:pt idx="9">
                  <c:v>Vanhempien tuki</c:v>
                </c:pt>
                <c:pt idx="10">
                  <c:v>Sairauspäiväraha</c:v>
                </c:pt>
                <c:pt idx="11">
                  <c:v>Eläke</c:v>
                </c:pt>
                <c:pt idx="12">
                  <c:v>Vanhempainetuudet</c:v>
                </c:pt>
                <c:pt idx="13">
                  <c:v>Kotoutumistuki</c:v>
                </c:pt>
                <c:pt idx="14">
                  <c:v>Muu</c:v>
                </c:pt>
              </c:strCache>
            </c:strRef>
          </c:cat>
          <c:val>
            <c:numRef>
              <c:f>Tilanne!$B$35:$B$49</c:f>
              <c:numCache>
                <c:formatCode>#\ ##0;\ \-#\ ##0;\ \-\ </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0530-4E91-B76D-106472845711}"/>
            </c:ext>
          </c:extLst>
        </c:ser>
        <c:dLbls>
          <c:showLegendKey val="0"/>
          <c:showVal val="0"/>
          <c:showCatName val="0"/>
          <c:showSerName val="0"/>
          <c:showPercent val="0"/>
          <c:showBubbleSize val="0"/>
        </c:dLbls>
        <c:gapWidth val="100"/>
        <c:axId val="470917352"/>
        <c:axId val="470916368"/>
      </c:barChart>
      <c:catAx>
        <c:axId val="470917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70916368"/>
        <c:crosses val="autoZero"/>
        <c:auto val="1"/>
        <c:lblAlgn val="ctr"/>
        <c:lblOffset val="100"/>
        <c:noMultiLvlLbl val="0"/>
      </c:catAx>
      <c:valAx>
        <c:axId val="470916368"/>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7091735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col"/>
        <c:grouping val="clustered"/>
        <c:varyColors val="0"/>
        <c:ser>
          <c:idx val="0"/>
          <c:order val="0"/>
          <c:spPr>
            <a:solidFill>
              <a:schemeClr val="accent3"/>
            </a:solidFill>
            <a:ln>
              <a:noFill/>
            </a:ln>
            <a:effectLst/>
          </c:spPr>
          <c:invertIfNegative val="0"/>
          <c:cat>
            <c:strRef>
              <c:f>Tilanne!$A$59:$A$69</c:f>
              <c:strCache>
                <c:ptCount val="11"/>
                <c:pt idx="0">
                  <c:v>Vanhempien asunnossa</c:v>
                </c:pt>
                <c:pt idx="1">
                  <c:v>Omassa vuokra-asunnossa</c:v>
                </c:pt>
                <c:pt idx="2">
                  <c:v>Omassa omistusasunnossa</c:v>
                </c:pt>
                <c:pt idx="3">
                  <c:v>Sukulaisten luona</c:v>
                </c:pt>
                <c:pt idx="4">
                  <c:v>Kavereiden luona</c:v>
                </c:pt>
                <c:pt idx="5">
                  <c:v>Opiskelija-asunnossa / asuntolassa</c:v>
                </c:pt>
                <c:pt idx="6">
                  <c:v>Asunnoton</c:v>
                </c:pt>
                <c:pt idx="7">
                  <c:v>Tukiasunnossa</c:v>
                </c:pt>
                <c:pt idx="8">
                  <c:v>Laitoksessa</c:v>
                </c:pt>
                <c:pt idx="9">
                  <c:v>Vastaanottokeskuksessa</c:v>
                </c:pt>
                <c:pt idx="10">
                  <c:v>Muu</c:v>
                </c:pt>
              </c:strCache>
            </c:strRef>
          </c:cat>
          <c:val>
            <c:numRef>
              <c:f>Tilanne!$B$59:$B$69</c:f>
              <c:numCache>
                <c:formatCode>#\ ##0;\ \-#\ ##0;\ \-\ </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2B9D-41B7-B845-9DFA7E39D503}"/>
            </c:ext>
          </c:extLst>
        </c:ser>
        <c:dLbls>
          <c:showLegendKey val="0"/>
          <c:showVal val="0"/>
          <c:showCatName val="0"/>
          <c:showSerName val="0"/>
          <c:showPercent val="0"/>
          <c:showBubbleSize val="0"/>
        </c:dLbls>
        <c:gapWidth val="100"/>
        <c:axId val="688582776"/>
        <c:axId val="688583104"/>
      </c:barChart>
      <c:catAx>
        <c:axId val="688582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688583104"/>
        <c:crosses val="autoZero"/>
        <c:auto val="1"/>
        <c:lblAlgn val="ctr"/>
        <c:lblOffset val="100"/>
        <c:noMultiLvlLbl val="0"/>
      </c:catAx>
      <c:valAx>
        <c:axId val="688583104"/>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68858277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chemeClr val="accent2"/>
            </a:solidFill>
            <a:ln>
              <a:noFill/>
            </a:ln>
            <a:effectLst/>
          </c:spPr>
          <c:invertIfNegative val="0"/>
          <c:cat>
            <c:strRef>
              <c:f>Tilanne!$A$81:$A$96</c:f>
              <c:strCache>
                <c:ptCount val="16"/>
                <c:pt idx="0">
                  <c:v>Edelleen peruskoulussa</c:v>
                </c:pt>
                <c:pt idx="1">
                  <c:v>Peruskoulu keskeytynyt</c:v>
                </c:pt>
                <c:pt idx="2">
                  <c:v>Peruskoulu suoritettu </c:v>
                </c:pt>
                <c:pt idx="3">
                  <c:v>Suorittamassa lukiota</c:v>
                </c:pt>
                <c:pt idx="4">
                  <c:v>Lukio keskeytynyt</c:v>
                </c:pt>
                <c:pt idx="5">
                  <c:v>Lukion oppimäärä</c:v>
                </c:pt>
                <c:pt idx="6">
                  <c:v>Ylioppilas</c:v>
                </c:pt>
                <c:pt idx="7">
                  <c:v>Suorittamassa 2. asteen ammatillista tutkintoa</c:v>
                </c:pt>
                <c:pt idx="8">
                  <c:v>Keskeytynyt 2. asteen ammatillinen tutkinto</c:v>
                </c:pt>
                <c:pt idx="9">
                  <c:v>2. asteen ammatillinen tutkinto suoritettu</c:v>
                </c:pt>
                <c:pt idx="10">
                  <c:v>Suorittamassa korkeakoulututkintoa</c:v>
                </c:pt>
                <c:pt idx="11">
                  <c:v>Keskeytynyt korkeakoulututkinto </c:v>
                </c:pt>
                <c:pt idx="12">
                  <c:v>Korkeakoulututkinto suoritettu</c:v>
                </c:pt>
                <c:pt idx="13">
                  <c:v>TUVA-koulutus</c:v>
                </c:pt>
                <c:pt idx="14">
                  <c:v>Ulkomailla suoritettu tutkinto</c:v>
                </c:pt>
                <c:pt idx="15">
                  <c:v>Muu</c:v>
                </c:pt>
              </c:strCache>
            </c:strRef>
          </c:cat>
          <c:val>
            <c:numRef>
              <c:f>Tilanne!$B$81:$B$96</c:f>
              <c:numCache>
                <c:formatCode>#\ ##0;\ \-#\ ##0;\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8934-4B87-9CC3-2F8CBCB45937}"/>
            </c:ext>
          </c:extLst>
        </c:ser>
        <c:dLbls>
          <c:showLegendKey val="0"/>
          <c:showVal val="0"/>
          <c:showCatName val="0"/>
          <c:showSerName val="0"/>
          <c:showPercent val="0"/>
          <c:showBubbleSize val="0"/>
        </c:dLbls>
        <c:gapWidth val="100"/>
        <c:axId val="465116936"/>
        <c:axId val="465117920"/>
      </c:barChart>
      <c:catAx>
        <c:axId val="465116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65117920"/>
        <c:crosses val="autoZero"/>
        <c:auto val="1"/>
        <c:lblAlgn val="ctr"/>
        <c:lblOffset val="100"/>
        <c:noMultiLvlLbl val="0"/>
      </c:catAx>
      <c:valAx>
        <c:axId val="465117920"/>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6511693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barChart>
        <c:barDir val="col"/>
        <c:grouping val="clustered"/>
        <c:varyColors val="0"/>
        <c:ser>
          <c:idx val="0"/>
          <c:order val="0"/>
          <c:spPr>
            <a:solidFill>
              <a:schemeClr val="accent6"/>
            </a:solidFill>
            <a:ln>
              <a:noFill/>
            </a:ln>
            <a:effectLst/>
          </c:spPr>
          <c:invertIfNegative val="0"/>
          <c:cat>
            <c:strRef>
              <c:f>Tilanne!$A$107:$A$116</c:f>
              <c:strCache>
                <c:ptCount val="10"/>
                <c:pt idx="0">
                  <c:v>Edelleen peruskoulussa</c:v>
                </c:pt>
                <c:pt idx="1">
                  <c:v>Peruskoulu keskeytynyt</c:v>
                </c:pt>
                <c:pt idx="2">
                  <c:v>Peruskoulu suoritettu </c:v>
                </c:pt>
                <c:pt idx="3">
                  <c:v>Lukion oppimäärä</c:v>
                </c:pt>
                <c:pt idx="4">
                  <c:v>Ylioppilas</c:v>
                </c:pt>
                <c:pt idx="5">
                  <c:v>2. asteen ammatillinen tutkinto suoritettu</c:v>
                </c:pt>
                <c:pt idx="6">
                  <c:v>Ammattikorkeakoulututkinto</c:v>
                </c:pt>
                <c:pt idx="7">
                  <c:v>Yliopistotutkinto</c:v>
                </c:pt>
                <c:pt idx="8">
                  <c:v>Ulkomailla suoritettu tutkinto</c:v>
                </c:pt>
                <c:pt idx="9">
                  <c:v>Muu</c:v>
                </c:pt>
              </c:strCache>
            </c:strRef>
          </c:cat>
          <c:val>
            <c:numRef>
              <c:f>Tilanne!$B$107:$B$116</c:f>
              <c:numCache>
                <c:formatCode>#\ ##0;\ \-#\ ##0;\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22F-4131-8EE5-BB253B0BB5E1}"/>
            </c:ext>
          </c:extLst>
        </c:ser>
        <c:dLbls>
          <c:showLegendKey val="0"/>
          <c:showVal val="0"/>
          <c:showCatName val="0"/>
          <c:showSerName val="0"/>
          <c:showPercent val="0"/>
          <c:showBubbleSize val="0"/>
        </c:dLbls>
        <c:gapWidth val="100"/>
        <c:axId val="432535952"/>
        <c:axId val="432539232"/>
      </c:barChart>
      <c:catAx>
        <c:axId val="432535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32539232"/>
        <c:crosses val="autoZero"/>
        <c:auto val="1"/>
        <c:lblAlgn val="ctr"/>
        <c:lblOffset val="100"/>
        <c:noMultiLvlLbl val="0"/>
      </c:catAx>
      <c:valAx>
        <c:axId val="432539232"/>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3253595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5.7923873052986283E-2"/>
          <c:y val="1.9876788944942513E-2"/>
          <c:w val="0.87571963340647996"/>
          <c:h val="0.96265545430899757"/>
        </c:manualLayout>
      </c:layout>
      <c:barChart>
        <c:barDir val="bar"/>
        <c:grouping val="stacked"/>
        <c:varyColors val="0"/>
        <c:ser>
          <c:idx val="0"/>
          <c:order val="0"/>
          <c:spPr>
            <a:solidFill>
              <a:schemeClr val="accent4"/>
            </a:solidFill>
            <a:ln>
              <a:noFill/>
            </a:ln>
            <a:effectLst/>
          </c:spPr>
          <c:invertIfNegative val="0"/>
          <c:cat>
            <c:strRef>
              <c:f>Toimenpiteet!$B$60:$B$118</c:f>
              <c:strCache>
                <c:ptCount val="59"/>
                <c:pt idx="0">
                  <c:v>Etsivien tuki ja rinnalla kulkeminen</c:v>
                </c:pt>
                <c:pt idx="1">
                  <c:v>Menetelmällinen työskentely nuoren kanssa</c:v>
                </c:pt>
                <c:pt idx="2">
                  <c:v>Ryhmämuotoinen toiminta</c:v>
                </c:pt>
                <c:pt idx="3">
                  <c:v>Monialainen verkostoyhteistyö</c:v>
                </c:pt>
                <c:pt idx="4">
                  <c:v>Nuotta-valmennus</c:v>
                </c:pt>
                <c:pt idx="5">
                  <c:v>Palveluihin ohjaaminen</c:v>
                </c:pt>
                <c:pt idx="6">
                  <c:v>Tuki viranomaisasioiden hoitamiseen</c:v>
                </c:pt>
                <c:pt idx="7">
                  <c:v>Ohjattu opiskelupaikan haussa</c:v>
                </c:pt>
                <c:pt idx="8">
                  <c:v>Asumiseen liittyvä tuki</c:v>
                </c:pt>
                <c:pt idx="9">
                  <c:v>Työnhaun ohjaus ja neuvonta</c:v>
                </c:pt>
                <c:pt idx="10">
                  <c:v>Yhteiset tutustumiskäynnit</c:v>
                </c:pt>
                <c:pt idx="11">
                  <c:v>Ohjaus toisille etsiville</c:v>
                </c:pt>
                <c:pt idx="12">
                  <c:v>Sovari-kysely toimitettu nuorelle</c:v>
                </c:pt>
                <c:pt idx="14">
                  <c:v>Ohjattu muihin palveluihin / toimenpiteisiin</c:v>
                </c:pt>
                <c:pt idx="15">
                  <c:v>Sosiaalityö ja terveydenhuolto</c:v>
                </c:pt>
                <c:pt idx="16">
                  <c:v>Mielenterveyden hoito</c:v>
                </c:pt>
                <c:pt idx="17">
                  <c:v>Päihde- ja riippuvuushoito</c:v>
                </c:pt>
                <c:pt idx="18">
                  <c:v>Matalan kynnyksen apu mielenterveyteen ja/tai päihdeongelmiin</c:v>
                </c:pt>
                <c:pt idx="19">
                  <c:v>Muut terveyteen liittyvät palvelut</c:v>
                </c:pt>
                <c:pt idx="20">
                  <c:v>Toimeentuloon liittyvät palvelut</c:v>
                </c:pt>
                <c:pt idx="21">
                  <c:v>Velkaneuvonta ja muu talouteen liittyvä neuvonta</c:v>
                </c:pt>
                <c:pt idx="22">
                  <c:v>Lastensuojelu ja jälkihuolto</c:v>
                </c:pt>
                <c:pt idx="23">
                  <c:v>Muu sosiaalityön palvelu</c:v>
                </c:pt>
                <c:pt idx="24">
                  <c:v>Kelan ammatillinen kuntoutus</c:v>
                </c:pt>
                <c:pt idx="25">
                  <c:v>Muu kuntoutus</c:v>
                </c:pt>
                <c:pt idx="26">
                  <c:v>Nuoriso- ja vapaa-ajantoiminta ja 3.sektori</c:v>
                </c:pt>
                <c:pt idx="27">
                  <c:v>Nuorisotoimen palvelut</c:v>
                </c:pt>
                <c:pt idx="28">
                  <c:v>Kulttuuri- ja taidetoiminta</c:v>
                </c:pt>
                <c:pt idx="29">
                  <c:v>Liikunta- ja ulkoilutoiminta</c:v>
                </c:pt>
                <c:pt idx="30">
                  <c:v>Järjestöjen toiminta</c:v>
                </c:pt>
                <c:pt idx="31">
                  <c:v>Muu vapaa-ajan toiminta</c:v>
                </c:pt>
                <c:pt idx="32">
                  <c:v>Opinnot</c:v>
                </c:pt>
                <c:pt idx="33">
                  <c:v>Peruskoulun opinnot</c:v>
                </c:pt>
                <c:pt idx="34">
                  <c:v>TUVA-koulutus</c:v>
                </c:pt>
                <c:pt idx="35">
                  <c:v>Lukion opinnot</c:v>
                </c:pt>
                <c:pt idx="36">
                  <c:v>Ammatilliset perusopinnot</c:v>
                </c:pt>
                <c:pt idx="37">
                  <c:v>Muut ammatilliset opinnot</c:v>
                </c:pt>
                <c:pt idx="38">
                  <c:v>Oppisopimuskoulutus</c:v>
                </c:pt>
                <c:pt idx="39">
                  <c:v>Korkeakouluopinnot</c:v>
                </c:pt>
                <c:pt idx="40">
                  <c:v>Kansanopiston opinnot</c:v>
                </c:pt>
                <c:pt idx="41">
                  <c:v>Muu opiskelu</c:v>
                </c:pt>
                <c:pt idx="42">
                  <c:v>Työllistymistä tukeva toiminta</c:v>
                </c:pt>
                <c:pt idx="43">
                  <c:v>Ilmoittautuminen työttömäksi työnhakijaksi</c:v>
                </c:pt>
                <c:pt idx="44">
                  <c:v>Kuntouttava työtoiminta (muualle kuin työpajaan)</c:v>
                </c:pt>
                <c:pt idx="45">
                  <c:v>Työkokeilu (muualle kuin työpajaan)</c:v>
                </c:pt>
                <c:pt idx="46">
                  <c:v>Starttivalmennus</c:v>
                </c:pt>
                <c:pt idx="47">
                  <c:v>Nuorten työpajatoiminta</c:v>
                </c:pt>
                <c:pt idx="48">
                  <c:v>Ammatinvalinta- ja uraohjaus</c:v>
                </c:pt>
                <c:pt idx="49">
                  <c:v>Kuntakokeilu (vanha)</c:v>
                </c:pt>
                <c:pt idx="50">
                  <c:v>Muut työelämään liittyvät palvelut</c:v>
                </c:pt>
                <c:pt idx="51">
                  <c:v>Työhön avoimille työmarkkinoille</c:v>
                </c:pt>
                <c:pt idx="52">
                  <c:v>Muut toimenpiteet</c:v>
                </c:pt>
                <c:pt idx="53">
                  <c:v>Ohjaamo</c:v>
                </c:pt>
                <c:pt idx="54">
                  <c:v>Ohjaaminen kotouttamistoimenpiteisiin</c:v>
                </c:pt>
                <c:pt idx="55">
                  <c:v>Varusmiespalvelu</c:v>
                </c:pt>
                <c:pt idx="56">
                  <c:v>Siviilipalvelu</c:v>
                </c:pt>
                <c:pt idx="57">
                  <c:v>Poliisi</c:v>
                </c:pt>
                <c:pt idx="58">
                  <c:v>Muut toimenpiteet</c:v>
                </c:pt>
              </c:strCache>
            </c:strRef>
          </c:cat>
          <c:val>
            <c:numRef>
              <c:f>Toimenpiteet!$D$60:$D$118</c:f>
              <c:numCache>
                <c:formatCode>0.0\ %</c:formatCode>
                <c:ptCount val="59"/>
                <c:pt idx="0">
                  <c:v>0</c:v>
                </c:pt>
                <c:pt idx="1">
                  <c:v>0</c:v>
                </c:pt>
                <c:pt idx="2">
                  <c:v>0</c:v>
                </c:pt>
                <c:pt idx="3">
                  <c:v>0</c:v>
                </c:pt>
                <c:pt idx="4">
                  <c:v>0</c:v>
                </c:pt>
                <c:pt idx="5">
                  <c:v>0</c:v>
                </c:pt>
                <c:pt idx="6">
                  <c:v>0</c:v>
                </c:pt>
                <c:pt idx="7">
                  <c:v>0</c:v>
                </c:pt>
                <c:pt idx="8">
                  <c:v>0</c:v>
                </c:pt>
                <c:pt idx="9">
                  <c:v>0</c:v>
                </c:pt>
                <c:pt idx="10">
                  <c:v>0</c:v>
                </c:pt>
                <c:pt idx="11">
                  <c:v>0</c:v>
                </c:pt>
                <c:pt idx="12">
                  <c:v>0</c:v>
                </c:pt>
                <c:pt idx="16">
                  <c:v>0</c:v>
                </c:pt>
                <c:pt idx="17">
                  <c:v>0</c:v>
                </c:pt>
                <c:pt idx="18">
                  <c:v>0</c:v>
                </c:pt>
                <c:pt idx="19">
                  <c:v>0</c:v>
                </c:pt>
                <c:pt idx="20">
                  <c:v>0</c:v>
                </c:pt>
                <c:pt idx="21">
                  <c:v>0</c:v>
                </c:pt>
                <c:pt idx="22">
                  <c:v>0</c:v>
                </c:pt>
                <c:pt idx="23">
                  <c:v>0</c:v>
                </c:pt>
                <c:pt idx="24">
                  <c:v>0</c:v>
                </c:pt>
                <c:pt idx="25">
                  <c:v>0</c:v>
                </c:pt>
                <c:pt idx="27">
                  <c:v>0</c:v>
                </c:pt>
                <c:pt idx="28">
                  <c:v>0</c:v>
                </c:pt>
                <c:pt idx="29">
                  <c:v>0</c:v>
                </c:pt>
                <c:pt idx="30">
                  <c:v>0</c:v>
                </c:pt>
                <c:pt idx="31">
                  <c:v>0</c:v>
                </c:pt>
                <c:pt idx="33">
                  <c:v>0</c:v>
                </c:pt>
                <c:pt idx="34">
                  <c:v>0</c:v>
                </c:pt>
                <c:pt idx="35">
                  <c:v>0</c:v>
                </c:pt>
                <c:pt idx="36">
                  <c:v>0</c:v>
                </c:pt>
                <c:pt idx="37">
                  <c:v>0</c:v>
                </c:pt>
                <c:pt idx="38">
                  <c:v>0</c:v>
                </c:pt>
                <c:pt idx="39">
                  <c:v>0</c:v>
                </c:pt>
                <c:pt idx="40">
                  <c:v>0</c:v>
                </c:pt>
                <c:pt idx="41">
                  <c:v>0</c:v>
                </c:pt>
                <c:pt idx="43">
                  <c:v>0</c:v>
                </c:pt>
                <c:pt idx="44">
                  <c:v>0</c:v>
                </c:pt>
                <c:pt idx="45">
                  <c:v>0</c:v>
                </c:pt>
                <c:pt idx="46">
                  <c:v>0</c:v>
                </c:pt>
                <c:pt idx="47">
                  <c:v>0</c:v>
                </c:pt>
                <c:pt idx="48">
                  <c:v>0</c:v>
                </c:pt>
                <c:pt idx="49">
                  <c:v>0</c:v>
                </c:pt>
                <c:pt idx="50">
                  <c:v>0</c:v>
                </c:pt>
                <c:pt idx="51">
                  <c:v>0</c:v>
                </c:pt>
                <c:pt idx="53">
                  <c:v>0</c:v>
                </c:pt>
                <c:pt idx="54">
                  <c:v>0</c:v>
                </c:pt>
                <c:pt idx="55">
                  <c:v>0</c:v>
                </c:pt>
                <c:pt idx="56">
                  <c:v>0</c:v>
                </c:pt>
                <c:pt idx="57">
                  <c:v>0</c:v>
                </c:pt>
                <c:pt idx="58">
                  <c:v>0</c:v>
                </c:pt>
              </c:numCache>
            </c:numRef>
          </c:val>
          <c:extLst>
            <c:ext xmlns:c16="http://schemas.microsoft.com/office/drawing/2014/chart" uri="{C3380CC4-5D6E-409C-BE32-E72D297353CC}">
              <c16:uniqueId val="{00000000-3E15-41D7-A312-76B1421A2ED5}"/>
            </c:ext>
          </c:extLst>
        </c:ser>
        <c:dLbls>
          <c:showLegendKey val="0"/>
          <c:showVal val="0"/>
          <c:showCatName val="0"/>
          <c:showSerName val="0"/>
          <c:showPercent val="0"/>
          <c:showBubbleSize val="0"/>
        </c:dLbls>
        <c:gapWidth val="46"/>
        <c:overlap val="100"/>
        <c:axId val="932937800"/>
        <c:axId val="932945344"/>
      </c:barChart>
      <c:catAx>
        <c:axId val="932937800"/>
        <c:scaling>
          <c:orientation val="maxMin"/>
        </c:scaling>
        <c:delete val="1"/>
        <c:axPos val="l"/>
        <c:numFmt formatCode="General" sourceLinked="1"/>
        <c:majorTickMark val="none"/>
        <c:minorTickMark val="none"/>
        <c:tickLblPos val="nextTo"/>
        <c:crossAx val="932945344"/>
        <c:crosses val="autoZero"/>
        <c:auto val="1"/>
        <c:lblAlgn val="ctr"/>
        <c:lblOffset val="100"/>
        <c:noMultiLvlLbl val="0"/>
      </c:catAx>
      <c:valAx>
        <c:axId val="932945344"/>
        <c:scaling>
          <c:orientation val="minMax"/>
        </c:scaling>
        <c:delete val="0"/>
        <c:axPos val="t"/>
        <c:majorGridlines>
          <c:spPr>
            <a:ln w="9525" cap="flat" cmpd="sng" algn="ctr">
              <a:solidFill>
                <a:schemeClr val="tx1">
                  <a:lumMod val="15000"/>
                  <a:lumOff val="85000"/>
                </a:schemeClr>
              </a:solidFill>
              <a:prstDash val="dash"/>
              <a:round/>
              <a:headEnd type="triangle"/>
            </a:ln>
            <a:effectLst/>
          </c:spPr>
        </c:majorGridlines>
        <c:numFmt formatCode="0.0\ %" sourceLinked="1"/>
        <c:majorTickMark val="none"/>
        <c:minorTickMark val="none"/>
        <c:tickLblPos val="nextTo"/>
        <c:spPr>
          <a:noFill/>
          <a:ln>
            <a:noFill/>
          </a:ln>
          <a:effectLst/>
        </c:spPr>
        <c:txPr>
          <a:bodyPr rot="-60000000" spcFirstLastPara="1" vertOverflow="ellipsis" vert="horz" wrap="square" anchor="b" anchorCtr="0"/>
          <a:lstStyle/>
          <a:p>
            <a:pPr>
              <a:defRPr sz="900" b="0" i="0" u="none" strike="noStrike" kern="1200" baseline="0">
                <a:solidFill>
                  <a:schemeClr val="tx1">
                    <a:lumMod val="65000"/>
                    <a:lumOff val="35000"/>
                  </a:schemeClr>
                </a:solidFill>
                <a:latin typeface="+mn-lt"/>
                <a:ea typeface="+mn-ea"/>
                <a:cs typeface="+mn-cs"/>
              </a:defRPr>
            </a:pPr>
            <a:endParaRPr lang="fi-FI"/>
          </a:p>
        </c:txPr>
        <c:crossAx val="932937800"/>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col"/>
        <c:grouping val="clustered"/>
        <c:varyColors val="0"/>
        <c:ser>
          <c:idx val="0"/>
          <c:order val="0"/>
          <c:spPr>
            <a:solidFill>
              <a:schemeClr val="accent4"/>
            </a:solidFill>
            <a:ln w="19050">
              <a:solidFill>
                <a:schemeClr val="lt1"/>
              </a:solidFill>
            </a:ln>
            <a:effectLst/>
          </c:spPr>
          <c:invertIfNegative val="0"/>
          <c:cat>
            <c:strRef>
              <c:f>Toimenpiteet!$B$60:$B$72</c:f>
              <c:strCache>
                <c:ptCount val="13"/>
                <c:pt idx="0">
                  <c:v>Etsivien tuki ja rinnalla kulkeminen</c:v>
                </c:pt>
                <c:pt idx="1">
                  <c:v>Menetelmällinen työskentely nuoren kanssa</c:v>
                </c:pt>
                <c:pt idx="2">
                  <c:v>Ryhmämuotoinen toiminta</c:v>
                </c:pt>
                <c:pt idx="3">
                  <c:v>Monialainen verkostoyhteistyö</c:v>
                </c:pt>
                <c:pt idx="4">
                  <c:v>Nuotta-valmennus</c:v>
                </c:pt>
                <c:pt idx="5">
                  <c:v>Palveluihin ohjaaminen</c:v>
                </c:pt>
                <c:pt idx="6">
                  <c:v>Tuki viranomaisasioiden hoitamiseen</c:v>
                </c:pt>
                <c:pt idx="7">
                  <c:v>Ohjattu opiskelupaikan haussa</c:v>
                </c:pt>
                <c:pt idx="8">
                  <c:v>Asumiseen liittyvä tuki</c:v>
                </c:pt>
                <c:pt idx="9">
                  <c:v>Työnhaun ohjaus ja neuvonta</c:v>
                </c:pt>
                <c:pt idx="10">
                  <c:v>Yhteiset tutustumiskäynnit</c:v>
                </c:pt>
                <c:pt idx="11">
                  <c:v>Ohjaus toisille etsiville</c:v>
                </c:pt>
                <c:pt idx="12">
                  <c:v>Sovari-kysely toimitettu nuorelle</c:v>
                </c:pt>
              </c:strCache>
            </c:strRef>
          </c:cat>
          <c:val>
            <c:numRef>
              <c:f>Toimenpiteet!$C$60:$C$72</c:f>
              <c:numCache>
                <c:formatCode>#\ ##0;\ \-#\ ##0;\ \-\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D0B-4482-B8DF-8B6E7F1528E7}"/>
            </c:ext>
          </c:extLst>
        </c:ser>
        <c:dLbls>
          <c:showLegendKey val="0"/>
          <c:showVal val="0"/>
          <c:showCatName val="0"/>
          <c:showSerName val="0"/>
          <c:showPercent val="0"/>
          <c:showBubbleSize val="0"/>
        </c:dLbls>
        <c:gapWidth val="150"/>
        <c:axId val="548392216"/>
        <c:axId val="548392544"/>
      </c:barChart>
      <c:catAx>
        <c:axId val="548392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48392544"/>
        <c:crosses val="autoZero"/>
        <c:auto val="1"/>
        <c:lblAlgn val="ctr"/>
        <c:lblOffset val="100"/>
        <c:noMultiLvlLbl val="0"/>
      </c:catAx>
      <c:valAx>
        <c:axId val="548392544"/>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54839221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barChart>
        <c:barDir val="col"/>
        <c:grouping val="clustered"/>
        <c:varyColors val="0"/>
        <c:ser>
          <c:idx val="0"/>
          <c:order val="0"/>
          <c:spPr>
            <a:solidFill>
              <a:schemeClr val="accent2"/>
            </a:solidFill>
            <a:ln>
              <a:noFill/>
            </a:ln>
            <a:effectLst/>
          </c:spPr>
          <c:invertIfNegative val="0"/>
          <c:cat>
            <c:strRef>
              <c:f>Toimenpiteet!$B$76:$B$85</c:f>
              <c:strCache>
                <c:ptCount val="10"/>
                <c:pt idx="0">
                  <c:v>Mielenterveyden hoito</c:v>
                </c:pt>
                <c:pt idx="1">
                  <c:v>Päihde- ja riippuvuushoito</c:v>
                </c:pt>
                <c:pt idx="2">
                  <c:v>Matalan kynnyksen apu mielenterveyteen ja/tai päihdeongelmiin</c:v>
                </c:pt>
                <c:pt idx="3">
                  <c:v>Muut terveyteen liittyvät palvelut</c:v>
                </c:pt>
                <c:pt idx="4">
                  <c:v>Toimeentuloon liittyvät palvelut</c:v>
                </c:pt>
                <c:pt idx="5">
                  <c:v>Velkaneuvonta ja muu talouteen liittyvä neuvonta</c:v>
                </c:pt>
                <c:pt idx="6">
                  <c:v>Lastensuojelu ja jälkihuolto</c:v>
                </c:pt>
                <c:pt idx="7">
                  <c:v>Muu sosiaalityön palvelu</c:v>
                </c:pt>
                <c:pt idx="8">
                  <c:v>Kelan ammatillinen kuntoutus</c:v>
                </c:pt>
                <c:pt idx="9">
                  <c:v>Muu kuntoutus</c:v>
                </c:pt>
              </c:strCache>
            </c:strRef>
          </c:cat>
          <c:val>
            <c:numRef>
              <c:f>Toimenpiteet!$C$76:$C$85</c:f>
              <c:numCache>
                <c:formatCode>#\ ##0;\ \-#\ ##0;\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29-49D7-BFE3-BEFBD60B50E6}"/>
            </c:ext>
          </c:extLst>
        </c:ser>
        <c:dLbls>
          <c:showLegendKey val="0"/>
          <c:showVal val="0"/>
          <c:showCatName val="0"/>
          <c:showSerName val="0"/>
          <c:showPercent val="0"/>
          <c:showBubbleSize val="0"/>
        </c:dLbls>
        <c:gapWidth val="150"/>
        <c:axId val="459613008"/>
        <c:axId val="459615632"/>
      </c:barChart>
      <c:catAx>
        <c:axId val="4596130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59615632"/>
        <c:crosses val="autoZero"/>
        <c:auto val="1"/>
        <c:lblAlgn val="ctr"/>
        <c:lblOffset val="100"/>
        <c:noMultiLvlLbl val="0"/>
      </c:catAx>
      <c:valAx>
        <c:axId val="459615632"/>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5961300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barChart>
        <c:barDir val="col"/>
        <c:grouping val="clustered"/>
        <c:varyColors val="0"/>
        <c:ser>
          <c:idx val="0"/>
          <c:order val="0"/>
          <c:spPr>
            <a:solidFill>
              <a:schemeClr val="accent6"/>
            </a:solidFill>
            <a:ln w="19050">
              <a:solidFill>
                <a:schemeClr val="lt1"/>
              </a:solidFill>
            </a:ln>
            <a:effectLst/>
          </c:spPr>
          <c:invertIfNegative val="0"/>
          <c:cat>
            <c:strRef>
              <c:f>Toimenpiteet!$B$87:$B$91</c:f>
              <c:strCache>
                <c:ptCount val="5"/>
                <c:pt idx="0">
                  <c:v>Nuorisotoimen palvelut</c:v>
                </c:pt>
                <c:pt idx="1">
                  <c:v>Kulttuuri- ja taidetoiminta</c:v>
                </c:pt>
                <c:pt idx="2">
                  <c:v>Liikunta- ja ulkoilutoiminta</c:v>
                </c:pt>
                <c:pt idx="3">
                  <c:v>Järjestöjen toiminta</c:v>
                </c:pt>
                <c:pt idx="4">
                  <c:v>Muu vapaa-ajan toiminta</c:v>
                </c:pt>
              </c:strCache>
            </c:strRef>
          </c:cat>
          <c:val>
            <c:numRef>
              <c:f>Toimenpiteet!$C$87:$C$91</c:f>
              <c:numCache>
                <c:formatCode>#\ ##0;\ \-#\ ##0;\ \-\ </c:formatCode>
                <c:ptCount val="5"/>
                <c:pt idx="0">
                  <c:v>0</c:v>
                </c:pt>
                <c:pt idx="1">
                  <c:v>0</c:v>
                </c:pt>
                <c:pt idx="2">
                  <c:v>0</c:v>
                </c:pt>
                <c:pt idx="3">
                  <c:v>0</c:v>
                </c:pt>
                <c:pt idx="4">
                  <c:v>0</c:v>
                </c:pt>
              </c:numCache>
            </c:numRef>
          </c:val>
          <c:extLst>
            <c:ext xmlns:c16="http://schemas.microsoft.com/office/drawing/2014/chart" uri="{C3380CC4-5D6E-409C-BE32-E72D297353CC}">
              <c16:uniqueId val="{00000000-3101-4C08-8D6B-BF5BAD30AC5A}"/>
            </c:ext>
          </c:extLst>
        </c:ser>
        <c:dLbls>
          <c:showLegendKey val="0"/>
          <c:showVal val="0"/>
          <c:showCatName val="0"/>
          <c:showSerName val="0"/>
          <c:showPercent val="0"/>
          <c:showBubbleSize val="0"/>
        </c:dLbls>
        <c:gapWidth val="150"/>
        <c:axId val="613100776"/>
        <c:axId val="613101104"/>
      </c:barChart>
      <c:catAx>
        <c:axId val="613100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613101104"/>
        <c:crosses val="autoZero"/>
        <c:auto val="1"/>
        <c:lblAlgn val="ctr"/>
        <c:lblOffset val="100"/>
        <c:noMultiLvlLbl val="0"/>
      </c:catAx>
      <c:valAx>
        <c:axId val="613101104"/>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61310077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barChart>
        <c:barDir val="col"/>
        <c:grouping val="clustered"/>
        <c:varyColors val="0"/>
        <c:ser>
          <c:idx val="0"/>
          <c:order val="0"/>
          <c:spPr>
            <a:solidFill>
              <a:schemeClr val="accent3"/>
            </a:solidFill>
            <a:ln>
              <a:noFill/>
            </a:ln>
            <a:effectLst/>
          </c:spPr>
          <c:invertIfNegative val="0"/>
          <c:cat>
            <c:strRef>
              <c:f>Toimenpiteet!$B$93:$B$101</c:f>
              <c:strCache>
                <c:ptCount val="9"/>
                <c:pt idx="0">
                  <c:v>Peruskoulun opinnot</c:v>
                </c:pt>
                <c:pt idx="1">
                  <c:v>TUVA-koulutus</c:v>
                </c:pt>
                <c:pt idx="2">
                  <c:v>Lukion opinnot</c:v>
                </c:pt>
                <c:pt idx="3">
                  <c:v>Ammatilliset perusopinnot</c:v>
                </c:pt>
                <c:pt idx="4">
                  <c:v>Muut ammatilliset opinnot</c:v>
                </c:pt>
                <c:pt idx="5">
                  <c:v>Oppisopimuskoulutus</c:v>
                </c:pt>
                <c:pt idx="6">
                  <c:v>Korkeakouluopinnot</c:v>
                </c:pt>
                <c:pt idx="7">
                  <c:v>Kansanopiston opinnot</c:v>
                </c:pt>
                <c:pt idx="8">
                  <c:v>Muu opiskelu</c:v>
                </c:pt>
              </c:strCache>
            </c:strRef>
          </c:cat>
          <c:val>
            <c:numRef>
              <c:f>Toimenpiteet!$C$93:$C$101</c:f>
              <c:numCache>
                <c:formatCode>#\ ##0;\ \-#\ ##0;\ \-\ </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8EA-4747-A7CB-31BF6D8A28BE}"/>
            </c:ext>
          </c:extLst>
        </c:ser>
        <c:dLbls>
          <c:showLegendKey val="0"/>
          <c:showVal val="0"/>
          <c:showCatName val="0"/>
          <c:showSerName val="0"/>
          <c:showPercent val="0"/>
          <c:showBubbleSize val="0"/>
        </c:dLbls>
        <c:gapWidth val="150"/>
        <c:axId val="434641136"/>
        <c:axId val="434641464"/>
      </c:barChart>
      <c:catAx>
        <c:axId val="434641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34641464"/>
        <c:crosses val="autoZero"/>
        <c:auto val="1"/>
        <c:lblAlgn val="ctr"/>
        <c:lblOffset val="100"/>
        <c:noMultiLvlLbl val="0"/>
      </c:catAx>
      <c:valAx>
        <c:axId val="434641464"/>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43464113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fi-FI"/>
              <a:t>Ei saatu yhteyttä</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fi-FI"/>
        </a:p>
      </c:txPr>
    </c:title>
    <c:autoTitleDeleted val="0"/>
    <c:plotArea>
      <c:layout/>
      <c:pieChart>
        <c:varyColors val="1"/>
        <c:ser>
          <c:idx val="0"/>
          <c:order val="0"/>
          <c:dPt>
            <c:idx val="0"/>
            <c:bubble3D val="0"/>
            <c:spPr>
              <a:solidFill>
                <a:schemeClr val="accent4">
                  <a:shade val="76000"/>
                </a:schemeClr>
              </a:solidFill>
              <a:ln w="19050">
                <a:solidFill>
                  <a:schemeClr val="lt1"/>
                </a:solidFill>
              </a:ln>
              <a:effectLst/>
            </c:spPr>
            <c:extLst>
              <c:ext xmlns:c16="http://schemas.microsoft.com/office/drawing/2014/chart" uri="{C3380CC4-5D6E-409C-BE32-E72D297353CC}">
                <c16:uniqueId val="{00000001-E06D-406A-B0C4-6F6061944C9A}"/>
              </c:ext>
            </c:extLst>
          </c:dPt>
          <c:dPt>
            <c:idx val="1"/>
            <c:bubble3D val="0"/>
            <c:spPr>
              <a:solidFill>
                <a:schemeClr val="accent4">
                  <a:tint val="77000"/>
                </a:schemeClr>
              </a:solidFill>
              <a:ln w="19050">
                <a:solidFill>
                  <a:schemeClr val="lt1"/>
                </a:solidFill>
              </a:ln>
              <a:effectLst/>
            </c:spPr>
            <c:extLst>
              <c:ext xmlns:c16="http://schemas.microsoft.com/office/drawing/2014/chart" uri="{C3380CC4-5D6E-409C-BE32-E72D297353CC}">
                <c16:uniqueId val="{00000003-E06D-406A-B0C4-6F6061944C9A}"/>
              </c:ext>
            </c:extLst>
          </c:dPt>
          <c:dLbls>
            <c:dLbl>
              <c:idx val="1"/>
              <c:dLblPos val="bestFit"/>
              <c:showLegendKey val="0"/>
              <c:showVal val="0"/>
              <c:showCatName val="1"/>
              <c:showSerName val="0"/>
              <c:showPercent val="1"/>
              <c:showBubbleSize val="0"/>
              <c:extLst>
                <c:ext xmlns:c15="http://schemas.microsoft.com/office/drawing/2012/chart" uri="{CE6537A1-D6FC-4f65-9D91-7224C49458BB}">
                  <c15:layout>
                    <c:manualLayout>
                      <c:w val="0.32905837028945722"/>
                      <c:h val="0.15404702983555627"/>
                    </c:manualLayout>
                  </c15:layout>
                </c:ext>
                <c:ext xmlns:c16="http://schemas.microsoft.com/office/drawing/2014/chart" uri="{C3380CC4-5D6E-409C-BE32-E72D297353CC}">
                  <c16:uniqueId val="{00000003-E06D-406A-B0C4-6F6061944C9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fi-FI"/>
              </a:p>
            </c:txPr>
            <c:dLblPos val="bestFit"/>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Parkki!$D$35:$E$35</c:f>
              <c:strCache>
                <c:ptCount val="2"/>
                <c:pt idx="0">
                  <c:v>Naisia</c:v>
                </c:pt>
                <c:pt idx="1">
                  <c:v>Miehiä*</c:v>
                </c:pt>
              </c:strCache>
            </c:strRef>
          </c:cat>
          <c:val>
            <c:numRef>
              <c:f>Parkki!$D$42:$E$42</c:f>
              <c:numCache>
                <c:formatCode>#\ ##0;\ \-#\ ##0;\ \-\ </c:formatCode>
                <c:ptCount val="2"/>
                <c:pt idx="0">
                  <c:v>0</c:v>
                </c:pt>
                <c:pt idx="1">
                  <c:v>0</c:v>
                </c:pt>
              </c:numCache>
            </c:numRef>
          </c:val>
          <c:extLst>
            <c:ext xmlns:c16="http://schemas.microsoft.com/office/drawing/2014/chart" uri="{C3380CC4-5D6E-409C-BE32-E72D297353CC}">
              <c16:uniqueId val="{00000004-E06D-406A-B0C4-6F6061944C9A}"/>
            </c:ext>
          </c:extLst>
        </c:ser>
        <c:dLbls>
          <c:dLblPos val="bestFit"/>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col"/>
        <c:grouping val="clustered"/>
        <c:varyColors val="0"/>
        <c:ser>
          <c:idx val="0"/>
          <c:order val="0"/>
          <c:spPr>
            <a:solidFill>
              <a:schemeClr val="accent5"/>
            </a:solidFill>
            <a:ln>
              <a:noFill/>
            </a:ln>
            <a:effectLst/>
          </c:spPr>
          <c:invertIfNegative val="0"/>
          <c:cat>
            <c:strRef>
              <c:f>Toimenpiteet!$B$103:$B$111</c:f>
              <c:strCache>
                <c:ptCount val="9"/>
                <c:pt idx="0">
                  <c:v>Ilmoittautuminen työttömäksi työnhakijaksi</c:v>
                </c:pt>
                <c:pt idx="1">
                  <c:v>Kuntouttava työtoiminta (muualle kuin työpajaan)</c:v>
                </c:pt>
                <c:pt idx="2">
                  <c:v>Työkokeilu (muualle kuin työpajaan)</c:v>
                </c:pt>
                <c:pt idx="3">
                  <c:v>Starttivalmennus</c:v>
                </c:pt>
                <c:pt idx="4">
                  <c:v>Nuorten työpajatoiminta</c:v>
                </c:pt>
                <c:pt idx="5">
                  <c:v>Ammatinvalinta- ja uraohjaus</c:v>
                </c:pt>
                <c:pt idx="6">
                  <c:v>Kuntakokeilu (vanha)</c:v>
                </c:pt>
                <c:pt idx="7">
                  <c:v>Muut työelämään liittyvät palvelut</c:v>
                </c:pt>
                <c:pt idx="8">
                  <c:v>Työhön avoimille työmarkkinoille</c:v>
                </c:pt>
              </c:strCache>
            </c:strRef>
          </c:cat>
          <c:val>
            <c:numRef>
              <c:f>Toimenpiteet!$C$103:$C$111</c:f>
              <c:numCache>
                <c:formatCode>#\ ##0;\ \-#\ ##0;\ \-\ </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A63-4672-8746-3752758CE7E3}"/>
            </c:ext>
          </c:extLst>
        </c:ser>
        <c:dLbls>
          <c:showLegendKey val="0"/>
          <c:showVal val="0"/>
          <c:showCatName val="0"/>
          <c:showSerName val="0"/>
          <c:showPercent val="0"/>
          <c:showBubbleSize val="0"/>
        </c:dLbls>
        <c:gapWidth val="150"/>
        <c:axId val="689426904"/>
        <c:axId val="689436416"/>
      </c:barChart>
      <c:catAx>
        <c:axId val="689426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689436416"/>
        <c:crosses val="autoZero"/>
        <c:auto val="1"/>
        <c:lblAlgn val="ctr"/>
        <c:lblOffset val="100"/>
        <c:noMultiLvlLbl val="0"/>
      </c:catAx>
      <c:valAx>
        <c:axId val="689436416"/>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fi-FI"/>
          </a:p>
        </c:txPr>
        <c:crossAx val="6894269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cat>
            <c:strRef>
              <c:f>Toimenpiteet!$B$113:$B$118</c:f>
              <c:strCache>
                <c:ptCount val="6"/>
                <c:pt idx="0">
                  <c:v>Ohjaamo</c:v>
                </c:pt>
                <c:pt idx="1">
                  <c:v>Ohjaaminen kotouttamistoimenpiteisiin</c:v>
                </c:pt>
                <c:pt idx="2">
                  <c:v>Varusmiespalvelu</c:v>
                </c:pt>
                <c:pt idx="3">
                  <c:v>Siviilipalvelu</c:v>
                </c:pt>
                <c:pt idx="4">
                  <c:v>Poliisi</c:v>
                </c:pt>
                <c:pt idx="5">
                  <c:v>Muut toimenpiteet</c:v>
                </c:pt>
              </c:strCache>
            </c:strRef>
          </c:cat>
          <c:val>
            <c:numRef>
              <c:f>Toimenpiteet!$C$113:$C$118</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889C-4176-AF2D-3AF7E92B843C}"/>
            </c:ext>
          </c:extLst>
        </c:ser>
        <c:dLbls>
          <c:showLegendKey val="0"/>
          <c:showVal val="0"/>
          <c:showCatName val="0"/>
          <c:showSerName val="0"/>
          <c:showPercent val="0"/>
          <c:showBubbleSize val="0"/>
        </c:dLbls>
        <c:gapWidth val="150"/>
        <c:axId val="722891536"/>
        <c:axId val="722895472"/>
      </c:barChart>
      <c:catAx>
        <c:axId val="722891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722895472"/>
        <c:crosses val="autoZero"/>
        <c:auto val="1"/>
        <c:lblAlgn val="ctr"/>
        <c:lblOffset val="100"/>
        <c:noMultiLvlLbl val="0"/>
      </c:catAx>
      <c:valAx>
        <c:axId val="722895472"/>
        <c:scaling>
          <c:orientation val="minMax"/>
        </c:scaling>
        <c:delete val="0"/>
        <c:axPos val="l"/>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72289153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bar"/>
        <c:grouping val="stacked"/>
        <c:varyColors val="0"/>
        <c:ser>
          <c:idx val="0"/>
          <c:order val="0"/>
          <c:tx>
            <c:strRef>
              <c:f>'Päättäminen, tila, kesto'!$E$12</c:f>
              <c:strCache>
                <c:ptCount val="1"/>
                <c:pt idx="0">
                  <c:v>Naisia</c:v>
                </c:pt>
              </c:strCache>
            </c:strRef>
          </c:tx>
          <c:spPr>
            <a:solidFill>
              <a:schemeClr val="accent4">
                <a:shade val="65000"/>
              </a:schemeClr>
            </a:solidFill>
            <a:ln>
              <a:noFill/>
            </a:ln>
            <a:effectLst/>
          </c:spPr>
          <c:invertIfNegative val="0"/>
          <c:cat>
            <c:strRef>
              <c:f>'Päättäminen, tila, kesto'!$M$14:$M$61</c:f>
              <c:strCache>
                <c:ptCount val="48"/>
                <c:pt idx="0">
                  <c:v>Ei saatu yhteyttä</c:v>
                </c:pt>
                <c:pt idx="1">
                  <c:v>Väärä/peruttu ilmoitus</c:v>
                </c:pt>
                <c:pt idx="2">
                  <c:v>Uudelleenohjattu yhteydenottopyyntö</c:v>
                </c:pt>
                <c:pt idx="4">
                  <c:v>Nuori ei halua aloittaa asiakkuutta</c:v>
                </c:pt>
                <c:pt idx="5">
                  <c:v>Nuorella ei ole tarvetta asiakkuuteen</c:v>
                </c:pt>
                <c:pt idx="6">
                  <c:v>Ohjattu kertaluonteisesti</c:v>
                </c:pt>
                <c:pt idx="7">
                  <c:v>Muu</c:v>
                </c:pt>
                <c:pt idx="10">
                  <c:v>TUVA-koulutus</c:v>
                </c:pt>
                <c:pt idx="11">
                  <c:v>Toisen asteen opinnot</c:v>
                </c:pt>
                <c:pt idx="12">
                  <c:v>Korkeakoulu opinnot</c:v>
                </c:pt>
                <c:pt idx="13">
                  <c:v>Muu opiskelu</c:v>
                </c:pt>
                <c:pt idx="15">
                  <c:v>Mielenterveyden hoito</c:v>
                </c:pt>
                <c:pt idx="16">
                  <c:v>Päihde- ja riippuvuushoito</c:v>
                </c:pt>
                <c:pt idx="17">
                  <c:v>Muut terveyskeskuspalvelut </c:v>
                </c:pt>
                <c:pt idx="18">
                  <c:v>Sosiaalityö</c:v>
                </c:pt>
                <c:pt idx="19">
                  <c:v>NUOTTI-valmennus</c:v>
                </c:pt>
                <c:pt idx="20">
                  <c:v>Kelan kuntoutus</c:v>
                </c:pt>
                <c:pt idx="22">
                  <c:v>Työpaja </c:v>
                </c:pt>
                <c:pt idx="23">
                  <c:v>Kuntouttava työtoiminta</c:v>
                </c:pt>
                <c:pt idx="24">
                  <c:v>Työkokeilu </c:v>
                </c:pt>
                <c:pt idx="25">
                  <c:v>Julkiset työelämään liittyvät palvelut</c:v>
                </c:pt>
                <c:pt idx="26">
                  <c:v>Työhön avoimille työmarkkinoille</c:v>
                </c:pt>
                <c:pt idx="28">
                  <c:v>Ohjaus toisille etsiville</c:v>
                </c:pt>
                <c:pt idx="29">
                  <c:v>Kansalaistoiminta ja vapaaehtoistyö</c:v>
                </c:pt>
                <c:pt idx="30">
                  <c:v>Matalan kynnyksen apu mielenterveyteen ja/tai päihdeongelmiin</c:v>
                </c:pt>
                <c:pt idx="31">
                  <c:v>Muut toimenpiteet </c:v>
                </c:pt>
                <c:pt idx="33">
                  <c:v>Perhevapaa</c:v>
                </c:pt>
                <c:pt idx="34">
                  <c:v>Varusmiespalvelu</c:v>
                </c:pt>
                <c:pt idx="35">
                  <c:v>Siviilipalvelu</c:v>
                </c:pt>
                <c:pt idx="36">
                  <c:v>Sairasloma</c:v>
                </c:pt>
                <c:pt idx="37">
                  <c:v>Eläke</c:v>
                </c:pt>
                <c:pt idx="38">
                  <c:v>Muutto toiselle paikkakunnalle</c:v>
                </c:pt>
                <c:pt idx="39">
                  <c:v>Päättyy ilman siirtymiä, nuoren omasta halusta</c:v>
                </c:pt>
                <c:pt idx="41">
                  <c:v>Ei enää tavoiteta - kadonnut</c:v>
                </c:pt>
                <c:pt idx="43">
                  <c:v>On jo etsivän asiakas</c:v>
                </c:pt>
                <c:pt idx="44">
                  <c:v>Muu syy</c:v>
                </c:pt>
                <c:pt idx="45">
                  <c:v>Kertaluonteinen uudelleenohjaus</c:v>
                </c:pt>
                <c:pt idx="47">
                  <c:v>Ei tietoa</c:v>
                </c:pt>
              </c:strCache>
            </c:strRef>
          </c:cat>
          <c:val>
            <c:numRef>
              <c:f>'Päättäminen, tila, kesto'!$N$14:$N$61</c:f>
              <c:numCache>
                <c:formatCode>#\ ##0;\ \-#\ ##0;\ \-\ </c:formatCode>
                <c:ptCount val="48"/>
                <c:pt idx="0">
                  <c:v>0</c:v>
                </c:pt>
                <c:pt idx="1">
                  <c:v>0</c:v>
                </c:pt>
                <c:pt idx="2">
                  <c:v>0</c:v>
                </c:pt>
                <c:pt idx="4">
                  <c:v>0</c:v>
                </c:pt>
                <c:pt idx="5">
                  <c:v>0</c:v>
                </c:pt>
                <c:pt idx="6">
                  <c:v>0</c:v>
                </c:pt>
                <c:pt idx="7">
                  <c:v>0</c:v>
                </c:pt>
                <c:pt idx="10">
                  <c:v>0</c:v>
                </c:pt>
                <c:pt idx="11">
                  <c:v>0</c:v>
                </c:pt>
                <c:pt idx="12">
                  <c:v>0</c:v>
                </c:pt>
                <c:pt idx="13">
                  <c:v>0</c:v>
                </c:pt>
                <c:pt idx="15">
                  <c:v>0</c:v>
                </c:pt>
                <c:pt idx="16">
                  <c:v>0</c:v>
                </c:pt>
                <c:pt idx="17">
                  <c:v>0</c:v>
                </c:pt>
                <c:pt idx="18">
                  <c:v>0</c:v>
                </c:pt>
                <c:pt idx="19">
                  <c:v>0</c:v>
                </c:pt>
                <c:pt idx="20">
                  <c:v>0</c:v>
                </c:pt>
                <c:pt idx="22">
                  <c:v>0</c:v>
                </c:pt>
                <c:pt idx="23">
                  <c:v>0</c:v>
                </c:pt>
                <c:pt idx="24">
                  <c:v>0</c:v>
                </c:pt>
                <c:pt idx="25">
                  <c:v>0</c:v>
                </c:pt>
                <c:pt idx="26">
                  <c:v>0</c:v>
                </c:pt>
                <c:pt idx="28">
                  <c:v>0</c:v>
                </c:pt>
                <c:pt idx="29">
                  <c:v>0</c:v>
                </c:pt>
                <c:pt idx="30">
                  <c:v>0</c:v>
                </c:pt>
                <c:pt idx="31">
                  <c:v>0</c:v>
                </c:pt>
                <c:pt idx="33">
                  <c:v>0</c:v>
                </c:pt>
                <c:pt idx="34">
                  <c:v>0</c:v>
                </c:pt>
                <c:pt idx="35">
                  <c:v>0</c:v>
                </c:pt>
                <c:pt idx="36">
                  <c:v>0</c:v>
                </c:pt>
                <c:pt idx="37">
                  <c:v>0</c:v>
                </c:pt>
                <c:pt idx="38">
                  <c:v>0</c:v>
                </c:pt>
                <c:pt idx="39">
                  <c:v>0</c:v>
                </c:pt>
                <c:pt idx="41">
                  <c:v>0</c:v>
                </c:pt>
                <c:pt idx="43">
                  <c:v>0</c:v>
                </c:pt>
                <c:pt idx="44">
                  <c:v>0</c:v>
                </c:pt>
                <c:pt idx="45">
                  <c:v>0</c:v>
                </c:pt>
                <c:pt idx="47">
                  <c:v>0</c:v>
                </c:pt>
              </c:numCache>
            </c:numRef>
          </c:val>
          <c:extLst>
            <c:ext xmlns:c16="http://schemas.microsoft.com/office/drawing/2014/chart" uri="{C3380CC4-5D6E-409C-BE32-E72D297353CC}">
              <c16:uniqueId val="{00000000-650F-4736-8F92-56023E4E7E56}"/>
            </c:ext>
          </c:extLst>
        </c:ser>
        <c:ser>
          <c:idx val="1"/>
          <c:order val="1"/>
          <c:tx>
            <c:strRef>
              <c:f>'Päättäminen, tila, kesto'!$F$12</c:f>
              <c:strCache>
                <c:ptCount val="1"/>
                <c:pt idx="0">
                  <c:v>Miehiä</c:v>
                </c:pt>
              </c:strCache>
            </c:strRef>
          </c:tx>
          <c:spPr>
            <a:solidFill>
              <a:schemeClr val="accent4"/>
            </a:solidFill>
            <a:ln>
              <a:noFill/>
            </a:ln>
            <a:effectLst/>
          </c:spPr>
          <c:invertIfNegative val="0"/>
          <c:cat>
            <c:strRef>
              <c:f>'Päättäminen, tila, kesto'!$M$14:$M$61</c:f>
              <c:strCache>
                <c:ptCount val="48"/>
                <c:pt idx="0">
                  <c:v>Ei saatu yhteyttä</c:v>
                </c:pt>
                <c:pt idx="1">
                  <c:v>Väärä/peruttu ilmoitus</c:v>
                </c:pt>
                <c:pt idx="2">
                  <c:v>Uudelleenohjattu yhteydenottopyyntö</c:v>
                </c:pt>
                <c:pt idx="4">
                  <c:v>Nuori ei halua aloittaa asiakkuutta</c:v>
                </c:pt>
                <c:pt idx="5">
                  <c:v>Nuorella ei ole tarvetta asiakkuuteen</c:v>
                </c:pt>
                <c:pt idx="6">
                  <c:v>Ohjattu kertaluonteisesti</c:v>
                </c:pt>
                <c:pt idx="7">
                  <c:v>Muu</c:v>
                </c:pt>
                <c:pt idx="10">
                  <c:v>TUVA-koulutus</c:v>
                </c:pt>
                <c:pt idx="11">
                  <c:v>Toisen asteen opinnot</c:v>
                </c:pt>
                <c:pt idx="12">
                  <c:v>Korkeakoulu opinnot</c:v>
                </c:pt>
                <c:pt idx="13">
                  <c:v>Muu opiskelu</c:v>
                </c:pt>
                <c:pt idx="15">
                  <c:v>Mielenterveyden hoito</c:v>
                </c:pt>
                <c:pt idx="16">
                  <c:v>Päihde- ja riippuvuushoito</c:v>
                </c:pt>
                <c:pt idx="17">
                  <c:v>Muut terveyskeskuspalvelut </c:v>
                </c:pt>
                <c:pt idx="18">
                  <c:v>Sosiaalityö</c:v>
                </c:pt>
                <c:pt idx="19">
                  <c:v>NUOTTI-valmennus</c:v>
                </c:pt>
                <c:pt idx="20">
                  <c:v>Kelan kuntoutus</c:v>
                </c:pt>
                <c:pt idx="22">
                  <c:v>Työpaja </c:v>
                </c:pt>
                <c:pt idx="23">
                  <c:v>Kuntouttava työtoiminta</c:v>
                </c:pt>
                <c:pt idx="24">
                  <c:v>Työkokeilu </c:v>
                </c:pt>
                <c:pt idx="25">
                  <c:v>Julkiset työelämään liittyvät palvelut</c:v>
                </c:pt>
                <c:pt idx="26">
                  <c:v>Työhön avoimille työmarkkinoille</c:v>
                </c:pt>
                <c:pt idx="28">
                  <c:v>Ohjaus toisille etsiville</c:v>
                </c:pt>
                <c:pt idx="29">
                  <c:v>Kansalaistoiminta ja vapaaehtoistyö</c:v>
                </c:pt>
                <c:pt idx="30">
                  <c:v>Matalan kynnyksen apu mielenterveyteen ja/tai päihdeongelmiin</c:v>
                </c:pt>
                <c:pt idx="31">
                  <c:v>Muut toimenpiteet </c:v>
                </c:pt>
                <c:pt idx="33">
                  <c:v>Perhevapaa</c:v>
                </c:pt>
                <c:pt idx="34">
                  <c:v>Varusmiespalvelu</c:v>
                </c:pt>
                <c:pt idx="35">
                  <c:v>Siviilipalvelu</c:v>
                </c:pt>
                <c:pt idx="36">
                  <c:v>Sairasloma</c:v>
                </c:pt>
                <c:pt idx="37">
                  <c:v>Eläke</c:v>
                </c:pt>
                <c:pt idx="38">
                  <c:v>Muutto toiselle paikkakunnalle</c:v>
                </c:pt>
                <c:pt idx="39">
                  <c:v>Päättyy ilman siirtymiä, nuoren omasta halusta</c:v>
                </c:pt>
                <c:pt idx="41">
                  <c:v>Ei enää tavoiteta - kadonnut</c:v>
                </c:pt>
                <c:pt idx="43">
                  <c:v>On jo etsivän asiakas</c:v>
                </c:pt>
                <c:pt idx="44">
                  <c:v>Muu syy</c:v>
                </c:pt>
                <c:pt idx="45">
                  <c:v>Kertaluonteinen uudelleenohjaus</c:v>
                </c:pt>
                <c:pt idx="47">
                  <c:v>Ei tietoa</c:v>
                </c:pt>
              </c:strCache>
            </c:strRef>
          </c:cat>
          <c:val>
            <c:numRef>
              <c:f>'Päättäminen, tila, kesto'!$O$14:$O$60</c:f>
              <c:numCache>
                <c:formatCode>#\ ##0;\ \-#\ ##0;\ \-\ </c:formatCode>
                <c:ptCount val="47"/>
                <c:pt idx="0">
                  <c:v>0</c:v>
                </c:pt>
                <c:pt idx="1">
                  <c:v>0</c:v>
                </c:pt>
                <c:pt idx="2">
                  <c:v>0</c:v>
                </c:pt>
                <c:pt idx="4">
                  <c:v>0</c:v>
                </c:pt>
                <c:pt idx="5">
                  <c:v>0</c:v>
                </c:pt>
                <c:pt idx="6">
                  <c:v>0</c:v>
                </c:pt>
                <c:pt idx="7">
                  <c:v>0</c:v>
                </c:pt>
                <c:pt idx="10">
                  <c:v>0</c:v>
                </c:pt>
                <c:pt idx="11">
                  <c:v>0</c:v>
                </c:pt>
                <c:pt idx="12">
                  <c:v>0</c:v>
                </c:pt>
                <c:pt idx="13">
                  <c:v>0</c:v>
                </c:pt>
                <c:pt idx="15">
                  <c:v>0</c:v>
                </c:pt>
                <c:pt idx="16">
                  <c:v>0</c:v>
                </c:pt>
                <c:pt idx="17">
                  <c:v>0</c:v>
                </c:pt>
                <c:pt idx="18">
                  <c:v>0</c:v>
                </c:pt>
                <c:pt idx="19">
                  <c:v>0</c:v>
                </c:pt>
                <c:pt idx="20">
                  <c:v>0</c:v>
                </c:pt>
                <c:pt idx="22">
                  <c:v>0</c:v>
                </c:pt>
                <c:pt idx="23">
                  <c:v>0</c:v>
                </c:pt>
                <c:pt idx="24">
                  <c:v>0</c:v>
                </c:pt>
                <c:pt idx="25">
                  <c:v>0</c:v>
                </c:pt>
                <c:pt idx="26">
                  <c:v>0</c:v>
                </c:pt>
                <c:pt idx="28">
                  <c:v>0</c:v>
                </c:pt>
                <c:pt idx="29">
                  <c:v>0</c:v>
                </c:pt>
                <c:pt idx="30">
                  <c:v>0</c:v>
                </c:pt>
                <c:pt idx="31">
                  <c:v>0</c:v>
                </c:pt>
                <c:pt idx="33">
                  <c:v>0</c:v>
                </c:pt>
                <c:pt idx="34">
                  <c:v>0</c:v>
                </c:pt>
                <c:pt idx="35">
                  <c:v>0</c:v>
                </c:pt>
                <c:pt idx="36">
                  <c:v>0</c:v>
                </c:pt>
                <c:pt idx="37">
                  <c:v>0</c:v>
                </c:pt>
                <c:pt idx="38">
                  <c:v>0</c:v>
                </c:pt>
                <c:pt idx="39">
                  <c:v>0</c:v>
                </c:pt>
                <c:pt idx="41">
                  <c:v>0</c:v>
                </c:pt>
                <c:pt idx="43">
                  <c:v>0</c:v>
                </c:pt>
                <c:pt idx="44">
                  <c:v>0</c:v>
                </c:pt>
                <c:pt idx="45">
                  <c:v>0</c:v>
                </c:pt>
              </c:numCache>
            </c:numRef>
          </c:val>
          <c:extLst>
            <c:ext xmlns:c16="http://schemas.microsoft.com/office/drawing/2014/chart" uri="{C3380CC4-5D6E-409C-BE32-E72D297353CC}">
              <c16:uniqueId val="{00000001-650F-4736-8F92-56023E4E7E56}"/>
            </c:ext>
          </c:extLst>
        </c:ser>
        <c:ser>
          <c:idx val="2"/>
          <c:order val="2"/>
          <c:spPr>
            <a:solidFill>
              <a:schemeClr val="accent4">
                <a:tint val="65000"/>
              </a:schemeClr>
            </a:solidFill>
            <a:ln>
              <a:noFill/>
            </a:ln>
            <a:effectLst/>
          </c:spPr>
          <c:invertIfNegative val="0"/>
          <c:cat>
            <c:strRef>
              <c:f>'Päättäminen, tila, kesto'!$M$14:$M$61</c:f>
              <c:strCache>
                <c:ptCount val="48"/>
                <c:pt idx="0">
                  <c:v>Ei saatu yhteyttä</c:v>
                </c:pt>
                <c:pt idx="1">
                  <c:v>Väärä/peruttu ilmoitus</c:v>
                </c:pt>
                <c:pt idx="2">
                  <c:v>Uudelleenohjattu yhteydenottopyyntö</c:v>
                </c:pt>
                <c:pt idx="4">
                  <c:v>Nuori ei halua aloittaa asiakkuutta</c:v>
                </c:pt>
                <c:pt idx="5">
                  <c:v>Nuorella ei ole tarvetta asiakkuuteen</c:v>
                </c:pt>
                <c:pt idx="6">
                  <c:v>Ohjattu kertaluonteisesti</c:v>
                </c:pt>
                <c:pt idx="7">
                  <c:v>Muu</c:v>
                </c:pt>
                <c:pt idx="10">
                  <c:v>TUVA-koulutus</c:v>
                </c:pt>
                <c:pt idx="11">
                  <c:v>Toisen asteen opinnot</c:v>
                </c:pt>
                <c:pt idx="12">
                  <c:v>Korkeakoulu opinnot</c:v>
                </c:pt>
                <c:pt idx="13">
                  <c:v>Muu opiskelu</c:v>
                </c:pt>
                <c:pt idx="15">
                  <c:v>Mielenterveyden hoito</c:v>
                </c:pt>
                <c:pt idx="16">
                  <c:v>Päihde- ja riippuvuushoito</c:v>
                </c:pt>
                <c:pt idx="17">
                  <c:v>Muut terveyskeskuspalvelut </c:v>
                </c:pt>
                <c:pt idx="18">
                  <c:v>Sosiaalityö</c:v>
                </c:pt>
                <c:pt idx="19">
                  <c:v>NUOTTI-valmennus</c:v>
                </c:pt>
                <c:pt idx="20">
                  <c:v>Kelan kuntoutus</c:v>
                </c:pt>
                <c:pt idx="22">
                  <c:v>Työpaja </c:v>
                </c:pt>
                <c:pt idx="23">
                  <c:v>Kuntouttava työtoiminta</c:v>
                </c:pt>
                <c:pt idx="24">
                  <c:v>Työkokeilu </c:v>
                </c:pt>
                <c:pt idx="25">
                  <c:v>Julkiset työelämään liittyvät palvelut</c:v>
                </c:pt>
                <c:pt idx="26">
                  <c:v>Työhön avoimille työmarkkinoille</c:v>
                </c:pt>
                <c:pt idx="28">
                  <c:v>Ohjaus toisille etsiville</c:v>
                </c:pt>
                <c:pt idx="29">
                  <c:v>Kansalaistoiminta ja vapaaehtoistyö</c:v>
                </c:pt>
                <c:pt idx="30">
                  <c:v>Matalan kynnyksen apu mielenterveyteen ja/tai päihdeongelmiin</c:v>
                </c:pt>
                <c:pt idx="31">
                  <c:v>Muut toimenpiteet </c:v>
                </c:pt>
                <c:pt idx="33">
                  <c:v>Perhevapaa</c:v>
                </c:pt>
                <c:pt idx="34">
                  <c:v>Varusmiespalvelu</c:v>
                </c:pt>
                <c:pt idx="35">
                  <c:v>Siviilipalvelu</c:v>
                </c:pt>
                <c:pt idx="36">
                  <c:v>Sairasloma</c:v>
                </c:pt>
                <c:pt idx="37">
                  <c:v>Eläke</c:v>
                </c:pt>
                <c:pt idx="38">
                  <c:v>Muutto toiselle paikkakunnalle</c:v>
                </c:pt>
                <c:pt idx="39">
                  <c:v>Päättyy ilman siirtymiä, nuoren omasta halusta</c:v>
                </c:pt>
                <c:pt idx="41">
                  <c:v>Ei enää tavoiteta - kadonnut</c:v>
                </c:pt>
                <c:pt idx="43">
                  <c:v>On jo etsivän asiakas</c:v>
                </c:pt>
                <c:pt idx="44">
                  <c:v>Muu syy</c:v>
                </c:pt>
                <c:pt idx="45">
                  <c:v>Kertaluonteinen uudelleenohjaus</c:v>
                </c:pt>
                <c:pt idx="47">
                  <c:v>Ei tietoa</c:v>
                </c:pt>
              </c:strCache>
            </c:strRef>
          </c:cat>
          <c:val>
            <c:numRef>
              <c:f>'Päättäminen, tila, kesto'!$B$59</c:f>
              <c:numCache>
                <c:formatCode>General</c:formatCode>
                <c:ptCount val="1"/>
                <c:pt idx="0">
                  <c:v>0</c:v>
                </c:pt>
              </c:numCache>
            </c:numRef>
          </c:val>
          <c:extLst>
            <c:ext xmlns:c16="http://schemas.microsoft.com/office/drawing/2014/chart" uri="{C3380CC4-5D6E-409C-BE32-E72D297353CC}">
              <c16:uniqueId val="{00000001-9A60-4197-9F23-3B710DD179AA}"/>
            </c:ext>
          </c:extLst>
        </c:ser>
        <c:dLbls>
          <c:showLegendKey val="0"/>
          <c:showVal val="0"/>
          <c:showCatName val="0"/>
          <c:showSerName val="0"/>
          <c:showPercent val="0"/>
          <c:showBubbleSize val="0"/>
        </c:dLbls>
        <c:gapWidth val="40"/>
        <c:overlap val="100"/>
        <c:axId val="783333488"/>
        <c:axId val="783333816"/>
      </c:barChart>
      <c:catAx>
        <c:axId val="7833334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all" baseline="0">
                <a:solidFill>
                  <a:schemeClr val="tx1">
                    <a:lumMod val="65000"/>
                    <a:lumOff val="35000"/>
                  </a:schemeClr>
                </a:solidFill>
                <a:latin typeface="+mn-lt"/>
                <a:ea typeface="+mn-ea"/>
                <a:cs typeface="+mn-cs"/>
              </a:defRPr>
            </a:pPr>
            <a:endParaRPr lang="fi-FI"/>
          </a:p>
        </c:txPr>
        <c:crossAx val="783333816"/>
        <c:crosses val="autoZero"/>
        <c:auto val="1"/>
        <c:lblAlgn val="ctr"/>
        <c:lblOffset val="100"/>
        <c:noMultiLvlLbl val="0"/>
      </c:catAx>
      <c:valAx>
        <c:axId val="783333816"/>
        <c:scaling>
          <c:orientation val="minMax"/>
        </c:scaling>
        <c:delete val="0"/>
        <c:axPos val="t"/>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78333348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pieChart>
        <c:varyColors val="1"/>
        <c:ser>
          <c:idx val="0"/>
          <c:order val="0"/>
          <c:dPt>
            <c:idx val="0"/>
            <c:bubble3D val="0"/>
            <c:spPr>
              <a:solidFill>
                <a:schemeClr val="accent4">
                  <a:shade val="47000"/>
                </a:schemeClr>
              </a:solidFill>
              <a:ln w="19050">
                <a:solidFill>
                  <a:schemeClr val="lt1"/>
                </a:solidFill>
              </a:ln>
              <a:effectLst/>
            </c:spPr>
            <c:extLst>
              <c:ext xmlns:c16="http://schemas.microsoft.com/office/drawing/2014/chart" uri="{C3380CC4-5D6E-409C-BE32-E72D297353CC}">
                <c16:uniqueId val="{00000001-1C25-4A97-8405-130AB71A9DB7}"/>
              </c:ext>
            </c:extLst>
          </c:dPt>
          <c:dPt>
            <c:idx val="1"/>
            <c:bubble3D val="0"/>
            <c:spPr>
              <a:solidFill>
                <a:schemeClr val="accent4">
                  <a:shade val="65000"/>
                </a:schemeClr>
              </a:solidFill>
              <a:ln w="19050">
                <a:solidFill>
                  <a:schemeClr val="lt1"/>
                </a:solidFill>
              </a:ln>
              <a:effectLst/>
            </c:spPr>
            <c:extLst>
              <c:ext xmlns:c16="http://schemas.microsoft.com/office/drawing/2014/chart" uri="{C3380CC4-5D6E-409C-BE32-E72D297353CC}">
                <c16:uniqueId val="{00000003-1C25-4A97-8405-130AB71A9DB7}"/>
              </c:ext>
            </c:extLst>
          </c:dPt>
          <c:dPt>
            <c:idx val="2"/>
            <c:bubble3D val="0"/>
            <c:spPr>
              <a:solidFill>
                <a:schemeClr val="accent4">
                  <a:shade val="82000"/>
                </a:schemeClr>
              </a:solidFill>
              <a:ln w="19050">
                <a:solidFill>
                  <a:schemeClr val="lt1"/>
                </a:solidFill>
              </a:ln>
              <a:effectLst/>
            </c:spPr>
            <c:extLst>
              <c:ext xmlns:c16="http://schemas.microsoft.com/office/drawing/2014/chart" uri="{C3380CC4-5D6E-409C-BE32-E72D297353CC}">
                <c16:uniqueId val="{00000005-1C25-4A97-8405-130AB71A9DB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1C25-4A97-8405-130AB71A9DB7}"/>
              </c:ext>
            </c:extLst>
          </c:dPt>
          <c:dPt>
            <c:idx val="4"/>
            <c:bubble3D val="0"/>
            <c:spPr>
              <a:solidFill>
                <a:schemeClr val="accent4">
                  <a:tint val="83000"/>
                </a:schemeClr>
              </a:solidFill>
              <a:ln w="19050">
                <a:solidFill>
                  <a:schemeClr val="lt1"/>
                </a:solidFill>
              </a:ln>
              <a:effectLst/>
            </c:spPr>
            <c:extLst>
              <c:ext xmlns:c16="http://schemas.microsoft.com/office/drawing/2014/chart" uri="{C3380CC4-5D6E-409C-BE32-E72D297353CC}">
                <c16:uniqueId val="{00000009-1C25-4A97-8405-130AB71A9DB7}"/>
              </c:ext>
            </c:extLst>
          </c:dPt>
          <c:dPt>
            <c:idx val="5"/>
            <c:bubble3D val="0"/>
            <c:spPr>
              <a:solidFill>
                <a:schemeClr val="accent4">
                  <a:tint val="65000"/>
                </a:schemeClr>
              </a:solidFill>
              <a:ln w="19050">
                <a:solidFill>
                  <a:schemeClr val="lt1"/>
                </a:solidFill>
              </a:ln>
              <a:effectLst/>
            </c:spPr>
            <c:extLst>
              <c:ext xmlns:c16="http://schemas.microsoft.com/office/drawing/2014/chart" uri="{C3380CC4-5D6E-409C-BE32-E72D297353CC}">
                <c16:uniqueId val="{0000000B-1C25-4A97-8405-130AB71A9DB7}"/>
              </c:ext>
            </c:extLst>
          </c:dPt>
          <c:dPt>
            <c:idx val="6"/>
            <c:bubble3D val="0"/>
            <c:spPr>
              <a:solidFill>
                <a:schemeClr val="accent4">
                  <a:tint val="48000"/>
                </a:schemeClr>
              </a:solidFill>
              <a:ln w="19050">
                <a:solidFill>
                  <a:schemeClr val="lt1"/>
                </a:solidFill>
              </a:ln>
              <a:effectLst/>
            </c:spPr>
            <c:extLst>
              <c:ext xmlns:c16="http://schemas.microsoft.com/office/drawing/2014/chart" uri="{C3380CC4-5D6E-409C-BE32-E72D297353CC}">
                <c16:uniqueId val="{0000000D-1C25-4A97-8405-130AB71A9DB7}"/>
              </c:ext>
            </c:extLst>
          </c:dPt>
          <c:dPt>
            <c:idx val="7"/>
            <c:bubble3D val="0"/>
            <c:spPr>
              <a:solidFill>
                <a:schemeClr val="accent4">
                  <a:tint val="58000"/>
                </a:schemeClr>
              </a:solidFill>
              <a:ln w="19050">
                <a:solidFill>
                  <a:schemeClr val="lt1"/>
                </a:solidFill>
              </a:ln>
              <a:effectLst/>
            </c:spPr>
            <c:extLst>
              <c:ext xmlns:c16="http://schemas.microsoft.com/office/drawing/2014/chart" uri="{C3380CC4-5D6E-409C-BE32-E72D297353CC}">
                <c16:uniqueId val="{0000000F-EFBB-4CCE-B787-E57D3C4F1799}"/>
              </c:ext>
            </c:extLst>
          </c:dPt>
          <c:dPt>
            <c:idx val="8"/>
            <c:bubble3D val="0"/>
            <c:spPr>
              <a:solidFill>
                <a:schemeClr val="accent4">
                  <a:tint val="44000"/>
                </a:schemeClr>
              </a:solidFill>
              <a:ln w="19050">
                <a:solidFill>
                  <a:schemeClr val="lt1"/>
                </a:solidFill>
              </a:ln>
              <a:effectLst/>
            </c:spPr>
            <c:extLst>
              <c:ext xmlns:c16="http://schemas.microsoft.com/office/drawing/2014/chart" uri="{C3380CC4-5D6E-409C-BE32-E72D297353CC}">
                <c16:uniqueId val="{00000011-EFBB-4CCE-B787-E57D3C4F1799}"/>
              </c:ext>
            </c:extLst>
          </c:dPt>
          <c:dLbls>
            <c:dLbl>
              <c:idx val="0"/>
              <c:layout>
                <c:manualLayout>
                  <c:x val="-0.39786077586023372"/>
                  <c:y val="0.14267617779141559"/>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C25-4A97-8405-130AB71A9DB7}"/>
                </c:ext>
              </c:extLst>
            </c:dLbl>
            <c:dLbl>
              <c:idx val="5"/>
              <c:layout>
                <c:manualLayout>
                  <c:x val="0.25028018830925219"/>
                  <c:y val="3.1977864219449696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C25-4A97-8405-130AB71A9DB7}"/>
                </c:ext>
              </c:extLst>
            </c:dLbl>
            <c:dLbl>
              <c:idx val="8"/>
              <c:layout>
                <c:manualLayout>
                  <c:x val="0.18944656363054033"/>
                  <c:y val="-1.8676665986844782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FBB-4CCE-B787-E57D3C4F179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i-FI"/>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'Päättäminen, tila, kesto'!$B$69:$B$77</c:f>
              <c:strCache>
                <c:ptCount val="9"/>
                <c:pt idx="0">
                  <c:v>Sosiaalityö, terveydenhuolto ja KELAn palvelut</c:v>
                </c:pt>
                <c:pt idx="1">
                  <c:v>Työllistymistä tukeva toiminta</c:v>
                </c:pt>
                <c:pt idx="2">
                  <c:v>Opinnot</c:v>
                </c:pt>
                <c:pt idx="3">
                  <c:v>Muut palvelut ja toimenpiteet</c:v>
                </c:pt>
                <c:pt idx="4">
                  <c:v>Henkilökohtainen syy</c:v>
                </c:pt>
                <c:pt idx="5">
                  <c:v>Kadonnut</c:v>
                </c:pt>
                <c:pt idx="6">
                  <c:v>Muu</c:v>
                </c:pt>
                <c:pt idx="7">
                  <c:v>Kertaluonteinen uudelleenohjaus</c:v>
                </c:pt>
                <c:pt idx="8">
                  <c:v>Ei tietoa</c:v>
                </c:pt>
              </c:strCache>
            </c:strRef>
          </c:cat>
          <c:val>
            <c:numRef>
              <c:f>'Päättäminen, tila, kesto'!$D$69:$D$77</c:f>
              <c:numCache>
                <c:formatCode>#\ ##0.0%;\ \-#\ ##0.0%;\ \-\ </c:formatCode>
                <c:ptCount val="9"/>
                <c:pt idx="0">
                  <c:v>0</c:v>
                </c:pt>
                <c:pt idx="1">
                  <c:v>0</c:v>
                </c:pt>
                <c:pt idx="2">
                  <c:v>0</c:v>
                </c:pt>
                <c:pt idx="3">
                  <c:v>0</c:v>
                </c:pt>
                <c:pt idx="4">
                  <c:v>0</c:v>
                </c:pt>
                <c:pt idx="5">
                  <c:v>0</c:v>
                </c:pt>
                <c:pt idx="6" formatCode="General">
                  <c:v>0</c:v>
                </c:pt>
                <c:pt idx="7">
                  <c:v>0</c:v>
                </c:pt>
                <c:pt idx="8">
                  <c:v>0</c:v>
                </c:pt>
              </c:numCache>
            </c:numRef>
          </c:val>
          <c:extLst>
            <c:ext xmlns:c16="http://schemas.microsoft.com/office/drawing/2014/chart" uri="{C3380CC4-5D6E-409C-BE32-E72D297353CC}">
              <c16:uniqueId val="{00000000-E12C-4F85-81CF-96A0A2CB7B33}"/>
            </c:ext>
          </c:extLst>
        </c:ser>
        <c:dLbls>
          <c:showLegendKey val="0"/>
          <c:showVal val="1"/>
          <c:showCatName val="1"/>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bar"/>
        <c:grouping val="clustered"/>
        <c:varyColors val="0"/>
        <c:ser>
          <c:idx val="0"/>
          <c:order val="0"/>
          <c:tx>
            <c:v>Nuoret yhteensä</c:v>
          </c:tx>
          <c:spPr>
            <a:solidFill>
              <a:schemeClr val="accent4">
                <a:shade val="76000"/>
              </a:schemeClr>
            </a:solidFill>
            <a:ln>
              <a:noFill/>
            </a:ln>
            <a:effectLst/>
          </c:spPr>
          <c:invertIfNegative val="0"/>
          <c:cat>
            <c:strRef>
              <c:f>'Päättäminen, tila, kesto'!$B$130:$B$141</c:f>
              <c:strCache>
                <c:ptCount val="12"/>
                <c:pt idx="0">
                  <c:v>Alle 1 vko</c:v>
                </c:pt>
                <c:pt idx="1">
                  <c:v>1 vko – 1 kk</c:v>
                </c:pt>
                <c:pt idx="2">
                  <c:v>1–3 kk</c:v>
                </c:pt>
                <c:pt idx="3">
                  <c:v>3–6 kk</c:v>
                </c:pt>
                <c:pt idx="4">
                  <c:v>6 kk – 1 vuosi</c:v>
                </c:pt>
                <c:pt idx="5">
                  <c:v>1–1,5 vuotta</c:v>
                </c:pt>
                <c:pt idx="6">
                  <c:v>1,5–2 vuotta</c:v>
                </c:pt>
                <c:pt idx="7">
                  <c:v>2–3 vuotta</c:v>
                </c:pt>
                <c:pt idx="8">
                  <c:v>3–4 vuotta</c:v>
                </c:pt>
                <c:pt idx="9">
                  <c:v>4–5 vuotta</c:v>
                </c:pt>
                <c:pt idx="10">
                  <c:v>yli 5 vuotta</c:v>
                </c:pt>
                <c:pt idx="11">
                  <c:v>Jaksoa ei ole kirjattu*</c:v>
                </c:pt>
              </c:strCache>
            </c:strRef>
          </c:cat>
          <c:val>
            <c:numRef>
              <c:f>'Päättäminen, tila, kesto'!$C$130:$C$141</c:f>
              <c:numCache>
                <c:formatCode>#\ ##0;\ \-#\ ##0;\ \-\ </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5B4-485B-9610-FF5B91300D58}"/>
            </c:ext>
          </c:extLst>
        </c:ser>
        <c:ser>
          <c:idx val="1"/>
          <c:order val="1"/>
          <c:tx>
            <c:strRef>
              <c:f>'Päättäminen, tila, kesto'!$E$128</c:f>
              <c:strCache>
                <c:ptCount val="1"/>
                <c:pt idx="0">
                  <c:v>Nuoret, yhteistyö päättynyt</c:v>
                </c:pt>
              </c:strCache>
            </c:strRef>
          </c:tx>
          <c:spPr>
            <a:solidFill>
              <a:schemeClr val="accent4">
                <a:tint val="77000"/>
              </a:schemeClr>
            </a:solidFill>
            <a:ln>
              <a:noFill/>
            </a:ln>
            <a:effectLst/>
          </c:spPr>
          <c:invertIfNegative val="0"/>
          <c:cat>
            <c:strRef>
              <c:f>'Päättäminen, tila, kesto'!$B$130:$B$141</c:f>
              <c:strCache>
                <c:ptCount val="12"/>
                <c:pt idx="0">
                  <c:v>Alle 1 vko</c:v>
                </c:pt>
                <c:pt idx="1">
                  <c:v>1 vko – 1 kk</c:v>
                </c:pt>
                <c:pt idx="2">
                  <c:v>1–3 kk</c:v>
                </c:pt>
                <c:pt idx="3">
                  <c:v>3–6 kk</c:v>
                </c:pt>
                <c:pt idx="4">
                  <c:v>6 kk – 1 vuosi</c:v>
                </c:pt>
                <c:pt idx="5">
                  <c:v>1–1,5 vuotta</c:v>
                </c:pt>
                <c:pt idx="6">
                  <c:v>1,5–2 vuotta</c:v>
                </c:pt>
                <c:pt idx="7">
                  <c:v>2–3 vuotta</c:v>
                </c:pt>
                <c:pt idx="8">
                  <c:v>3–4 vuotta</c:v>
                </c:pt>
                <c:pt idx="9">
                  <c:v>4–5 vuotta</c:v>
                </c:pt>
                <c:pt idx="10">
                  <c:v>yli 5 vuotta</c:v>
                </c:pt>
                <c:pt idx="11">
                  <c:v>Jaksoa ei ole kirjattu*</c:v>
                </c:pt>
              </c:strCache>
            </c:strRef>
          </c:cat>
          <c:val>
            <c:numRef>
              <c:f>'Päättäminen, tila, kesto'!$E$130:$E$141</c:f>
              <c:numCache>
                <c:formatCode>#\ ##0;\ \-#\ ##0;\ \-\ </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5B4-485B-9610-FF5B91300D58}"/>
            </c:ext>
          </c:extLst>
        </c:ser>
        <c:dLbls>
          <c:showLegendKey val="0"/>
          <c:showVal val="0"/>
          <c:showCatName val="0"/>
          <c:showSerName val="0"/>
          <c:showPercent val="0"/>
          <c:showBubbleSize val="0"/>
        </c:dLbls>
        <c:gapWidth val="72"/>
        <c:axId val="1230486968"/>
        <c:axId val="1230487952"/>
      </c:barChart>
      <c:catAx>
        <c:axId val="123048696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230487952"/>
        <c:crosses val="autoZero"/>
        <c:auto val="1"/>
        <c:lblAlgn val="ctr"/>
        <c:lblOffset val="100"/>
        <c:noMultiLvlLbl val="0"/>
      </c:catAx>
      <c:valAx>
        <c:axId val="1230487952"/>
        <c:scaling>
          <c:orientation val="minMax"/>
        </c:scaling>
        <c:delete val="0"/>
        <c:axPos val="t"/>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230486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bar"/>
        <c:grouping val="clustered"/>
        <c:varyColors val="0"/>
        <c:ser>
          <c:idx val="0"/>
          <c:order val="0"/>
          <c:tx>
            <c:strRef>
              <c:f>'Päättäminen, tila, kesto'!$C$89</c:f>
              <c:strCache>
                <c:ptCount val="1"/>
                <c:pt idx="0">
                  <c:v>Nuoret yhteensä</c:v>
                </c:pt>
              </c:strCache>
            </c:strRef>
          </c:tx>
          <c:spPr>
            <a:solidFill>
              <a:schemeClr val="accent4">
                <a:shade val="76000"/>
              </a:schemeClr>
            </a:solidFill>
            <a:ln>
              <a:noFill/>
            </a:ln>
            <a:effectLst/>
          </c:spPr>
          <c:invertIfNegative val="0"/>
          <c:cat>
            <c:strRef>
              <c:f>'Päättäminen, tila, kesto'!$B$91:$B$93</c:f>
              <c:strCache>
                <c:ptCount val="3"/>
                <c:pt idx="0">
                  <c:v>Yhteydenottopyyntö</c:v>
                </c:pt>
                <c:pt idx="1">
                  <c:v>Kontakti</c:v>
                </c:pt>
                <c:pt idx="2">
                  <c:v>Tavoitettu</c:v>
                </c:pt>
              </c:strCache>
            </c:strRef>
          </c:cat>
          <c:val>
            <c:numRef>
              <c:f>'Päättäminen, tila, kesto'!$D$91:$D$93</c:f>
              <c:numCache>
                <c:formatCode>#\ ##0.0%;\ \-#\ ##0.0%;\ \-\ </c:formatCode>
                <c:ptCount val="3"/>
                <c:pt idx="0">
                  <c:v>0</c:v>
                </c:pt>
                <c:pt idx="1">
                  <c:v>0</c:v>
                </c:pt>
                <c:pt idx="2">
                  <c:v>0</c:v>
                </c:pt>
              </c:numCache>
            </c:numRef>
          </c:val>
          <c:extLst>
            <c:ext xmlns:c16="http://schemas.microsoft.com/office/drawing/2014/chart" uri="{C3380CC4-5D6E-409C-BE32-E72D297353CC}">
              <c16:uniqueId val="{00000000-643C-486B-A0E6-CA234A7E0654}"/>
            </c:ext>
          </c:extLst>
        </c:ser>
        <c:ser>
          <c:idx val="1"/>
          <c:order val="1"/>
          <c:tx>
            <c:strRef>
              <c:f>'Päättäminen, tila, kesto'!$E$89</c:f>
              <c:strCache>
                <c:ptCount val="1"/>
                <c:pt idx="0">
                  <c:v>Nuoret, yhteistyö päättynyt</c:v>
                </c:pt>
              </c:strCache>
            </c:strRef>
          </c:tx>
          <c:spPr>
            <a:solidFill>
              <a:schemeClr val="accent4">
                <a:tint val="77000"/>
              </a:schemeClr>
            </a:solidFill>
            <a:ln>
              <a:noFill/>
            </a:ln>
            <a:effectLst/>
          </c:spPr>
          <c:invertIfNegative val="0"/>
          <c:cat>
            <c:strRef>
              <c:f>'Päättäminen, tila, kesto'!$B$91:$B$93</c:f>
              <c:strCache>
                <c:ptCount val="3"/>
                <c:pt idx="0">
                  <c:v>Yhteydenottopyyntö</c:v>
                </c:pt>
                <c:pt idx="1">
                  <c:v>Kontakti</c:v>
                </c:pt>
                <c:pt idx="2">
                  <c:v>Tavoitettu</c:v>
                </c:pt>
              </c:strCache>
            </c:strRef>
          </c:cat>
          <c:val>
            <c:numRef>
              <c:f>'Päättäminen, tila, kesto'!$F$91:$F$93</c:f>
              <c:numCache>
                <c:formatCode>#\ ##0.0%;\ \-#\ ##0.0%;\ \-\ </c:formatCode>
                <c:ptCount val="3"/>
                <c:pt idx="0">
                  <c:v>0</c:v>
                </c:pt>
                <c:pt idx="1">
                  <c:v>0</c:v>
                </c:pt>
                <c:pt idx="2">
                  <c:v>0</c:v>
                </c:pt>
              </c:numCache>
            </c:numRef>
          </c:val>
          <c:extLst>
            <c:ext xmlns:c16="http://schemas.microsoft.com/office/drawing/2014/chart" uri="{C3380CC4-5D6E-409C-BE32-E72D297353CC}">
              <c16:uniqueId val="{00000001-643C-486B-A0E6-CA234A7E0654}"/>
            </c:ext>
          </c:extLst>
        </c:ser>
        <c:dLbls>
          <c:showLegendKey val="0"/>
          <c:showVal val="0"/>
          <c:showCatName val="0"/>
          <c:showSerName val="0"/>
          <c:showPercent val="0"/>
          <c:showBubbleSize val="0"/>
        </c:dLbls>
        <c:gapWidth val="48"/>
        <c:overlap val="-3"/>
        <c:axId val="1230526000"/>
        <c:axId val="1230530920"/>
      </c:barChart>
      <c:catAx>
        <c:axId val="123052600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230530920"/>
        <c:crosses val="autoZero"/>
        <c:auto val="1"/>
        <c:lblAlgn val="ctr"/>
        <c:lblOffset val="100"/>
        <c:noMultiLvlLbl val="0"/>
      </c:catAx>
      <c:valAx>
        <c:axId val="1230530920"/>
        <c:scaling>
          <c:orientation val="minMax"/>
        </c:scaling>
        <c:delete val="0"/>
        <c:axPos val="t"/>
        <c:majorGridlines>
          <c:spPr>
            <a:ln w="9525" cap="flat" cmpd="sng" algn="ctr">
              <a:solidFill>
                <a:schemeClr val="tx1">
                  <a:lumMod val="15000"/>
                  <a:lumOff val="85000"/>
                </a:schemeClr>
              </a:solidFill>
              <a:round/>
            </a:ln>
            <a:effectLst/>
          </c:spPr>
        </c:majorGridlines>
        <c:numFmt formatCode="#\ ##0.0%;\ \-#\ ##0.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2305260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barChart>
        <c:barDir val="bar"/>
        <c:grouping val="stacked"/>
        <c:varyColors val="0"/>
        <c:ser>
          <c:idx val="0"/>
          <c:order val="0"/>
          <c:tx>
            <c:strRef>
              <c:f>'Päättäminen, tila, kesto'!$E$112</c:f>
              <c:strCache>
                <c:ptCount val="1"/>
                <c:pt idx="0">
                  <c:v>Naisia</c:v>
                </c:pt>
              </c:strCache>
            </c:strRef>
          </c:tx>
          <c:spPr>
            <a:solidFill>
              <a:schemeClr val="accent4">
                <a:shade val="76000"/>
              </a:schemeClr>
            </a:solidFill>
            <a:ln>
              <a:noFill/>
            </a:ln>
            <a:effectLst/>
          </c:spPr>
          <c:invertIfNegative val="0"/>
          <c:cat>
            <c:strRef>
              <c:f>'Päättäminen, tila, kesto'!$B$114:$B$123</c:f>
              <c:strCache>
                <c:ptCount val="10"/>
                <c:pt idx="0">
                  <c:v>Ei aloitettu</c:v>
                </c:pt>
                <c:pt idx="1">
                  <c:v>Tavoittelussa</c:v>
                </c:pt>
                <c:pt idx="2">
                  <c:v>Aktiivinen</c:v>
                </c:pt>
                <c:pt idx="3">
                  <c:v>Intensiivinen</c:v>
                </c:pt>
                <c:pt idx="4">
                  <c:v>Satunnainen</c:v>
                </c:pt>
                <c:pt idx="5">
                  <c:v>Ei tavoiteta </c:v>
                </c:pt>
                <c:pt idx="6">
                  <c:v>Kadonnut</c:v>
                </c:pt>
                <c:pt idx="7">
                  <c:v>Seurannassa</c:v>
                </c:pt>
                <c:pt idx="8">
                  <c:v>Päättynyt</c:v>
                </c:pt>
                <c:pt idx="9">
                  <c:v>Tilaa ei ole merkitty</c:v>
                </c:pt>
              </c:strCache>
            </c:strRef>
          </c:cat>
          <c:val>
            <c:numRef>
              <c:f>'Päättäminen, tila, kesto'!$E$114:$E$123</c:f>
              <c:numCache>
                <c:formatCode>#\ ##0;\ \-#\ ##0;\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F87-4B12-98A0-0B1CBBD2CAA2}"/>
            </c:ext>
          </c:extLst>
        </c:ser>
        <c:ser>
          <c:idx val="1"/>
          <c:order val="1"/>
          <c:tx>
            <c:strRef>
              <c:f>'Päättäminen, tila, kesto'!$F$112</c:f>
              <c:strCache>
                <c:ptCount val="1"/>
                <c:pt idx="0">
                  <c:v>Miehiä</c:v>
                </c:pt>
              </c:strCache>
            </c:strRef>
          </c:tx>
          <c:spPr>
            <a:solidFill>
              <a:schemeClr val="accent4">
                <a:tint val="77000"/>
              </a:schemeClr>
            </a:solidFill>
            <a:ln>
              <a:noFill/>
            </a:ln>
            <a:effectLst/>
          </c:spPr>
          <c:invertIfNegative val="0"/>
          <c:cat>
            <c:strRef>
              <c:f>'Päättäminen, tila, kesto'!$B$114:$B$123</c:f>
              <c:strCache>
                <c:ptCount val="10"/>
                <c:pt idx="0">
                  <c:v>Ei aloitettu</c:v>
                </c:pt>
                <c:pt idx="1">
                  <c:v>Tavoittelussa</c:v>
                </c:pt>
                <c:pt idx="2">
                  <c:v>Aktiivinen</c:v>
                </c:pt>
                <c:pt idx="3">
                  <c:v>Intensiivinen</c:v>
                </c:pt>
                <c:pt idx="4">
                  <c:v>Satunnainen</c:v>
                </c:pt>
                <c:pt idx="5">
                  <c:v>Ei tavoiteta </c:v>
                </c:pt>
                <c:pt idx="6">
                  <c:v>Kadonnut</c:v>
                </c:pt>
                <c:pt idx="7">
                  <c:v>Seurannassa</c:v>
                </c:pt>
                <c:pt idx="8">
                  <c:v>Päättynyt</c:v>
                </c:pt>
                <c:pt idx="9">
                  <c:v>Tilaa ei ole merkitty</c:v>
                </c:pt>
              </c:strCache>
            </c:strRef>
          </c:cat>
          <c:val>
            <c:numRef>
              <c:f>'Päättäminen, tila, kesto'!$F$114:$F$123</c:f>
              <c:numCache>
                <c:formatCode>#\ ##0;\ \-#\ ##0;\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87-4B12-98A0-0B1CBBD2CAA2}"/>
            </c:ext>
          </c:extLst>
        </c:ser>
        <c:dLbls>
          <c:showLegendKey val="0"/>
          <c:showVal val="0"/>
          <c:showCatName val="0"/>
          <c:showSerName val="0"/>
          <c:showPercent val="0"/>
          <c:showBubbleSize val="0"/>
        </c:dLbls>
        <c:gapWidth val="58"/>
        <c:overlap val="100"/>
        <c:axId val="1255255696"/>
        <c:axId val="1255264552"/>
      </c:barChart>
      <c:catAx>
        <c:axId val="125525569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255264552"/>
        <c:crosses val="autoZero"/>
        <c:auto val="1"/>
        <c:lblAlgn val="ctr"/>
        <c:lblOffset val="100"/>
        <c:noMultiLvlLbl val="0"/>
      </c:catAx>
      <c:valAx>
        <c:axId val="1255264552"/>
        <c:scaling>
          <c:orientation val="minMax"/>
        </c:scaling>
        <c:delete val="0"/>
        <c:axPos val="t"/>
        <c:majorGridlines>
          <c:spPr>
            <a:ln w="9525" cap="flat" cmpd="sng" algn="ctr">
              <a:solidFill>
                <a:schemeClr val="tx1">
                  <a:lumMod val="15000"/>
                  <a:lumOff val="85000"/>
                </a:schemeClr>
              </a:solidFill>
              <a:round/>
            </a:ln>
            <a:effectLst/>
          </c:spPr>
        </c:majorGridlines>
        <c:numFmt formatCode="#\ ##0;\ \-#\ ##0;\ \-\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crossAx val="1255255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328035915505123E-2"/>
          <c:y val="8.8888888888888892E-2"/>
          <c:w val="0.9153439281689898"/>
          <c:h val="0.83333333333333348"/>
        </c:manualLayout>
      </c:layout>
      <c:barChart>
        <c:barDir val="bar"/>
        <c:grouping val="clustered"/>
        <c:varyColors val="0"/>
        <c:ser>
          <c:idx val="0"/>
          <c:order val="0"/>
          <c:spPr>
            <a:solidFill>
              <a:schemeClr val="accent4">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i-FI"/>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Tavoitteet!$A$21:$A$30</c:f>
              <c:strCache>
                <c:ptCount val="10"/>
                <c:pt idx="0">
                  <c:v>Sosiaalisten taitojen vahvistuminen</c:v>
                </c:pt>
                <c:pt idx="1">
                  <c:v>Itsetuntemuksen vahvistuminen</c:v>
                </c:pt>
                <c:pt idx="2">
                  <c:v>Arjenhallinnan parantuminen</c:v>
                </c:pt>
                <c:pt idx="3">
                  <c:v>Lähiyhteisöjen vahvistuminen</c:v>
                </c:pt>
                <c:pt idx="4">
                  <c:v>Osallisuuden lisääminen omassa elämässä</c:v>
                </c:pt>
                <c:pt idx="5">
                  <c:v>Osallistumisen lisääminen vaikuttamisen prosesseihin</c:v>
                </c:pt>
                <c:pt idx="6">
                  <c:v>Asunnon saaminen nuorelle</c:v>
                </c:pt>
                <c:pt idx="7">
                  <c:v>Pääsy tarpeellisiin palveluihin</c:v>
                </c:pt>
                <c:pt idx="8">
                  <c:v>Siirtyminen koulutukseen</c:v>
                </c:pt>
                <c:pt idx="9">
                  <c:v>Siirtyminen avoimille työmarkkinoille</c:v>
                </c:pt>
              </c:strCache>
            </c:strRef>
          </c:cat>
          <c:val>
            <c:numRef>
              <c:f>Tavoitteet!$D$21:$D$30</c:f>
              <c:numCache>
                <c:formatCode>#\ ##0.0%;\ \-#\ ##0.0%;\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38-4039-94F4-0C17BCC94BDC}"/>
            </c:ext>
          </c:extLst>
        </c:ser>
        <c:dLbls>
          <c:showLegendKey val="0"/>
          <c:showVal val="1"/>
          <c:showCatName val="0"/>
          <c:showSerName val="0"/>
          <c:showPercent val="0"/>
          <c:showBubbleSize val="0"/>
        </c:dLbls>
        <c:gapWidth val="39"/>
        <c:axId val="754485832"/>
        <c:axId val="754481896"/>
      </c:barChart>
      <c:catAx>
        <c:axId val="754485832"/>
        <c:scaling>
          <c:orientation val="maxMin"/>
        </c:scaling>
        <c:delete val="1"/>
        <c:axPos val="l"/>
        <c:numFmt formatCode="General" sourceLinked="0"/>
        <c:majorTickMark val="out"/>
        <c:minorTickMark val="none"/>
        <c:tickLblPos val="nextTo"/>
        <c:crossAx val="754481896"/>
        <c:crosses val="autoZero"/>
        <c:auto val="1"/>
        <c:lblAlgn val="ctr"/>
        <c:lblOffset val="100"/>
        <c:noMultiLvlLbl val="0"/>
      </c:catAx>
      <c:valAx>
        <c:axId val="754481896"/>
        <c:scaling>
          <c:orientation val="minMax"/>
        </c:scaling>
        <c:delete val="1"/>
        <c:axPos val="t"/>
        <c:majorGridlines>
          <c:spPr>
            <a:ln w="9525" cap="flat" cmpd="sng" algn="ctr">
              <a:solidFill>
                <a:schemeClr val="tx1">
                  <a:lumMod val="15000"/>
                  <a:lumOff val="85000"/>
                </a:schemeClr>
              </a:solidFill>
              <a:round/>
            </a:ln>
            <a:effectLst/>
          </c:spPr>
        </c:majorGridlines>
        <c:numFmt formatCode="#\ ##0.0%;\ \-#\ ##0.0%;\ \-\ " sourceLinked="1"/>
        <c:majorTickMark val="out"/>
        <c:minorTickMark val="none"/>
        <c:tickLblPos val="nextTo"/>
        <c:crossAx val="7544858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Tavoitteet!$G$35</c:f>
              <c:strCache>
                <c:ptCount val="1"/>
                <c:pt idx="0">
                  <c:v>Työskennellään ja saavutettu yhteensä</c:v>
                </c:pt>
              </c:strCache>
            </c:strRef>
          </c:tx>
          <c:spPr>
            <a:solidFill>
              <a:schemeClr val="accent1"/>
            </a:solidFill>
            <a:ln>
              <a:noFill/>
            </a:ln>
            <a:effectLst/>
          </c:spPr>
          <c:invertIfNegative val="0"/>
          <c:dLbls>
            <c:numFmt formatCode="0.0\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i-FI"/>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Tavoitteet!$A$38:$A$47</c:f>
              <c:strCache>
                <c:ptCount val="10"/>
                <c:pt idx="0">
                  <c:v>Sosiaalisten taitojen vahvistuminen</c:v>
                </c:pt>
                <c:pt idx="1">
                  <c:v>Itsetuntemuksen vahvistuminen</c:v>
                </c:pt>
                <c:pt idx="2">
                  <c:v>Arjenhallinnan parantuminen</c:v>
                </c:pt>
                <c:pt idx="3">
                  <c:v>Lähiyhteisöjen vahvistuminen</c:v>
                </c:pt>
                <c:pt idx="4">
                  <c:v>Osallisuuden lisääminen omassa elämässä</c:v>
                </c:pt>
                <c:pt idx="5">
                  <c:v>Osallistumisen lisääminen vaikuttamisen prosesseihin</c:v>
                </c:pt>
                <c:pt idx="6">
                  <c:v>Asunnon saaminen nuorelle</c:v>
                </c:pt>
                <c:pt idx="7">
                  <c:v>Pääsy tarpeellisiin palveluihin</c:v>
                </c:pt>
                <c:pt idx="8">
                  <c:v>Siirtyminen koulutukseen</c:v>
                </c:pt>
                <c:pt idx="9">
                  <c:v>Siirtyminen avoimille työmarkkinoille</c:v>
                </c:pt>
              </c:strCache>
            </c:strRef>
          </c:cat>
          <c:val>
            <c:numRef>
              <c:f>Tavoitteet!$H$38:$H$47</c:f>
              <c:numCache>
                <c:formatCode>#\ ##0.0%;\ \-#\ ##0.0%;\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6C4-46E2-986F-F4A2AF0CB6F8}"/>
            </c:ext>
          </c:extLst>
        </c:ser>
        <c:dLbls>
          <c:dLblPos val="ctr"/>
          <c:showLegendKey val="0"/>
          <c:showVal val="1"/>
          <c:showCatName val="0"/>
          <c:showSerName val="0"/>
          <c:showPercent val="0"/>
          <c:showBubbleSize val="0"/>
        </c:dLbls>
        <c:gapWidth val="40"/>
        <c:overlap val="100"/>
        <c:axId val="786447272"/>
        <c:axId val="786442352"/>
      </c:barChart>
      <c:catAx>
        <c:axId val="786447272"/>
        <c:scaling>
          <c:orientation val="maxMin"/>
        </c:scaling>
        <c:delete val="1"/>
        <c:axPos val="l"/>
        <c:numFmt formatCode="General" sourceLinked="1"/>
        <c:majorTickMark val="none"/>
        <c:minorTickMark val="none"/>
        <c:tickLblPos val="nextTo"/>
        <c:crossAx val="786442352"/>
        <c:crosses val="autoZero"/>
        <c:auto val="1"/>
        <c:lblAlgn val="ctr"/>
        <c:lblOffset val="100"/>
        <c:noMultiLvlLbl val="0"/>
      </c:catAx>
      <c:valAx>
        <c:axId val="786442352"/>
        <c:scaling>
          <c:orientation val="minMax"/>
        </c:scaling>
        <c:delete val="1"/>
        <c:axPos val="t"/>
        <c:majorGridlines>
          <c:spPr>
            <a:ln w="9525" cap="flat" cmpd="sng" algn="ctr">
              <a:solidFill>
                <a:schemeClr val="tx1">
                  <a:lumMod val="15000"/>
                  <a:lumOff val="85000"/>
                </a:schemeClr>
              </a:solidFill>
              <a:round/>
            </a:ln>
            <a:effectLst/>
          </c:spPr>
        </c:majorGridlines>
        <c:numFmt formatCode="#\ ##0.0%;\ \-#\ ##0.0%;\ \-\ " sourceLinked="1"/>
        <c:majorTickMark val="none"/>
        <c:minorTickMark val="none"/>
        <c:tickLblPos val="nextTo"/>
        <c:crossAx val="7864472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Tavoitteet!$C$53</c:f>
              <c:strCache>
                <c:ptCount val="1"/>
                <c:pt idx="0">
                  <c:v>Työskennellään</c:v>
                </c:pt>
              </c:strCache>
            </c:strRef>
          </c:tx>
          <c:spPr>
            <a:solidFill>
              <a:schemeClr val="accent4">
                <a:lumMod val="75000"/>
              </a:schemeClr>
            </a:solidFill>
            <a:ln>
              <a:noFill/>
            </a:ln>
            <a:effectLst/>
          </c:spPr>
          <c:invertIfNegative val="0"/>
          <c:dLbls>
            <c:numFmt formatCode="0.0\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Tavoitteet!$A$56:$A$65</c:f>
              <c:strCache>
                <c:ptCount val="10"/>
                <c:pt idx="0">
                  <c:v>Sosiaalisten taitojen vahvistuminen</c:v>
                </c:pt>
                <c:pt idx="1">
                  <c:v>Itsetuntemuksen vahvistuminen</c:v>
                </c:pt>
                <c:pt idx="2">
                  <c:v>Arjenhallinnan parantuminen</c:v>
                </c:pt>
                <c:pt idx="3">
                  <c:v>Lähiyhteisöjen vahvistuminen</c:v>
                </c:pt>
                <c:pt idx="4">
                  <c:v>Osallisuuden lisääminen omassa elämässä</c:v>
                </c:pt>
                <c:pt idx="5">
                  <c:v>Osallistumisen lisääminen vaikuttamisen prosesseihin</c:v>
                </c:pt>
                <c:pt idx="6">
                  <c:v>Asunnon saaminen nuorelle</c:v>
                </c:pt>
                <c:pt idx="7">
                  <c:v>Pääsy tarpeellisiin palveluihin</c:v>
                </c:pt>
                <c:pt idx="8">
                  <c:v>Siirtyminen koulutukseen</c:v>
                </c:pt>
                <c:pt idx="9">
                  <c:v>Siirtyminen avoimille työmarkkinoille</c:v>
                </c:pt>
              </c:strCache>
            </c:strRef>
          </c:cat>
          <c:val>
            <c:numRef>
              <c:f>Tavoitteet!$D$56:$D$65</c:f>
              <c:numCache>
                <c:formatCode>#\ ##0.0%;\ \-#\ ##0.0%;\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11-4CFD-ACD6-0821FE5E5D53}"/>
            </c:ext>
          </c:extLst>
        </c:ser>
        <c:ser>
          <c:idx val="1"/>
          <c:order val="1"/>
          <c:tx>
            <c:strRef>
              <c:f>Tavoitteet!$E$53</c:f>
              <c:strCache>
                <c:ptCount val="1"/>
                <c:pt idx="0">
                  <c:v>Saavutettu</c:v>
                </c:pt>
              </c:strCache>
            </c:strRef>
          </c:tx>
          <c:spPr>
            <a:solidFill>
              <a:schemeClr val="accent3"/>
            </a:solidFill>
            <a:ln>
              <a:noFill/>
            </a:ln>
            <a:effectLst/>
          </c:spPr>
          <c:invertIfNegative val="0"/>
          <c:dLbls>
            <c:numFmt formatCode="0.0\ %"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Tavoitteet!$A$56:$A$65</c:f>
              <c:strCache>
                <c:ptCount val="10"/>
                <c:pt idx="0">
                  <c:v>Sosiaalisten taitojen vahvistuminen</c:v>
                </c:pt>
                <c:pt idx="1">
                  <c:v>Itsetuntemuksen vahvistuminen</c:v>
                </c:pt>
                <c:pt idx="2">
                  <c:v>Arjenhallinnan parantuminen</c:v>
                </c:pt>
                <c:pt idx="3">
                  <c:v>Lähiyhteisöjen vahvistuminen</c:v>
                </c:pt>
                <c:pt idx="4">
                  <c:v>Osallisuuden lisääminen omassa elämässä</c:v>
                </c:pt>
                <c:pt idx="5">
                  <c:v>Osallistumisen lisääminen vaikuttamisen prosesseihin</c:v>
                </c:pt>
                <c:pt idx="6">
                  <c:v>Asunnon saaminen nuorelle</c:v>
                </c:pt>
                <c:pt idx="7">
                  <c:v>Pääsy tarpeellisiin palveluihin</c:v>
                </c:pt>
                <c:pt idx="8">
                  <c:v>Siirtyminen koulutukseen</c:v>
                </c:pt>
                <c:pt idx="9">
                  <c:v>Siirtyminen avoimille työmarkkinoille</c:v>
                </c:pt>
              </c:strCache>
            </c:strRef>
          </c:cat>
          <c:val>
            <c:numRef>
              <c:f>Tavoitteet!$F$56:$F$65</c:f>
              <c:numCache>
                <c:formatCode>#\ ##0.0%;\ \-#\ ##0.0%;\ \-\ </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11-4CFD-ACD6-0821FE5E5D53}"/>
            </c:ext>
          </c:extLst>
        </c:ser>
        <c:dLbls>
          <c:dLblPos val="ctr"/>
          <c:showLegendKey val="0"/>
          <c:showVal val="1"/>
          <c:showCatName val="0"/>
          <c:showSerName val="0"/>
          <c:showPercent val="0"/>
          <c:showBubbleSize val="0"/>
        </c:dLbls>
        <c:gapWidth val="40"/>
        <c:overlap val="100"/>
        <c:axId val="786447272"/>
        <c:axId val="786442352"/>
      </c:barChart>
      <c:catAx>
        <c:axId val="786447272"/>
        <c:scaling>
          <c:orientation val="maxMin"/>
        </c:scaling>
        <c:delete val="1"/>
        <c:axPos val="l"/>
        <c:numFmt formatCode="General" sourceLinked="1"/>
        <c:majorTickMark val="none"/>
        <c:minorTickMark val="none"/>
        <c:tickLblPos val="nextTo"/>
        <c:crossAx val="786442352"/>
        <c:crosses val="autoZero"/>
        <c:auto val="1"/>
        <c:lblAlgn val="ctr"/>
        <c:lblOffset val="100"/>
        <c:noMultiLvlLbl val="0"/>
      </c:catAx>
      <c:valAx>
        <c:axId val="786442352"/>
        <c:scaling>
          <c:orientation val="minMax"/>
        </c:scaling>
        <c:delete val="1"/>
        <c:axPos val="t"/>
        <c:majorGridlines>
          <c:spPr>
            <a:ln w="9525" cap="flat" cmpd="sng" algn="ctr">
              <a:solidFill>
                <a:schemeClr val="tx1">
                  <a:lumMod val="15000"/>
                  <a:lumOff val="85000"/>
                </a:schemeClr>
              </a:solidFill>
              <a:round/>
            </a:ln>
            <a:effectLst/>
          </c:spPr>
        </c:majorGridlines>
        <c:numFmt formatCode="#\ ##0.0%;\ \-#\ ##0.0%;\ \-\ " sourceLinked="1"/>
        <c:majorTickMark val="none"/>
        <c:minorTickMark val="none"/>
        <c:tickLblPos val="nextTo"/>
        <c:crossAx val="786447272"/>
        <c:crosses val="autoZero"/>
        <c:crossBetween val="between"/>
      </c:valAx>
      <c:spPr>
        <a:noFill/>
        <a:ln>
          <a:noFill/>
        </a:ln>
        <a:effectLst/>
      </c:spPr>
    </c:plotArea>
    <c:legend>
      <c:legendPos val="t"/>
      <c:layout>
        <c:manualLayout>
          <c:xMode val="edge"/>
          <c:yMode val="edge"/>
          <c:x val="0.13651282863800765"/>
          <c:y val="3.1128404669260701E-2"/>
          <c:w val="0.7367007227480401"/>
          <c:h val="8.754925089616716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fi-FI"/>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1"/>
    <c:plotArea>
      <c:layout>
        <c:manualLayout>
          <c:layoutTarget val="inner"/>
          <c:xMode val="edge"/>
          <c:yMode val="edge"/>
          <c:x val="0.25654847798166985"/>
          <c:y val="5.6979440069991262E-2"/>
          <c:w val="0.71270856727879139"/>
          <c:h val="0.69388779527559052"/>
        </c:manualLayout>
      </c:layout>
      <c:barChart>
        <c:barDir val="bar"/>
        <c:grouping val="stacked"/>
        <c:varyColors val="0"/>
        <c:ser>
          <c:idx val="0"/>
          <c:order val="0"/>
          <c:tx>
            <c:strRef>
              <c:f>Parkki!$D$56</c:f>
              <c:strCache>
                <c:ptCount val="1"/>
                <c:pt idx="0">
                  <c:v>Naisia</c:v>
                </c:pt>
              </c:strCache>
            </c:strRef>
          </c:tx>
          <c:spPr>
            <a:solidFill>
              <a:schemeClr val="accent4">
                <a:shade val="76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Parkki!$B$57:$B$62</c:f>
              <c:strCache>
                <c:ptCount val="6"/>
                <c:pt idx="0">
                  <c:v>Alle 16-vuotiaita</c:v>
                </c:pt>
                <c:pt idx="1">
                  <c:v>16-17-vuotiaita</c:v>
                </c:pt>
                <c:pt idx="2">
                  <c:v>18-20-vuotiaita</c:v>
                </c:pt>
                <c:pt idx="3">
                  <c:v>21-25-vuotiaita</c:v>
                </c:pt>
                <c:pt idx="4">
                  <c:v>26-28-vuotiaita</c:v>
                </c:pt>
                <c:pt idx="5">
                  <c:v>ei tietoa</c:v>
                </c:pt>
              </c:strCache>
            </c:strRef>
          </c:cat>
          <c:val>
            <c:numRef>
              <c:f>Parkki!$D$57:$D$62</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8A31-4B98-BF35-86A65D1949B0}"/>
            </c:ext>
          </c:extLst>
        </c:ser>
        <c:ser>
          <c:idx val="1"/>
          <c:order val="1"/>
          <c:tx>
            <c:strRef>
              <c:f>Parkki!$E$56</c:f>
              <c:strCache>
                <c:ptCount val="1"/>
                <c:pt idx="0">
                  <c:v>Miehiä*</c:v>
                </c:pt>
              </c:strCache>
            </c:strRef>
          </c:tx>
          <c:spPr>
            <a:solidFill>
              <a:schemeClr val="accent4">
                <a:tint val="77000"/>
              </a:schemeClr>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Parkki!$B$57:$B$62</c:f>
              <c:strCache>
                <c:ptCount val="6"/>
                <c:pt idx="0">
                  <c:v>Alle 16-vuotiaita</c:v>
                </c:pt>
                <c:pt idx="1">
                  <c:v>16-17-vuotiaita</c:v>
                </c:pt>
                <c:pt idx="2">
                  <c:v>18-20-vuotiaita</c:v>
                </c:pt>
                <c:pt idx="3">
                  <c:v>21-25-vuotiaita</c:v>
                </c:pt>
                <c:pt idx="4">
                  <c:v>26-28-vuotiaita</c:v>
                </c:pt>
                <c:pt idx="5">
                  <c:v>ei tietoa</c:v>
                </c:pt>
              </c:strCache>
            </c:strRef>
          </c:cat>
          <c:val>
            <c:numRef>
              <c:f>Parkki!$E$57:$E$62</c:f>
              <c:numCache>
                <c:formatCode>#\ ##0;\ \-#\ ##0;\ \-\ </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8A31-4B98-BF35-86A65D1949B0}"/>
            </c:ext>
          </c:extLst>
        </c:ser>
        <c:dLbls>
          <c:dLblPos val="ctr"/>
          <c:showLegendKey val="0"/>
          <c:showVal val="1"/>
          <c:showCatName val="0"/>
          <c:showSerName val="0"/>
          <c:showPercent val="0"/>
          <c:showBubbleSize val="0"/>
        </c:dLbls>
        <c:gapWidth val="26"/>
        <c:overlap val="100"/>
        <c:axId val="664001288"/>
        <c:axId val="830968720"/>
      </c:barChart>
      <c:catAx>
        <c:axId val="664001288"/>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crossAx val="830968720"/>
        <c:crosses val="autoZero"/>
        <c:auto val="1"/>
        <c:lblAlgn val="ctr"/>
        <c:lblOffset val="100"/>
        <c:noMultiLvlLbl val="0"/>
      </c:catAx>
      <c:valAx>
        <c:axId val="830968720"/>
        <c:scaling>
          <c:orientation val="minMax"/>
        </c:scaling>
        <c:delete val="1"/>
        <c:axPos val="t"/>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fi-FI"/>
                  <a:t>Nuorten määrä</a:t>
                </a:r>
              </a:p>
            </c:rich>
          </c:tx>
          <c:layout>
            <c:manualLayout>
              <c:xMode val="edge"/>
              <c:yMode val="edge"/>
              <c:x val="0.49417511111708812"/>
              <c:y val="0.74305555555555558"/>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fi-FI"/>
            </a:p>
          </c:txPr>
        </c:title>
        <c:numFmt formatCode="#\ ##0;\ \-#\ ##0;\ \-\ " sourceLinked="1"/>
        <c:majorTickMark val="out"/>
        <c:minorTickMark val="none"/>
        <c:tickLblPos val="nextTo"/>
        <c:crossAx val="664001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fi-FI"/>
              <a:t>Kontakti</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fi-FI"/>
        </a:p>
      </c:txPr>
    </c:title>
    <c:autoTitleDeleted val="0"/>
    <c:plotArea>
      <c:layout/>
      <c:pieChart>
        <c:varyColors val="1"/>
        <c:ser>
          <c:idx val="0"/>
          <c:order val="0"/>
          <c:dPt>
            <c:idx val="0"/>
            <c:bubble3D val="0"/>
            <c:spPr>
              <a:solidFill>
                <a:schemeClr val="accent4">
                  <a:shade val="76000"/>
                </a:schemeClr>
              </a:solidFill>
              <a:ln w="19050">
                <a:solidFill>
                  <a:schemeClr val="lt1"/>
                </a:solidFill>
              </a:ln>
              <a:effectLst/>
            </c:spPr>
            <c:extLst>
              <c:ext xmlns:c16="http://schemas.microsoft.com/office/drawing/2014/chart" uri="{C3380CC4-5D6E-409C-BE32-E72D297353CC}">
                <c16:uniqueId val="{00000001-EE92-4FFD-993B-9ACF8F5177DA}"/>
              </c:ext>
            </c:extLst>
          </c:dPt>
          <c:dPt>
            <c:idx val="1"/>
            <c:bubble3D val="0"/>
            <c:spPr>
              <a:solidFill>
                <a:schemeClr val="accent4">
                  <a:tint val="77000"/>
                </a:schemeClr>
              </a:solidFill>
              <a:ln w="19050">
                <a:solidFill>
                  <a:schemeClr val="lt1"/>
                </a:solidFill>
              </a:ln>
              <a:effectLst/>
            </c:spPr>
            <c:extLst>
              <c:ext xmlns:c16="http://schemas.microsoft.com/office/drawing/2014/chart" uri="{C3380CC4-5D6E-409C-BE32-E72D297353CC}">
                <c16:uniqueId val="{00000003-EE92-4FFD-993B-9ACF8F5177DA}"/>
              </c:ext>
            </c:extLst>
          </c:dPt>
          <c:dLbls>
            <c:dLbl>
              <c:idx val="1"/>
              <c:dLblPos val="bestFit"/>
              <c:showLegendKey val="0"/>
              <c:showVal val="0"/>
              <c:showCatName val="1"/>
              <c:showSerName val="0"/>
              <c:showPercent val="1"/>
              <c:showBubbleSize val="0"/>
              <c:extLst>
                <c:ext xmlns:c15="http://schemas.microsoft.com/office/drawing/2012/chart" uri="{CE6537A1-D6FC-4f65-9D91-7224C49458BB}">
                  <c15:layout>
                    <c:manualLayout>
                      <c:w val="0.3049740714507187"/>
                      <c:h val="0.16564096154647337"/>
                    </c:manualLayout>
                  </c15:layout>
                </c:ext>
                <c:ext xmlns:c16="http://schemas.microsoft.com/office/drawing/2014/chart" uri="{C3380CC4-5D6E-409C-BE32-E72D297353CC}">
                  <c16:uniqueId val="{00000003-EE92-4FFD-993B-9ACF8F5177DA}"/>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fi-FI"/>
              </a:p>
            </c:txPr>
            <c:dLblPos val="bestFit"/>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Parkki!$D$56:$E$56</c:f>
              <c:strCache>
                <c:ptCount val="2"/>
                <c:pt idx="0">
                  <c:v>Naisia</c:v>
                </c:pt>
                <c:pt idx="1">
                  <c:v>Miehiä*</c:v>
                </c:pt>
              </c:strCache>
            </c:strRef>
          </c:cat>
          <c:val>
            <c:numRef>
              <c:f>Parkki!$D$63:$E$63</c:f>
              <c:numCache>
                <c:formatCode>General</c:formatCode>
                <c:ptCount val="2"/>
                <c:pt idx="0">
                  <c:v>0</c:v>
                </c:pt>
                <c:pt idx="1">
                  <c:v>0</c:v>
                </c:pt>
              </c:numCache>
            </c:numRef>
          </c:val>
          <c:extLst>
            <c:ext xmlns:c16="http://schemas.microsoft.com/office/drawing/2014/chart" uri="{C3380CC4-5D6E-409C-BE32-E72D297353CC}">
              <c16:uniqueId val="{00000004-EE92-4FFD-993B-9ACF8F5177DA}"/>
            </c:ext>
          </c:extLst>
        </c:ser>
        <c:dLbls>
          <c:dLblPos val="bestFit"/>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pieChart>
        <c:varyColors val="1"/>
        <c:ser>
          <c:idx val="0"/>
          <c:order val="0"/>
          <c:dPt>
            <c:idx val="0"/>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2-E223-40AD-AF28-8ADD712A215C}"/>
              </c:ext>
            </c:extLst>
          </c:dPt>
          <c:dPt>
            <c:idx val="1"/>
            <c:bubble3D val="0"/>
            <c:spPr>
              <a:solidFill>
                <a:schemeClr val="accent2">
                  <a:tint val="77000"/>
                </a:schemeClr>
              </a:solidFill>
              <a:ln w="19050">
                <a:solidFill>
                  <a:schemeClr val="lt1"/>
                </a:solidFill>
              </a:ln>
              <a:effectLst/>
            </c:spPr>
            <c:extLst>
              <c:ext xmlns:c16="http://schemas.microsoft.com/office/drawing/2014/chart" uri="{C3380CC4-5D6E-409C-BE32-E72D297353CC}">
                <c16:uniqueId val="{00000003-B65E-4AA9-BBAD-BDDAE28C2C7D}"/>
              </c:ext>
            </c:extLst>
          </c:dPt>
          <c:dLbls>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Parkki!$B$28:$B$29</c:f>
              <c:strCache>
                <c:ptCount val="2"/>
                <c:pt idx="0">
                  <c:v>Aktiiviset yhteydenottopyynnöt</c:v>
                </c:pt>
                <c:pt idx="1">
                  <c:v>Päättyneet yhteydenottopyynnöt</c:v>
                </c:pt>
              </c:strCache>
            </c:strRef>
          </c:cat>
          <c:val>
            <c:numRef>
              <c:f>Parkki!$C$28:$C$29</c:f>
              <c:numCache>
                <c:formatCode>#\ ##0;\ \-#\ ##0;\ \-\ </c:formatCode>
                <c:ptCount val="2"/>
                <c:pt idx="0">
                  <c:v>0</c:v>
                </c:pt>
                <c:pt idx="1">
                  <c:v>0</c:v>
                </c:pt>
              </c:numCache>
            </c:numRef>
          </c:val>
          <c:extLst>
            <c:ext xmlns:c16="http://schemas.microsoft.com/office/drawing/2014/chart" uri="{C3380CC4-5D6E-409C-BE32-E72D297353CC}">
              <c16:uniqueId val="{00000000-E223-40AD-AF28-8ADD712A215C}"/>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i-FI"/>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pieChart>
        <c:varyColors val="1"/>
        <c:ser>
          <c:idx val="1"/>
          <c:order val="0"/>
          <c:dPt>
            <c:idx val="0"/>
            <c:bubble3D val="0"/>
            <c:spPr>
              <a:solidFill>
                <a:schemeClr val="accent3">
                  <a:lumMod val="60000"/>
                  <a:lumOff val="40000"/>
                </a:schemeClr>
              </a:solidFill>
            </c:spPr>
            <c:extLst>
              <c:ext xmlns:c16="http://schemas.microsoft.com/office/drawing/2014/chart" uri="{C3380CC4-5D6E-409C-BE32-E72D297353CC}">
                <c16:uniqueId val="{0000000D-5D89-4676-BAF3-9C92C03F593E}"/>
              </c:ext>
            </c:extLst>
          </c:dPt>
          <c:dPt>
            <c:idx val="1"/>
            <c:bubble3D val="0"/>
            <c:spPr>
              <a:solidFill>
                <a:schemeClr val="accent2">
                  <a:tint val="77000"/>
                </a:schemeClr>
              </a:solidFill>
            </c:spPr>
            <c:extLst>
              <c:ext xmlns:c16="http://schemas.microsoft.com/office/drawing/2014/chart" uri="{C3380CC4-5D6E-409C-BE32-E72D297353CC}">
                <c16:uniqueId val="{0000000E-5D89-4676-BAF3-9C92C03F593E}"/>
              </c:ext>
            </c:extLst>
          </c:dPt>
          <c:dLbls>
            <c:spPr>
              <a:noFill/>
              <a:ln>
                <a:noFill/>
              </a:ln>
              <a:effectLst/>
            </c:sp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Parkki!$B$47:$B$50</c:f>
              <c:strCache>
                <c:ptCount val="4"/>
                <c:pt idx="0">
                  <c:v>Yritetään yhä saada yhteyttä (laskuri)</c:v>
                </c:pt>
                <c:pt idx="1">
                  <c:v>Päättynyt: Ei saatu yhteyttä</c:v>
                </c:pt>
                <c:pt idx="2">
                  <c:v>Päättynyt: Väärä / peruttu ilmoitus</c:v>
                </c:pt>
                <c:pt idx="3">
                  <c:v>Päättynyt: Uudelleenohjattu yhteydenottopyyntö</c:v>
                </c:pt>
              </c:strCache>
            </c:strRef>
          </c:cat>
          <c:val>
            <c:numRef>
              <c:f>Parkki!$C$47:$C$50</c:f>
              <c:numCache>
                <c:formatCode>#\ ##0;\ \-#\ ##0;\ \-\ </c:formatCode>
                <c:ptCount val="4"/>
                <c:pt idx="0">
                  <c:v>0</c:v>
                </c:pt>
                <c:pt idx="1">
                  <c:v>0</c:v>
                </c:pt>
                <c:pt idx="2">
                  <c:v>0</c:v>
                </c:pt>
                <c:pt idx="3">
                  <c:v>0</c:v>
                </c:pt>
              </c:numCache>
            </c:numRef>
          </c:val>
          <c:extLst>
            <c:ext xmlns:c16="http://schemas.microsoft.com/office/drawing/2014/chart" uri="{C3380CC4-5D6E-409C-BE32-E72D297353CC}">
              <c16:uniqueId val="{0000000C-5D89-4676-BAF3-9C92C03F593E}"/>
            </c:ext>
          </c:extLst>
        </c:ser>
        <c:ser>
          <c:idx val="0"/>
          <c:order val="1"/>
          <c:dPt>
            <c:idx val="0"/>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8-5D89-4676-BAF3-9C92C03F593E}"/>
              </c:ext>
            </c:extLst>
          </c:dPt>
          <c:dPt>
            <c:idx val="1"/>
            <c:bubble3D val="0"/>
            <c:spPr>
              <a:solidFill>
                <a:schemeClr val="accent2">
                  <a:tint val="77000"/>
                </a:schemeClr>
              </a:solidFill>
              <a:ln w="19050">
                <a:solidFill>
                  <a:schemeClr val="lt1"/>
                </a:solidFill>
              </a:ln>
              <a:effectLst/>
            </c:spPr>
            <c:extLst>
              <c:ext xmlns:c16="http://schemas.microsoft.com/office/drawing/2014/chart" uri="{C3380CC4-5D6E-409C-BE32-E72D297353CC}">
                <c16:uniqueId val="{0000000A-5D89-4676-BAF3-9C92C03F593E}"/>
              </c:ext>
            </c:extLst>
          </c:dPt>
          <c:dLbls>
            <c:spPr>
              <a:noFill/>
              <a:ln>
                <a:noFill/>
              </a:ln>
              <a:effectLst/>
            </c:spPr>
            <c:txPr>
              <a:bodyPr rot="0" vert="horz"/>
              <a:lstStyle/>
              <a:p>
                <a:pPr>
                  <a:defRPr/>
                </a:pPr>
                <a:endParaRPr lang="fi-FI"/>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Parkki!$B$47:$B$50</c:f>
              <c:strCache>
                <c:ptCount val="4"/>
                <c:pt idx="0">
                  <c:v>Yritetään yhä saada yhteyttä (laskuri)</c:v>
                </c:pt>
                <c:pt idx="1">
                  <c:v>Päättynyt: Ei saatu yhteyttä</c:v>
                </c:pt>
                <c:pt idx="2">
                  <c:v>Päättynyt: Väärä / peruttu ilmoitus</c:v>
                </c:pt>
                <c:pt idx="3">
                  <c:v>Päättynyt: Uudelleenohjattu yhteydenottopyyntö</c:v>
                </c:pt>
              </c:strCache>
            </c:strRef>
          </c:cat>
          <c:val>
            <c:numRef>
              <c:f>Parkki!$C$47:$C$48</c:f>
              <c:numCache>
                <c:formatCode>#\ ##0;\ \-#\ ##0;\ \-\ </c:formatCode>
                <c:ptCount val="2"/>
                <c:pt idx="0">
                  <c:v>0</c:v>
                </c:pt>
                <c:pt idx="1">
                  <c:v>0</c:v>
                </c:pt>
              </c:numCache>
            </c:numRef>
          </c:val>
          <c:extLst>
            <c:ext xmlns:c16="http://schemas.microsoft.com/office/drawing/2014/chart" uri="{C3380CC4-5D6E-409C-BE32-E72D297353CC}">
              <c16:uniqueId val="{0000000B-5D89-4676-BAF3-9C92C03F593E}"/>
            </c:ext>
          </c:extLst>
        </c:ser>
        <c:dLbls>
          <c:dLblPos val="bestFit"/>
          <c:showLegendKey val="0"/>
          <c:showVal val="1"/>
          <c:showCatName val="0"/>
          <c:showSerName val="0"/>
          <c:showPercent val="0"/>
          <c:showBubbleSize val="0"/>
          <c:showLeaderLines val="1"/>
        </c:dLbls>
        <c:firstSliceAng val="0"/>
      </c:pieChart>
    </c:plotArea>
    <c:legend>
      <c:legendPos val="r"/>
      <c:overlay val="0"/>
      <c:spPr>
        <a:noFill/>
        <a:ln>
          <a:noFill/>
        </a:ln>
        <a:effectLst/>
      </c:spPr>
      <c:txPr>
        <a:bodyPr rot="0" vert="horz"/>
        <a:lstStyle/>
        <a:p>
          <a:pPr>
            <a:defRPr/>
          </a:pPr>
          <a:endParaRPr lang="fi-FI"/>
        </a:p>
      </c:txPr>
    </c:legend>
    <c:plotVisOnly val="1"/>
    <c:dispBlanksAs val="gap"/>
    <c:showDLblsOverMax val="0"/>
  </c:chart>
  <c:spPr>
    <a:ln>
      <a:solidFill>
        <a:schemeClr val="bg1">
          <a:lumMod val="85000"/>
        </a:schemeClr>
      </a:solidFill>
    </a:ln>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pieChart>
        <c:varyColors val="1"/>
        <c:ser>
          <c:idx val="1"/>
          <c:order val="0"/>
          <c:dPt>
            <c:idx val="0"/>
            <c:bubble3D val="0"/>
            <c:spPr>
              <a:solidFill>
                <a:schemeClr val="accent3">
                  <a:lumMod val="60000"/>
                  <a:lumOff val="40000"/>
                </a:schemeClr>
              </a:solidFill>
            </c:spPr>
            <c:extLst>
              <c:ext xmlns:c16="http://schemas.microsoft.com/office/drawing/2014/chart" uri="{C3380CC4-5D6E-409C-BE32-E72D297353CC}">
                <c16:uniqueId val="{00000001-9243-42A6-BE51-87A56B50BD08}"/>
              </c:ext>
            </c:extLst>
          </c:dPt>
          <c:dPt>
            <c:idx val="1"/>
            <c:bubble3D val="0"/>
            <c:spPr>
              <a:solidFill>
                <a:schemeClr val="accent2">
                  <a:lumMod val="75000"/>
                </a:schemeClr>
              </a:solidFill>
            </c:spPr>
            <c:extLst>
              <c:ext xmlns:c16="http://schemas.microsoft.com/office/drawing/2014/chart" uri="{C3380CC4-5D6E-409C-BE32-E72D297353CC}">
                <c16:uniqueId val="{00000003-9243-42A6-BE51-87A56B50BD08}"/>
              </c:ext>
            </c:extLst>
          </c:dPt>
          <c:dLbls>
            <c:spPr>
              <a:noFill/>
              <a:ln>
                <a:noFill/>
              </a:ln>
              <a:effectLst/>
            </c:spPr>
            <c:dLblPos val="bestFit"/>
            <c:showLegendKey val="0"/>
            <c:showVal val="1"/>
            <c:showCatName val="0"/>
            <c:showSerName val="0"/>
            <c:showPercent val="0"/>
            <c:showBubbleSize val="0"/>
            <c:showLeaderLines val="1"/>
            <c:extLst>
              <c:ext xmlns:c15="http://schemas.microsoft.com/office/drawing/2012/chart" uri="{CE6537A1-D6FC-4f65-9D91-7224C49458BB}"/>
            </c:extLst>
          </c:dLbls>
          <c:cat>
            <c:strRef>
              <c:f>Parkki!$B$68:$B$72</c:f>
              <c:strCache>
                <c:ptCount val="5"/>
                <c:pt idx="0">
                  <c:v>Aktiivinen kontakti</c:v>
                </c:pt>
                <c:pt idx="1">
                  <c:v>Päättynyt: Nuori ei halua aloittaa asiakkuutta</c:v>
                </c:pt>
                <c:pt idx="2">
                  <c:v>Päättynyt: Nuorella ei ole tarvetta asiakkuuteen</c:v>
                </c:pt>
                <c:pt idx="3">
                  <c:v>Päättynyt: Ohjattu kertaluonteisesti</c:v>
                </c:pt>
                <c:pt idx="4">
                  <c:v>Päättynyt: Muu</c:v>
                </c:pt>
              </c:strCache>
            </c:strRef>
          </c:cat>
          <c:val>
            <c:numRef>
              <c:f>Parkki!$C$68:$C$72</c:f>
              <c:numCache>
                <c:formatCode>#\ ##0;\ \-#\ ##0;\ \-\ </c:formatCode>
                <c:ptCount val="5"/>
                <c:pt idx="0">
                  <c:v>0</c:v>
                </c:pt>
                <c:pt idx="1">
                  <c:v>0</c:v>
                </c:pt>
                <c:pt idx="2">
                  <c:v>0</c:v>
                </c:pt>
                <c:pt idx="3">
                  <c:v>0</c:v>
                </c:pt>
                <c:pt idx="4">
                  <c:v>0</c:v>
                </c:pt>
              </c:numCache>
            </c:numRef>
          </c:val>
          <c:extLst>
            <c:ext xmlns:c16="http://schemas.microsoft.com/office/drawing/2014/chart" uri="{C3380CC4-5D6E-409C-BE32-E72D297353CC}">
              <c16:uniqueId val="{00000004-9243-42A6-BE51-87A56B50BD08}"/>
            </c:ext>
          </c:extLst>
        </c:ser>
        <c:ser>
          <c:idx val="0"/>
          <c:order val="1"/>
          <c:dPt>
            <c:idx val="0"/>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6-9243-42A6-BE51-87A56B50BD08}"/>
              </c:ext>
            </c:extLst>
          </c:dPt>
          <c:dPt>
            <c:idx val="1"/>
            <c:bubble3D val="0"/>
            <c:spPr>
              <a:solidFill>
                <a:schemeClr val="accent2">
                  <a:tint val="77000"/>
                </a:schemeClr>
              </a:solidFill>
              <a:ln w="19050">
                <a:solidFill>
                  <a:schemeClr val="lt1"/>
                </a:solidFill>
              </a:ln>
              <a:effectLst/>
            </c:spPr>
            <c:extLst>
              <c:ext xmlns:c16="http://schemas.microsoft.com/office/drawing/2014/chart" uri="{C3380CC4-5D6E-409C-BE32-E72D297353CC}">
                <c16:uniqueId val="{00000008-9243-42A6-BE51-87A56B50BD08}"/>
              </c:ext>
            </c:extLst>
          </c:dPt>
          <c:dLbls>
            <c:spPr>
              <a:noFill/>
              <a:ln>
                <a:noFill/>
              </a:ln>
              <a:effectLst/>
            </c:spPr>
            <c:txPr>
              <a:bodyPr rot="0" vert="horz"/>
              <a:lstStyle/>
              <a:p>
                <a:pPr>
                  <a:defRPr/>
                </a:pPr>
                <a:endParaRPr lang="fi-FI"/>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Parkki!$B$68:$B$72</c:f>
              <c:strCache>
                <c:ptCount val="5"/>
                <c:pt idx="0">
                  <c:v>Aktiivinen kontakti</c:v>
                </c:pt>
                <c:pt idx="1">
                  <c:v>Päättynyt: Nuori ei halua aloittaa asiakkuutta</c:v>
                </c:pt>
                <c:pt idx="2">
                  <c:v>Päättynyt: Nuorella ei ole tarvetta asiakkuuteen</c:v>
                </c:pt>
                <c:pt idx="3">
                  <c:v>Päättynyt: Ohjattu kertaluonteisesti</c:v>
                </c:pt>
                <c:pt idx="4">
                  <c:v>Päättynyt: Muu</c:v>
                </c:pt>
              </c:strCache>
            </c:strRef>
          </c:cat>
          <c:val>
            <c:numRef>
              <c:f>Parkki!$C$47:$C$48</c:f>
              <c:numCache>
                <c:formatCode>#\ ##0;\ \-#\ ##0;\ \-\ </c:formatCode>
                <c:ptCount val="2"/>
                <c:pt idx="0">
                  <c:v>0</c:v>
                </c:pt>
                <c:pt idx="1">
                  <c:v>0</c:v>
                </c:pt>
              </c:numCache>
            </c:numRef>
          </c:val>
          <c:extLst>
            <c:ext xmlns:c16="http://schemas.microsoft.com/office/drawing/2014/chart" uri="{C3380CC4-5D6E-409C-BE32-E72D297353CC}">
              <c16:uniqueId val="{00000009-9243-42A6-BE51-87A56B50BD08}"/>
            </c:ext>
          </c:extLst>
        </c:ser>
        <c:dLbls>
          <c:dLblPos val="bestFit"/>
          <c:showLegendKey val="0"/>
          <c:showVal val="1"/>
          <c:showCatName val="0"/>
          <c:showSerName val="0"/>
          <c:showPercent val="0"/>
          <c:showBubbleSize val="0"/>
          <c:showLeaderLines val="1"/>
        </c:dLbls>
        <c:firstSliceAng val="0"/>
      </c:pieChart>
    </c:plotArea>
    <c:legend>
      <c:legendPos val="r"/>
      <c:overlay val="0"/>
      <c:spPr>
        <a:noFill/>
        <a:ln>
          <a:noFill/>
        </a:ln>
        <a:effectLst/>
      </c:spPr>
      <c:txPr>
        <a:bodyPr rot="0" vert="horz"/>
        <a:lstStyle/>
        <a:p>
          <a:pPr>
            <a:defRPr/>
          </a:pPr>
          <a:endParaRPr lang="fi-FI"/>
        </a:p>
      </c:txPr>
    </c:legend>
    <c:plotVisOnly val="1"/>
    <c:dispBlanksAs val="gap"/>
    <c:showDLblsOverMax val="0"/>
  </c:chart>
  <c:spPr>
    <a:ln>
      <a:solidFill>
        <a:schemeClr val="bg1">
          <a:lumMod val="85000"/>
        </a:schemeClr>
      </a:solidFill>
    </a:ln>
  </c:spPr>
  <c:txPr>
    <a:bodyPr/>
    <a:lstStyle/>
    <a:p>
      <a:pPr>
        <a:defRPr>
          <a:solidFill>
            <a:sysClr val="windowText" lastClr="000000"/>
          </a:solidFill>
        </a:defRPr>
      </a:pPr>
      <a:endParaRPr lang="fi-FI"/>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title pos="t" align="ctr" overlay="0">
      <cx:tx>
        <cx:txData>
          <cx:v>Mitä kautta TAVOITETUT nuoret ohjautuivat etsivän nuorisotyön piiriin?</cx:v>
        </cx:txData>
      </cx:tx>
      <cx:txPr>
        <a:bodyPr spcFirstLastPara="1" vertOverflow="ellipsis" horzOverflow="overflow" wrap="square" lIns="0" tIns="0" rIns="0" bIns="0" anchor="ctr" anchorCtr="1"/>
        <a:lstStyle/>
        <a:p>
          <a:pPr algn="ctr" rtl="0">
            <a:defRPr/>
          </a:pPr>
          <a:r>
            <a:rPr lang="fi-FI" sz="1600" b="0" i="0" u="none" strike="noStrike" baseline="0">
              <a:solidFill>
                <a:sysClr val="windowText" lastClr="000000">
                  <a:lumMod val="65000"/>
                  <a:lumOff val="35000"/>
                </a:sysClr>
              </a:solidFill>
              <a:latin typeface="Calibri" panose="020F0502020204030204"/>
            </a:rPr>
            <a:t>Mitä kautta TAVOITETUT nuoret ohjautuivat etsivän nuorisotyön piiriin?</a:t>
          </a:r>
        </a:p>
      </cx:txPr>
    </cx:title>
    <cx:plotArea>
      <cx:plotAreaRegion>
        <cx:series layoutId="sunburst" uniqueId="{175732A9-EF0B-46E1-A882-CFF23108D143}">
          <cx:dataLabels pos="ctr">
            <cx:txPr>
              <a:bodyPr spcFirstLastPara="1" vertOverflow="ellipsis" horzOverflow="overflow" wrap="square" lIns="0" tIns="0" rIns="0" bIns="0" anchor="ctr" anchorCtr="1"/>
              <a:lstStyle/>
              <a:p>
                <a:pPr algn="ctr" rtl="0">
                  <a:defRPr>
                    <a:solidFill>
                      <a:schemeClr val="tx1"/>
                    </a:solidFill>
                  </a:defRPr>
                </a:pPr>
                <a:endParaRPr lang="fi-FI" sz="900" b="0" i="0" u="none" strike="noStrike" baseline="0">
                  <a:solidFill>
                    <a:schemeClr val="tx1"/>
                  </a:solidFill>
                  <a:latin typeface="Calibri" panose="020F0502020204030204"/>
                </a:endParaRPr>
              </a:p>
            </cx:txPr>
            <cx:visibility seriesName="0" categoryName="1" value="1"/>
          </cx:dataLabels>
          <cx:dataId val="0"/>
        </cx:series>
      </cx:plotAreaRegion>
    </cx:plotArea>
    <cx:legend pos="b" align="ctr" overlay="0"/>
  </cx:chart>
</cx:chartSpace>
</file>

<file path=xl/charts/chartEx10.xml><?xml version="1.0" encoding="utf-8"?>
<cx:chartSpace xmlns:a="http://schemas.openxmlformats.org/drawingml/2006/main" xmlns:r="http://schemas.openxmlformats.org/officeDocument/2006/relationships" xmlns:cx="http://schemas.microsoft.com/office/drawing/2014/chartex">
  <cx:chartData>
    <cx:data id="0">
      <cx:strDim type="cat">
        <cx:f>_xlchart.v1.16</cx:f>
      </cx:strDim>
      <cx:numDim type="size">
        <cx:f>_xlchart.v1.17</cx:f>
      </cx:numDim>
    </cx:data>
  </cx:chartData>
  <cx:chart>
    <cx:plotArea>
      <cx:plotAreaRegion>
        <cx:series layoutId="treemap" uniqueId="{C3E85EA8-7D1A-45F4-893C-991E0A5D4A88}">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11.xml><?xml version="1.0" encoding="utf-8"?>
<cx:chartSpace xmlns:a="http://schemas.openxmlformats.org/drawingml/2006/main" xmlns:r="http://schemas.openxmlformats.org/officeDocument/2006/relationships" xmlns:cx="http://schemas.microsoft.com/office/drawing/2014/chartex">
  <cx:chartData>
    <cx:data id="0">
      <cx:strDim type="cat">
        <cx:f>_xlchart.v1.18</cx:f>
      </cx:strDim>
      <cx:numDim type="size">
        <cx:f>_xlchart.v1.19</cx:f>
      </cx:numDim>
    </cx:data>
  </cx:chartData>
  <cx:chart>
    <cx:plotArea>
      <cx:plotAreaRegion>
        <cx:series layoutId="treemap" uniqueId="{851178A0-D360-4A5E-AA8D-253512853356}">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12.xml><?xml version="1.0" encoding="utf-8"?>
<cx:chartSpace xmlns:a="http://schemas.openxmlformats.org/drawingml/2006/main" xmlns:r="http://schemas.openxmlformats.org/officeDocument/2006/relationships" xmlns:cx="http://schemas.microsoft.com/office/drawing/2014/chartex">
  <cx:chartData>
    <cx:data id="0">
      <cx:strDim type="cat">
        <cx:f>_xlchart.v1.24</cx:f>
      </cx:strDim>
      <cx:numDim type="size">
        <cx:f>_xlchart.v1.25</cx:f>
      </cx:numDim>
    </cx:data>
  </cx:chartData>
  <cx:chart>
    <cx:plotArea>
      <cx:plotAreaRegion>
        <cx:series layoutId="treemap" uniqueId="{837076D7-2882-498F-B7AD-213C6CE399C2}">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13.xml><?xml version="1.0" encoding="utf-8"?>
<cx:chartSpace xmlns:a="http://schemas.openxmlformats.org/drawingml/2006/main" xmlns:r="http://schemas.openxmlformats.org/officeDocument/2006/relationships" xmlns:cx="http://schemas.microsoft.com/office/drawing/2014/chartex">
  <cx:chartData>
    <cx:data id="0">
      <cx:strDim type="cat">
        <cx:f>_xlchart.v1.22</cx:f>
      </cx:strDim>
      <cx:numDim type="size">
        <cx:f>_xlchart.v1.23</cx:f>
      </cx:numDim>
    </cx:data>
  </cx:chartData>
  <cx:chart>
    <cx:plotArea>
      <cx:plotAreaRegion>
        <cx:series layoutId="treemap" uniqueId="{3BD9B4A3-5FE2-4E0D-ADCB-B9054971417B}">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14.xml><?xml version="1.0" encoding="utf-8"?>
<cx:chartSpace xmlns:a="http://schemas.openxmlformats.org/drawingml/2006/main" xmlns:r="http://schemas.openxmlformats.org/officeDocument/2006/relationships" xmlns:cx="http://schemas.microsoft.com/office/drawing/2014/chartex">
  <cx:chartData>
    <cx:data id="0">
      <cx:strDim type="cat">
        <cx:f>_xlchart.v1.20</cx:f>
      </cx:strDim>
      <cx:numDim type="size">
        <cx:f>_xlchart.v1.21</cx:f>
      </cx:numDim>
    </cx:data>
  </cx:chartData>
  <cx:chart>
    <cx:plotArea>
      <cx:plotAreaRegion>
        <cx:series layoutId="treemap" uniqueId="{74A2F8E2-631B-4465-BA3B-1ED70E3F5B8B}">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15.xml><?xml version="1.0" encoding="utf-8"?>
<cx:chartSpace xmlns:a="http://schemas.openxmlformats.org/drawingml/2006/main" xmlns:r="http://schemas.openxmlformats.org/officeDocument/2006/relationships" xmlns:cx="http://schemas.microsoft.com/office/drawing/2014/chartex">
  <cx:chartData>
    <cx:data id="0">
      <cx:strDim type="cat">
        <cx:f>_xlchart.v1.30</cx:f>
      </cx:strDim>
      <cx:numDim type="size">
        <cx:f>_xlchart.v1.31</cx:f>
      </cx:numDim>
    </cx:data>
  </cx:chartData>
  <cx:chart>
    <cx:plotArea>
      <cx:plotAreaRegion>
        <cx:series layoutId="treemap" uniqueId="{895B495A-2675-49C3-A02E-0682C875B74D}">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16.xml><?xml version="1.0" encoding="utf-8"?>
<cx:chartSpace xmlns:a="http://schemas.openxmlformats.org/drawingml/2006/main" xmlns:r="http://schemas.openxmlformats.org/officeDocument/2006/relationships" xmlns:cx="http://schemas.microsoft.com/office/drawing/2014/chartex">
  <cx:chartData>
    <cx:data id="0">
      <cx:strDim type="cat">
        <cx:f>_xlchart.v1.26</cx:f>
      </cx:strDim>
      <cx:numDim type="size">
        <cx:f>_xlchart.v1.27</cx:f>
      </cx:numDim>
    </cx:data>
  </cx:chartData>
  <cx:chart>
    <cx:plotArea>
      <cx:plotAreaRegion>
        <cx:series layoutId="treemap" uniqueId="{AF3238E1-6557-485D-A06F-14A250DF8614}">
          <cx:dataLabels pos="inEnd">
            <cx:visibility seriesName="0" categoryName="1" value="1"/>
            <cx:separator>, </cx:separator>
          </cx:dataLabels>
          <cx:dataId val="0"/>
          <cx:layoutPr>
            <cx:parentLabelLayout val="overlapping"/>
          </cx:layoutPr>
        </cx:series>
      </cx:plotAreaRegion>
    </cx:plotArea>
    <cx:legend pos="r" align="ctr" overlay="0"/>
  </cx:chart>
</cx:chartSpace>
</file>

<file path=xl/charts/chartEx17.xml><?xml version="1.0" encoding="utf-8"?>
<cx:chartSpace xmlns:a="http://schemas.openxmlformats.org/drawingml/2006/main" xmlns:r="http://schemas.openxmlformats.org/officeDocument/2006/relationships" xmlns:cx="http://schemas.microsoft.com/office/drawing/2014/chartex">
  <cx:chartData>
    <cx:data id="0">
      <cx:strDim type="cat">
        <cx:f>_xlchart.v1.28</cx:f>
      </cx:strDim>
      <cx:numDim type="size">
        <cx:f>_xlchart.v1.29</cx:f>
      </cx:numDim>
    </cx:data>
  </cx:chartData>
  <cx:chart>
    <cx:plotArea>
      <cx:plotAreaRegion>
        <cx:series layoutId="treemap" uniqueId="{AF3B5195-DAEC-4969-A855-B98932B98343}">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18.xml><?xml version="1.0" encoding="utf-8"?>
<cx:chartSpace xmlns:a="http://schemas.openxmlformats.org/drawingml/2006/main" xmlns:r="http://schemas.openxmlformats.org/officeDocument/2006/relationships" xmlns:cx="http://schemas.microsoft.com/office/drawing/2014/chartex">
  <cx:chartData>
    <cx:data id="0">
      <cx:strDim type="cat">
        <cx:f>_xlchart.v1.36</cx:f>
      </cx:strDim>
      <cx:numDim type="size">
        <cx:f>_xlchart.v1.37</cx:f>
      </cx:numDim>
    </cx:data>
  </cx:chartData>
  <cx:chart>
    <cx:title pos="t" align="ctr" overlay="0">
      <cx:tx>
        <cx:txData>
          <cx:v>Ohjattu muihin palveluihin / toimenpiteisiin</cx:v>
        </cx:txData>
      </cx:tx>
      <cx:txPr>
        <a:bodyPr spcFirstLastPara="1" vertOverflow="ellipsis" horzOverflow="overflow" wrap="square" lIns="0" tIns="0" rIns="0" bIns="0" anchor="ctr" anchorCtr="1"/>
        <a:lstStyle/>
        <a:p>
          <a:pPr algn="ctr" rtl="0">
            <a:defRPr/>
          </a:pPr>
          <a:r>
            <a:rPr lang="fi-FI" sz="1400" b="0" i="0" u="none" strike="noStrike" baseline="0">
              <a:solidFill>
                <a:sysClr val="windowText" lastClr="000000">
                  <a:lumMod val="65000"/>
                  <a:lumOff val="35000"/>
                </a:sysClr>
              </a:solidFill>
              <a:latin typeface="Calibri" panose="020F0502020204030204"/>
            </a:rPr>
            <a:t>Ohjattu muihin palveluihin / toimenpiteisiin</a:t>
          </a:r>
        </a:p>
      </cx:txPr>
    </cx:title>
    <cx:plotArea>
      <cx:plotAreaRegion>
        <cx:series layoutId="treemap" uniqueId="{FC623DEA-5994-4631-BD5B-CD38FD0C277F}">
          <cx:dataLabels pos="inEnd">
            <cx:visibility seriesName="0" categoryName="1" value="1"/>
            <cx:separator>, </cx:separator>
          </cx:dataLabels>
          <cx:dataId val="0"/>
          <cx:layoutPr>
            <cx:parentLabelLayout val="overlapping"/>
          </cx:layoutPr>
        </cx:series>
      </cx:plotAreaRegion>
    </cx:plotArea>
  </cx:chart>
  <cx:printSettings>
    <cx:headerFooter alignWithMargins="1" differentOddEven="0" differentFirst="0"/>
    <cx:pageMargins l="0.69999999999999996" r="0.69999999999999996" t="0.75" b="0.75" header="0.29999999999999999" footer="0.29999999999999999"/>
    <cx:pageSetup paperSize="1" firstPageNumber="1" orientation="default" blackAndWhite="0" draft="0" useFirstPageNumber="0" horizontalDpi="600" verticalDpi="600" copies="1"/>
  </cx:printSettings>
</cx:chartSpace>
</file>

<file path=xl/charts/chartEx19.xml><?xml version="1.0" encoding="utf-8"?>
<cx:chartSpace xmlns:a="http://schemas.openxmlformats.org/drawingml/2006/main" xmlns:r="http://schemas.openxmlformats.org/officeDocument/2006/relationships" xmlns:cx="http://schemas.microsoft.com/office/drawing/2014/chartex">
  <cx:chartData>
    <cx:data id="0">
      <cx:strDim type="cat">
        <cx:f>_xlchart.v1.34</cx:f>
      </cx:strDim>
      <cx:numDim type="size">
        <cx:f>_xlchart.v1.35</cx:f>
      </cx:numDim>
    </cx:data>
  </cx:chartData>
  <cx:chart>
    <cx:title pos="t" align="ctr" overlay="0">
      <cx:tx>
        <cx:txData>
          <cx:v>Etsivän nuorisotyön asiakkuuteen liittyvät toimenpiteet </cx:v>
        </cx:txData>
      </cx:tx>
      <cx:txPr>
        <a:bodyPr spcFirstLastPara="1" vertOverflow="ellipsis" horzOverflow="overflow" wrap="square" lIns="0" tIns="0" rIns="0" bIns="0" anchor="ctr" anchorCtr="1"/>
        <a:lstStyle/>
        <a:p>
          <a:pPr algn="ctr" rtl="0">
            <a:defRPr/>
          </a:pPr>
          <a:r>
            <a:rPr lang="fi-FI" sz="1400" b="0" i="0" u="none" strike="noStrike" baseline="0">
              <a:solidFill>
                <a:sysClr val="windowText" lastClr="000000">
                  <a:lumMod val="65000"/>
                  <a:lumOff val="35000"/>
                </a:sysClr>
              </a:solidFill>
              <a:latin typeface="Calibri" panose="020F0502020204030204"/>
            </a:rPr>
            <a:t>Etsivän nuorisotyön asiakkuuteen liittyvät toimenpiteet </a:t>
          </a:r>
        </a:p>
      </cx:txPr>
    </cx:title>
    <cx:plotArea>
      <cx:plotAreaRegion>
        <cx:series layoutId="treemap" uniqueId="{E7441C6B-6D85-4153-B668-F984A54DF9EB}">
          <cx:dataLabels pos="inEnd">
            <cx:visibility seriesName="0" categoryName="1" value="1"/>
            <cx:separator>, </cx:separator>
          </cx:dataLabels>
          <cx:dataId val="0"/>
          <cx:layoutPr>
            <cx:parentLabelLayout val="overlapping"/>
          </cx:layoutPr>
        </cx:series>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size">
        <cx:f>_xlchart.v1.3</cx:f>
      </cx:numDim>
    </cx:data>
  </cx:chartData>
  <cx:chart>
    <cx:title pos="t" align="ctr" overlay="0">
      <cx:tx>
        <cx:txData>
          <cx:v>Sijoittuminen ja yhteistyön päättymisen syy TAVOITETTUJEN nuorten osalta</cx:v>
        </cx:txData>
      </cx:tx>
      <cx:txPr>
        <a:bodyPr spcFirstLastPara="1" vertOverflow="ellipsis" horzOverflow="overflow" wrap="square" lIns="0" tIns="0" rIns="0" bIns="0" anchor="ctr" anchorCtr="1"/>
        <a:lstStyle/>
        <a:p>
          <a:pPr algn="ctr" rtl="0">
            <a:defRPr sz="1600"/>
          </a:pPr>
          <a:r>
            <a:rPr lang="fi-FI" sz="1600" b="0" i="0" u="none" strike="noStrike" baseline="0">
              <a:solidFill>
                <a:sysClr val="windowText" lastClr="000000">
                  <a:lumMod val="65000"/>
                  <a:lumOff val="35000"/>
                </a:sysClr>
              </a:solidFill>
              <a:latin typeface="Calibri" panose="020F0502020204030204"/>
            </a:rPr>
            <a:t>Sijoittuminen ja yhteistyön päättymisen syy TAVOITETTUJEN nuorten osalta</a:t>
          </a:r>
        </a:p>
      </cx:txPr>
    </cx:title>
    <cx:plotArea>
      <cx:plotAreaRegion>
        <cx:series layoutId="sunburst" uniqueId="{7529F687-C72B-492B-935A-8C4737076DFD}">
          <cx:dataLabels pos="ctr">
            <cx:txPr>
              <a:bodyPr spcFirstLastPara="1" vertOverflow="ellipsis" horzOverflow="overflow" wrap="square" lIns="0" tIns="0" rIns="0" bIns="0" anchor="ctr" anchorCtr="1"/>
              <a:lstStyle/>
              <a:p>
                <a:pPr algn="ctr" rtl="0">
                  <a:defRPr>
                    <a:solidFill>
                      <a:schemeClr val="tx1"/>
                    </a:solidFill>
                  </a:defRPr>
                </a:pPr>
                <a:endParaRPr lang="fi-FI" sz="900" b="0" i="0" u="none" strike="noStrike" baseline="0">
                  <a:solidFill>
                    <a:schemeClr val="tx1"/>
                  </a:solidFill>
                  <a:latin typeface="Calibri" panose="020F0502020204030204"/>
                </a:endParaRPr>
              </a:p>
            </cx:txPr>
            <cx:visibility seriesName="0" categoryName="1" value="1"/>
            <cx:separator>, </cx:separator>
          </cx:dataLabels>
          <cx:dataId val="0"/>
        </cx:series>
      </cx:plotAreaRegion>
    </cx:plotArea>
    <cx:legend pos="b" align="ctr" overlay="0">
      <cx:txPr>
        <a:bodyPr spcFirstLastPara="1" vertOverflow="ellipsis" horzOverflow="overflow" wrap="square" lIns="0" tIns="0" rIns="0" bIns="0" anchor="ctr" anchorCtr="1"/>
        <a:lstStyle/>
        <a:p>
          <a:pPr algn="ctr" rtl="0">
            <a:defRPr>
              <a:solidFill>
                <a:sysClr val="windowText" lastClr="000000"/>
              </a:solidFill>
            </a:defRPr>
          </a:pPr>
          <a:endParaRPr lang="fi-FI" sz="900" b="0" i="0" u="none" strike="noStrike" baseline="0">
            <a:solidFill>
              <a:sysClr val="windowText" lastClr="000000"/>
            </a:solidFill>
            <a:latin typeface="Calibri" panose="020F0502020204030204"/>
          </a:endParaRPr>
        </a:p>
      </cx:txPr>
    </cx:legend>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size">
        <cx:f>_xlchart.v1.5</cx:f>
      </cx:numDim>
    </cx:data>
  </cx:chartData>
  <cx:chart>
    <cx:title pos="t" align="ctr" overlay="0">
      <cx:tx>
        <cx:txData>
          <cx:v>TAVOITETTUJEN nuorten koulutustilanne aloitettaessa</cx:v>
        </cx:txData>
      </cx:tx>
      <cx:txPr>
        <a:bodyPr spcFirstLastPara="1" vertOverflow="ellipsis" horzOverflow="overflow" wrap="square" lIns="0" tIns="0" rIns="0" bIns="0" anchor="ctr" anchorCtr="1"/>
        <a:lstStyle/>
        <a:p>
          <a:pPr algn="ctr" rtl="0">
            <a:defRPr sz="1600"/>
          </a:pPr>
          <a:r>
            <a:rPr lang="fi-FI" sz="1600" b="0" i="0" u="none" strike="noStrike" baseline="0">
              <a:solidFill>
                <a:sysClr val="windowText" lastClr="000000">
                  <a:lumMod val="65000"/>
                  <a:lumOff val="35000"/>
                </a:sysClr>
              </a:solidFill>
              <a:latin typeface="Calibri" panose="020F0502020204030204"/>
            </a:rPr>
            <a:t>TAVOITETTUJEN nuorten koulutustilanne aloitettaessa</a:t>
          </a:r>
        </a:p>
      </cx:txPr>
    </cx:title>
    <cx:plotArea>
      <cx:plotAreaRegion>
        <cx:series layoutId="sunburst" uniqueId="{C340DA12-FB7E-4675-AC9C-A81592CF69E1}">
          <cx:dataLabels pos="ctr">
            <cx:txPr>
              <a:bodyPr spcFirstLastPara="1" vertOverflow="ellipsis" horzOverflow="overflow" wrap="square" lIns="0" tIns="0" rIns="0" bIns="0" anchor="ctr" anchorCtr="1"/>
              <a:lstStyle/>
              <a:p>
                <a:pPr algn="ctr" rtl="0">
                  <a:defRPr>
                    <a:solidFill>
                      <a:schemeClr val="tx1"/>
                    </a:solidFill>
                  </a:defRPr>
                </a:pPr>
                <a:endParaRPr lang="fi-FI" sz="900" b="0" i="0" u="none" strike="noStrike" baseline="0">
                  <a:solidFill>
                    <a:schemeClr val="tx1"/>
                  </a:solidFill>
                  <a:latin typeface="Calibri" panose="020F0502020204030204"/>
                </a:endParaRPr>
              </a:p>
            </cx:txPr>
            <cx:visibility seriesName="0" categoryName="1" value="1"/>
            <cx:separator>, </cx:separator>
          </cx:dataLabels>
          <cx:dataId val="0"/>
        </cx:series>
      </cx:plotAreaRegion>
    </cx:plotArea>
    <cx:legend pos="r" align="ctr" overlay="0">
      <cx:txPr>
        <a:bodyPr spcFirstLastPara="1" vertOverflow="ellipsis" horzOverflow="overflow" wrap="square" lIns="0" tIns="0" rIns="0" bIns="0" anchor="ctr" anchorCtr="1"/>
        <a:lstStyle/>
        <a:p>
          <a:pPr algn="ctr" rtl="0">
            <a:defRPr>
              <a:solidFill>
                <a:sysClr val="windowText" lastClr="000000"/>
              </a:solidFill>
            </a:defRPr>
          </a:pPr>
          <a:endParaRPr lang="fi-FI" sz="900" b="0" i="0" u="none" strike="noStrike" baseline="0">
            <a:solidFill>
              <a:sysClr val="windowText" lastClr="000000"/>
            </a:solidFill>
            <a:latin typeface="Calibri" panose="020F0502020204030204"/>
          </a:endParaRPr>
        </a:p>
      </cx:txPr>
    </cx:legend>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_xlchart.v1.8</cx:f>
      </cx:strDim>
      <cx:numDim type="size">
        <cx:f>_xlchart.v1.9</cx:f>
      </cx:numDim>
    </cx:data>
  </cx:chartData>
  <cx:chart>
    <cx:title pos="t" align="ctr" overlay="0">
      <cx:tx>
        <cx:txData>
          <cx:v>TAVOITETTUJEN nuorten äidinkieli</cx:v>
        </cx:txData>
      </cx:tx>
      <cx:txPr>
        <a:bodyPr spcFirstLastPara="1" vertOverflow="ellipsis" horzOverflow="overflow" wrap="square" lIns="0" tIns="0" rIns="0" bIns="0" anchor="ctr" anchorCtr="1"/>
        <a:lstStyle/>
        <a:p>
          <a:pPr algn="ctr" rtl="0">
            <a:defRPr/>
          </a:pPr>
          <a:r>
            <a:rPr lang="fi-FI" sz="1400" b="0" i="0" u="none" strike="noStrike" baseline="0">
              <a:solidFill>
                <a:sysClr val="windowText" lastClr="000000">
                  <a:lumMod val="65000"/>
                  <a:lumOff val="35000"/>
                </a:sysClr>
              </a:solidFill>
              <a:latin typeface="Calibri" panose="020F0502020204030204"/>
            </a:rPr>
            <a:t>TAVOITETTUJEN nuorten äidinkieli</a:t>
          </a:r>
        </a:p>
      </cx:txPr>
    </cx:title>
    <cx:plotArea>
      <cx:plotAreaRegion>
        <cx:series layoutId="sunburst" uniqueId="{9BF09522-10C4-4A1D-ACCB-6438A594B24F}">
          <cx:dataLabels pos="ctr">
            <cx:txPr>
              <a:bodyPr spcFirstLastPara="1" vertOverflow="ellipsis" horzOverflow="overflow" wrap="square" lIns="0" tIns="0" rIns="0" bIns="0" anchor="ctr" anchorCtr="1"/>
              <a:lstStyle/>
              <a:p>
                <a:pPr algn="ctr" rtl="0">
                  <a:defRPr>
                    <a:solidFill>
                      <a:schemeClr val="tx1"/>
                    </a:solidFill>
                  </a:defRPr>
                </a:pPr>
                <a:endParaRPr lang="fi-FI" sz="900" b="0" i="0" u="none" strike="noStrike" baseline="0">
                  <a:solidFill>
                    <a:schemeClr val="tx1"/>
                  </a:solidFill>
                  <a:latin typeface="Calibri" panose="020F0502020204030204"/>
                </a:endParaRPr>
              </a:p>
            </cx:txPr>
            <cx:visibility seriesName="0" categoryName="1" value="0"/>
          </cx:dataLabels>
          <cx:dataId val="0"/>
        </cx:series>
      </cx:plotAreaRegion>
    </cx:plotArea>
    <cx:legend pos="r" align="ctr" overlay="0">
      <cx:txPr>
        <a:bodyPr spcFirstLastPara="1" vertOverflow="ellipsis" horzOverflow="overflow" wrap="square" lIns="0" tIns="0" rIns="0" bIns="0" anchor="ctr" anchorCtr="1"/>
        <a:lstStyle/>
        <a:p>
          <a:pPr algn="ctr" rtl="0">
            <a:defRPr/>
          </a:pPr>
          <a:endParaRPr lang="fi-FI" sz="900" b="0" i="0" u="none" strike="noStrike" baseline="0">
            <a:solidFill>
              <a:sysClr val="windowText" lastClr="000000">
                <a:lumMod val="50000"/>
                <a:lumOff val="50000"/>
              </a:sysClr>
            </a:solidFill>
            <a:latin typeface="Calibri" panose="020F0502020204030204"/>
          </a:endParaRPr>
        </a:p>
      </cx:txPr>
    </cx:legend>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size">
        <cx:f>_xlchart.v1.7</cx:f>
      </cx:numDim>
    </cx:data>
  </cx:chartData>
  <cx:chart>
    <cx:title pos="t" align="ctr" overlay="0">
      <cx:tx>
        <cx:rich>
          <a:bodyPr spcFirstLastPara="1" vertOverflow="ellipsis" horzOverflow="overflow" wrap="square" lIns="0" tIns="0" rIns="0" bIns="0" anchor="ctr" anchorCtr="1"/>
          <a:lstStyle/>
          <a:p>
            <a:pPr rtl="0"/>
            <a:r>
              <a:rPr lang="fi-FI" sz="1400" b="0" i="0" baseline="0">
                <a:solidFill>
                  <a:schemeClr val="tx1">
                    <a:lumMod val="65000"/>
                    <a:lumOff val="35000"/>
                  </a:schemeClr>
                </a:solidFill>
                <a:effectLst/>
              </a:rPr>
              <a:t>TAVOITETTUJEN nuorten pääasiallinen toiminta aloitustilanteessa</a:t>
            </a:r>
            <a:endParaRPr lang="fi-FI" sz="1100">
              <a:solidFill>
                <a:schemeClr val="tx1">
                  <a:lumMod val="65000"/>
                  <a:lumOff val="35000"/>
                </a:schemeClr>
              </a:solidFill>
              <a:effectLst/>
            </a:endParaRPr>
          </a:p>
        </cx:rich>
      </cx:tx>
    </cx:title>
    <cx:plotArea>
      <cx:plotAreaRegion>
        <cx:series layoutId="treemap" uniqueId="{E9286EF3-0FBB-4671-A77E-6D82645CD9BB}">
          <cx:dataLabels pos="inEnd">
            <cx:txPr>
              <a:bodyPr spcFirstLastPara="1" vertOverflow="ellipsis" horzOverflow="overflow" wrap="square" lIns="0" tIns="0" rIns="0" bIns="0" anchor="ctr" anchorCtr="1"/>
              <a:lstStyle/>
              <a:p>
                <a:pPr algn="ctr" rtl="0">
                  <a:defRPr>
                    <a:solidFill>
                      <a:schemeClr val="tx1"/>
                    </a:solidFill>
                  </a:defRPr>
                </a:pPr>
                <a:endParaRPr lang="fi-FI" sz="900" b="0" i="0" u="none" strike="noStrike" baseline="0">
                  <a:solidFill>
                    <a:schemeClr val="tx1"/>
                  </a:solidFill>
                  <a:latin typeface="Calibri" panose="020F0502020204030204"/>
                </a:endParaRPr>
              </a:p>
            </cx:txPr>
            <cx:visibility seriesName="0" categoryName="1" value="1"/>
            <cx:separator>, </cx:separator>
          </cx:dataLabels>
          <cx:dataId val="0"/>
          <cx:layoutPr>
            <cx:parentLabelLayout val="overlapping"/>
          </cx:layoutPr>
        </cx:series>
      </cx:plotAreaRegion>
    </cx:plotArea>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_xlchart.v1.10</cx:f>
      </cx:strDim>
      <cx:numDim type="size">
        <cx:f>_xlchart.v1.11</cx:f>
      </cx:numDim>
    </cx:data>
  </cx:chartData>
  <cx:chart>
    <cx:title pos="t" align="ctr" overlay="0">
      <cx:tx>
        <cx:rich>
          <a:bodyPr spcFirstLastPara="1" vertOverflow="ellipsis" horzOverflow="overflow" wrap="square" lIns="0" tIns="0" rIns="0" bIns="0" anchor="ctr" anchorCtr="1"/>
          <a:lstStyle/>
          <a:p>
            <a:pPr rtl="0"/>
            <a:r>
              <a:rPr lang="fi-FI" sz="1400" b="0" i="0" baseline="0">
                <a:solidFill>
                  <a:schemeClr val="tx1">
                    <a:lumMod val="65000"/>
                    <a:lumOff val="35000"/>
                  </a:schemeClr>
                </a:solidFill>
                <a:effectLst/>
              </a:rPr>
              <a:t>TAVOITETTUJEN nuorten pääasiallinen toiminta aloitustilanteessa</a:t>
            </a:r>
            <a:endParaRPr lang="fi-FI" sz="1100">
              <a:solidFill>
                <a:schemeClr val="tx1">
                  <a:lumMod val="65000"/>
                  <a:lumOff val="35000"/>
                </a:schemeClr>
              </a:solidFill>
              <a:effectLst/>
            </a:endParaRPr>
          </a:p>
        </cx:rich>
      </cx:tx>
    </cx:title>
    <cx:plotArea>
      <cx:plotAreaRegion>
        <cx:series layoutId="treemap" uniqueId="{C39D9F2A-D50A-4B1C-9A21-4E13C106B06A}">
          <cx:dataLabels pos="inEnd">
            <cx:txPr>
              <a:bodyPr spcFirstLastPara="1" vertOverflow="ellipsis" horzOverflow="overflow" wrap="square" lIns="0" tIns="0" rIns="0" bIns="0" anchor="ctr" anchorCtr="1"/>
              <a:lstStyle/>
              <a:p>
                <a:pPr algn="ctr" rtl="0">
                  <a:defRPr>
                    <a:solidFill>
                      <a:schemeClr val="tx1"/>
                    </a:solidFill>
                  </a:defRPr>
                </a:pPr>
                <a:endParaRPr lang="fi-FI" sz="900" b="0" i="0" u="none" strike="noStrike" baseline="0">
                  <a:solidFill>
                    <a:schemeClr val="tx1"/>
                  </a:solidFill>
                  <a:latin typeface="Calibri" panose="020F0502020204030204"/>
                </a:endParaRPr>
              </a:p>
            </cx:txPr>
            <cx:visibility seriesName="0" categoryName="1" value="1"/>
            <cx:separator>, </cx:separator>
          </cx:dataLabels>
          <cx:dataId val="0"/>
          <cx:layoutPr>
            <cx:parentLabelLayout val="overlapping"/>
          </cx:layoutPr>
        </cx:series>
      </cx:plotAreaRegion>
    </cx:plotArea>
  </cx:chart>
</cx:chartSpace>
</file>

<file path=xl/charts/chartEx7.xml><?xml version="1.0" encoding="utf-8"?>
<cx:chartSpace xmlns:a="http://schemas.openxmlformats.org/drawingml/2006/main" xmlns:r="http://schemas.openxmlformats.org/officeDocument/2006/relationships" xmlns:cx="http://schemas.microsoft.com/office/drawing/2014/chartex">
  <cx:chartData>
    <cx:data id="0">
      <cx:strDim type="cat">
        <cx:f>_xlchart.v1.12</cx:f>
      </cx:strDim>
      <cx:numDim type="size">
        <cx:f>_xlchart.v1.13</cx:f>
      </cx:numDim>
    </cx:data>
  </cx:chartData>
  <cx:chart>
    <cx:title pos="t" align="ctr" overlay="0">
      <cx:tx>
        <cx:rich>
          <a:bodyPr spcFirstLastPara="1" vertOverflow="ellipsis" horzOverflow="overflow" wrap="square" lIns="0" tIns="0" rIns="0" bIns="0" anchor="ctr" anchorCtr="1"/>
          <a:lstStyle/>
          <a:p>
            <a:pPr rtl="0"/>
            <a:r>
              <a:rPr lang="fi-FI" sz="1400" b="0" i="0" baseline="0">
                <a:solidFill>
                  <a:schemeClr val="tx1">
                    <a:lumMod val="65000"/>
                    <a:lumOff val="35000"/>
                  </a:schemeClr>
                </a:solidFill>
                <a:effectLst/>
              </a:rPr>
              <a:t>TAVOITETTUJEN nuorten pääasiallinen asumismuoto aloitustilanteessa</a:t>
            </a:r>
            <a:endParaRPr lang="fi-FI" sz="1100">
              <a:solidFill>
                <a:schemeClr val="tx1">
                  <a:lumMod val="65000"/>
                  <a:lumOff val="35000"/>
                </a:schemeClr>
              </a:solidFill>
              <a:effectLst/>
            </a:endParaRPr>
          </a:p>
        </cx:rich>
      </cx:tx>
    </cx:title>
    <cx:plotArea>
      <cx:plotAreaRegion>
        <cx:series layoutId="treemap" uniqueId="{3FA2106C-804D-413C-9C09-373BFE252EF8}">
          <cx:dataLabels pos="inEnd">
            <cx:txPr>
              <a:bodyPr spcFirstLastPara="1" vertOverflow="ellipsis" horzOverflow="overflow" wrap="square" lIns="0" tIns="0" rIns="0" bIns="0" anchor="ctr" anchorCtr="1"/>
              <a:lstStyle/>
              <a:p>
                <a:pPr algn="ctr" rtl="0">
                  <a:defRPr>
                    <a:solidFill>
                      <a:schemeClr val="tx1"/>
                    </a:solidFill>
                  </a:defRPr>
                </a:pPr>
                <a:endParaRPr lang="fi-FI" sz="900" b="0" i="0" u="none" strike="noStrike" baseline="0">
                  <a:solidFill>
                    <a:schemeClr val="tx1"/>
                  </a:solidFill>
                  <a:latin typeface="Calibri" panose="020F0502020204030204"/>
                </a:endParaRPr>
              </a:p>
            </cx:txPr>
            <cx:visibility seriesName="0" categoryName="1" value="1"/>
            <cx:separator>, </cx:separator>
          </cx:dataLabels>
          <cx:dataId val="0"/>
          <cx:layoutPr>
            <cx:parentLabelLayout val="overlapping"/>
          </cx:layoutPr>
        </cx:series>
      </cx:plotAreaRegion>
    </cx:plotArea>
  </cx:chart>
</cx:chartSpace>
</file>

<file path=xl/charts/chartEx8.xml><?xml version="1.0" encoding="utf-8"?>
<cx:chartSpace xmlns:a="http://schemas.openxmlformats.org/drawingml/2006/main" xmlns:r="http://schemas.openxmlformats.org/officeDocument/2006/relationships" xmlns:cx="http://schemas.microsoft.com/office/drawing/2014/chartex">
  <cx:chartData>
    <cx:data id="0">
      <cx:strDim type="cat">
        <cx:f>_xlchart.v1.32</cx:f>
      </cx:strDim>
      <cx:numDim type="size">
        <cx:f>_xlchart.v1.33</cx:f>
      </cx:numDim>
    </cx:data>
  </cx:chartData>
  <cx:chart>
    <cx:plotArea>
      <cx:plotAreaRegion>
        <cx:series layoutId="treemap" uniqueId="{3CF1F6F8-7B65-4387-974C-E29C34A6F6C1}">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hartEx9.xml><?xml version="1.0" encoding="utf-8"?>
<cx:chartSpace xmlns:a="http://schemas.openxmlformats.org/drawingml/2006/main" xmlns:r="http://schemas.openxmlformats.org/officeDocument/2006/relationships" xmlns:cx="http://schemas.microsoft.com/office/drawing/2014/chartex">
  <cx:chartData>
    <cx:data id="0">
      <cx:strDim type="cat">
        <cx:f>_xlchart.v1.14</cx:f>
      </cx:strDim>
      <cx:numDim type="size">
        <cx:f>_xlchart.v1.15</cx:f>
      </cx:numDim>
    </cx:data>
  </cx:chartData>
  <cx:chart>
    <cx:plotArea>
      <cx:plotAreaRegion>
        <cx:series layoutId="treemap" uniqueId="{B9D587D0-24D2-48E4-B9C7-77FA1339882D}">
          <cx:dataLabels pos="inEnd">
            <cx:visibility seriesName="0" categoryName="1" value="1"/>
            <cx:separator>, </cx:separator>
          </cx:dataLabels>
          <cx:dataId val="0"/>
          <cx:layoutPr>
            <cx:parentLabelLayout val="overlapping"/>
          </cx:layoutPr>
        </cx:series>
      </cx:plotAreaRegion>
    </cx:plotArea>
    <cx:legend pos="r" align="ctr" overlay="0"/>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7">
  <a:schemeClr val="accent4"/>
</cs:colorStyle>
</file>

<file path=xl/charts/colors11.xml><?xml version="1.0" encoding="utf-8"?>
<cs:colorStyle xmlns:cs="http://schemas.microsoft.com/office/drawing/2012/chartStyle" xmlns:a="http://schemas.openxmlformats.org/drawingml/2006/main" meth="withinLinear" id="15">
  <a:schemeClr val="accent2"/>
</cs:colorStyle>
</file>

<file path=xl/charts/colors12.xml><?xml version="1.0" encoding="utf-8"?>
<cs:colorStyle xmlns:cs="http://schemas.microsoft.com/office/drawing/2012/chartStyle" xmlns:a="http://schemas.openxmlformats.org/drawingml/2006/main" meth="withinLinear" id="17">
  <a:schemeClr val="accent4"/>
</cs:colorStyle>
</file>

<file path=xl/charts/colors13.xml><?xml version="1.0" encoding="utf-8"?>
<cs:colorStyle xmlns:cs="http://schemas.microsoft.com/office/drawing/2012/chartStyle" xmlns:a="http://schemas.openxmlformats.org/drawingml/2006/main" meth="withinLinear" id="17">
  <a:schemeClr val="accent4"/>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withinLinear" id="17">
  <a:schemeClr val="accent4"/>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withinLinear" id="17">
  <a:schemeClr val="accent4"/>
</cs:colorStyle>
</file>

<file path=xl/charts/colors24.xml><?xml version="1.0" encoding="utf-8"?>
<cs:colorStyle xmlns:cs="http://schemas.microsoft.com/office/drawing/2012/chartStyle" xmlns:a="http://schemas.openxmlformats.org/drawingml/2006/main" meth="withinLinear" id="17">
  <a:schemeClr val="accent4"/>
</cs:colorStyle>
</file>

<file path=xl/charts/colors25.xml><?xml version="1.0" encoding="utf-8"?>
<cs:colorStyle xmlns:cs="http://schemas.microsoft.com/office/drawing/2012/chartStyle" xmlns:a="http://schemas.openxmlformats.org/drawingml/2006/main" meth="withinLinear" id="17">
  <a:schemeClr val="accent4"/>
</cs:colorStyle>
</file>

<file path=xl/charts/colors26.xml><?xml version="1.0" encoding="utf-8"?>
<cs:colorStyle xmlns:cs="http://schemas.microsoft.com/office/drawing/2012/chartStyle" xmlns:a="http://schemas.openxmlformats.org/drawingml/2006/main" meth="withinLinear" id="17">
  <a:schemeClr val="accent4"/>
</cs:colorStyle>
</file>

<file path=xl/charts/colors27.xml><?xml version="1.0" encoding="utf-8"?>
<cs:colorStyle xmlns:cs="http://schemas.microsoft.com/office/drawing/2012/chartStyle" xmlns:a="http://schemas.openxmlformats.org/drawingml/2006/main" meth="withinLinear" id="17">
  <a:schemeClr val="accent4"/>
</cs:colorStyle>
</file>

<file path=xl/charts/colors28.xml><?xml version="1.0" encoding="utf-8"?>
<cs:colorStyle xmlns:cs="http://schemas.microsoft.com/office/drawing/2012/chartStyle" xmlns:a="http://schemas.openxmlformats.org/drawingml/2006/main" meth="withinLinear" id="17">
  <a:schemeClr val="accent4"/>
</cs:colorStyle>
</file>

<file path=xl/charts/colors29.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withinLinear" id="17">
  <a:schemeClr val="accent4"/>
</cs:colorStyle>
</file>

<file path=xl/charts/colors31.xml><?xml version="1.0" encoding="utf-8"?>
<cs:colorStyle xmlns:cs="http://schemas.microsoft.com/office/drawing/2012/chartStyle" xmlns:a="http://schemas.openxmlformats.org/drawingml/2006/main" meth="withinLinear" id="17">
  <a:schemeClr val="accent4"/>
</cs:colorStyle>
</file>

<file path=xl/charts/colors3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withinLinear" id="17">
  <a:schemeClr val="accent4"/>
</cs:colorStyle>
</file>

<file path=xl/charts/colors34.xml><?xml version="1.0" encoding="utf-8"?>
<cs:colorStyle xmlns:cs="http://schemas.microsoft.com/office/drawing/2012/chartStyle" xmlns:a="http://schemas.openxmlformats.org/drawingml/2006/main" meth="withinLinear" id="14">
  <a:schemeClr val="accent1"/>
</cs:colorStyle>
</file>

<file path=xl/charts/colors35.xml><?xml version="1.0" encoding="utf-8"?>
<cs:colorStyle xmlns:cs="http://schemas.microsoft.com/office/drawing/2012/chartStyle" xmlns:a="http://schemas.openxmlformats.org/drawingml/2006/main" meth="withinLinear" id="16">
  <a:schemeClr val="accent3"/>
</cs:colorStyle>
</file>

<file path=xl/charts/colors36.xml><?xml version="1.0" encoding="utf-8"?>
<cs:colorStyle xmlns:cs="http://schemas.microsoft.com/office/drawing/2012/chartStyle" xmlns:a="http://schemas.openxmlformats.org/drawingml/2006/main" meth="withinLinear" id="15">
  <a:schemeClr val="accent2"/>
</cs:colorStyle>
</file>

<file path=xl/charts/colors37.xml><?xml version="1.0" encoding="utf-8"?>
<cs:colorStyle xmlns:cs="http://schemas.microsoft.com/office/drawing/2012/chartStyle" xmlns:a="http://schemas.openxmlformats.org/drawingml/2006/main" meth="withinLinear" id="19">
  <a:schemeClr val="accent6"/>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withinLinear" id="17">
  <a:schemeClr val="accent4"/>
</cs:colorStyle>
</file>

<file path=xl/charts/colors49.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7">
  <a:schemeClr val="accent4"/>
</cs:colorStyle>
</file>

<file path=xl/charts/colors50.xml><?xml version="1.0" encoding="utf-8"?>
<cs:colorStyle xmlns:cs="http://schemas.microsoft.com/office/drawing/2012/chartStyle" xmlns:a="http://schemas.openxmlformats.org/drawingml/2006/main" meth="withinLinear" id="15">
  <a:schemeClr val="accent2"/>
</cs:colorStyle>
</file>

<file path=xl/charts/colors51.xml><?xml version="1.0" encoding="utf-8"?>
<cs:colorStyle xmlns:cs="http://schemas.microsoft.com/office/drawing/2012/chartStyle" xmlns:a="http://schemas.openxmlformats.org/drawingml/2006/main" meth="withinLinear" id="19">
  <a:schemeClr val="accent6"/>
</cs:colorStyle>
</file>

<file path=xl/charts/colors52.xml><?xml version="1.0" encoding="utf-8"?>
<cs:colorStyle xmlns:cs="http://schemas.microsoft.com/office/drawing/2012/chartStyle" xmlns:a="http://schemas.openxmlformats.org/drawingml/2006/main" meth="withinLinear" id="16">
  <a:schemeClr val="accent3"/>
</cs:colorStyle>
</file>

<file path=xl/charts/colors53.xml><?xml version="1.0" encoding="utf-8"?>
<cs:colorStyle xmlns:cs="http://schemas.microsoft.com/office/drawing/2012/chartStyle" xmlns:a="http://schemas.openxmlformats.org/drawingml/2006/main" meth="withinLinear" id="18">
  <a:schemeClr val="accent5"/>
</cs:colorStyle>
</file>

<file path=xl/charts/colors54.xml><?xml version="1.0" encoding="utf-8"?>
<cs:colorStyle xmlns:cs="http://schemas.microsoft.com/office/drawing/2012/chartStyle" xmlns:a="http://schemas.openxmlformats.org/drawingml/2006/main" meth="withinLinear" id="14">
  <a:schemeClr val="accent1"/>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withinLinear" id="17">
  <a:schemeClr val="accent4"/>
</cs:colorStyle>
</file>

<file path=xl/charts/colors58.xml><?xml version="1.0" encoding="utf-8"?>
<cs:colorStyle xmlns:cs="http://schemas.microsoft.com/office/drawing/2012/chartStyle" xmlns:a="http://schemas.openxmlformats.org/drawingml/2006/main" meth="withinLinear" id="17">
  <a:schemeClr val="accent4"/>
</cs:colorStyle>
</file>

<file path=xl/charts/colors59.xml><?xml version="1.0" encoding="utf-8"?>
<cs:colorStyle xmlns:cs="http://schemas.microsoft.com/office/drawing/2012/chartStyle" xmlns:a="http://schemas.openxmlformats.org/drawingml/2006/main" meth="withinLinear" id="17">
  <a:schemeClr val="accent4"/>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60.xml><?xml version="1.0" encoding="utf-8"?>
<cs:colorStyle xmlns:cs="http://schemas.microsoft.com/office/drawing/2012/chartStyle" xmlns:a="http://schemas.openxmlformats.org/drawingml/2006/main" meth="withinLinear" id="17">
  <a:schemeClr val="accent4"/>
</cs:colorStyle>
</file>

<file path=xl/charts/colors61.xml><?xml version="1.0" encoding="utf-8"?>
<cs:colorStyle xmlns:cs="http://schemas.microsoft.com/office/drawing/2012/chartStyle" xmlns:a="http://schemas.openxmlformats.org/drawingml/2006/main" meth="withinLinear" id="17">
  <a:schemeClr val="accent4"/>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7">
  <a:schemeClr val="accent4"/>
</cs:colorStyle>
</file>

<file path=xl/charts/colors8.xml><?xml version="1.0" encoding="utf-8"?>
<cs:colorStyle xmlns:cs="http://schemas.microsoft.com/office/drawing/2012/chartStyle" xmlns:a="http://schemas.openxmlformats.org/drawingml/2006/main" meth="withinLinear" id="17">
  <a:schemeClr val="accent4"/>
</cs:colorStyle>
</file>

<file path=xl/charts/colors9.xml><?xml version="1.0" encoding="utf-8"?>
<cs:colorStyle xmlns:cs="http://schemas.microsoft.com/office/drawing/2012/chartStyle" xmlns:a="http://schemas.openxmlformats.org/drawingml/2006/main" meth="withinLinear" id="17">
  <a:schemeClr val="accent4"/>
</cs:colorStyle>
</file>

<file path=xl/charts/style1.xml><?xml version="1.0" encoding="utf-8"?>
<cs:chartStyle xmlns:cs="http://schemas.microsoft.com/office/drawing/2012/chartStyle" xmlns:a="http://schemas.openxmlformats.org/drawingml/2006/main" id="384">
  <cs:axisTitle>
    <cs:lnRef idx="0"/>
    <cs:fillRef idx="0"/>
    <cs:effectRef idx="0"/>
    <cs:fontRef idx="minor">
      <a:schemeClr val="tx1">
        <a:lumMod val="50000"/>
        <a:lumOff val="50000"/>
      </a:schemeClr>
    </cs:fontRef>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412">
  <cs:axisTitle>
    <cs:lnRef idx="0"/>
    <cs:fillRef idx="0"/>
    <cs:effectRef idx="0"/>
    <cs:fontRef idx="minor">
      <a:schemeClr val="tx1">
        <a:lumMod val="50000"/>
        <a:lumOff val="50000"/>
      </a:schemeClr>
    </cs:fontRef>
    <cs:spPr>
      <a:solidFill>
        <a:schemeClr val="bg1">
          <a:lumMod val="85000"/>
        </a:schemeClr>
      </a:solidFill>
      <a:ln>
        <a:solidFill>
          <a:schemeClr val="bg1">
            <a:lumMod val="75000"/>
          </a:schemeClr>
        </a:solidFill>
      </a:ln>
    </cs:spPr>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412">
  <cs:axisTitle>
    <cs:lnRef idx="0"/>
    <cs:fillRef idx="0"/>
    <cs:effectRef idx="0"/>
    <cs:fontRef idx="minor">
      <a:schemeClr val="tx1">
        <a:lumMod val="50000"/>
        <a:lumOff val="50000"/>
      </a:schemeClr>
    </cs:fontRef>
    <cs:spPr>
      <a:solidFill>
        <a:schemeClr val="bg1">
          <a:lumMod val="85000"/>
        </a:schemeClr>
      </a:solidFill>
      <a:ln>
        <a:solidFill>
          <a:schemeClr val="bg1">
            <a:lumMod val="75000"/>
          </a:schemeClr>
        </a:solidFill>
      </a:ln>
    </cs:spPr>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412">
  <cs:axisTitle>
    <cs:lnRef idx="0"/>
    <cs:fillRef idx="0"/>
    <cs:effectRef idx="0"/>
    <cs:fontRef idx="minor">
      <a:schemeClr val="tx1">
        <a:lumMod val="50000"/>
        <a:lumOff val="50000"/>
      </a:schemeClr>
    </cs:fontRef>
    <cs:spPr>
      <a:solidFill>
        <a:schemeClr val="bg1">
          <a:lumMod val="85000"/>
        </a:schemeClr>
      </a:solidFill>
      <a:ln>
        <a:solidFill>
          <a:schemeClr val="bg1">
            <a:lumMod val="75000"/>
          </a:schemeClr>
        </a:solidFill>
      </a:ln>
    </cs:spPr>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84">
  <cs:axisTitle>
    <cs:lnRef idx="0"/>
    <cs:fillRef idx="0"/>
    <cs:effectRef idx="0"/>
    <cs:fontRef idx="minor">
      <a:schemeClr val="tx1">
        <a:lumMod val="50000"/>
        <a:lumOff val="50000"/>
      </a:schemeClr>
    </cs:fontRef>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84">
  <cs:axisTitle>
    <cs:lnRef idx="0"/>
    <cs:fillRef idx="0"/>
    <cs:effectRef idx="0"/>
    <cs:fontRef idx="minor">
      <a:schemeClr val="tx1">
        <a:lumMod val="50000"/>
        <a:lumOff val="50000"/>
      </a:schemeClr>
    </cs:fontRef>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6.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7.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8.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9.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84">
  <cs:axisTitle>
    <cs:lnRef idx="0"/>
    <cs:fillRef idx="0"/>
    <cs:effectRef idx="0"/>
    <cs:fontRef idx="minor">
      <a:schemeClr val="tx1">
        <a:lumMod val="50000"/>
        <a:lumOff val="50000"/>
      </a:schemeClr>
    </cs:fontRef>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40.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1.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2.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3.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4.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5.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6.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7.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6.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3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800" b="1"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63.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64.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3.xml"/><Relationship Id="rId13" Type="http://schemas.openxmlformats.org/officeDocument/2006/relationships/chart" Target="../charts/chart8.xml"/><Relationship Id="rId18" Type="http://schemas.openxmlformats.org/officeDocument/2006/relationships/chart" Target="../charts/chart13.xml"/><Relationship Id="rId3" Type="http://schemas.microsoft.com/office/2014/relationships/chartEx" Target="../charts/chartEx2.xml"/><Relationship Id="rId21" Type="http://schemas.microsoft.com/office/2014/relationships/chartEx" Target="../charts/chartEx5.xml"/><Relationship Id="rId7" Type="http://schemas.openxmlformats.org/officeDocument/2006/relationships/chart" Target="../charts/chart2.xml"/><Relationship Id="rId12" Type="http://schemas.openxmlformats.org/officeDocument/2006/relationships/chart" Target="../charts/chart7.xml"/><Relationship Id="rId17" Type="http://schemas.openxmlformats.org/officeDocument/2006/relationships/chart" Target="../charts/chart12.xml"/><Relationship Id="rId25" Type="http://schemas.openxmlformats.org/officeDocument/2006/relationships/chart" Target="../charts/chart17.xml"/><Relationship Id="rId2" Type="http://schemas.microsoft.com/office/2014/relationships/chartEx" Target="../charts/chartEx1.xml"/><Relationship Id="rId16" Type="http://schemas.openxmlformats.org/officeDocument/2006/relationships/chart" Target="../charts/chart11.xml"/><Relationship Id="rId20" Type="http://schemas.openxmlformats.org/officeDocument/2006/relationships/chart" Target="../charts/chart15.xml"/><Relationship Id="rId1" Type="http://schemas.openxmlformats.org/officeDocument/2006/relationships/hyperlink" Target="https://par-jarjestelma.fi/tiedonsiirto/" TargetMode="External"/><Relationship Id="rId6" Type="http://schemas.openxmlformats.org/officeDocument/2006/relationships/chart" Target="../charts/chart1.xml"/><Relationship Id="rId11" Type="http://schemas.openxmlformats.org/officeDocument/2006/relationships/chart" Target="../charts/chart6.xml"/><Relationship Id="rId24" Type="http://schemas.openxmlformats.org/officeDocument/2006/relationships/chart" Target="../charts/chart16.xml"/><Relationship Id="rId5" Type="http://schemas.microsoft.com/office/2014/relationships/chartEx" Target="../charts/chartEx4.xml"/><Relationship Id="rId15" Type="http://schemas.openxmlformats.org/officeDocument/2006/relationships/chart" Target="../charts/chart10.xml"/><Relationship Id="rId23" Type="http://schemas.microsoft.com/office/2014/relationships/chartEx" Target="../charts/chartEx7.xml"/><Relationship Id="rId10" Type="http://schemas.openxmlformats.org/officeDocument/2006/relationships/chart" Target="../charts/chart5.xml"/><Relationship Id="rId19" Type="http://schemas.openxmlformats.org/officeDocument/2006/relationships/chart" Target="../charts/chart14.xml"/><Relationship Id="rId4" Type="http://schemas.microsoft.com/office/2014/relationships/chartEx" Target="../charts/chartEx3.xml"/><Relationship Id="rId9" Type="http://schemas.openxmlformats.org/officeDocument/2006/relationships/chart" Target="../charts/chart4.xml"/><Relationship Id="rId14" Type="http://schemas.openxmlformats.org/officeDocument/2006/relationships/chart" Target="../charts/chart9.xml"/><Relationship Id="rId22" Type="http://schemas.microsoft.com/office/2014/relationships/chartEx" Target="../charts/chartEx6.xml"/></Relationships>
</file>

<file path=xl/drawings/_rels/drawing3.xml.rels><?xml version="1.0" encoding="UTF-8" standalone="yes"?>
<Relationships xmlns="http://schemas.openxmlformats.org/package/2006/relationships"><Relationship Id="rId8" Type="http://schemas.openxmlformats.org/officeDocument/2006/relationships/chart" Target="../charts/chart25.xml"/><Relationship Id="rId3" Type="http://schemas.openxmlformats.org/officeDocument/2006/relationships/chart" Target="../charts/chart20.xml"/><Relationship Id="rId7" Type="http://schemas.openxmlformats.org/officeDocument/2006/relationships/chart" Target="../charts/chart24.xml"/><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5" Type="http://schemas.openxmlformats.org/officeDocument/2006/relationships/chart" Target="../charts/chart22.xml"/><Relationship Id="rId4" Type="http://schemas.openxmlformats.org/officeDocument/2006/relationships/chart" Target="../charts/chart21.xml"/><Relationship Id="rId9" Type="http://schemas.openxmlformats.org/officeDocument/2006/relationships/chart" Target="../charts/chart2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29.xml"/><Relationship Id="rId2" Type="http://schemas.openxmlformats.org/officeDocument/2006/relationships/chart" Target="../charts/chart28.xml"/><Relationship Id="rId1" Type="http://schemas.openxmlformats.org/officeDocument/2006/relationships/chart" Target="../charts/chart27.xml"/></Relationships>
</file>

<file path=xl/drawings/_rels/drawing5.xml.rels><?xml version="1.0" encoding="UTF-8" standalone="yes"?>
<Relationships xmlns="http://schemas.openxmlformats.org/package/2006/relationships"><Relationship Id="rId8" Type="http://schemas.microsoft.com/office/2014/relationships/chartEx" Target="../charts/chartEx10.xml"/><Relationship Id="rId13" Type="http://schemas.microsoft.com/office/2014/relationships/chartEx" Target="../charts/chartEx15.xml"/><Relationship Id="rId3" Type="http://schemas.openxmlformats.org/officeDocument/2006/relationships/chart" Target="../charts/chart32.xml"/><Relationship Id="rId7" Type="http://schemas.microsoft.com/office/2014/relationships/chartEx" Target="../charts/chartEx9.xml"/><Relationship Id="rId12" Type="http://schemas.microsoft.com/office/2014/relationships/chartEx" Target="../charts/chartEx14.xml"/><Relationship Id="rId2" Type="http://schemas.openxmlformats.org/officeDocument/2006/relationships/chart" Target="../charts/chart31.xml"/><Relationship Id="rId1" Type="http://schemas.openxmlformats.org/officeDocument/2006/relationships/chart" Target="../charts/chart30.xml"/><Relationship Id="rId6" Type="http://schemas.microsoft.com/office/2014/relationships/chartEx" Target="../charts/chartEx8.xml"/><Relationship Id="rId11" Type="http://schemas.microsoft.com/office/2014/relationships/chartEx" Target="../charts/chartEx13.xml"/><Relationship Id="rId5" Type="http://schemas.openxmlformats.org/officeDocument/2006/relationships/chart" Target="../charts/chart34.xml"/><Relationship Id="rId15" Type="http://schemas.microsoft.com/office/2014/relationships/chartEx" Target="../charts/chartEx17.xml"/><Relationship Id="rId10" Type="http://schemas.microsoft.com/office/2014/relationships/chartEx" Target="../charts/chartEx12.xml"/><Relationship Id="rId4" Type="http://schemas.openxmlformats.org/officeDocument/2006/relationships/chart" Target="../charts/chart33.xml"/><Relationship Id="rId9" Type="http://schemas.microsoft.com/office/2014/relationships/chartEx" Target="../charts/chartEx11.xml"/><Relationship Id="rId14" Type="http://schemas.microsoft.com/office/2014/relationships/chartEx" Target="../charts/chartEx16.xml"/></Relationships>
</file>

<file path=xl/drawings/_rels/drawing6.xml.rels><?xml version="1.0" encoding="UTF-8" standalone="yes"?>
<Relationships xmlns="http://schemas.openxmlformats.org/package/2006/relationships"><Relationship Id="rId8" Type="http://schemas.microsoft.com/office/2014/relationships/chartEx" Target="../charts/chartEx18.xml"/><Relationship Id="rId3" Type="http://schemas.openxmlformats.org/officeDocument/2006/relationships/chart" Target="../charts/chart37.xml"/><Relationship Id="rId7" Type="http://schemas.openxmlformats.org/officeDocument/2006/relationships/chart" Target="../charts/chart41.xml"/><Relationship Id="rId2" Type="http://schemas.openxmlformats.org/officeDocument/2006/relationships/chart" Target="../charts/chart36.xml"/><Relationship Id="rId1" Type="http://schemas.openxmlformats.org/officeDocument/2006/relationships/chart" Target="../charts/chart35.xml"/><Relationship Id="rId6" Type="http://schemas.openxmlformats.org/officeDocument/2006/relationships/chart" Target="../charts/chart40.xml"/><Relationship Id="rId5" Type="http://schemas.openxmlformats.org/officeDocument/2006/relationships/chart" Target="../charts/chart39.xml"/><Relationship Id="rId4" Type="http://schemas.openxmlformats.org/officeDocument/2006/relationships/chart" Target="../charts/chart38.xml"/><Relationship Id="rId9" Type="http://schemas.microsoft.com/office/2014/relationships/chartEx" Target="../charts/chartEx19.xml"/></Relationships>
</file>

<file path=xl/drawings/_rels/drawing7.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chart" Target="../charts/chart43.xml"/><Relationship Id="rId1" Type="http://schemas.openxmlformats.org/officeDocument/2006/relationships/chart" Target="../charts/chart42.xml"/><Relationship Id="rId5" Type="http://schemas.openxmlformats.org/officeDocument/2006/relationships/chart" Target="../charts/chart46.xml"/><Relationship Id="rId4" Type="http://schemas.openxmlformats.org/officeDocument/2006/relationships/chart" Target="../charts/chart4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49.xml"/><Relationship Id="rId2" Type="http://schemas.openxmlformats.org/officeDocument/2006/relationships/chart" Target="../charts/chart48.xml"/><Relationship Id="rId1" Type="http://schemas.openxmlformats.org/officeDocument/2006/relationships/chart" Target="../charts/chart47.xml"/></Relationships>
</file>

<file path=xl/drawings/drawing1.xml><?xml version="1.0" encoding="utf-8"?>
<xdr:wsDr xmlns:xdr="http://schemas.openxmlformats.org/drawingml/2006/spreadsheetDrawing" xmlns:a="http://schemas.openxmlformats.org/drawingml/2006/main">
  <xdr:twoCellAnchor>
    <xdr:from>
      <xdr:col>6</xdr:col>
      <xdr:colOff>10584</xdr:colOff>
      <xdr:row>6</xdr:row>
      <xdr:rowOff>76199</xdr:rowOff>
    </xdr:from>
    <xdr:to>
      <xdr:col>12</xdr:col>
      <xdr:colOff>619125</xdr:colOff>
      <xdr:row>12</xdr:row>
      <xdr:rowOff>152399</xdr:rowOff>
    </xdr:to>
    <xdr:sp macro="" textlink="">
      <xdr:nvSpPr>
        <xdr:cNvPr id="2" name="Tekstiruutu 1">
          <a:hlinkClick xmlns:r="http://schemas.openxmlformats.org/officeDocument/2006/relationships" r:id="rId1"/>
          <a:extLst>
            <a:ext uri="{FF2B5EF4-FFF2-40B4-BE49-F238E27FC236}">
              <a16:creationId xmlns:a16="http://schemas.microsoft.com/office/drawing/2014/main" id="{97CE8640-C8C8-4287-A49C-25D1723B1F8E}"/>
            </a:ext>
          </a:extLst>
        </xdr:cNvPr>
        <xdr:cNvSpPr txBox="1"/>
      </xdr:nvSpPr>
      <xdr:spPr>
        <a:xfrm>
          <a:off x="6840009" y="1304924"/>
          <a:ext cx="6018741" cy="14192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fi-FI" sz="1100" b="1" baseline="0">
              <a:solidFill>
                <a:schemeClr val="dk1"/>
              </a:solidFill>
              <a:effectLst/>
              <a:latin typeface="+mn-lt"/>
              <a:ea typeface="+mn-ea"/>
              <a:cs typeface="+mn-cs"/>
            </a:rPr>
            <a:t>VUOSIPARKISTA: </a:t>
          </a:r>
          <a:r>
            <a:rPr lang="fi-FI" sz="1100" b="0" baseline="0">
              <a:solidFill>
                <a:schemeClr val="dk1"/>
              </a:solidFill>
              <a:effectLst/>
              <a:latin typeface="+mn-lt"/>
              <a:ea typeface="+mn-ea"/>
              <a:cs typeface="+mn-cs"/>
            </a:rPr>
            <a:t>Asiakastilastoja EI muuteta Parkki-sivulla Excelissä, vaan PAR-järjestelmän kautta asiakaskohtaisesti, jonka jälkeen tilastot otetaan uudestaan.</a:t>
          </a:r>
        </a:p>
        <a:p>
          <a:pPr algn="ctr" eaLnBrk="1" fontAlgn="auto" latinLnBrk="0" hangingPunct="1"/>
          <a:endParaRPr lang="fi-FI" sz="500">
            <a:effectLst/>
          </a:endParaRPr>
        </a:p>
        <a:p>
          <a:pPr algn="l" eaLnBrk="1" fontAlgn="auto" latinLnBrk="0" hangingPunct="1"/>
          <a:r>
            <a:rPr lang="fi-FI" sz="1100" b="0" baseline="0">
              <a:solidFill>
                <a:schemeClr val="dk1"/>
              </a:solidFill>
              <a:effectLst/>
              <a:latin typeface="+mn-lt"/>
              <a:ea typeface="+mn-ea"/>
              <a:cs typeface="+mn-cs"/>
            </a:rPr>
            <a:t>TARKISTETUT tilastot lähetetään aina osoitteeseen </a:t>
          </a:r>
          <a:r>
            <a:rPr lang="fi-FI" sz="1100" b="1" baseline="0">
              <a:solidFill>
                <a:schemeClr val="dk1"/>
              </a:solidFill>
              <a:effectLst/>
              <a:latin typeface="+mn-lt"/>
              <a:ea typeface="+mn-ea"/>
              <a:cs typeface="+mn-cs"/>
            </a:rPr>
            <a:t>https://par-jarjestelma.fi/tiedonsiirto/</a:t>
          </a:r>
        </a:p>
        <a:p>
          <a:pPr algn="ctr" eaLnBrk="1" fontAlgn="auto" latinLnBrk="0" hangingPunct="1"/>
          <a:endParaRPr lang="fi-FI" sz="500">
            <a:effectLst/>
          </a:endParaRPr>
        </a:p>
        <a:p>
          <a:pPr algn="ctr" eaLnBrk="1" fontAlgn="auto" latinLnBrk="0" hangingPunct="1"/>
          <a:r>
            <a:rPr lang="fi-FI" sz="1100" b="0" baseline="0">
              <a:solidFill>
                <a:schemeClr val="dk1"/>
              </a:solidFill>
              <a:effectLst/>
              <a:latin typeface="+mn-lt"/>
              <a:ea typeface="+mn-ea"/>
              <a:cs typeface="+mn-cs"/>
            </a:rPr>
            <a:t>Erityistapauksissa ota yhteyttä </a:t>
          </a:r>
          <a:r>
            <a:rPr lang="fi-FI" sz="1100" b="1">
              <a:solidFill>
                <a:schemeClr val="dk1"/>
              </a:solidFill>
              <a:effectLst/>
              <a:latin typeface="+mn-lt"/>
              <a:ea typeface="+mn-ea"/>
              <a:cs typeface="+mn-cs"/>
            </a:rPr>
            <a:t>tuulikki.nieminen@avi.fi</a:t>
          </a:r>
          <a:r>
            <a:rPr lang="fi-FI" sz="1100" b="1" baseline="0">
              <a:solidFill>
                <a:schemeClr val="dk1"/>
              </a:solidFill>
              <a:effectLst/>
              <a:latin typeface="+mn-lt"/>
              <a:ea typeface="+mn-ea"/>
              <a:cs typeface="+mn-cs"/>
            </a:rPr>
            <a:t> </a:t>
          </a:r>
          <a:r>
            <a:rPr lang="fi-FI" sz="1100" b="0" baseline="0">
              <a:solidFill>
                <a:schemeClr val="dk1"/>
              </a:solidFill>
              <a:effectLst/>
              <a:latin typeface="+mn-lt"/>
              <a:ea typeface="+mn-ea"/>
              <a:cs typeface="+mn-cs"/>
            </a:rPr>
            <a:t>otsikolla </a:t>
          </a:r>
          <a:r>
            <a:rPr lang="fi-FI" sz="1100" b="1" baseline="0">
              <a:solidFill>
                <a:schemeClr val="dk1"/>
              </a:solidFill>
              <a:effectLst/>
              <a:latin typeface="+mn-lt"/>
              <a:ea typeface="+mn-ea"/>
              <a:cs typeface="+mn-cs"/>
            </a:rPr>
            <a:t>"VUOSITILASTO + kunnan nimi"  tai kirjoita lisäselvitys tiedonsiirron yhteyteen</a:t>
          </a:r>
          <a:endParaRPr lang="fi-FI">
            <a:effectLst/>
          </a:endParaRPr>
        </a:p>
        <a:p>
          <a:endParaRPr lang="fi-FI" sz="1100"/>
        </a:p>
      </xdr:txBody>
    </xdr:sp>
    <xdr:clientData fPrintsWithSheet="0"/>
  </xdr:twoCellAnchor>
  <xdr:twoCellAnchor>
    <xdr:from>
      <xdr:col>10</xdr:col>
      <xdr:colOff>208492</xdr:colOff>
      <xdr:row>94</xdr:row>
      <xdr:rowOff>152399</xdr:rowOff>
    </xdr:from>
    <xdr:to>
      <xdr:col>17</xdr:col>
      <xdr:colOff>466294</xdr:colOff>
      <xdr:row>125</xdr:row>
      <xdr:rowOff>66675</xdr:rowOff>
    </xdr:to>
    <mc:AlternateContent xmlns:mc="http://schemas.openxmlformats.org/markup-compatibility/2006">
      <mc:Choice xmlns:cx1="http://schemas.microsoft.com/office/drawing/2015/9/8/chartex" Requires="cx1">
        <xdr:graphicFrame macro="">
          <xdr:nvGraphicFramePr>
            <xdr:cNvPr id="8" name="Kaavio 7">
              <a:extLst>
                <a:ext uri="{FF2B5EF4-FFF2-40B4-BE49-F238E27FC236}">
                  <a16:creationId xmlns:a16="http://schemas.microsoft.com/office/drawing/2014/main" id="{A4EE3064-B363-4A8B-9B93-9755DDBD96D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1047942" y="21326474"/>
              <a:ext cx="5001252" cy="6000751"/>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90956</xdr:colOff>
      <xdr:row>143</xdr:row>
      <xdr:rowOff>12885</xdr:rowOff>
    </xdr:from>
    <xdr:to>
      <xdr:col>14</xdr:col>
      <xdr:colOff>504762</xdr:colOff>
      <xdr:row>177</xdr:row>
      <xdr:rowOff>69787</xdr:rowOff>
    </xdr:to>
    <mc:AlternateContent xmlns:mc="http://schemas.openxmlformats.org/markup-compatibility/2006">
      <mc:Choice xmlns:cx1="http://schemas.microsoft.com/office/drawing/2015/9/8/chartex" Requires="cx1">
        <xdr:graphicFrame macro="">
          <xdr:nvGraphicFramePr>
            <xdr:cNvPr id="6" name="Kaavio 5">
              <a:extLst>
                <a:ext uri="{FF2B5EF4-FFF2-40B4-BE49-F238E27FC236}">
                  <a16:creationId xmlns:a16="http://schemas.microsoft.com/office/drawing/2014/main" id="{06F1682E-78F5-4BFC-96C9-CF7BB83B259A}"/>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7691906" y="30911985"/>
              <a:ext cx="6128806" cy="6648202"/>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95250</xdr:colOff>
      <xdr:row>181</xdr:row>
      <xdr:rowOff>57150</xdr:rowOff>
    </xdr:from>
    <xdr:to>
      <xdr:col>12</xdr:col>
      <xdr:colOff>571500</xdr:colOff>
      <xdr:row>203</xdr:row>
      <xdr:rowOff>21167</xdr:rowOff>
    </xdr:to>
    <mc:AlternateContent xmlns:mc="http://schemas.openxmlformats.org/markup-compatibility/2006">
      <mc:Choice xmlns:cx1="http://schemas.microsoft.com/office/drawing/2015/9/8/chartex" Requires="cx1">
        <xdr:graphicFrame macro="">
          <xdr:nvGraphicFramePr>
            <xdr:cNvPr id="7" name="Kaavio 6">
              <a:extLst>
                <a:ext uri="{FF2B5EF4-FFF2-40B4-BE49-F238E27FC236}">
                  <a16:creationId xmlns:a16="http://schemas.microsoft.com/office/drawing/2014/main" id="{28B725A9-B47C-4FDA-8629-10C6EF3D6B3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7696200" y="38490525"/>
              <a:ext cx="4933950" cy="4335992"/>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74084</xdr:colOff>
      <xdr:row>205</xdr:row>
      <xdr:rowOff>173565</xdr:rowOff>
    </xdr:from>
    <xdr:to>
      <xdr:col>12</xdr:col>
      <xdr:colOff>560917</xdr:colOff>
      <xdr:row>227</xdr:row>
      <xdr:rowOff>10582</xdr:rowOff>
    </xdr:to>
    <mc:AlternateContent xmlns:mc="http://schemas.openxmlformats.org/markup-compatibility/2006">
      <mc:Choice xmlns:cx1="http://schemas.microsoft.com/office/drawing/2015/9/8/chartex" Requires="cx1">
        <xdr:graphicFrame macro="">
          <xdr:nvGraphicFramePr>
            <xdr:cNvPr id="9" name="Kaavio 8">
              <a:extLst>
                <a:ext uri="{FF2B5EF4-FFF2-40B4-BE49-F238E27FC236}">
                  <a16:creationId xmlns:a16="http://schemas.microsoft.com/office/drawing/2014/main" id="{0BDC7634-C42D-40F8-A649-C770E26DBB9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5"/>
            </a:graphicData>
          </a:graphic>
        </xdr:graphicFrame>
      </mc:Choice>
      <mc:Fallback>
        <xdr:sp macro="" textlink="">
          <xdr:nvSpPr>
            <xdr:cNvPr id="0" name=""/>
            <xdr:cNvSpPr>
              <a:spLocks noTextEdit="1"/>
            </xdr:cNvSpPr>
          </xdr:nvSpPr>
          <xdr:spPr>
            <a:xfrm>
              <a:off x="7675034" y="43559940"/>
              <a:ext cx="4944533" cy="4189942"/>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42333</xdr:colOff>
      <xdr:row>14</xdr:row>
      <xdr:rowOff>381000</xdr:rowOff>
    </xdr:from>
    <xdr:to>
      <xdr:col>9</xdr:col>
      <xdr:colOff>169333</xdr:colOff>
      <xdr:row>23</xdr:row>
      <xdr:rowOff>171450</xdr:rowOff>
    </xdr:to>
    <xdr:graphicFrame macro="">
      <xdr:nvGraphicFramePr>
        <xdr:cNvPr id="11" name="Kaavio 10">
          <a:extLst>
            <a:ext uri="{FF2B5EF4-FFF2-40B4-BE49-F238E27FC236}">
              <a16:creationId xmlns:a16="http://schemas.microsoft.com/office/drawing/2014/main" id="{CE9434D1-9A42-4169-A740-C599AE310D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197909</xdr:colOff>
      <xdr:row>14</xdr:row>
      <xdr:rowOff>381000</xdr:rowOff>
    </xdr:from>
    <xdr:to>
      <xdr:col>12</xdr:col>
      <xdr:colOff>487892</xdr:colOff>
      <xdr:row>26</xdr:row>
      <xdr:rowOff>114300</xdr:rowOff>
    </xdr:to>
    <xdr:graphicFrame macro="">
      <xdr:nvGraphicFramePr>
        <xdr:cNvPr id="12" name="Kaavio 11">
          <a:extLst>
            <a:ext uri="{FF2B5EF4-FFF2-40B4-BE49-F238E27FC236}">
              <a16:creationId xmlns:a16="http://schemas.microsoft.com/office/drawing/2014/main" id="{4E298135-2C29-4342-8709-8613BD5CB1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13758</xdr:colOff>
      <xdr:row>34</xdr:row>
      <xdr:rowOff>28574</xdr:rowOff>
    </xdr:from>
    <xdr:to>
      <xdr:col>9</xdr:col>
      <xdr:colOff>140758</xdr:colOff>
      <xdr:row>42</xdr:row>
      <xdr:rowOff>152399</xdr:rowOff>
    </xdr:to>
    <xdr:graphicFrame macro="">
      <xdr:nvGraphicFramePr>
        <xdr:cNvPr id="17" name="Kaavio 16">
          <a:extLst>
            <a:ext uri="{FF2B5EF4-FFF2-40B4-BE49-F238E27FC236}">
              <a16:creationId xmlns:a16="http://schemas.microsoft.com/office/drawing/2014/main" id="{2D871AFA-930A-4B34-BCBE-A07AC35B69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197909</xdr:colOff>
      <xdr:row>34</xdr:row>
      <xdr:rowOff>19049</xdr:rowOff>
    </xdr:from>
    <xdr:to>
      <xdr:col>12</xdr:col>
      <xdr:colOff>487892</xdr:colOff>
      <xdr:row>45</xdr:row>
      <xdr:rowOff>123824</xdr:rowOff>
    </xdr:to>
    <xdr:graphicFrame macro="">
      <xdr:nvGraphicFramePr>
        <xdr:cNvPr id="18" name="Kaavio 17">
          <a:extLst>
            <a:ext uri="{FF2B5EF4-FFF2-40B4-BE49-F238E27FC236}">
              <a16:creationId xmlns:a16="http://schemas.microsoft.com/office/drawing/2014/main" id="{8AC99058-2274-4A87-AC43-3CAAEFF8E8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32808</xdr:colOff>
      <xdr:row>55</xdr:row>
      <xdr:rowOff>0</xdr:rowOff>
    </xdr:from>
    <xdr:to>
      <xdr:col>9</xdr:col>
      <xdr:colOff>159808</xdr:colOff>
      <xdr:row>63</xdr:row>
      <xdr:rowOff>171450</xdr:rowOff>
    </xdr:to>
    <xdr:graphicFrame macro="">
      <xdr:nvGraphicFramePr>
        <xdr:cNvPr id="19" name="Kaavio 18">
          <a:extLst>
            <a:ext uri="{FF2B5EF4-FFF2-40B4-BE49-F238E27FC236}">
              <a16:creationId xmlns:a16="http://schemas.microsoft.com/office/drawing/2014/main" id="{2D162F9C-CB0C-438A-A59A-D8E20F264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197909</xdr:colOff>
      <xdr:row>54</xdr:row>
      <xdr:rowOff>371475</xdr:rowOff>
    </xdr:from>
    <xdr:to>
      <xdr:col>12</xdr:col>
      <xdr:colOff>487892</xdr:colOff>
      <xdr:row>66</xdr:row>
      <xdr:rowOff>161925</xdr:rowOff>
    </xdr:to>
    <xdr:graphicFrame macro="">
      <xdr:nvGraphicFramePr>
        <xdr:cNvPr id="20" name="Kaavio 19">
          <a:extLst>
            <a:ext uri="{FF2B5EF4-FFF2-40B4-BE49-F238E27FC236}">
              <a16:creationId xmlns:a16="http://schemas.microsoft.com/office/drawing/2014/main" id="{0A6E9330-104D-4020-8B48-C682283416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xdr:col>
      <xdr:colOff>47624</xdr:colOff>
      <xdr:row>24</xdr:row>
      <xdr:rowOff>19050</xdr:rowOff>
    </xdr:from>
    <xdr:to>
      <xdr:col>9</xdr:col>
      <xdr:colOff>161924</xdr:colOff>
      <xdr:row>30</xdr:row>
      <xdr:rowOff>180976</xdr:rowOff>
    </xdr:to>
    <xdr:graphicFrame macro="">
      <xdr:nvGraphicFramePr>
        <xdr:cNvPr id="21" name="Kaavio 20">
          <a:extLst>
            <a:ext uri="{FF2B5EF4-FFF2-40B4-BE49-F238E27FC236}">
              <a16:creationId xmlns:a16="http://schemas.microsoft.com/office/drawing/2014/main" id="{2E54A1A5-CE1E-474E-B8A2-F9690D6EF8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47624</xdr:colOff>
      <xdr:row>43</xdr:row>
      <xdr:rowOff>9525</xdr:rowOff>
    </xdr:from>
    <xdr:to>
      <xdr:col>9</xdr:col>
      <xdr:colOff>161924</xdr:colOff>
      <xdr:row>51</xdr:row>
      <xdr:rowOff>171451</xdr:rowOff>
    </xdr:to>
    <xdr:graphicFrame macro="">
      <xdr:nvGraphicFramePr>
        <xdr:cNvPr id="24" name="Kaavio 23">
          <a:extLst>
            <a:ext uri="{FF2B5EF4-FFF2-40B4-BE49-F238E27FC236}">
              <a16:creationId xmlns:a16="http://schemas.microsoft.com/office/drawing/2014/main" id="{FAA4D610-5F2B-4BDE-97CA-E2BBAE8436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xdr:col>
      <xdr:colOff>38100</xdr:colOff>
      <xdr:row>64</xdr:row>
      <xdr:rowOff>0</xdr:rowOff>
    </xdr:from>
    <xdr:to>
      <xdr:col>9</xdr:col>
      <xdr:colOff>161925</xdr:colOff>
      <xdr:row>73</xdr:row>
      <xdr:rowOff>152399</xdr:rowOff>
    </xdr:to>
    <xdr:graphicFrame macro="">
      <xdr:nvGraphicFramePr>
        <xdr:cNvPr id="27" name="Kaavio 26">
          <a:extLst>
            <a:ext uri="{FF2B5EF4-FFF2-40B4-BE49-F238E27FC236}">
              <a16:creationId xmlns:a16="http://schemas.microsoft.com/office/drawing/2014/main" id="{24BA9989-B58D-4FA3-8874-6F1E51876E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xdr:col>
      <xdr:colOff>42333</xdr:colOff>
      <xdr:row>77</xdr:row>
      <xdr:rowOff>47624</xdr:rowOff>
    </xdr:from>
    <xdr:to>
      <xdr:col>9</xdr:col>
      <xdr:colOff>169333</xdr:colOff>
      <xdr:row>85</xdr:row>
      <xdr:rowOff>152399</xdr:rowOff>
    </xdr:to>
    <xdr:graphicFrame macro="">
      <xdr:nvGraphicFramePr>
        <xdr:cNvPr id="29" name="Kaavio 28">
          <a:extLst>
            <a:ext uri="{FF2B5EF4-FFF2-40B4-BE49-F238E27FC236}">
              <a16:creationId xmlns:a16="http://schemas.microsoft.com/office/drawing/2014/main" id="{2BB2D146-2B9E-44D1-A98B-C259D1D45E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197909</xdr:colOff>
      <xdr:row>77</xdr:row>
      <xdr:rowOff>57150</xdr:rowOff>
    </xdr:from>
    <xdr:to>
      <xdr:col>12</xdr:col>
      <xdr:colOff>487892</xdr:colOff>
      <xdr:row>88</xdr:row>
      <xdr:rowOff>114299</xdr:rowOff>
    </xdr:to>
    <xdr:graphicFrame macro="">
      <xdr:nvGraphicFramePr>
        <xdr:cNvPr id="30" name="Kaavio 29">
          <a:extLst>
            <a:ext uri="{FF2B5EF4-FFF2-40B4-BE49-F238E27FC236}">
              <a16:creationId xmlns:a16="http://schemas.microsoft.com/office/drawing/2014/main" id="{6C6A3C31-70AD-4302-BDE0-015F1C5D05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6</xdr:col>
      <xdr:colOff>47624</xdr:colOff>
      <xdr:row>86</xdr:row>
      <xdr:rowOff>9525</xdr:rowOff>
    </xdr:from>
    <xdr:to>
      <xdr:col>9</xdr:col>
      <xdr:colOff>161924</xdr:colOff>
      <xdr:row>92</xdr:row>
      <xdr:rowOff>171451</xdr:rowOff>
    </xdr:to>
    <xdr:graphicFrame macro="">
      <xdr:nvGraphicFramePr>
        <xdr:cNvPr id="31" name="Kaavio 30">
          <a:extLst>
            <a:ext uri="{FF2B5EF4-FFF2-40B4-BE49-F238E27FC236}">
              <a16:creationId xmlns:a16="http://schemas.microsoft.com/office/drawing/2014/main" id="{0B9DC553-9A18-429C-961B-F89D213786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6</xdr:col>
      <xdr:colOff>52387</xdr:colOff>
      <xdr:row>291</xdr:row>
      <xdr:rowOff>9525</xdr:rowOff>
    </xdr:from>
    <xdr:to>
      <xdr:col>12</xdr:col>
      <xdr:colOff>523875</xdr:colOff>
      <xdr:row>302</xdr:row>
      <xdr:rowOff>133350</xdr:rowOff>
    </xdr:to>
    <xdr:graphicFrame macro="">
      <xdr:nvGraphicFramePr>
        <xdr:cNvPr id="36" name="Kaavio 35">
          <a:extLst>
            <a:ext uri="{FF2B5EF4-FFF2-40B4-BE49-F238E27FC236}">
              <a16:creationId xmlns:a16="http://schemas.microsoft.com/office/drawing/2014/main" id="{C92C6B8B-DCB2-485B-BCB3-4C1A653DCC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6</xdr:col>
      <xdr:colOff>38100</xdr:colOff>
      <xdr:row>303</xdr:row>
      <xdr:rowOff>400051</xdr:rowOff>
    </xdr:from>
    <xdr:to>
      <xdr:col>9</xdr:col>
      <xdr:colOff>165100</xdr:colOff>
      <xdr:row>313</xdr:row>
      <xdr:rowOff>141816</xdr:rowOff>
    </xdr:to>
    <xdr:graphicFrame macro="">
      <xdr:nvGraphicFramePr>
        <xdr:cNvPr id="38" name="Kaavio 37">
          <a:extLst>
            <a:ext uri="{FF2B5EF4-FFF2-40B4-BE49-F238E27FC236}">
              <a16:creationId xmlns:a16="http://schemas.microsoft.com/office/drawing/2014/main" id="{B46E5F42-4C64-4A11-AEB5-9B1CE61E83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231776</xdr:colOff>
      <xdr:row>303</xdr:row>
      <xdr:rowOff>400050</xdr:rowOff>
    </xdr:from>
    <xdr:to>
      <xdr:col>12</xdr:col>
      <xdr:colOff>521759</xdr:colOff>
      <xdr:row>313</xdr:row>
      <xdr:rowOff>133351</xdr:rowOff>
    </xdr:to>
    <xdr:graphicFrame macro="">
      <xdr:nvGraphicFramePr>
        <xdr:cNvPr id="39" name="Kaavio 38">
          <a:extLst>
            <a:ext uri="{FF2B5EF4-FFF2-40B4-BE49-F238E27FC236}">
              <a16:creationId xmlns:a16="http://schemas.microsoft.com/office/drawing/2014/main" id="{CB33FD2E-2D12-47E4-8DCC-E105DF8A96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6</xdr:col>
      <xdr:colOff>59531</xdr:colOff>
      <xdr:row>230</xdr:row>
      <xdr:rowOff>289320</xdr:rowOff>
    </xdr:from>
    <xdr:to>
      <xdr:col>12</xdr:col>
      <xdr:colOff>547687</xdr:colOff>
      <xdr:row>247</xdr:row>
      <xdr:rowOff>178594</xdr:rowOff>
    </xdr:to>
    <mc:AlternateContent xmlns:mc="http://schemas.openxmlformats.org/markup-compatibility/2006">
      <mc:Choice xmlns:cx1="http://schemas.microsoft.com/office/drawing/2015/9/8/chartex" Requires="cx1">
        <xdr:graphicFrame macro="">
          <xdr:nvGraphicFramePr>
            <xdr:cNvPr id="3" name="Kaavio 2">
              <a:extLst>
                <a:ext uri="{FF2B5EF4-FFF2-40B4-BE49-F238E27FC236}">
                  <a16:creationId xmlns:a16="http://schemas.microsoft.com/office/drawing/2014/main" id="{71168F6F-8E7D-4DBE-8B21-22960403DED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1"/>
            </a:graphicData>
          </a:graphic>
        </xdr:graphicFrame>
      </mc:Choice>
      <mc:Fallback>
        <xdr:sp macro="" textlink="">
          <xdr:nvSpPr>
            <xdr:cNvPr id="0" name=""/>
            <xdr:cNvSpPr>
              <a:spLocks noTextEdit="1"/>
            </xdr:cNvSpPr>
          </xdr:nvSpPr>
          <xdr:spPr>
            <a:xfrm>
              <a:off x="7660481" y="48857295"/>
              <a:ext cx="4945856" cy="3423049"/>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83343</xdr:colOff>
      <xdr:row>250</xdr:row>
      <xdr:rowOff>313133</xdr:rowOff>
    </xdr:from>
    <xdr:to>
      <xdr:col>12</xdr:col>
      <xdr:colOff>559593</xdr:colOff>
      <xdr:row>269</xdr:row>
      <xdr:rowOff>190498</xdr:rowOff>
    </xdr:to>
    <mc:AlternateContent xmlns:mc="http://schemas.openxmlformats.org/markup-compatibility/2006">
      <mc:Choice xmlns:cx1="http://schemas.microsoft.com/office/drawing/2015/9/8/chartex" Requires="cx1">
        <xdr:graphicFrame macro="">
          <xdr:nvGraphicFramePr>
            <xdr:cNvPr id="4" name="Kaavio 3">
              <a:extLst>
                <a:ext uri="{FF2B5EF4-FFF2-40B4-BE49-F238E27FC236}">
                  <a16:creationId xmlns:a16="http://schemas.microsoft.com/office/drawing/2014/main" id="{D42C79AA-FD5F-4D38-B7A1-995CB63D074B}"/>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2"/>
            </a:graphicData>
          </a:graphic>
        </xdr:graphicFrame>
      </mc:Choice>
      <mc:Fallback>
        <xdr:sp macro="" textlink="">
          <xdr:nvSpPr>
            <xdr:cNvPr id="0" name=""/>
            <xdr:cNvSpPr>
              <a:spLocks noTextEdit="1"/>
            </xdr:cNvSpPr>
          </xdr:nvSpPr>
          <xdr:spPr>
            <a:xfrm>
              <a:off x="7684293" y="53148308"/>
              <a:ext cx="4933950" cy="3858815"/>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101201</xdr:colOff>
      <xdr:row>272</xdr:row>
      <xdr:rowOff>277413</xdr:rowOff>
    </xdr:from>
    <xdr:to>
      <xdr:col>12</xdr:col>
      <xdr:colOff>571499</xdr:colOff>
      <xdr:row>289</xdr:row>
      <xdr:rowOff>47623</xdr:rowOff>
    </xdr:to>
    <mc:AlternateContent xmlns:mc="http://schemas.openxmlformats.org/markup-compatibility/2006">
      <mc:Choice xmlns:cx1="http://schemas.microsoft.com/office/drawing/2015/9/8/chartex" Requires="cx1">
        <xdr:graphicFrame macro="">
          <xdr:nvGraphicFramePr>
            <xdr:cNvPr id="5" name="Kaavio 4">
              <a:extLst>
                <a:ext uri="{FF2B5EF4-FFF2-40B4-BE49-F238E27FC236}">
                  <a16:creationId xmlns:a16="http://schemas.microsoft.com/office/drawing/2014/main" id="{E162DA46-916C-4917-90E6-B708DC0F24F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3"/>
            </a:graphicData>
          </a:graphic>
        </xdr:graphicFrame>
      </mc:Choice>
      <mc:Fallback>
        <xdr:sp macro="" textlink="">
          <xdr:nvSpPr>
            <xdr:cNvPr id="0" name=""/>
            <xdr:cNvSpPr>
              <a:spLocks noTextEdit="1"/>
            </xdr:cNvSpPr>
          </xdr:nvSpPr>
          <xdr:spPr>
            <a:xfrm>
              <a:off x="7702151" y="57836988"/>
              <a:ext cx="4927998" cy="3418285"/>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5</xdr:col>
      <xdr:colOff>710323</xdr:colOff>
      <xdr:row>317</xdr:row>
      <xdr:rowOff>49557</xdr:rowOff>
    </xdr:from>
    <xdr:to>
      <xdr:col>11</xdr:col>
      <xdr:colOff>552449</xdr:colOff>
      <xdr:row>374</xdr:row>
      <xdr:rowOff>92895</xdr:rowOff>
    </xdr:to>
    <xdr:graphicFrame macro="">
      <xdr:nvGraphicFramePr>
        <xdr:cNvPr id="13" name="Kaavio 12">
          <a:extLst>
            <a:ext uri="{FF2B5EF4-FFF2-40B4-BE49-F238E27FC236}">
              <a16:creationId xmlns:a16="http://schemas.microsoft.com/office/drawing/2014/main" id="{54E0110E-E441-4250-A2A6-49BE15691A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217956</xdr:colOff>
      <xdr:row>125</xdr:row>
      <xdr:rowOff>137161</xdr:rowOff>
    </xdr:from>
    <xdr:to>
      <xdr:col>17</xdr:col>
      <xdr:colOff>504826</xdr:colOff>
      <xdr:row>140</xdr:row>
      <xdr:rowOff>99061</xdr:rowOff>
    </xdr:to>
    <xdr:graphicFrame macro="">
      <xdr:nvGraphicFramePr>
        <xdr:cNvPr id="10" name="Kaavio 9">
          <a:extLst>
            <a:ext uri="{FF2B5EF4-FFF2-40B4-BE49-F238E27FC236}">
              <a16:creationId xmlns:a16="http://schemas.microsoft.com/office/drawing/2014/main" id="{3558D421-916F-47FA-8F0A-9AFFBB7164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40482</xdr:colOff>
      <xdr:row>7</xdr:row>
      <xdr:rowOff>170974</xdr:rowOff>
    </xdr:from>
    <xdr:to>
      <xdr:col>0</xdr:col>
      <xdr:colOff>3108007</xdr:colOff>
      <xdr:row>43</xdr:row>
      <xdr:rowOff>105251</xdr:rowOff>
    </xdr:to>
    <xdr:sp macro="" textlink="">
      <xdr:nvSpPr>
        <xdr:cNvPr id="2" name="Tekstiruutu 1">
          <a:extLst>
            <a:ext uri="{FF2B5EF4-FFF2-40B4-BE49-F238E27FC236}">
              <a16:creationId xmlns:a16="http://schemas.microsoft.com/office/drawing/2014/main" id="{75352E12-D1BC-4D09-9381-B59F3C316EB0}"/>
            </a:ext>
          </a:extLst>
        </xdr:cNvPr>
        <xdr:cNvSpPr txBox="1"/>
      </xdr:nvSpPr>
      <xdr:spPr>
        <a:xfrm>
          <a:off x="40482" y="1571625"/>
          <a:ext cx="3059905" cy="6798469"/>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600" b="1"/>
            <a:t>Henkilöstö-sivun tiedot tarkistetaan aina tammikuussa! </a:t>
          </a:r>
        </a:p>
        <a:p>
          <a:endParaRPr lang="fi-FI" sz="1600" b="1"/>
        </a:p>
        <a:p>
          <a:r>
            <a:rPr lang="fi-FI" sz="1400" b="1">
              <a:solidFill>
                <a:schemeClr val="dk1"/>
              </a:solidFill>
              <a:effectLst/>
              <a:latin typeface="+mn-lt"/>
              <a:ea typeface="+mn-ea"/>
              <a:cs typeface="+mn-cs"/>
            </a:rPr>
            <a:t>Tämän sivun henkilöstötiedot luetaan virallisena raporttina vuodesta 2025.</a:t>
          </a:r>
          <a:endParaRPr lang="fi-FI" sz="2000">
            <a:effectLst/>
          </a:endParaRPr>
        </a:p>
        <a:p>
          <a:endParaRPr lang="fi-FI" sz="1100"/>
        </a:p>
        <a:p>
          <a:r>
            <a:rPr lang="fi-FI" sz="1100" b="1" baseline="0"/>
            <a:t>Tarkasta ja korjaa henkilöstön tiedot vähintään kerran vuodessa! </a:t>
          </a:r>
          <a:r>
            <a:rPr lang="fi-FI" sz="1100" baseline="0"/>
            <a:t>Tarvittaessa voit muokata tietoja tällä välilehdellä ennen PARKIN lähetystä. Ensisijaisesti tee korjaukset aina PAR-järjestelmään ja ota tilastot sitten uudestaan.</a:t>
          </a:r>
        </a:p>
        <a:p>
          <a:endParaRPr lang="fi-FI" sz="1100" baseline="0"/>
        </a:p>
        <a:p>
          <a:r>
            <a:rPr lang="fi-FI" sz="1100" b="1" baseline="0"/>
            <a:t>KAIKKI vuoden aikana työsuhteessa olleet etsivät nuorisotyöntekijät:</a:t>
          </a:r>
        </a:p>
        <a:p>
          <a:r>
            <a:rPr lang="fi-FI" sz="1100" b="1" baseline="0"/>
            <a:t>NIMI: </a:t>
          </a:r>
          <a:r>
            <a:rPr lang="fi-FI" sz="1100" baseline="0"/>
            <a:t>vain etsivät raportointivuodelta</a:t>
          </a:r>
        </a:p>
        <a:p>
          <a:r>
            <a:rPr lang="fi-FI" sz="1100" b="1" baseline="0"/>
            <a:t>TYÖSUHDE: </a:t>
          </a:r>
          <a:r>
            <a:rPr lang="fi-FI" sz="1100" baseline="0"/>
            <a:t>työsuhteen luonne</a:t>
          </a:r>
        </a:p>
        <a:p>
          <a:r>
            <a:rPr lang="fi-FI" sz="1100" b="1" baseline="0"/>
            <a:t>HTV: </a:t>
          </a:r>
          <a:r>
            <a:rPr lang="fi-FI" sz="1100" baseline="0"/>
            <a:t>Henkilötyövuodet raportointivuodelta</a:t>
          </a:r>
        </a:p>
        <a:p>
          <a:r>
            <a:rPr lang="fi-FI" sz="1100" b="1" baseline="0">
              <a:solidFill>
                <a:schemeClr val="accent2">
                  <a:lumMod val="75000"/>
                </a:schemeClr>
              </a:solidFill>
            </a:rPr>
            <a:t>HTV SELVITYS: </a:t>
          </a:r>
          <a:r>
            <a:rPr lang="fi-FI" sz="1100" baseline="0">
              <a:solidFill>
                <a:sysClr val="windowText" lastClr="000000"/>
              </a:solidFill>
            </a:rPr>
            <a:t>Muista kirjoittaa selvitys mikäli HTV on pienempi kuin 1</a:t>
          </a:r>
        </a:p>
        <a:p>
          <a:r>
            <a:rPr lang="fi-FI" sz="1100" b="1" baseline="0">
              <a:solidFill>
                <a:sysClr val="windowText" lastClr="000000"/>
              </a:solidFill>
            </a:rPr>
            <a:t>ALOITUS: </a:t>
          </a:r>
          <a:r>
            <a:rPr lang="fi-FI" sz="1100" baseline="0">
              <a:solidFill>
                <a:sysClr val="windowText" lastClr="000000"/>
              </a:solidFill>
            </a:rPr>
            <a:t>työsuhteen aloitusajankohta</a:t>
          </a:r>
        </a:p>
        <a:p>
          <a:r>
            <a:rPr lang="fi-FI" sz="1100" b="1" baseline="0">
              <a:solidFill>
                <a:sysClr val="windowText" lastClr="000000"/>
              </a:solidFill>
            </a:rPr>
            <a:t>PÄÄTTYMINEN: </a:t>
          </a:r>
          <a:r>
            <a:rPr lang="fi-FI" sz="1100" baseline="0">
              <a:solidFill>
                <a:sysClr val="windowText" lastClr="000000"/>
              </a:solidFill>
            </a:rPr>
            <a:t>jatkuu edelleen / päättymispäivä</a:t>
          </a:r>
        </a:p>
        <a:p>
          <a:r>
            <a:rPr lang="fi-FI" sz="1100" b="1" baseline="0">
              <a:solidFill>
                <a:sysClr val="windowText" lastClr="000000"/>
              </a:solidFill>
            </a:rPr>
            <a:t>KOKEMUS: </a:t>
          </a:r>
          <a:r>
            <a:rPr lang="fi-FI" sz="1100" baseline="0">
              <a:solidFill>
                <a:sysClr val="windowText" lastClr="000000"/>
              </a:solidFill>
            </a:rPr>
            <a:t>Työkokemus nuorten parissa tehtävästä työstä - huom. muista muuttaa vuosittain kun työkokemus kasvaa</a:t>
          </a:r>
        </a:p>
        <a:p>
          <a:r>
            <a:rPr lang="fi-FI" sz="1100" b="1" baseline="0">
              <a:solidFill>
                <a:sysClr val="windowText" lastClr="000000"/>
              </a:solidFill>
            </a:rPr>
            <a:t>KOULUTUSASTE: </a:t>
          </a:r>
          <a:r>
            <a:rPr lang="fi-FI" sz="1100" b="0" baseline="0">
              <a:solidFill>
                <a:sysClr val="windowText" lastClr="000000"/>
              </a:solidFill>
            </a:rPr>
            <a:t>Y</a:t>
          </a:r>
          <a:r>
            <a:rPr lang="fi-FI" sz="1100" baseline="0">
              <a:solidFill>
                <a:sysClr val="windowText" lastClr="000000"/>
              </a:solidFill>
            </a:rPr>
            <a:t>lin suoritettu koulutusaste</a:t>
          </a:r>
        </a:p>
        <a:p>
          <a:r>
            <a:rPr lang="fi-FI" sz="1100" b="1" baseline="0">
              <a:solidFill>
                <a:sysClr val="windowText" lastClr="000000"/>
              </a:solidFill>
            </a:rPr>
            <a:t>AMMATTINIMIKE: </a:t>
          </a:r>
          <a:r>
            <a:rPr lang="fi-FI" sz="1100" baseline="0">
              <a:solidFill>
                <a:sysClr val="windowText" lastClr="000000"/>
              </a:solidFill>
            </a:rPr>
            <a:t>Ammanimike, johon on valmistunut</a:t>
          </a:r>
        </a:p>
        <a:p>
          <a:r>
            <a:rPr lang="fi-FI" sz="1100" b="1" baseline="0">
              <a:solidFill>
                <a:sysClr val="windowText" lastClr="000000"/>
              </a:solidFill>
            </a:rPr>
            <a:t>KIELITAITO: </a:t>
          </a:r>
          <a:r>
            <a:rPr lang="fi-FI" sz="1100" baseline="0">
              <a:solidFill>
                <a:sysClr val="windowText" lastClr="000000"/>
              </a:solidFill>
            </a:rPr>
            <a:t>Valitse kyllä/ei</a:t>
          </a:r>
        </a:p>
        <a:p>
          <a:r>
            <a:rPr lang="fi-FI" sz="1100" b="1" baseline="0">
              <a:solidFill>
                <a:sysClr val="windowText" lastClr="000000"/>
              </a:solidFill>
            </a:rPr>
            <a:t>SUKUPUOLI: </a:t>
          </a:r>
          <a:r>
            <a:rPr lang="fi-FI" sz="1100" baseline="0">
              <a:solidFill>
                <a:sysClr val="windowText" lastClr="000000"/>
              </a:solidFill>
            </a:rPr>
            <a:t>Valitse nainen/mies</a:t>
          </a:r>
        </a:p>
        <a:p>
          <a:endParaRPr lang="fi-FI" sz="1100" baseline="0"/>
        </a:p>
        <a:p>
          <a:r>
            <a:rPr lang="fi-FI" sz="1100" b="1" baseline="0"/>
            <a:t>HUOM! Lisää mahdollisesti puuttuvan etsivän nimi ja poista ylimääräiset henkilöt tältä lehdeltä </a:t>
          </a:r>
          <a:r>
            <a:rPr lang="fi-FI" sz="1100" b="0" baseline="0"/>
            <a:t>(poista listasta esim. esimiehet, jotka eivät tee etsivää nuorisotyötä ja merkitse PAR-järjestelmiin jatkossa "ei tilastoida" heidän kohdalleen)</a:t>
          </a:r>
          <a:endParaRPr lang="fi-FI" sz="1400" b="0" baseline="0"/>
        </a:p>
      </xdr:txBody>
    </xdr:sp>
    <xdr:clientData fLocksWithSheet="0" fPrintsWithSheet="0"/>
  </xdr:twoCellAnchor>
  <xdr:twoCellAnchor editAs="absolute">
    <xdr:from>
      <xdr:col>0</xdr:col>
      <xdr:colOff>1885474</xdr:colOff>
      <xdr:row>0</xdr:row>
      <xdr:rowOff>39119</xdr:rowOff>
    </xdr:from>
    <xdr:to>
      <xdr:col>1</xdr:col>
      <xdr:colOff>2387237</xdr:colOff>
      <xdr:row>4</xdr:row>
      <xdr:rowOff>0</xdr:rowOff>
    </xdr:to>
    <xdr:sp macro="" textlink="">
      <xdr:nvSpPr>
        <xdr:cNvPr id="3" name="Tekstiruutu 2">
          <a:extLst>
            <a:ext uri="{FF2B5EF4-FFF2-40B4-BE49-F238E27FC236}">
              <a16:creationId xmlns:a16="http://schemas.microsoft.com/office/drawing/2014/main" id="{A7DEF10A-5C69-4D0D-B29C-5D385EE4013A}"/>
            </a:ext>
          </a:extLst>
        </xdr:cNvPr>
        <xdr:cNvSpPr txBox="1">
          <a:spLocks noChangeAspect="1"/>
        </xdr:cNvSpPr>
      </xdr:nvSpPr>
      <xdr:spPr>
        <a:xfrm>
          <a:off x="1893094" y="39119"/>
          <a:ext cx="3740263" cy="770506"/>
        </a:xfrm>
        <a:prstGeom prst="rect">
          <a:avLst/>
        </a:prstGeom>
        <a:solidFill>
          <a:schemeClr val="accent3">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200"/>
            <a:t>KUN</a:t>
          </a:r>
          <a:r>
            <a:rPr lang="fi-FI" sz="1200" baseline="0"/>
            <a:t> OLET TARKISTANUT JA MAHDOLLISESTI TÄYDENTÄNYT TIIETOJA (Par-järjestelmään ja/tai suoraan tähän Exceliin) </a:t>
          </a:r>
          <a:r>
            <a:rPr lang="fi-FI" sz="1200" b="1" u="sng" baseline="0"/>
            <a:t>NIIN VALITSE: </a:t>
          </a:r>
          <a:r>
            <a:rPr lang="fi-FI" sz="1200" baseline="0"/>
            <a:t>"Kyllä, tarkistettu"</a:t>
          </a:r>
          <a:endParaRPr lang="fi-FI" sz="1200"/>
        </a:p>
      </xdr:txBody>
    </xdr:sp>
    <xdr:clientData fLocksWithSheet="0" fPrintsWithSheet="0"/>
  </xdr:twoCellAnchor>
  <xdr:twoCellAnchor editAs="absolute">
    <xdr:from>
      <xdr:col>0</xdr:col>
      <xdr:colOff>2006237</xdr:colOff>
      <xdr:row>3</xdr:row>
      <xdr:rowOff>56606</xdr:rowOff>
    </xdr:from>
    <xdr:to>
      <xdr:col>0</xdr:col>
      <xdr:colOff>3174682</xdr:colOff>
      <xdr:row>5</xdr:row>
      <xdr:rowOff>21227</xdr:rowOff>
    </xdr:to>
    <xdr:sp macro="" textlink="">
      <xdr:nvSpPr>
        <xdr:cNvPr id="4" name="Nuoli: Alas 3">
          <a:extLst>
            <a:ext uri="{FF2B5EF4-FFF2-40B4-BE49-F238E27FC236}">
              <a16:creationId xmlns:a16="http://schemas.microsoft.com/office/drawing/2014/main" id="{89E63398-AD49-4001-814F-2D3FD8A366C4}"/>
            </a:ext>
          </a:extLst>
        </xdr:cNvPr>
        <xdr:cNvSpPr>
          <a:spLocks noChangeAspect="1"/>
        </xdr:cNvSpPr>
      </xdr:nvSpPr>
      <xdr:spPr>
        <a:xfrm>
          <a:off x="2013857" y="687161"/>
          <a:ext cx="1153205" cy="326571"/>
        </a:xfrm>
        <a:prstGeom prst="downArrow">
          <a:avLst/>
        </a:prstGeom>
        <a:solidFill>
          <a:schemeClr val="accent3">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59531</xdr:colOff>
      <xdr:row>62</xdr:row>
      <xdr:rowOff>114300</xdr:rowOff>
    </xdr:from>
    <xdr:to>
      <xdr:col>11</xdr:col>
      <xdr:colOff>440531</xdr:colOff>
      <xdr:row>71</xdr:row>
      <xdr:rowOff>0</xdr:rowOff>
    </xdr:to>
    <xdr:graphicFrame macro="">
      <xdr:nvGraphicFramePr>
        <xdr:cNvPr id="5" name="Kaavio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47625</xdr:colOff>
      <xdr:row>34</xdr:row>
      <xdr:rowOff>47625</xdr:rowOff>
    </xdr:from>
    <xdr:to>
      <xdr:col>11</xdr:col>
      <xdr:colOff>404813</xdr:colOff>
      <xdr:row>58</xdr:row>
      <xdr:rowOff>119062</xdr:rowOff>
    </xdr:to>
    <xdr:graphicFrame macro="">
      <xdr:nvGraphicFramePr>
        <xdr:cNvPr id="6" name="Kaavio 5">
          <a:extLst>
            <a:ext uri="{FF2B5EF4-FFF2-40B4-BE49-F238E27FC236}">
              <a16:creationId xmlns:a16="http://schemas.microsoft.com/office/drawing/2014/main" id="{4CFF2850-6E21-4817-942E-BF9774C007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5</xdr:col>
      <xdr:colOff>95728</xdr:colOff>
      <xdr:row>75</xdr:row>
      <xdr:rowOff>321468</xdr:rowOff>
    </xdr:from>
    <xdr:to>
      <xdr:col>11</xdr:col>
      <xdr:colOff>326232</xdr:colOff>
      <xdr:row>98</xdr:row>
      <xdr:rowOff>92868</xdr:rowOff>
    </xdr:to>
    <xdr:graphicFrame macro="">
      <xdr:nvGraphicFramePr>
        <xdr:cNvPr id="14" name="Kaavio 13">
          <a:extLst>
            <a:ext uri="{FF2B5EF4-FFF2-40B4-BE49-F238E27FC236}">
              <a16:creationId xmlns:a16="http://schemas.microsoft.com/office/drawing/2014/main" id="{AD5667AF-3561-4E45-91BE-A61B491CB8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6</xdr:col>
      <xdr:colOff>47625</xdr:colOff>
      <xdr:row>103</xdr:row>
      <xdr:rowOff>161925</xdr:rowOff>
    </xdr:from>
    <xdr:to>
      <xdr:col>11</xdr:col>
      <xdr:colOff>324802</xdr:colOff>
      <xdr:row>130</xdr:row>
      <xdr:rowOff>28575</xdr:rowOff>
    </xdr:to>
    <xdr:graphicFrame macro="">
      <xdr:nvGraphicFramePr>
        <xdr:cNvPr id="15" name="Kaavio 14">
          <a:extLst>
            <a:ext uri="{FF2B5EF4-FFF2-40B4-BE49-F238E27FC236}">
              <a16:creationId xmlns:a16="http://schemas.microsoft.com/office/drawing/2014/main" id="{114442E8-FA17-45F0-B761-5C54758B49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5</xdr:col>
      <xdr:colOff>514350</xdr:colOff>
      <xdr:row>133</xdr:row>
      <xdr:rowOff>83820</xdr:rowOff>
    </xdr:from>
    <xdr:to>
      <xdr:col>11</xdr:col>
      <xdr:colOff>322897</xdr:colOff>
      <xdr:row>152</xdr:row>
      <xdr:rowOff>151923</xdr:rowOff>
    </xdr:to>
    <xdr:graphicFrame macro="">
      <xdr:nvGraphicFramePr>
        <xdr:cNvPr id="16" name="Kaavio 15">
          <a:extLst>
            <a:ext uri="{FF2B5EF4-FFF2-40B4-BE49-F238E27FC236}">
              <a16:creationId xmlns:a16="http://schemas.microsoft.com/office/drawing/2014/main" id="{7F4BCF1A-0C4D-4C55-9F38-6952DDF800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595312</xdr:colOff>
      <xdr:row>12</xdr:row>
      <xdr:rowOff>440532</xdr:rowOff>
    </xdr:from>
    <xdr:to>
      <xdr:col>11</xdr:col>
      <xdr:colOff>440532</xdr:colOff>
      <xdr:row>19</xdr:row>
      <xdr:rowOff>152401</xdr:rowOff>
    </xdr:to>
    <xdr:graphicFrame macro="">
      <xdr:nvGraphicFramePr>
        <xdr:cNvPr id="4" name="Kaavio 3">
          <a:extLst>
            <a:ext uri="{FF2B5EF4-FFF2-40B4-BE49-F238E27FC236}">
              <a16:creationId xmlns:a16="http://schemas.microsoft.com/office/drawing/2014/main" id="{27024532-88B9-45AD-8FED-0C8B71AEE5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107155</xdr:colOff>
      <xdr:row>158</xdr:row>
      <xdr:rowOff>129284</xdr:rowOff>
    </xdr:from>
    <xdr:to>
      <xdr:col>3</xdr:col>
      <xdr:colOff>547687</xdr:colOff>
      <xdr:row>171</xdr:row>
      <xdr:rowOff>133349</xdr:rowOff>
    </xdr:to>
    <xdr:graphicFrame macro="">
      <xdr:nvGraphicFramePr>
        <xdr:cNvPr id="8" name="Kaavio 7">
          <a:extLst>
            <a:ext uri="{FF2B5EF4-FFF2-40B4-BE49-F238E27FC236}">
              <a16:creationId xmlns:a16="http://schemas.microsoft.com/office/drawing/2014/main" id="{87DD6FCF-B37F-4535-837E-99FA45ACD0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214311</xdr:colOff>
      <xdr:row>158</xdr:row>
      <xdr:rowOff>83343</xdr:rowOff>
    </xdr:from>
    <xdr:to>
      <xdr:col>11</xdr:col>
      <xdr:colOff>220266</xdr:colOff>
      <xdr:row>171</xdr:row>
      <xdr:rowOff>109537</xdr:rowOff>
    </xdr:to>
    <xdr:graphicFrame macro="">
      <xdr:nvGraphicFramePr>
        <xdr:cNvPr id="9" name="Kaavio 8">
          <a:extLst>
            <a:ext uri="{FF2B5EF4-FFF2-40B4-BE49-F238E27FC236}">
              <a16:creationId xmlns:a16="http://schemas.microsoft.com/office/drawing/2014/main" id="{17B86F47-91B4-4A98-B84D-4172B8745A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xdr:col>
      <xdr:colOff>285751</xdr:colOff>
      <xdr:row>0</xdr:row>
      <xdr:rowOff>16192</xdr:rowOff>
    </xdr:from>
    <xdr:to>
      <xdr:col>11</xdr:col>
      <xdr:colOff>459582</xdr:colOff>
      <xdr:row>10</xdr:row>
      <xdr:rowOff>137158</xdr:rowOff>
    </xdr:to>
    <xdr:sp macro="" textlink="">
      <xdr:nvSpPr>
        <xdr:cNvPr id="11" name="Tekstiruutu 10">
          <a:extLst>
            <a:ext uri="{FF2B5EF4-FFF2-40B4-BE49-F238E27FC236}">
              <a16:creationId xmlns:a16="http://schemas.microsoft.com/office/drawing/2014/main" id="{985160B2-14F7-4F2C-8D62-84FB304F3676}"/>
            </a:ext>
          </a:extLst>
        </xdr:cNvPr>
        <xdr:cNvSpPr txBox="1"/>
      </xdr:nvSpPr>
      <xdr:spPr>
        <a:xfrm>
          <a:off x="4726782" y="23812"/>
          <a:ext cx="5662613" cy="2047874"/>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fi-FI" sz="1100" b="1"/>
            <a:t>HUOM! Kun hakuaikaa</a:t>
          </a:r>
          <a:r>
            <a:rPr lang="fi-FI" sz="1100" b="1" baseline="0"/>
            <a:t> muutetaan niin se vaihtuu kaikkiin taulukoihin. </a:t>
          </a:r>
        </a:p>
        <a:p>
          <a:pPr algn="ctr"/>
          <a:r>
            <a:rPr lang="fi-FI" sz="1100" b="1" baseline="0"/>
            <a:t>Kaavojen päivittäminen kestää hetken!</a:t>
          </a:r>
        </a:p>
        <a:p>
          <a:pPr algn="ctr"/>
          <a:endParaRPr lang="fi-FI" sz="1100" b="1" baseline="0"/>
        </a:p>
        <a:p>
          <a:pPr algn="ctr"/>
          <a:r>
            <a:rPr lang="fi-FI" sz="1100" b="1" baseline="0">
              <a:solidFill>
                <a:srgbClr val="7030A0"/>
              </a:solidFill>
            </a:rPr>
            <a:t>Muut arvot voidaan vaihtaa sivukohtaisesti!</a:t>
          </a:r>
        </a:p>
        <a:p>
          <a:endParaRPr lang="fi-FI" sz="1100" b="1" baseline="0">
            <a:solidFill>
              <a:srgbClr val="7030A0"/>
            </a:solidFill>
          </a:endParaRPr>
        </a:p>
        <a:p>
          <a:r>
            <a:rPr lang="fi-FI" sz="1100" b="1" baseline="0">
              <a:solidFill>
                <a:schemeClr val="dk1"/>
              </a:solidFill>
              <a:effectLst/>
              <a:latin typeface="+mn-lt"/>
              <a:ea typeface="+mn-ea"/>
              <a:cs typeface="+mn-cs"/>
            </a:rPr>
            <a:t>HUOM! </a:t>
          </a:r>
          <a:r>
            <a:rPr lang="fi-FI" sz="1100" b="0" baseline="0">
              <a:solidFill>
                <a:schemeClr val="dk1"/>
              </a:solidFill>
              <a:effectLst/>
              <a:latin typeface="+mn-lt"/>
              <a:ea typeface="+mn-ea"/>
              <a:cs typeface="+mn-cs"/>
            </a:rPr>
            <a:t>Kun</a:t>
          </a:r>
          <a:r>
            <a:rPr lang="fi-FI" sz="1100" baseline="0">
              <a:solidFill>
                <a:schemeClr val="dk1"/>
              </a:solidFill>
              <a:effectLst/>
              <a:latin typeface="+mn-lt"/>
              <a:ea typeface="+mn-ea"/>
              <a:cs typeface="+mn-cs"/>
            </a:rPr>
            <a:t> tarkistelet lukuja aikaisemmille vuosille niin huomaathan, että tilasto on aina tilannekuva, joka muuttuu asiakasprosessin myötä.</a:t>
          </a:r>
        </a:p>
        <a:p>
          <a:endParaRPr lang="fi-FI">
            <a:effectLst/>
          </a:endParaRPr>
        </a:p>
        <a:p>
          <a:r>
            <a:rPr lang="fi-FI" sz="1100" b="1">
              <a:solidFill>
                <a:schemeClr val="dk1"/>
              </a:solidFill>
              <a:effectLst/>
              <a:latin typeface="+mn-lt"/>
              <a:ea typeface="+mn-ea"/>
              <a:cs typeface="+mn-cs"/>
            </a:rPr>
            <a:t>Parkkiin haetaan aina KAIKKI tiedot</a:t>
          </a:r>
          <a:r>
            <a:rPr lang="fi-FI" sz="1100" b="1" baseline="0">
              <a:solidFill>
                <a:schemeClr val="dk1"/>
              </a:solidFill>
              <a:effectLst/>
              <a:latin typeface="+mn-lt"/>
              <a:ea typeface="+mn-ea"/>
              <a:cs typeface="+mn-cs"/>
            </a:rPr>
            <a:t>: </a:t>
          </a:r>
          <a:r>
            <a:rPr lang="fi-FI" sz="1100" baseline="0">
              <a:solidFill>
                <a:schemeClr val="dk1"/>
              </a:solidFill>
              <a:effectLst/>
              <a:latin typeface="+mn-lt"/>
              <a:ea typeface="+mn-ea"/>
              <a:cs typeface="+mn-cs"/>
            </a:rPr>
            <a:t>kunnat, asiakkuudet ja toimenpiteet. Voit kuitenkin suodattaa tietoja myös tällä sivulla omiin tarpeisiisi haluamallasi tavalla muuttamalla hakuarvoja - myös hakuaikaa.</a:t>
          </a:r>
          <a:endParaRPr lang="fi-FI">
            <a:effectLst/>
          </a:endParaRPr>
        </a:p>
        <a:p>
          <a:pPr algn="ctr"/>
          <a:endParaRPr lang="fi-FI" sz="1100" b="1">
            <a:solidFill>
              <a:srgbClr val="7030A0"/>
            </a:solidFill>
          </a:endParaRPr>
        </a:p>
      </xdr:txBody>
    </xdr:sp>
    <xdr:clientData fPrintsWithSheet="0"/>
  </xdr:twoCellAnchor>
  <xdr:twoCellAnchor>
    <xdr:from>
      <xdr:col>5</xdr:col>
      <xdr:colOff>590550</xdr:colOff>
      <xdr:row>22</xdr:row>
      <xdr:rowOff>485775</xdr:rowOff>
    </xdr:from>
    <xdr:to>
      <xdr:col>11</xdr:col>
      <xdr:colOff>435770</xdr:colOff>
      <xdr:row>29</xdr:row>
      <xdr:rowOff>121444</xdr:rowOff>
    </xdr:to>
    <xdr:graphicFrame macro="">
      <xdr:nvGraphicFramePr>
        <xdr:cNvPr id="12" name="Kaavio 11">
          <a:extLst>
            <a:ext uri="{FF2B5EF4-FFF2-40B4-BE49-F238E27FC236}">
              <a16:creationId xmlns:a16="http://schemas.microsoft.com/office/drawing/2014/main" id="{3A3E609E-F9D4-44AB-B7C7-1E186BE6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75593</xdr:colOff>
      <xdr:row>67</xdr:row>
      <xdr:rowOff>38592</xdr:rowOff>
    </xdr:from>
    <xdr:to>
      <xdr:col>12</xdr:col>
      <xdr:colOff>585107</xdr:colOff>
      <xdr:row>89</xdr:row>
      <xdr:rowOff>122464</xdr:rowOff>
    </xdr:to>
    <xdr:graphicFrame macro="">
      <xdr:nvGraphicFramePr>
        <xdr:cNvPr id="5" name="Kaavio 4">
          <a:extLst>
            <a:ext uri="{FF2B5EF4-FFF2-40B4-BE49-F238E27FC236}">
              <a16:creationId xmlns:a16="http://schemas.microsoft.com/office/drawing/2014/main" id="{D7949C17-CD14-4AEA-93B0-04C6F14DB4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xdr:colOff>
      <xdr:row>95</xdr:row>
      <xdr:rowOff>114300</xdr:rowOff>
    </xdr:from>
    <xdr:to>
      <xdr:col>11</xdr:col>
      <xdr:colOff>440531</xdr:colOff>
      <xdr:row>103</xdr:row>
      <xdr:rowOff>0</xdr:rowOff>
    </xdr:to>
    <xdr:graphicFrame macro="">
      <xdr:nvGraphicFramePr>
        <xdr:cNvPr id="4" name="Kaavio 3">
          <a:extLst>
            <a:ext uri="{FF2B5EF4-FFF2-40B4-BE49-F238E27FC236}">
              <a16:creationId xmlns:a16="http://schemas.microsoft.com/office/drawing/2014/main" id="{FA4199BE-ACB5-4A2F-AF00-7F7AF8DB43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1154905</xdr:colOff>
      <xdr:row>41</xdr:row>
      <xdr:rowOff>92870</xdr:rowOff>
    </xdr:from>
    <xdr:to>
      <xdr:col>29</xdr:col>
      <xdr:colOff>500062</xdr:colOff>
      <xdr:row>44</xdr:row>
      <xdr:rowOff>11907</xdr:rowOff>
    </xdr:to>
    <xdr:sp macro="" textlink="">
      <xdr:nvSpPr>
        <xdr:cNvPr id="2" name="Tekstiruutu 1">
          <a:extLst>
            <a:ext uri="{FF2B5EF4-FFF2-40B4-BE49-F238E27FC236}">
              <a16:creationId xmlns:a16="http://schemas.microsoft.com/office/drawing/2014/main" id="{3271EDB0-43A1-4107-9CC5-E830B3AA84FF}"/>
            </a:ext>
          </a:extLst>
        </xdr:cNvPr>
        <xdr:cNvSpPr txBox="1"/>
      </xdr:nvSpPr>
      <xdr:spPr>
        <a:xfrm>
          <a:off x="20526374" y="7665245"/>
          <a:ext cx="3893344" cy="6810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Nt haetaan jaksoista ensimäinen ilmentymä, oli jakso mikä vain. Tsekkaa,</a:t>
          </a:r>
          <a:r>
            <a:rPr lang="fi-FI" sz="1100" baseline="0"/>
            <a:t> että tulisi aidosti eka ikinä tai hakuajalta</a:t>
          </a:r>
          <a:endParaRPr lang="fi-FI" sz="1100"/>
        </a:p>
      </xdr:txBody>
    </xdr:sp>
    <xdr:clientData/>
  </xdr:twoCellAnchor>
  <xdr:twoCellAnchor>
    <xdr:from>
      <xdr:col>6</xdr:col>
      <xdr:colOff>90487</xdr:colOff>
      <xdr:row>10</xdr:row>
      <xdr:rowOff>171450</xdr:rowOff>
    </xdr:from>
    <xdr:to>
      <xdr:col>12</xdr:col>
      <xdr:colOff>523875</xdr:colOff>
      <xdr:row>62</xdr:row>
      <xdr:rowOff>133350</xdr:rowOff>
    </xdr:to>
    <xdr:graphicFrame macro="">
      <xdr:nvGraphicFramePr>
        <xdr:cNvPr id="3" name="Kaavio 2">
          <a:extLst>
            <a:ext uri="{FF2B5EF4-FFF2-40B4-BE49-F238E27FC236}">
              <a16:creationId xmlns:a16="http://schemas.microsoft.com/office/drawing/2014/main" id="{2FD83EEE-C7CE-62EA-7EE0-0E1E8FA74C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6</xdr:col>
      <xdr:colOff>77389</xdr:colOff>
      <xdr:row>12</xdr:row>
      <xdr:rowOff>104774</xdr:rowOff>
    </xdr:from>
    <xdr:to>
      <xdr:col>6</xdr:col>
      <xdr:colOff>4649389</xdr:colOff>
      <xdr:row>28</xdr:row>
      <xdr:rowOff>163274</xdr:rowOff>
    </xdr:to>
    <xdr:graphicFrame macro="">
      <xdr:nvGraphicFramePr>
        <xdr:cNvPr id="3" name="Kaavio 2">
          <a:extLst>
            <a:ext uri="{FF2B5EF4-FFF2-40B4-BE49-F238E27FC236}">
              <a16:creationId xmlns:a16="http://schemas.microsoft.com/office/drawing/2014/main" id="{466B1503-A759-461C-B15E-EE7A2C2B29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113109</xdr:colOff>
      <xdr:row>33</xdr:row>
      <xdr:rowOff>116680</xdr:rowOff>
    </xdr:from>
    <xdr:to>
      <xdr:col>6</xdr:col>
      <xdr:colOff>4685109</xdr:colOff>
      <xdr:row>52</xdr:row>
      <xdr:rowOff>83344</xdr:rowOff>
    </xdr:to>
    <xdr:graphicFrame macro="">
      <xdr:nvGraphicFramePr>
        <xdr:cNvPr id="4" name="Kaavio 3">
          <a:extLst>
            <a:ext uri="{FF2B5EF4-FFF2-40B4-BE49-F238E27FC236}">
              <a16:creationId xmlns:a16="http://schemas.microsoft.com/office/drawing/2014/main" id="{EAD730EC-E4FF-4847-9D2E-92FFCF35C7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77390</xdr:colOff>
      <xdr:row>57</xdr:row>
      <xdr:rowOff>116682</xdr:rowOff>
    </xdr:from>
    <xdr:to>
      <xdr:col>6</xdr:col>
      <xdr:colOff>4649390</xdr:colOff>
      <xdr:row>72</xdr:row>
      <xdr:rowOff>107156</xdr:rowOff>
    </xdr:to>
    <xdr:graphicFrame macro="">
      <xdr:nvGraphicFramePr>
        <xdr:cNvPr id="5" name="Kaavio 4">
          <a:extLst>
            <a:ext uri="{FF2B5EF4-FFF2-40B4-BE49-F238E27FC236}">
              <a16:creationId xmlns:a16="http://schemas.microsoft.com/office/drawing/2014/main" id="{269001F2-C476-4726-B5D7-185904EAC6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65483</xdr:colOff>
      <xdr:row>79</xdr:row>
      <xdr:rowOff>140493</xdr:rowOff>
    </xdr:from>
    <xdr:to>
      <xdr:col>6</xdr:col>
      <xdr:colOff>4637483</xdr:colOff>
      <xdr:row>99</xdr:row>
      <xdr:rowOff>95250</xdr:rowOff>
    </xdr:to>
    <xdr:graphicFrame macro="">
      <xdr:nvGraphicFramePr>
        <xdr:cNvPr id="6" name="Kaavio 5">
          <a:extLst>
            <a:ext uri="{FF2B5EF4-FFF2-40B4-BE49-F238E27FC236}">
              <a16:creationId xmlns:a16="http://schemas.microsoft.com/office/drawing/2014/main" id="{26CEF346-97DB-48C1-8E58-03F6139937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89296</xdr:colOff>
      <xdr:row>105</xdr:row>
      <xdr:rowOff>19050</xdr:rowOff>
    </xdr:from>
    <xdr:to>
      <xdr:col>6</xdr:col>
      <xdr:colOff>4661296</xdr:colOff>
      <xdr:row>119</xdr:row>
      <xdr:rowOff>171450</xdr:rowOff>
    </xdr:to>
    <xdr:graphicFrame macro="">
      <xdr:nvGraphicFramePr>
        <xdr:cNvPr id="7" name="Kaavio 6">
          <a:extLst>
            <a:ext uri="{FF2B5EF4-FFF2-40B4-BE49-F238E27FC236}">
              <a16:creationId xmlns:a16="http://schemas.microsoft.com/office/drawing/2014/main" id="{AE67D692-A501-4312-AA91-0EBDE7544A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23</xdr:col>
      <xdr:colOff>426244</xdr:colOff>
      <xdr:row>29</xdr:row>
      <xdr:rowOff>159544</xdr:rowOff>
    </xdr:from>
    <xdr:to>
      <xdr:col>29</xdr:col>
      <xdr:colOff>514350</xdr:colOff>
      <xdr:row>33</xdr:row>
      <xdr:rowOff>164306</xdr:rowOff>
    </xdr:to>
    <xdr:sp macro="" textlink="">
      <xdr:nvSpPr>
        <xdr:cNvPr id="2" name="Tekstiruutu 1">
          <a:extLst>
            <a:ext uri="{FF2B5EF4-FFF2-40B4-BE49-F238E27FC236}">
              <a16:creationId xmlns:a16="http://schemas.microsoft.com/office/drawing/2014/main" id="{946EB3F1-58C8-481F-A866-FAF778282584}"/>
            </a:ext>
          </a:extLst>
        </xdr:cNvPr>
        <xdr:cNvSpPr txBox="1"/>
      </xdr:nvSpPr>
      <xdr:spPr>
        <a:xfrm>
          <a:off x="25791319" y="5750719"/>
          <a:ext cx="3879056" cy="9001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Eka ikinä</a:t>
          </a:r>
          <a:r>
            <a:rPr lang="fi-FI" sz="1100" baseline="0"/>
            <a:t> ja viimeisin ikinä? vai haetun ajan 1 ja vika?</a:t>
          </a:r>
        </a:p>
        <a:p>
          <a:endParaRPr lang="fi-FI" sz="1100" baseline="0"/>
        </a:p>
        <a:p>
          <a:r>
            <a:rPr lang="fi-FI" sz="1100" baseline="0"/>
            <a:t>jos tyhjä niin etsi seuraava ks. tietokanta!</a:t>
          </a:r>
          <a:endParaRPr lang="fi-FI" sz="1100"/>
        </a:p>
      </xdr:txBody>
    </xdr:sp>
    <xdr:clientData/>
  </xdr:twoCellAnchor>
  <xdr:twoCellAnchor editAs="absolute">
    <xdr:from>
      <xdr:col>6</xdr:col>
      <xdr:colOff>492442</xdr:colOff>
      <xdr:row>0</xdr:row>
      <xdr:rowOff>74771</xdr:rowOff>
    </xdr:from>
    <xdr:to>
      <xdr:col>6</xdr:col>
      <xdr:colOff>4676775</xdr:colOff>
      <xdr:row>7</xdr:row>
      <xdr:rowOff>171450</xdr:rowOff>
    </xdr:to>
    <xdr:sp macro="" textlink="">
      <xdr:nvSpPr>
        <xdr:cNvPr id="8" name="Tekstiruutu 7">
          <a:extLst>
            <a:ext uri="{FF2B5EF4-FFF2-40B4-BE49-F238E27FC236}">
              <a16:creationId xmlns:a16="http://schemas.microsoft.com/office/drawing/2014/main" id="{575CB554-F8CF-49AB-A197-B2A31E2D4BB3}"/>
            </a:ext>
          </a:extLst>
        </xdr:cNvPr>
        <xdr:cNvSpPr txBox="1"/>
      </xdr:nvSpPr>
      <xdr:spPr>
        <a:xfrm>
          <a:off x="6026467" y="74771"/>
          <a:ext cx="4184333" cy="14492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HUOM! Tilanne-sivun tiedot tuodaan 08/2024 lähtien hakuajan ensimmäiseltä sopivalta tilanneriviltä ja vertailutieto tuodaan nuoren uusimmalta tilanneriviltä. Aikaisemmin hakuarvona käytettiin asiakkuuden ensimmäistä tilanneriviä.</a:t>
          </a:r>
        </a:p>
        <a:p>
          <a:endParaRPr lang="fi-FI" sz="1100"/>
        </a:p>
        <a:p>
          <a:r>
            <a:rPr lang="fi-FI" sz="1100"/>
            <a:t>Tarkempaa tilanteiden muutosta voit tarkastella nuorikohtaisesti asiakaslistan avulla tai PAR-järjestelmän sisällä.</a:t>
          </a:r>
        </a:p>
      </xdr:txBody>
    </xdr:sp>
    <xdr:clientData fPrintsWithSheet="0"/>
  </xdr:twoCellAnchor>
  <xdr:twoCellAnchor>
    <xdr:from>
      <xdr:col>6</xdr:col>
      <xdr:colOff>76200</xdr:colOff>
      <xdr:row>12</xdr:row>
      <xdr:rowOff>47625</xdr:rowOff>
    </xdr:from>
    <xdr:to>
      <xdr:col>6</xdr:col>
      <xdr:colOff>4648200</xdr:colOff>
      <xdr:row>28</xdr:row>
      <xdr:rowOff>142875</xdr:rowOff>
    </xdr:to>
    <mc:AlternateContent xmlns:mc="http://schemas.openxmlformats.org/markup-compatibility/2006">
      <mc:Choice xmlns:cx1="http://schemas.microsoft.com/office/drawing/2015/9/8/chartex" Requires="cx1">
        <xdr:graphicFrame macro="">
          <xdr:nvGraphicFramePr>
            <xdr:cNvPr id="10" name="Kaavio 9">
              <a:extLst>
                <a:ext uri="{FF2B5EF4-FFF2-40B4-BE49-F238E27FC236}">
                  <a16:creationId xmlns:a16="http://schemas.microsoft.com/office/drawing/2014/main" id="{9A81E135-B172-477F-A434-14B179D0703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6"/>
            </a:graphicData>
          </a:graphic>
        </xdr:graphicFrame>
      </mc:Choice>
      <mc:Fallback>
        <xdr:sp macro="" textlink="">
          <xdr:nvSpPr>
            <xdr:cNvPr id="0" name=""/>
            <xdr:cNvSpPr>
              <a:spLocks noTextEdit="1"/>
            </xdr:cNvSpPr>
          </xdr:nvSpPr>
          <xdr:spPr>
            <a:xfrm>
              <a:off x="5610225" y="2590800"/>
              <a:ext cx="4572000" cy="3143250"/>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57150</xdr:colOff>
      <xdr:row>33</xdr:row>
      <xdr:rowOff>38100</xdr:rowOff>
    </xdr:from>
    <xdr:to>
      <xdr:col>6</xdr:col>
      <xdr:colOff>4648200</xdr:colOff>
      <xdr:row>52</xdr:row>
      <xdr:rowOff>152400</xdr:rowOff>
    </xdr:to>
    <mc:AlternateContent xmlns:mc="http://schemas.openxmlformats.org/markup-compatibility/2006">
      <mc:Choice xmlns:cx1="http://schemas.microsoft.com/office/drawing/2015/9/8/chartex" Requires="cx1">
        <xdr:graphicFrame macro="">
          <xdr:nvGraphicFramePr>
            <xdr:cNvPr id="11" name="Kaavio 10">
              <a:extLst>
                <a:ext uri="{FF2B5EF4-FFF2-40B4-BE49-F238E27FC236}">
                  <a16:creationId xmlns:a16="http://schemas.microsoft.com/office/drawing/2014/main" id="{EEFDEF65-0413-41A4-82E2-B427B4F88CDF}"/>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5591175" y="6715125"/>
              <a:ext cx="4591050" cy="3733800"/>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47624</xdr:colOff>
      <xdr:row>57</xdr:row>
      <xdr:rowOff>38099</xdr:rowOff>
    </xdr:from>
    <xdr:to>
      <xdr:col>6</xdr:col>
      <xdr:colOff>4648199</xdr:colOff>
      <xdr:row>72</xdr:row>
      <xdr:rowOff>142874</xdr:rowOff>
    </xdr:to>
    <mc:AlternateContent xmlns:mc="http://schemas.openxmlformats.org/markup-compatibility/2006">
      <mc:Choice xmlns:cx1="http://schemas.microsoft.com/office/drawing/2015/9/8/chartex" Requires="cx1">
        <xdr:graphicFrame macro="">
          <xdr:nvGraphicFramePr>
            <xdr:cNvPr id="12" name="Kaavio 11">
              <a:extLst>
                <a:ext uri="{FF2B5EF4-FFF2-40B4-BE49-F238E27FC236}">
                  <a16:creationId xmlns:a16="http://schemas.microsoft.com/office/drawing/2014/main" id="{68D18886-3017-4C1B-B44B-BCFFA52825DE}"/>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5581649" y="11420474"/>
              <a:ext cx="4600575" cy="2962275"/>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47624</xdr:colOff>
      <xdr:row>79</xdr:row>
      <xdr:rowOff>38099</xdr:rowOff>
    </xdr:from>
    <xdr:to>
      <xdr:col>6</xdr:col>
      <xdr:colOff>4667249</xdr:colOff>
      <xdr:row>99</xdr:row>
      <xdr:rowOff>142874</xdr:rowOff>
    </xdr:to>
    <mc:AlternateContent xmlns:mc="http://schemas.openxmlformats.org/markup-compatibility/2006">
      <mc:Choice xmlns:cx1="http://schemas.microsoft.com/office/drawing/2015/9/8/chartex" Requires="cx1">
        <xdr:graphicFrame macro="">
          <xdr:nvGraphicFramePr>
            <xdr:cNvPr id="13" name="Kaavio 12">
              <a:extLst>
                <a:ext uri="{FF2B5EF4-FFF2-40B4-BE49-F238E27FC236}">
                  <a16:creationId xmlns:a16="http://schemas.microsoft.com/office/drawing/2014/main" id="{5F499D9F-E8F7-454C-A694-AA1B163E1B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5581649" y="15744824"/>
              <a:ext cx="4619625" cy="3914775"/>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6</xdr:col>
      <xdr:colOff>57150</xdr:colOff>
      <xdr:row>105</xdr:row>
      <xdr:rowOff>47625</xdr:rowOff>
    </xdr:from>
    <xdr:to>
      <xdr:col>6</xdr:col>
      <xdr:colOff>4667250</xdr:colOff>
      <xdr:row>119</xdr:row>
      <xdr:rowOff>123825</xdr:rowOff>
    </xdr:to>
    <mc:AlternateContent xmlns:mc="http://schemas.openxmlformats.org/markup-compatibility/2006">
      <mc:Choice xmlns:cx1="http://schemas.microsoft.com/office/drawing/2015/9/8/chartex" Requires="cx1">
        <xdr:graphicFrame macro="">
          <xdr:nvGraphicFramePr>
            <xdr:cNvPr id="14" name="Kaavio 13">
              <a:extLst>
                <a:ext uri="{FF2B5EF4-FFF2-40B4-BE49-F238E27FC236}">
                  <a16:creationId xmlns:a16="http://schemas.microsoft.com/office/drawing/2014/main" id="{4BAB7AC1-980A-4BEE-AFB9-7204146FAA8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5591175" y="20840700"/>
              <a:ext cx="4610100" cy="2743200"/>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14</xdr:col>
      <xdr:colOff>57150</xdr:colOff>
      <xdr:row>12</xdr:row>
      <xdr:rowOff>57150</xdr:rowOff>
    </xdr:from>
    <xdr:to>
      <xdr:col>14</xdr:col>
      <xdr:colOff>4629150</xdr:colOff>
      <xdr:row>28</xdr:row>
      <xdr:rowOff>152400</xdr:rowOff>
    </xdr:to>
    <mc:AlternateContent xmlns:mc="http://schemas.openxmlformats.org/markup-compatibility/2006">
      <mc:Choice xmlns:cx1="http://schemas.microsoft.com/office/drawing/2015/9/8/chartex" Requires="cx1">
        <xdr:graphicFrame macro="">
          <xdr:nvGraphicFramePr>
            <xdr:cNvPr id="25" name="Kaavio 24">
              <a:extLst>
                <a:ext uri="{FF2B5EF4-FFF2-40B4-BE49-F238E27FC236}">
                  <a16:creationId xmlns:a16="http://schemas.microsoft.com/office/drawing/2014/main" id="{1F4F92D6-7CFB-4340-9983-34D578D584A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1"/>
            </a:graphicData>
          </a:graphic>
        </xdr:graphicFrame>
      </mc:Choice>
      <mc:Fallback>
        <xdr:sp macro="" textlink="">
          <xdr:nvSpPr>
            <xdr:cNvPr id="0" name=""/>
            <xdr:cNvSpPr>
              <a:spLocks noTextEdit="1"/>
            </xdr:cNvSpPr>
          </xdr:nvSpPr>
          <xdr:spPr>
            <a:xfrm>
              <a:off x="16021050" y="2600325"/>
              <a:ext cx="4572000" cy="3143250"/>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14</xdr:col>
      <xdr:colOff>66675</xdr:colOff>
      <xdr:row>33</xdr:row>
      <xdr:rowOff>38099</xdr:rowOff>
    </xdr:from>
    <xdr:to>
      <xdr:col>14</xdr:col>
      <xdr:colOff>4638675</xdr:colOff>
      <xdr:row>52</xdr:row>
      <xdr:rowOff>142874</xdr:rowOff>
    </xdr:to>
    <mc:AlternateContent xmlns:mc="http://schemas.openxmlformats.org/markup-compatibility/2006">
      <mc:Choice xmlns:cx1="http://schemas.microsoft.com/office/drawing/2015/9/8/chartex" Requires="cx1">
        <xdr:graphicFrame macro="">
          <xdr:nvGraphicFramePr>
            <xdr:cNvPr id="26" name="Kaavio 25">
              <a:extLst>
                <a:ext uri="{FF2B5EF4-FFF2-40B4-BE49-F238E27FC236}">
                  <a16:creationId xmlns:a16="http://schemas.microsoft.com/office/drawing/2014/main" id="{76C68C2E-E845-4B61-A47F-CC5FE674521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2"/>
            </a:graphicData>
          </a:graphic>
        </xdr:graphicFrame>
      </mc:Choice>
      <mc:Fallback>
        <xdr:sp macro="" textlink="">
          <xdr:nvSpPr>
            <xdr:cNvPr id="0" name=""/>
            <xdr:cNvSpPr>
              <a:spLocks noTextEdit="1"/>
            </xdr:cNvSpPr>
          </xdr:nvSpPr>
          <xdr:spPr>
            <a:xfrm>
              <a:off x="16030575" y="6715124"/>
              <a:ext cx="4572000" cy="3724275"/>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14</xdr:col>
      <xdr:colOff>47625</xdr:colOff>
      <xdr:row>57</xdr:row>
      <xdr:rowOff>28574</xdr:rowOff>
    </xdr:from>
    <xdr:to>
      <xdr:col>14</xdr:col>
      <xdr:colOff>4619625</xdr:colOff>
      <xdr:row>72</xdr:row>
      <xdr:rowOff>133349</xdr:rowOff>
    </xdr:to>
    <mc:AlternateContent xmlns:mc="http://schemas.openxmlformats.org/markup-compatibility/2006">
      <mc:Choice xmlns:cx1="http://schemas.microsoft.com/office/drawing/2015/9/8/chartex" Requires="cx1">
        <xdr:graphicFrame macro="">
          <xdr:nvGraphicFramePr>
            <xdr:cNvPr id="27" name="Kaavio 26">
              <a:extLst>
                <a:ext uri="{FF2B5EF4-FFF2-40B4-BE49-F238E27FC236}">
                  <a16:creationId xmlns:a16="http://schemas.microsoft.com/office/drawing/2014/main" id="{3A519867-7E3B-483D-80BC-02DCB166545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3"/>
            </a:graphicData>
          </a:graphic>
        </xdr:graphicFrame>
      </mc:Choice>
      <mc:Fallback>
        <xdr:sp macro="" textlink="">
          <xdr:nvSpPr>
            <xdr:cNvPr id="0" name=""/>
            <xdr:cNvSpPr>
              <a:spLocks noTextEdit="1"/>
            </xdr:cNvSpPr>
          </xdr:nvSpPr>
          <xdr:spPr>
            <a:xfrm>
              <a:off x="16011525" y="11410949"/>
              <a:ext cx="4572000" cy="2962275"/>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14</xdr:col>
      <xdr:colOff>57150</xdr:colOff>
      <xdr:row>79</xdr:row>
      <xdr:rowOff>38099</xdr:rowOff>
    </xdr:from>
    <xdr:to>
      <xdr:col>14</xdr:col>
      <xdr:colOff>4629150</xdr:colOff>
      <xdr:row>99</xdr:row>
      <xdr:rowOff>142874</xdr:rowOff>
    </xdr:to>
    <mc:AlternateContent xmlns:mc="http://schemas.openxmlformats.org/markup-compatibility/2006">
      <mc:Choice xmlns:cx1="http://schemas.microsoft.com/office/drawing/2015/9/8/chartex" Requires="cx1">
        <xdr:graphicFrame macro="">
          <xdr:nvGraphicFramePr>
            <xdr:cNvPr id="28" name="Kaavio 27">
              <a:extLst>
                <a:ext uri="{FF2B5EF4-FFF2-40B4-BE49-F238E27FC236}">
                  <a16:creationId xmlns:a16="http://schemas.microsoft.com/office/drawing/2014/main" id="{A72731A2-F4A7-497D-8CEF-00C1E3A6E0E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4"/>
            </a:graphicData>
          </a:graphic>
        </xdr:graphicFrame>
      </mc:Choice>
      <mc:Fallback>
        <xdr:sp macro="" textlink="">
          <xdr:nvSpPr>
            <xdr:cNvPr id="0" name=""/>
            <xdr:cNvSpPr>
              <a:spLocks noTextEdit="1"/>
            </xdr:cNvSpPr>
          </xdr:nvSpPr>
          <xdr:spPr>
            <a:xfrm>
              <a:off x="16021050" y="15744824"/>
              <a:ext cx="4572000" cy="3914775"/>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14</xdr:col>
      <xdr:colOff>76200</xdr:colOff>
      <xdr:row>105</xdr:row>
      <xdr:rowOff>47625</xdr:rowOff>
    </xdr:from>
    <xdr:to>
      <xdr:col>14</xdr:col>
      <xdr:colOff>4648200</xdr:colOff>
      <xdr:row>119</xdr:row>
      <xdr:rowOff>123825</xdr:rowOff>
    </xdr:to>
    <mc:AlternateContent xmlns:mc="http://schemas.openxmlformats.org/markup-compatibility/2006">
      <mc:Choice xmlns:cx1="http://schemas.microsoft.com/office/drawing/2015/9/8/chartex" Requires="cx1">
        <xdr:graphicFrame macro="">
          <xdr:nvGraphicFramePr>
            <xdr:cNvPr id="29" name="Kaavio 28">
              <a:extLst>
                <a:ext uri="{FF2B5EF4-FFF2-40B4-BE49-F238E27FC236}">
                  <a16:creationId xmlns:a16="http://schemas.microsoft.com/office/drawing/2014/main" id="{97F29385-E28C-42FF-A13A-25B070182F5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5"/>
            </a:graphicData>
          </a:graphic>
        </xdr:graphicFrame>
      </mc:Choice>
      <mc:Fallback>
        <xdr:sp macro="" textlink="">
          <xdr:nvSpPr>
            <xdr:cNvPr id="0" name=""/>
            <xdr:cNvSpPr>
              <a:spLocks noTextEdit="1"/>
            </xdr:cNvSpPr>
          </xdr:nvSpPr>
          <xdr:spPr>
            <a:xfrm>
              <a:off x="16040100" y="20840700"/>
              <a:ext cx="4572000" cy="2743200"/>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absolute">
    <xdr:from>
      <xdr:col>7</xdr:col>
      <xdr:colOff>112064</xdr:colOff>
      <xdr:row>57</xdr:row>
      <xdr:rowOff>111641</xdr:rowOff>
    </xdr:from>
    <xdr:to>
      <xdr:col>8</xdr:col>
      <xdr:colOff>1135049</xdr:colOff>
      <xdr:row>118</xdr:row>
      <xdr:rowOff>149244</xdr:rowOff>
    </xdr:to>
    <xdr:graphicFrame macro="">
      <xdr:nvGraphicFramePr>
        <xdr:cNvPr id="4" name="Kaavio 3">
          <a:extLst>
            <a:ext uri="{FF2B5EF4-FFF2-40B4-BE49-F238E27FC236}">
              <a16:creationId xmlns:a16="http://schemas.microsoft.com/office/drawing/2014/main" id="{E6311728-954D-4634-9921-DB7CC0BD30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83342</xdr:colOff>
      <xdr:row>130</xdr:row>
      <xdr:rowOff>119060</xdr:rowOff>
    </xdr:from>
    <xdr:to>
      <xdr:col>6</xdr:col>
      <xdr:colOff>297656</xdr:colOff>
      <xdr:row>146</xdr:row>
      <xdr:rowOff>105841</xdr:rowOff>
    </xdr:to>
    <xdr:graphicFrame macro="">
      <xdr:nvGraphicFramePr>
        <xdr:cNvPr id="5" name="Kaavio 4">
          <a:extLst>
            <a:ext uri="{FF2B5EF4-FFF2-40B4-BE49-F238E27FC236}">
              <a16:creationId xmlns:a16="http://schemas.microsoft.com/office/drawing/2014/main" id="{B25710EC-3467-4321-8F33-CD430F7B3B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107155</xdr:colOff>
      <xdr:row>130</xdr:row>
      <xdr:rowOff>119060</xdr:rowOff>
    </xdr:from>
    <xdr:to>
      <xdr:col>12</xdr:col>
      <xdr:colOff>535782</xdr:colOff>
      <xdr:row>146</xdr:row>
      <xdr:rowOff>105841</xdr:rowOff>
    </xdr:to>
    <xdr:graphicFrame macro="">
      <xdr:nvGraphicFramePr>
        <xdr:cNvPr id="6" name="Kaavio 5">
          <a:extLst>
            <a:ext uri="{FF2B5EF4-FFF2-40B4-BE49-F238E27FC236}">
              <a16:creationId xmlns:a16="http://schemas.microsoft.com/office/drawing/2014/main" id="{ECBAA370-3E8A-45AC-BF0A-557C665F68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83342</xdr:colOff>
      <xdr:row>150</xdr:row>
      <xdr:rowOff>142875</xdr:rowOff>
    </xdr:from>
    <xdr:to>
      <xdr:col>6</xdr:col>
      <xdr:colOff>297656</xdr:colOff>
      <xdr:row>166</xdr:row>
      <xdr:rowOff>129656</xdr:rowOff>
    </xdr:to>
    <xdr:graphicFrame macro="">
      <xdr:nvGraphicFramePr>
        <xdr:cNvPr id="7" name="Kaavio 6">
          <a:extLst>
            <a:ext uri="{FF2B5EF4-FFF2-40B4-BE49-F238E27FC236}">
              <a16:creationId xmlns:a16="http://schemas.microsoft.com/office/drawing/2014/main" id="{0A6177C1-71F3-497E-9C86-FA3FC28C6A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107155</xdr:colOff>
      <xdr:row>150</xdr:row>
      <xdr:rowOff>144186</xdr:rowOff>
    </xdr:from>
    <xdr:to>
      <xdr:col>12</xdr:col>
      <xdr:colOff>535782</xdr:colOff>
      <xdr:row>166</xdr:row>
      <xdr:rowOff>130967</xdr:rowOff>
    </xdr:to>
    <xdr:graphicFrame macro="">
      <xdr:nvGraphicFramePr>
        <xdr:cNvPr id="8" name="Kaavio 7">
          <a:extLst>
            <a:ext uri="{FF2B5EF4-FFF2-40B4-BE49-F238E27FC236}">
              <a16:creationId xmlns:a16="http://schemas.microsoft.com/office/drawing/2014/main" id="{9D53F681-23C5-4462-AB2B-5BCBC4E6AA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95248</xdr:colOff>
      <xdr:row>170</xdr:row>
      <xdr:rowOff>132280</xdr:rowOff>
    </xdr:from>
    <xdr:to>
      <xdr:col>6</xdr:col>
      <xdr:colOff>309562</xdr:colOff>
      <xdr:row>186</xdr:row>
      <xdr:rowOff>119061</xdr:rowOff>
    </xdr:to>
    <xdr:graphicFrame macro="">
      <xdr:nvGraphicFramePr>
        <xdr:cNvPr id="9" name="Kaavio 8">
          <a:extLst>
            <a:ext uri="{FF2B5EF4-FFF2-40B4-BE49-F238E27FC236}">
              <a16:creationId xmlns:a16="http://schemas.microsoft.com/office/drawing/2014/main" id="{DCE71918-9D0F-4A88-AF10-85ECCFF641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107156</xdr:colOff>
      <xdr:row>170</xdr:row>
      <xdr:rowOff>132282</xdr:rowOff>
    </xdr:from>
    <xdr:to>
      <xdr:col>12</xdr:col>
      <xdr:colOff>433917</xdr:colOff>
      <xdr:row>186</xdr:row>
      <xdr:rowOff>119063</xdr:rowOff>
    </xdr:to>
    <xdr:graphicFrame macro="">
      <xdr:nvGraphicFramePr>
        <xdr:cNvPr id="10" name="Kaavio 9">
          <a:extLst>
            <a:ext uri="{FF2B5EF4-FFF2-40B4-BE49-F238E27FC236}">
              <a16:creationId xmlns:a16="http://schemas.microsoft.com/office/drawing/2014/main" id="{AB1C4963-3E96-450A-8019-F718338F83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258856</xdr:colOff>
      <xdr:row>54</xdr:row>
      <xdr:rowOff>95250</xdr:rowOff>
    </xdr:from>
    <xdr:to>
      <xdr:col>32</xdr:col>
      <xdr:colOff>352938</xdr:colOff>
      <xdr:row>57</xdr:row>
      <xdr:rowOff>41224</xdr:rowOff>
    </xdr:to>
    <xdr:sp macro="" textlink="">
      <xdr:nvSpPr>
        <xdr:cNvPr id="2" name="Tekstiruutu 1">
          <a:extLst>
            <a:ext uri="{FF2B5EF4-FFF2-40B4-BE49-F238E27FC236}">
              <a16:creationId xmlns:a16="http://schemas.microsoft.com/office/drawing/2014/main" id="{9E4C08BA-EF5E-46CE-9A42-8EEF477532B8}"/>
            </a:ext>
          </a:extLst>
        </xdr:cNvPr>
        <xdr:cNvSpPr txBox="1"/>
      </xdr:nvSpPr>
      <xdr:spPr>
        <a:xfrm>
          <a:off x="27414631" y="8582025"/>
          <a:ext cx="2532482" cy="517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lisää loppurivi, Enterissä on jo makrolla</a:t>
          </a:r>
        </a:p>
        <a:p>
          <a:r>
            <a:rPr lang="fi-FI" sz="1100"/>
            <a:t>JA : AU</a:t>
          </a:r>
        </a:p>
      </xdr:txBody>
    </xdr:sp>
    <xdr:clientData/>
  </xdr:twoCellAnchor>
  <xdr:twoCellAnchor>
    <xdr:from>
      <xdr:col>2</xdr:col>
      <xdr:colOff>102871</xdr:colOff>
      <xdr:row>121</xdr:row>
      <xdr:rowOff>3360</xdr:rowOff>
    </xdr:from>
    <xdr:to>
      <xdr:col>14</xdr:col>
      <xdr:colOff>495300</xdr:colOff>
      <xdr:row>126</xdr:row>
      <xdr:rowOff>1568822</xdr:rowOff>
    </xdr:to>
    <mc:AlternateContent xmlns:mc="http://schemas.openxmlformats.org/markup-compatibility/2006">
      <mc:Choice xmlns:cx1="http://schemas.microsoft.com/office/drawing/2015/9/8/chartex" Requires="cx1">
        <xdr:graphicFrame macro="">
          <xdr:nvGraphicFramePr>
            <xdr:cNvPr id="12" name="Kaavio 11">
              <a:extLst>
                <a:ext uri="{FF2B5EF4-FFF2-40B4-BE49-F238E27FC236}">
                  <a16:creationId xmlns:a16="http://schemas.microsoft.com/office/drawing/2014/main" id="{E55E5A0A-124D-429E-8972-83296F2F2CC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8"/>
            </a:graphicData>
          </a:graphic>
        </xdr:graphicFrame>
      </mc:Choice>
      <mc:Fallback>
        <xdr:sp macro="" textlink="">
          <xdr:nvSpPr>
            <xdr:cNvPr id="0" name=""/>
            <xdr:cNvSpPr>
              <a:spLocks noTextEdit="1"/>
            </xdr:cNvSpPr>
          </xdr:nvSpPr>
          <xdr:spPr>
            <a:xfrm>
              <a:off x="4589146" y="15710085"/>
              <a:ext cx="9650729" cy="3422837"/>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twoCellAnchor>
    <xdr:from>
      <xdr:col>0</xdr:col>
      <xdr:colOff>0</xdr:colOff>
      <xdr:row>121</xdr:row>
      <xdr:rowOff>3361</xdr:rowOff>
    </xdr:from>
    <xdr:to>
      <xdr:col>2</xdr:col>
      <xdr:colOff>87630</xdr:colOff>
      <xdr:row>126</xdr:row>
      <xdr:rowOff>1568823</xdr:rowOff>
    </xdr:to>
    <mc:AlternateContent xmlns:mc="http://schemas.openxmlformats.org/markup-compatibility/2006">
      <mc:Choice xmlns:cx1="http://schemas.microsoft.com/office/drawing/2015/9/8/chartex" Requires="cx1">
        <xdr:graphicFrame macro="">
          <xdr:nvGraphicFramePr>
            <xdr:cNvPr id="13" name="Kaavio 12">
              <a:extLst>
                <a:ext uri="{FF2B5EF4-FFF2-40B4-BE49-F238E27FC236}">
                  <a16:creationId xmlns:a16="http://schemas.microsoft.com/office/drawing/2014/main" id="{D66BD761-63F1-4421-86E4-24DBA9AE9E3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0" y="15710086"/>
              <a:ext cx="4573905" cy="3422837"/>
            </a:xfrm>
            <a:prstGeom prst="rect">
              <a:avLst/>
            </a:prstGeom>
            <a:solidFill>
              <a:prstClr val="white"/>
            </a:solidFill>
            <a:ln w="1">
              <a:solidFill>
                <a:prstClr val="green"/>
              </a:solidFill>
            </a:ln>
          </xdr:spPr>
          <xdr:txBody>
            <a:bodyPr vertOverflow="clip" horzOverflow="clip"/>
            <a:lstStyle/>
            <a:p>
              <a:r>
                <a:rPr lang="fi-FI" sz="1100"/>
                <a:t>Tämä kaavio ei ole käytettävissä tässä Excel-versiossa.
Kaavio ei enää toimi, jos tätä muotoa muokataan tai tämä työkirja tallennetaan eri tiedostomuotoon.</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7</xdr:col>
      <xdr:colOff>47626</xdr:colOff>
      <xdr:row>11</xdr:row>
      <xdr:rowOff>85726</xdr:rowOff>
    </xdr:from>
    <xdr:to>
      <xdr:col>12</xdr:col>
      <xdr:colOff>4763</xdr:colOff>
      <xdr:row>61</xdr:row>
      <xdr:rowOff>166688</xdr:rowOff>
    </xdr:to>
    <xdr:graphicFrame macro="">
      <xdr:nvGraphicFramePr>
        <xdr:cNvPr id="2" name="Kaavio 1">
          <a:extLst>
            <a:ext uri="{FF2B5EF4-FFF2-40B4-BE49-F238E27FC236}">
              <a16:creationId xmlns:a16="http://schemas.microsoft.com/office/drawing/2014/main" id="{AAA3ED74-0B68-40EA-A022-134C2C3DC5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55561</xdr:colOff>
      <xdr:row>68</xdr:row>
      <xdr:rowOff>49211</xdr:rowOff>
    </xdr:from>
    <xdr:to>
      <xdr:col>10</xdr:col>
      <xdr:colOff>825500</xdr:colOff>
      <xdr:row>86</xdr:row>
      <xdr:rowOff>161925</xdr:rowOff>
    </xdr:to>
    <xdr:graphicFrame macro="">
      <xdr:nvGraphicFramePr>
        <xdr:cNvPr id="4" name="Kaavio 3">
          <a:extLst>
            <a:ext uri="{FF2B5EF4-FFF2-40B4-BE49-F238E27FC236}">
              <a16:creationId xmlns:a16="http://schemas.microsoft.com/office/drawing/2014/main" id="{4B93DA64-CEC9-4667-8BF2-6564A9C462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7</xdr:col>
      <xdr:colOff>86648</xdr:colOff>
      <xdr:row>2</xdr:row>
      <xdr:rowOff>20731</xdr:rowOff>
    </xdr:from>
    <xdr:to>
      <xdr:col>10</xdr:col>
      <xdr:colOff>608703</xdr:colOff>
      <xdr:row>8</xdr:row>
      <xdr:rowOff>22410</xdr:rowOff>
    </xdr:to>
    <xdr:sp macro="" textlink="">
      <xdr:nvSpPr>
        <xdr:cNvPr id="5" name="Tekstiruutu 4">
          <a:extLst>
            <a:ext uri="{FF2B5EF4-FFF2-40B4-BE49-F238E27FC236}">
              <a16:creationId xmlns:a16="http://schemas.microsoft.com/office/drawing/2014/main" id="{0C014ABE-2CF1-401A-9281-1884A346FB54}"/>
            </a:ext>
          </a:extLst>
        </xdr:cNvPr>
        <xdr:cNvSpPr txBox="1"/>
      </xdr:nvSpPr>
      <xdr:spPr>
        <a:xfrm>
          <a:off x="9338897" y="382905"/>
          <a:ext cx="3282512" cy="1096270"/>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a:t>HUOM!</a:t>
          </a:r>
        </a:p>
        <a:p>
          <a:r>
            <a:rPr lang="fi-FI" sz="1100"/>
            <a:t>Yhteistyön päättämisen syy on oltava samassa luokassa kuin</a:t>
          </a:r>
          <a:r>
            <a:rPr lang="fi-FI" sz="1100" baseline="0"/>
            <a:t> sille kirjattu Status, mikäli näin ei ole niin yhteistyön päättämisen syy lasketaan luokkaan</a:t>
          </a:r>
        </a:p>
        <a:p>
          <a:r>
            <a:rPr lang="fi-FI" sz="1100" baseline="0"/>
            <a:t>"Muu: kertaluonteinen uudelleenohjaus".</a:t>
          </a:r>
          <a:endParaRPr lang="fi-FI" sz="1100"/>
        </a:p>
      </xdr:txBody>
    </xdr:sp>
    <xdr:clientData fPrintsWithSheet="0"/>
  </xdr:twoCellAnchor>
  <xdr:twoCellAnchor>
    <xdr:from>
      <xdr:col>6</xdr:col>
      <xdr:colOff>33337</xdr:colOff>
      <xdr:row>127</xdr:row>
      <xdr:rowOff>304800</xdr:rowOff>
    </xdr:from>
    <xdr:to>
      <xdr:col>11</xdr:col>
      <xdr:colOff>781050</xdr:colOff>
      <xdr:row>143</xdr:row>
      <xdr:rowOff>123825</xdr:rowOff>
    </xdr:to>
    <xdr:graphicFrame macro="">
      <xdr:nvGraphicFramePr>
        <xdr:cNvPr id="7" name="Kaavio 6">
          <a:extLst>
            <a:ext uri="{FF2B5EF4-FFF2-40B4-BE49-F238E27FC236}">
              <a16:creationId xmlns:a16="http://schemas.microsoft.com/office/drawing/2014/main" id="{5E36B8FE-781B-4AD0-AE3E-A14C938654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9525</xdr:colOff>
      <xdr:row>88</xdr:row>
      <xdr:rowOff>390525</xdr:rowOff>
    </xdr:from>
    <xdr:to>
      <xdr:col>10</xdr:col>
      <xdr:colOff>800100</xdr:colOff>
      <xdr:row>95</xdr:row>
      <xdr:rowOff>123825</xdr:rowOff>
    </xdr:to>
    <xdr:graphicFrame macro="">
      <xdr:nvGraphicFramePr>
        <xdr:cNvPr id="11" name="Kaavio 10">
          <a:extLst>
            <a:ext uri="{FF2B5EF4-FFF2-40B4-BE49-F238E27FC236}">
              <a16:creationId xmlns:a16="http://schemas.microsoft.com/office/drawing/2014/main" id="{EABD68F8-293D-45A9-91A4-273ECE251C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38099</xdr:colOff>
      <xdr:row>111</xdr:row>
      <xdr:rowOff>438150</xdr:rowOff>
    </xdr:from>
    <xdr:to>
      <xdr:col>12</xdr:col>
      <xdr:colOff>47624</xdr:colOff>
      <xdr:row>125</xdr:row>
      <xdr:rowOff>123825</xdr:rowOff>
    </xdr:to>
    <xdr:graphicFrame macro="">
      <xdr:nvGraphicFramePr>
        <xdr:cNvPr id="12" name="Kaavio 11">
          <a:extLst>
            <a:ext uri="{FF2B5EF4-FFF2-40B4-BE49-F238E27FC236}">
              <a16:creationId xmlns:a16="http://schemas.microsoft.com/office/drawing/2014/main" id="{EC55272D-29B4-45F4-A34F-80CD9D8EF3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28576</xdr:colOff>
      <xdr:row>19</xdr:row>
      <xdr:rowOff>0</xdr:rowOff>
    </xdr:from>
    <xdr:to>
      <xdr:col>10</xdr:col>
      <xdr:colOff>590551</xdr:colOff>
      <xdr:row>31</xdr:row>
      <xdr:rowOff>0</xdr:rowOff>
    </xdr:to>
    <xdr:graphicFrame macro="">
      <xdr:nvGraphicFramePr>
        <xdr:cNvPr id="3" name="Kaavio 2">
          <a:extLst>
            <a:ext uri="{FF2B5EF4-FFF2-40B4-BE49-F238E27FC236}">
              <a16:creationId xmlns:a16="http://schemas.microsoft.com/office/drawing/2014/main" id="{54B4AF6F-A686-4708-96EA-D67569BE13D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535889</xdr:colOff>
      <xdr:row>34</xdr:row>
      <xdr:rowOff>304800</xdr:rowOff>
    </xdr:from>
    <xdr:to>
      <xdr:col>13</xdr:col>
      <xdr:colOff>106680</xdr:colOff>
      <xdr:row>47</xdr:row>
      <xdr:rowOff>134522</xdr:rowOff>
    </xdr:to>
    <xdr:graphicFrame macro="">
      <xdr:nvGraphicFramePr>
        <xdr:cNvPr id="4" name="Kaavio 3">
          <a:extLst>
            <a:ext uri="{FF2B5EF4-FFF2-40B4-BE49-F238E27FC236}">
              <a16:creationId xmlns:a16="http://schemas.microsoft.com/office/drawing/2014/main" id="{FD5BEC70-7698-4243-9CA7-A6F2301F77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585420</xdr:colOff>
      <xdr:row>52</xdr:row>
      <xdr:rowOff>314325</xdr:rowOff>
    </xdr:from>
    <xdr:to>
      <xdr:col>13</xdr:col>
      <xdr:colOff>100378</xdr:colOff>
      <xdr:row>65</xdr:row>
      <xdr:rowOff>134813</xdr:rowOff>
    </xdr:to>
    <xdr:graphicFrame macro="">
      <xdr:nvGraphicFramePr>
        <xdr:cNvPr id="7" name="Kaavio 6">
          <a:extLst>
            <a:ext uri="{FF2B5EF4-FFF2-40B4-BE49-F238E27FC236}">
              <a16:creationId xmlns:a16="http://schemas.microsoft.com/office/drawing/2014/main" id="{1F60203B-439B-4906-B4D1-97738B3C6D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Nieminen Tuulikki (AVI)" id="{AEA01F71-AABF-4AE4-84C0-07DEA971FFEC}" userId="S::tuulikki.nieminen@avi.fi::d2091a36-2c30-4cf0-a4ea-d29861d372af"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0</v>
    <v>3</v>
  </rv>
</rvData>
</file>

<file path=xl/richData/rdrichvaluestructure.xml><?xml version="1.0" encoding="utf-8"?>
<rvStructures xmlns="http://schemas.microsoft.com/office/spreadsheetml/2017/richdata" count="1">
  <s t="_error">
    <k n="colOffset" t="i"/>
    <k n="errorType" t="i"/>
    <k n="rwOffset"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5711FEA-C4C7-4B9C-9970-8C9AB85F9DCF}" name="Taulukko1" displayName="Taulukko1" ref="B9:Z32" totalsRowShown="0" headerRowDxfId="136" dataDxfId="135">
  <autoFilter ref="B9:Z32" xr:uid="{EA96B50C-9D72-4D50-B4A8-5537C1FF6E93}"/>
  <tableColumns count="25">
    <tableColumn id="1" xr3:uid="{D2397509-D6D6-4759-BE83-DC8111F4DED8}" name=" " dataDxfId="134"/>
    <tableColumn id="2" xr3:uid="{5761ABDB-9474-4D67-958D-FD95A6764E5F}" name="Työntekijä1" dataDxfId="133"/>
    <tableColumn id="3" xr3:uid="{D1E15B4B-8918-4AE9-9151-3C0DE194C767}" name="Työntekijä2" dataDxfId="132"/>
    <tableColumn id="4" xr3:uid="{14E975C3-777D-41FC-9F52-FB75C6020BE3}" name="Työntekijä3" dataDxfId="131"/>
    <tableColumn id="5" xr3:uid="{6D34A780-36CE-4A72-8C0C-672A304653BB}" name="Työntekijä4" dataDxfId="130"/>
    <tableColumn id="6" xr3:uid="{37F69FF2-7381-49A4-8757-F602B57EF775}" name="Työntekijä5" dataDxfId="129"/>
    <tableColumn id="7" xr3:uid="{8EBC83BD-4618-4D92-9FDE-CB38517A82E9}" name="Työntekijä6" dataDxfId="128"/>
    <tableColumn id="8" xr3:uid="{B6556D0A-A9F1-4BAF-A039-B0E7D7107832}" name="Työntekijä7" dataDxfId="127"/>
    <tableColumn id="9" xr3:uid="{2CC65778-684B-47A8-AC36-ECD238CEEB4F}" name="Työntekijä8" dataDxfId="126"/>
    <tableColumn id="10" xr3:uid="{1125892F-2CEB-4741-9CAA-3B7E9FF2D7FC}" name="Työntekijä9" dataDxfId="125"/>
    <tableColumn id="11" xr3:uid="{FD0459B3-1031-4387-85F0-1E26844462EA}" name="Työntekijä10" dataDxfId="124"/>
    <tableColumn id="12" xr3:uid="{4A4AB9BB-FE4C-4530-9A40-9A0B49E226E6}" name="Työntekijä11" dataDxfId="123"/>
    <tableColumn id="13" xr3:uid="{4EF804D3-0C1F-490B-BEDA-BC905F326785}" name="Työntekijä12" dataDxfId="122"/>
    <tableColumn id="14" xr3:uid="{1D3FA9C9-20BC-407E-ABCE-C1A70390339D}" name="Työntekijä13" dataDxfId="121"/>
    <tableColumn id="15" xr3:uid="{6FB3C6E9-C243-4BA7-8DFF-5D659809359E}" name="Työntekijä14" dataDxfId="120"/>
    <tableColumn id="16" xr3:uid="{F1948F6F-DAF9-4FD0-BC70-E2828C43A565}" name="Työntekijä15" dataDxfId="119"/>
    <tableColumn id="17" xr3:uid="{5CD06EC0-B81D-4B81-9613-DBF593005EF2}" name="Työntekijä16" dataDxfId="118"/>
    <tableColumn id="18" xr3:uid="{EDEC9F18-43D4-4811-B075-18431832BFB2}" name="Työntekijä17" dataDxfId="117"/>
    <tableColumn id="19" xr3:uid="{628FC21E-C944-4176-8B9E-62DE729EB5FB}" name="Työntekijä18" dataDxfId="116"/>
    <tableColumn id="20" xr3:uid="{B310E76F-2696-4229-9587-CDCF39C5315E}" name="Työntekijä19" dataDxfId="115"/>
    <tableColumn id="21" xr3:uid="{844A0004-6A4D-44A8-97BD-8B699C4C50BE}" name="Työntekijä20" dataDxfId="114"/>
    <tableColumn id="22" xr3:uid="{05C60DDF-96C2-4B7D-BFBF-4AEE7305320E}" name="Työntekijä21" dataDxfId="113"/>
    <tableColumn id="23" xr3:uid="{AB4AE19A-13E7-4BBA-A703-399F07D9C76A}" name="Työntekijä22" dataDxfId="112"/>
    <tableColumn id="24" xr3:uid="{19D185AE-B900-471E-858A-B50C6E80F794}" name="Työntekijä23" dataDxfId="111"/>
    <tableColumn id="25" xr3:uid="{62E19B02-51AC-42B8-BAB3-AB44B38005DD}" name="Työntekijä24" dataDxfId="110"/>
  </tableColumns>
  <tableStyleInfo name="TableStyleLight1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5C9A803-94AC-47C8-AD57-00FF98310454}" name="Taulukko134" displayName="Taulukko134" ref="J5:P12" totalsRowCount="1" headerRowDxfId="109" dataDxfId="108" totalsRowDxfId="107">
  <autoFilter ref="J5:P11" xr:uid="{45AA9CC2-9EC9-4C7C-AC94-E093056D850D}"/>
  <tableColumns count="7">
    <tableColumn id="1" xr3:uid="{C3EA30E5-F9FA-40FF-BEDA-F4E31CA21954}" name="Nimi" totalsRowLabel="Summa" dataDxfId="106" totalsRowDxfId="105"/>
    <tableColumn id="6" xr3:uid="{B7ED86A1-BFE5-4D40-84BB-D188B425BE6F}" name="Työ alkanut _x000a_(1 vuoden aikana)" dataDxfId="104" totalsRowDxfId="103"/>
    <tableColumn id="7" xr3:uid="{22474F82-EDA8-4829-BC06-ED17E1E6DB8D}" name="Työ loppunut _x000a_(1 vuoden aikana)" dataDxfId="102" totalsRowDxfId="101"/>
    <tableColumn id="2" xr3:uid="{485A7020-6D65-4DA0-81F4-97111FE47941}" name="Päiviä" dataDxfId="100" totalsRowDxfId="99">
      <calculatedColumnFormula>_xlfn.DAYS(L6,K6)</calculatedColumnFormula>
    </tableColumn>
    <tableColumn id="3" xr3:uid="{B098554D-1300-4B6C-A9A7-AA67BFF6180D}" name="Laskettu htv" dataDxfId="98" totalsRowDxfId="97">
      <calculatedColumnFormula>M6/365</calculatedColumnFormula>
    </tableColumn>
    <tableColumn id="4" xr3:uid="{1C7844EF-1690-40E8-8708-0B9B31D94360}" name="Työaika-prosentti" dataDxfId="96" totalsRowDxfId="95"/>
    <tableColumn id="5" xr3:uid="{9020F725-A97F-4946-BBE5-0CD7E9F997FF}" name="HTV" totalsRowFunction="sum" dataDxfId="94" totalsRowDxfId="93">
      <calculatedColumnFormula>ROUND(N6*O6,2)</calculatedColumn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627170E-CEDC-4570-96A0-9D6FD0A9FEE3}" name="Taulukko133" displayName="Taulukko133" ref="A5:G12" totalsRowCount="1" headerRowDxfId="92" dataDxfId="91" totalsRowDxfId="90">
  <autoFilter ref="A5:G11" xr:uid="{ED710DEC-9E79-4B4A-B054-D1245989B159}"/>
  <tableColumns count="7">
    <tableColumn id="1" xr3:uid="{A73F05C8-9445-4D73-9F2D-45052DCA2D28}" name="Nimi" totalsRowLabel="Summa" dataDxfId="89" totalsRowDxfId="88"/>
    <tableColumn id="6" xr3:uid="{1A2CE25D-45B2-4D47-B459-46E3EF7F2DDE}" name="Työ alkanut _x000a_(1 vuoden aikana)" dataDxfId="87" totalsRowDxfId="86"/>
    <tableColumn id="7" xr3:uid="{C3775653-B49A-410D-9903-4D3D65581B70}" name="Työ loppunut _x000a_(1 vuoden aikana)" dataDxfId="85" totalsRowDxfId="84"/>
    <tableColumn id="2" xr3:uid="{9A858C15-2E2E-4BFB-B957-F7C6E2E357A2}" name="Päiviä" dataDxfId="83" totalsRowDxfId="82">
      <calculatedColumnFormula>_xlfn.DAYS(C6,B6)</calculatedColumnFormula>
    </tableColumn>
    <tableColumn id="3" xr3:uid="{3197F673-9DA5-4926-8807-55580EE7FC49}" name="Laskettu htv" dataDxfId="81" totalsRowDxfId="80">
      <calculatedColumnFormula>D6/365</calculatedColumnFormula>
    </tableColumn>
    <tableColumn id="4" xr3:uid="{B6F7F56A-00BF-42AE-BA59-68B6E445B20F}" name="Työaika-prosentti" dataDxfId="79" totalsRowDxfId="78"/>
    <tableColumn id="5" xr3:uid="{45D468C2-653F-42DB-98F7-1C3D2E81DF36}" name="HTV" totalsRowFunction="sum" dataDxfId="77" totalsRowDxfId="76">
      <calculatedColumnFormula>ROUND(E6*F6,2)</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28" dT="2024-08-14T13:34:18.39" personId="{AEA01F71-AABF-4AE4-84C0-07DEA971FFEC}" id="{1C213DE9-6294-4EC2-AE47-5EE3CDE5C80E}">
    <text>yksikkötiteo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printerSettings" Target="../printerSettings/printerSettings3.bin"/><Relationship Id="rId1" Type="http://schemas.openxmlformats.org/officeDocument/2006/relationships/hyperlink" Target="https://www.youtube.com/watch?v=3sJG_xIwlWU" TargetMode="Externa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D425E-C95B-43A3-AD7C-D1D0D8AFA940}">
  <sheetPr codeName="Taul7">
    <tabColor rgb="FF92D050"/>
  </sheetPr>
  <dimension ref="A1:AS383"/>
  <sheetViews>
    <sheetView showGridLines="0" tabSelected="1" zoomScaleNormal="100" workbookViewId="0">
      <selection activeCell="B8" sqref="B8"/>
    </sheetView>
  </sheetViews>
  <sheetFormatPr defaultRowHeight="15" x14ac:dyDescent="0.25"/>
  <cols>
    <col min="1" max="1" width="22" customWidth="1"/>
    <col min="2" max="2" width="41.140625" customWidth="1"/>
    <col min="3" max="6" width="12.7109375" customWidth="1"/>
    <col min="7" max="10" width="12.140625" customWidth="1"/>
    <col min="11" max="12" width="9.140625" customWidth="1"/>
    <col min="13" max="13" width="9.7109375" customWidth="1"/>
    <col min="14" max="14" width="9.140625" customWidth="1"/>
    <col min="15" max="15" width="15.7109375" customWidth="1"/>
    <col min="16" max="18" width="9.140625" customWidth="1"/>
    <col min="19" max="19" width="9.140625" hidden="1" customWidth="1"/>
    <col min="20" max="20" width="9.42578125" hidden="1" customWidth="1"/>
    <col min="21" max="21" width="35.42578125" hidden="1" customWidth="1"/>
    <col min="22" max="22" width="9.140625" hidden="1" customWidth="1"/>
    <col min="23" max="23" width="26.140625" hidden="1" customWidth="1"/>
    <col min="24" max="24" width="49.5703125" hidden="1" customWidth="1"/>
    <col min="25" max="25" width="27.85546875" hidden="1" customWidth="1"/>
    <col min="26" max="26" width="8.85546875" hidden="1" customWidth="1"/>
    <col min="27" max="27" width="33.140625" hidden="1" customWidth="1"/>
    <col min="28" max="28" width="29.140625" hidden="1" customWidth="1"/>
    <col min="29" max="29" width="51" hidden="1" customWidth="1"/>
    <col min="30" max="30" width="29.5703125" hidden="1" customWidth="1"/>
    <col min="31" max="31" width="15" hidden="1" customWidth="1"/>
    <col min="32" max="33" width="8.85546875" hidden="1" customWidth="1"/>
    <col min="34" max="34" width="9.140625" hidden="1" customWidth="1"/>
    <col min="35" max="35" width="13.28515625" style="15" hidden="1" customWidth="1"/>
    <col min="36" max="40" width="9.140625" style="15" hidden="1" customWidth="1"/>
    <col min="41" max="41" width="20.7109375" style="15" hidden="1" customWidth="1"/>
    <col min="42" max="42" width="9.140625" style="15" hidden="1" customWidth="1"/>
    <col min="43" max="43" width="8.85546875" style="15" hidden="1" customWidth="1"/>
    <col min="44" max="45" width="8.85546875" hidden="1" customWidth="1"/>
    <col min="46" max="52" width="8.85546875" customWidth="1"/>
  </cols>
  <sheetData>
    <row r="1" spans="1:45" ht="15.75" thickBot="1" x14ac:dyDescent="0.3">
      <c r="A1" s="306" t="s">
        <v>624</v>
      </c>
      <c r="B1" t="s">
        <v>1561</v>
      </c>
      <c r="G1" s="811" t="str">
        <f>IF(Henkilöstö!A6="Valitsematta","Tarkista Henkilöstö-lehden tiedot",IF(LEFT(Henkilöstö!A6,5)="Kyllä","HIENOA! Nyt myös Henkilöstö-lehden tiedot on tarkistettu","Henkilöstölehden tiedot lähetetään eteenpäin tarkistamatta, kirjoita lisäselvitys saatteeksi"))</f>
        <v>Tarkista Henkilöstö-lehden tiedot</v>
      </c>
      <c r="H1" s="811"/>
      <c r="I1" s="811"/>
      <c r="J1" s="811"/>
      <c r="K1" s="811"/>
      <c r="L1" s="811"/>
      <c r="M1" s="811"/>
      <c r="O1" s="15"/>
      <c r="S1" s="143" t="s">
        <v>623</v>
      </c>
      <c r="T1" s="143" t="s">
        <v>623</v>
      </c>
      <c r="U1" s="180" t="s">
        <v>1519</v>
      </c>
      <c r="V1" s="143" t="s">
        <v>623</v>
      </c>
      <c r="W1" s="143" t="s">
        <v>623</v>
      </c>
      <c r="X1" s="143" t="s">
        <v>623</v>
      </c>
      <c r="Y1" s="179" t="s">
        <v>625</v>
      </c>
      <c r="Z1" s="143" t="s">
        <v>623</v>
      </c>
      <c r="AA1" s="143" t="s">
        <v>623</v>
      </c>
      <c r="AB1" s="143" t="s">
        <v>623</v>
      </c>
      <c r="AC1" s="143" t="s">
        <v>623</v>
      </c>
      <c r="AD1" s="143" t="s">
        <v>623</v>
      </c>
      <c r="AE1" s="143" t="s">
        <v>623</v>
      </c>
      <c r="AF1" s="143" t="s">
        <v>623</v>
      </c>
      <c r="AG1" s="143" t="s">
        <v>623</v>
      </c>
      <c r="AH1" s="143" t="s">
        <v>623</v>
      </c>
      <c r="AI1" s="681" t="s">
        <v>623</v>
      </c>
      <c r="AJ1" s="681" t="s">
        <v>623</v>
      </c>
      <c r="AK1" s="681" t="s">
        <v>623</v>
      </c>
      <c r="AL1" s="681" t="s">
        <v>623</v>
      </c>
      <c r="AM1" s="681" t="s">
        <v>623</v>
      </c>
      <c r="AN1" s="681" t="s">
        <v>623</v>
      </c>
      <c r="AO1" s="681" t="s">
        <v>623</v>
      </c>
      <c r="AP1" s="681" t="s">
        <v>623</v>
      </c>
      <c r="AQ1" s="681" t="s">
        <v>623</v>
      </c>
      <c r="AR1" s="681" t="s">
        <v>623</v>
      </c>
      <c r="AS1" s="681" t="s">
        <v>623</v>
      </c>
    </row>
    <row r="2" spans="1:45" ht="18.75" x14ac:dyDescent="0.3">
      <c r="A2" s="374">
        <f>Asiakastilastot!$A$2</f>
        <v>45658</v>
      </c>
      <c r="B2" t="s">
        <v>1560</v>
      </c>
      <c r="G2" s="539" t="s">
        <v>956</v>
      </c>
      <c r="H2" s="538"/>
      <c r="I2" s="538"/>
      <c r="O2" s="15"/>
      <c r="U2" s="737">
        <v>45748</v>
      </c>
      <c r="V2" s="179" t="s">
        <v>1558</v>
      </c>
      <c r="W2" s="182" t="s">
        <v>720</v>
      </c>
      <c r="X2" s="183" t="s">
        <v>568</v>
      </c>
      <c r="Y2" s="179" t="s">
        <v>626</v>
      </c>
      <c r="Z2" s="382" t="s">
        <v>811</v>
      </c>
      <c r="AA2" s="177" t="s">
        <v>639</v>
      </c>
      <c r="AB2" s="44" t="s">
        <v>638</v>
      </c>
      <c r="AC2" s="177" t="s">
        <v>639</v>
      </c>
      <c r="AD2" s="44" t="s">
        <v>1601</v>
      </c>
      <c r="AI2"/>
      <c r="AJ2"/>
      <c r="AK2"/>
    </row>
    <row r="3" spans="1:45" x14ac:dyDescent="0.25">
      <c r="A3" s="374">
        <f>Asiakastilastot!$A$3</f>
        <v>45777</v>
      </c>
      <c r="B3" t="s">
        <v>578</v>
      </c>
      <c r="G3" s="377" t="str">
        <f>"Etsivät nuorisotyöntekijät aikavälillä: "&amp;X10</f>
        <v xml:space="preserve">Etsivät nuorisotyöntekijät aikavälillä: 01.01.2025-30.04.2025 </v>
      </c>
      <c r="O3" s="15"/>
      <c r="V3" s="179" t="s">
        <v>1559</v>
      </c>
      <c r="W3" s="184" t="s">
        <v>721</v>
      </c>
      <c r="X3" s="185" t="s">
        <v>205</v>
      </c>
      <c r="Y3" s="179" t="s">
        <v>819</v>
      </c>
      <c r="Z3" s="382" t="s">
        <v>812</v>
      </c>
      <c r="AA3" s="177" t="s">
        <v>635</v>
      </c>
      <c r="AB3" s="44" t="e">
        <f>INDEX(Data_Omakoodi!K:K,MATCH($AB$2,Data_Omakoodi!$I:$I,0))</f>
        <v>#N/A</v>
      </c>
      <c r="AC3" s="177" t="s">
        <v>635</v>
      </c>
      <c r="AD3" s="44" t="e">
        <f>INDEX(Data_Omakoodi!K:K,MATCH($AD$2,Data_Omakoodi!$I:$I,0))</f>
        <v>#N/A</v>
      </c>
      <c r="AG3" t="s">
        <v>1521</v>
      </c>
      <c r="AH3" s="176" t="s">
        <v>1649</v>
      </c>
      <c r="AJ3" t="s">
        <v>1522</v>
      </c>
      <c r="AK3" s="176" t="s">
        <v>1648</v>
      </c>
    </row>
    <row r="4" spans="1:45" ht="16.5" customHeight="1" x14ac:dyDescent="0.25">
      <c r="A4" s="493" t="s">
        <v>1524</v>
      </c>
      <c r="B4" t="s">
        <v>1557</v>
      </c>
      <c r="C4" s="740" t="s">
        <v>1558</v>
      </c>
      <c r="D4" t="s">
        <v>1562</v>
      </c>
      <c r="G4" s="518"/>
      <c r="H4" s="521" t="s">
        <v>1105</v>
      </c>
      <c r="I4" s="521" t="s">
        <v>132</v>
      </c>
      <c r="O4" s="15"/>
      <c r="W4" s="184" t="s">
        <v>722</v>
      </c>
      <c r="X4" s="185" t="s">
        <v>230</v>
      </c>
      <c r="Y4" t="s">
        <v>568</v>
      </c>
      <c r="Z4" s="382" t="s">
        <v>1031</v>
      </c>
      <c r="AA4" s="177" t="s">
        <v>640</v>
      </c>
      <c r="AB4" s="44" t="str">
        <f>IFERROR(MATCH($AB$2,Data_Omakoodi!$I:$I,0),"")</f>
        <v/>
      </c>
      <c r="AC4" s="177" t="s">
        <v>640</v>
      </c>
      <c r="AD4" s="44" t="str">
        <f>IFERROR(MATCH($AD$2,Data_Omakoodi!$I:$I,0),"")</f>
        <v/>
      </c>
      <c r="AG4" s="739"/>
      <c r="AH4" s="739" t="s">
        <v>1523</v>
      </c>
      <c r="AJ4" s="739"/>
      <c r="AK4" s="739" t="s">
        <v>1523</v>
      </c>
    </row>
    <row r="5" spans="1:45" ht="15.75" thickBot="1" x14ac:dyDescent="0.3">
      <c r="A5" s="200" t="s">
        <v>719</v>
      </c>
      <c r="B5" t="s">
        <v>579</v>
      </c>
      <c r="C5" s="740" t="s">
        <v>1558</v>
      </c>
      <c r="D5" t="s">
        <v>1563</v>
      </c>
      <c r="G5" s="518" t="s">
        <v>969</v>
      </c>
      <c r="H5" s="585">
        <f>Henkilöstö!D3</f>
        <v>0</v>
      </c>
      <c r="I5" s="585">
        <f>Henkilöstö!E3</f>
        <v>0</v>
      </c>
      <c r="O5" s="15"/>
      <c r="W5" s="186" t="s">
        <v>723</v>
      </c>
      <c r="X5" s="187" t="s">
        <v>212</v>
      </c>
      <c r="Y5" s="181" t="str">
        <f>IF(A6="","*",IF(A6=Y1,"*",IF(A6=Y3,X9,"*")))</f>
        <v>*</v>
      </c>
      <c r="AA5" s="177" t="s">
        <v>568</v>
      </c>
      <c r="AB5" s="44" t="s">
        <v>719</v>
      </c>
      <c r="AC5" s="177" t="s">
        <v>568</v>
      </c>
      <c r="AD5" s="44" t="s">
        <v>1524</v>
      </c>
      <c r="AE5" s="177" t="s">
        <v>568</v>
      </c>
      <c r="AG5" s="739" t="str">
        <f>TEXT(AD5,"@")</f>
        <v>Kaikki yksiköt</v>
      </c>
      <c r="AH5" s="739">
        <f>IF(AG5&lt;&gt;"",ROW(),"")</f>
        <v>5</v>
      </c>
      <c r="AI5"/>
      <c r="AJ5" s="739" t="str">
        <f>TEXT(AB5,"@")</f>
        <v>Kaikki kunnat</v>
      </c>
      <c r="AK5" s="739">
        <f>IF(AJ5&lt;&gt;"",ROW(),"")</f>
        <v>5</v>
      </c>
    </row>
    <row r="6" spans="1:45" x14ac:dyDescent="0.25">
      <c r="A6" s="200" t="s">
        <v>625</v>
      </c>
      <c r="B6" t="s">
        <v>799</v>
      </c>
      <c r="C6" s="200" t="s">
        <v>625</v>
      </c>
      <c r="D6" t="s">
        <v>1592</v>
      </c>
      <c r="G6" s="518" t="s">
        <v>1495</v>
      </c>
      <c r="H6" s="585">
        <f>Henkilöstö!D4</f>
        <v>0</v>
      </c>
      <c r="I6" s="585">
        <f>Henkilöstö!E4</f>
        <v>0</v>
      </c>
      <c r="O6" s="15"/>
      <c r="W6" s="221" t="str">
        <f>TEXT(A2,"vvvv")</f>
        <v>2025</v>
      </c>
      <c r="X6" s="181" t="e">
        <f>IF(A8="","*",INDEX($X$2:X5,MATCH($A$8,$W$2:$W$5,0)))</f>
        <v>#N/A</v>
      </c>
      <c r="Y6" s="181" t="str">
        <f>IF(A5="","*",INDEX(AA5:AA55,MATCH(A5,AB5:AB55,0)))</f>
        <v>*</v>
      </c>
      <c r="AA6" s="177" t="s">
        <v>644</v>
      </c>
      <c r="AB6" s="188" t="s">
        <v>643</v>
      </c>
      <c r="AC6" s="177" t="s">
        <v>644</v>
      </c>
      <c r="AD6" s="188" t="s">
        <v>1525</v>
      </c>
      <c r="AE6" s="177" t="s">
        <v>644</v>
      </c>
      <c r="AG6" s="739" t="str">
        <f t="shared" ref="AG6:AG37" si="0">TEXT(AD6,"@")</f>
        <v>Ei yksiköitä</v>
      </c>
      <c r="AH6" s="739">
        <f t="shared" ref="AH6:AH37" si="1">IF(AG6&lt;&gt;"",ROW(),"")</f>
        <v>6</v>
      </c>
      <c r="AI6"/>
      <c r="AJ6" s="739" t="str">
        <f t="shared" ref="AJ6:AJ37" si="2">TEXT(AB6,"@")</f>
        <v>Ei kuntaluokkaa</v>
      </c>
      <c r="AK6" s="739">
        <f t="shared" ref="AK6:AK37" si="3">IF(AJ6&lt;&gt;"",ROW(),"")</f>
        <v>6</v>
      </c>
    </row>
    <row r="7" spans="1:45" ht="15" customHeight="1" x14ac:dyDescent="0.25">
      <c r="A7" s="493" t="s">
        <v>971</v>
      </c>
      <c r="B7" s="787" t="str">
        <f>IF(V14&gt;4,"&gt; Ohjaava taho",IF(Y14="*","&gt; Ohjaava taho","&gt; Ohjaava taho: "&amp;A7&amp;" = "&amp;V14&amp;" hlö, jonka vuoksi hakuehtoa ei voida suorittaa."))</f>
        <v>&gt; Ohjaava taho</v>
      </c>
      <c r="C7" s="788"/>
      <c r="D7" s="788"/>
      <c r="E7" s="788"/>
      <c r="F7" s="788"/>
      <c r="O7" s="15"/>
      <c r="W7" s="181" t="str">
        <f>IF(A6=Y2,"OK","*")</f>
        <v>*</v>
      </c>
      <c r="X7" s="28" t="s">
        <v>207</v>
      </c>
      <c r="Y7" s="28" t="s">
        <v>213</v>
      </c>
      <c r="AA7" s="177" t="s">
        <v>62</v>
      </c>
      <c r="AB7" s="188" t="s">
        <v>641</v>
      </c>
      <c r="AC7" s="177" t="s">
        <v>62</v>
      </c>
      <c r="AD7" s="188" t="s">
        <v>1526</v>
      </c>
      <c r="AE7" s="177" t="s">
        <v>62</v>
      </c>
      <c r="AF7" s="27"/>
      <c r="AG7" s="739" t="str">
        <f t="shared" si="0"/>
        <v>Muut yksiköt</v>
      </c>
      <c r="AH7" s="739">
        <f t="shared" si="1"/>
        <v>7</v>
      </c>
      <c r="AI7"/>
      <c r="AJ7" s="739" t="str">
        <f t="shared" si="2"/>
        <v>Muut kunnat</v>
      </c>
      <c r="AK7" s="739">
        <f t="shared" si="3"/>
        <v>7</v>
      </c>
    </row>
    <row r="8" spans="1:45" x14ac:dyDescent="0.25">
      <c r="A8" s="767">
        <v>45908</v>
      </c>
      <c r="B8" s="387" t="s">
        <v>576</v>
      </c>
      <c r="E8" s="570"/>
      <c r="F8" s="570"/>
      <c r="U8" s="17" t="str">
        <f>IF($A$7&lt;&gt;"KAIKKI",IF($V$14&gt;4,"Ohjaava taho: "&amp;$A$7,""),"")</f>
        <v/>
      </c>
      <c r="W8" s="27"/>
      <c r="X8" s="35" t="s">
        <v>546</v>
      </c>
      <c r="Y8" s="35" t="s">
        <v>593</v>
      </c>
      <c r="AA8" s="176" t="str">
        <f>IFERROR(IF(INDEX(Data_Omakoodi!H:H,MATCH($AK$3&amp;$AL8,Data_Omakoodi!A:A,0))="P","",$AK$3&amp;$AL8),$AK$3&amp;$AL8)</f>
        <v>ComboBox_EtKuntakoodi_00000001</v>
      </c>
      <c r="AB8" s="44" t="str">
        <f>IFERROR(INDEX(Data_Omakoodi!E:E,MATCH(AA8,Data_Omakoodi!A:A,0)),"")</f>
        <v/>
      </c>
      <c r="AC8" t="str">
        <f>IFERROR(IF(INDEX(Data_Omakoodi!H:H,MATCH($AH$3&amp;$AL8,Data_Omakoodi!A:A,0))="P","",$AH$3&amp;$AL8),$AH$3&amp;$AL8)</f>
        <v>ComboBox_TyHlo_yksikko_00000001</v>
      </c>
      <c r="AD8" s="44" t="str">
        <f>IFERROR(INDEX(Data_Omakoodi!E:E,MATCH(AC8,Data_Omakoodi!A:A,0)),"")</f>
        <v/>
      </c>
      <c r="AE8" t="str">
        <f>IFERROR(IF(INDEX(Data_Omakoodi!H:H,MATCH($AH$3&amp;$AL8,Data_Omakoodi!A:A,0))="P","",$AH$3&amp;$AL8),$AH$3&amp;$AL8)</f>
        <v>ComboBox_TyHlo_yksikko_00000001</v>
      </c>
      <c r="AF8" t="s">
        <v>1527</v>
      </c>
      <c r="AG8" s="739" t="str">
        <f>TEXT(AD8,"@")</f>
        <v/>
      </c>
      <c r="AH8" s="739" t="str">
        <f t="shared" si="1"/>
        <v/>
      </c>
      <c r="AI8"/>
      <c r="AJ8" s="739" t="str">
        <f t="shared" si="2"/>
        <v/>
      </c>
      <c r="AK8" s="739" t="str">
        <f t="shared" si="3"/>
        <v/>
      </c>
      <c r="AL8" s="370" t="s">
        <v>1639</v>
      </c>
    </row>
    <row r="9" spans="1:45" x14ac:dyDescent="0.25">
      <c r="W9" s="27"/>
      <c r="X9" s="178" t="s">
        <v>486</v>
      </c>
      <c r="Y9" s="181" t="str">
        <f>IF(C6="","*",IF(C6=$X$16,"*",C6))</f>
        <v>*</v>
      </c>
      <c r="AA9" s="176" t="str">
        <f>IFERROR(IF(INDEX(Data_Omakoodi!H:H,MATCH($AK$3&amp;$AL9,Data_Omakoodi!A:A,0))="P","",$AK$3&amp;$AL9),$AK$3&amp;$AL9)</f>
        <v>ComboBox_EtKuntakoodi_00000002</v>
      </c>
      <c r="AB9" s="44" t="str">
        <f>IFERROR(INDEX(Data_Omakoodi!E:E,MATCH(AA9,Data_Omakoodi!A:A,0)),"")</f>
        <v/>
      </c>
      <c r="AC9" t="str">
        <f>IFERROR(IF(INDEX(Data_Omakoodi!H:H,MATCH($AH$3&amp;$AL9,Data_Omakoodi!A:A,0))="P","",$AH$3&amp;$AL9),$AH$3&amp;$AL9)</f>
        <v>ComboBox_TyHlo_yksikko_00000002</v>
      </c>
      <c r="AD9" s="44" t="str">
        <f>IFERROR(INDEX(Data_Omakoodi!E:E,MATCH(AC9,Data_Omakoodi!A:A,0)),"")</f>
        <v/>
      </c>
      <c r="AE9" t="str">
        <f>IFERROR(IF(INDEX(Data_Omakoodi!H:H,MATCH($AH$3&amp;$AL9,Data_Omakoodi!A:A,0))="P","",$AH$3&amp;$AL9),$AH$3&amp;$AL9)</f>
        <v>ComboBox_TyHlo_yksikko_00000002</v>
      </c>
      <c r="AF9" t="s">
        <v>1528</v>
      </c>
      <c r="AG9" s="739" t="str">
        <f t="shared" si="0"/>
        <v/>
      </c>
      <c r="AH9" s="739" t="str">
        <f t="shared" si="1"/>
        <v/>
      </c>
      <c r="AI9"/>
      <c r="AJ9" s="739" t="str">
        <f t="shared" si="2"/>
        <v/>
      </c>
      <c r="AK9" s="739" t="str">
        <f t="shared" si="3"/>
        <v/>
      </c>
      <c r="AL9" s="370" t="s">
        <v>1640</v>
      </c>
    </row>
    <row r="10" spans="1:45" ht="15.75" x14ac:dyDescent="0.25">
      <c r="B10" s="817" t="str">
        <f>IF(V10&gt;0,"HUOM! Laskennassa on etsivien ja pajojen yhteisiä asiakkaita yhteensä: "&amp;V10,"")</f>
        <v/>
      </c>
      <c r="C10" s="817"/>
      <c r="D10" s="817"/>
      <c r="E10" s="817"/>
      <c r="F10" s="817"/>
      <c r="G10" s="816"/>
      <c r="H10" s="816"/>
      <c r="I10" s="816"/>
      <c r="J10" s="816"/>
      <c r="K10" s="816"/>
      <c r="U10" s="9" t="s">
        <v>1106</v>
      </c>
      <c r="V10" s="545">
        <f>COUNTIFS(AS!V:V,"Y",AS!AB:AB,"OK",AS!$BO:$BO,$W$7,AS!$AV:$AV,$X$2,AS!$AW:$AW,$X$32,AS!$X:$X,$Y$5,AS!$AT:$AT,Parkki!$Y$13,AS!$K:$K,$X$31,AS!$F:$F,$V$29,AS!$L:$L,$V$30,AS!$AG:$AG,Parkki!$Y$9)</f>
        <v>0</v>
      </c>
      <c r="W10" s="27"/>
      <c r="X10" s="221" t="str">
        <f>TEXT($A$2,$X$11)&amp;"-"&amp;TEXT($A$3,$X$11)&amp;" "</f>
        <v xml:space="preserve">01.01.2025-30.04.2025 </v>
      </c>
      <c r="AA10" s="176" t="str">
        <f>IFERROR(IF(INDEX(Data_Omakoodi!H:H,MATCH($AK$3&amp;$AL10,Data_Omakoodi!A:A,0))="P","",$AK$3&amp;$AL10),$AK$3&amp;$AL10)</f>
        <v>ComboBox_EtKuntakoodi_00000003</v>
      </c>
      <c r="AB10" s="44" t="str">
        <f>IFERROR(INDEX(Data_Omakoodi!E:E,MATCH(AA10,Data_Omakoodi!A:A,0)),"")</f>
        <v/>
      </c>
      <c r="AC10" t="str">
        <f>IFERROR(IF(INDEX(Data_Omakoodi!H:H,MATCH($AH$3&amp;$AL10,Data_Omakoodi!A:A,0))="P","",$AH$3&amp;$AL10),$AH$3&amp;$AL10)</f>
        <v>ComboBox_TyHlo_yksikko_00000003</v>
      </c>
      <c r="AD10" s="44" t="str">
        <f>IFERROR(INDEX(Data_Omakoodi!E:E,MATCH(AC10,Data_Omakoodi!A:A,0)),"")</f>
        <v/>
      </c>
      <c r="AE10" t="str">
        <f>IFERROR(IF(INDEX(Data_Omakoodi!H:H,MATCH($AH$3&amp;$AL10,Data_Omakoodi!A:A,0))="P","",$AH$3&amp;$AL10),$AH$3&amp;$AL10)</f>
        <v>ComboBox_TyHlo_yksikko_00000003</v>
      </c>
      <c r="AF10" t="s">
        <v>1529</v>
      </c>
      <c r="AG10" s="739" t="str">
        <f t="shared" si="0"/>
        <v/>
      </c>
      <c r="AH10" s="739" t="str">
        <f t="shared" si="1"/>
        <v/>
      </c>
      <c r="AI10"/>
      <c r="AJ10" s="739" t="str">
        <f t="shared" si="2"/>
        <v/>
      </c>
      <c r="AK10" s="739" t="str">
        <f t="shared" si="3"/>
        <v/>
      </c>
      <c r="AL10" s="370" t="s">
        <v>1641</v>
      </c>
    </row>
    <row r="11" spans="1:45" ht="30" customHeight="1" x14ac:dyDescent="0.25">
      <c r="A11" s="387"/>
      <c r="B11" s="790" t="str">
        <f>IF(V11&gt;0,IF(V11=1,"Tiedoksi: Muunsukupuolisia on "&amp;V11&amp;" henkilö. Tässä tilastoissa hän näkyy osana miesten laskentaa tietosuojasyistä.","Tiedoksi: Muunsukupuolisia on yhteensä: "&amp;V11&amp;" henkilöä. Tässä tilastoissa he näkyvät osana miesten laskentaa tietosuojasyistä."),"")</f>
        <v/>
      </c>
      <c r="C11" s="790"/>
      <c r="D11" s="790"/>
      <c r="E11" s="790"/>
      <c r="F11" s="546"/>
      <c r="U11" s="9" t="s">
        <v>1107</v>
      </c>
      <c r="V11" s="545">
        <f>COUNTIFS(AS!T:T,AS!$J$1,AS!AB:AB,"OK",AS!$BO:$BO,$W$7,AS!$AV:$AV,$X$2,AS!$AW:$AW,$X$32,AS!$X:$X,$Y$5,AS!$AT:$AT,Parkki!$Y$13,AS!$K:$K,$X$31,AS!$F:$F,$V$29,AS!$L:$L,$V$30,AS!$AG:$AG,Parkki!$Y$9)</f>
        <v>0</v>
      </c>
      <c r="W11" s="27"/>
      <c r="X11" s="222" t="s">
        <v>675</v>
      </c>
      <c r="Y11" s="222" t="s">
        <v>676</v>
      </c>
      <c r="AA11" s="176" t="str">
        <f>IFERROR(IF(INDEX(Data_Omakoodi!H:H,MATCH($AK$3&amp;$AL11,Data_Omakoodi!A:A,0))="P","",$AK$3&amp;$AL11),$AK$3&amp;$AL11)</f>
        <v>ComboBox_EtKuntakoodi_00000004</v>
      </c>
      <c r="AB11" s="44" t="str">
        <f>IFERROR(INDEX(Data_Omakoodi!E:E,MATCH(AA11,Data_Omakoodi!A:A,0)),"")</f>
        <v/>
      </c>
      <c r="AC11" t="str">
        <f>IFERROR(IF(INDEX(Data_Omakoodi!H:H,MATCH($AH$3&amp;$AL11,Data_Omakoodi!A:A,0))="P","",$AH$3&amp;$AL11),$AH$3&amp;$AL11)</f>
        <v>ComboBox_TyHlo_yksikko_00000004</v>
      </c>
      <c r="AD11" s="44" t="str">
        <f>IFERROR(INDEX(Data_Omakoodi!E:E,MATCH(AC11,Data_Omakoodi!A:A,0)),"")</f>
        <v/>
      </c>
      <c r="AE11" t="str">
        <f>IFERROR(IF(INDEX(Data_Omakoodi!H:H,MATCH($AH$3&amp;$AL11,Data_Omakoodi!A:A,0))="P","",$AH$3&amp;$AL11),$AH$3&amp;$AL11)</f>
        <v>ComboBox_TyHlo_yksikko_00000004</v>
      </c>
      <c r="AF11" t="s">
        <v>1530</v>
      </c>
      <c r="AG11" s="739" t="str">
        <f t="shared" si="0"/>
        <v/>
      </c>
      <c r="AH11" s="739" t="str">
        <f t="shared" si="1"/>
        <v/>
      </c>
      <c r="AI11"/>
      <c r="AJ11" s="739" t="str">
        <f t="shared" si="2"/>
        <v/>
      </c>
      <c r="AK11" s="739" t="str">
        <f t="shared" si="3"/>
        <v/>
      </c>
      <c r="AL11" s="370" t="s">
        <v>1642</v>
      </c>
    </row>
    <row r="12" spans="1:45" ht="15" customHeight="1" x14ac:dyDescent="0.25">
      <c r="B12" s="546"/>
      <c r="C12" s="546"/>
      <c r="D12" s="546"/>
      <c r="E12" s="546"/>
      <c r="F12" s="546"/>
      <c r="W12" s="27"/>
      <c r="X12" s="221" t="str">
        <f>IF(A8=W2,IF(A5=AB5,"","("&amp;A5&amp;")"),IF(A5=AB5,"("&amp;A8&amp;")","("&amp;A8&amp;"/"&amp;A5&amp;")"))</f>
        <v>(45908)</v>
      </c>
      <c r="Y12" s="221" t="str">
        <f>IF($A$6=$Y$2,$Z$3,IF(A6=Y1,$Z$2,Z4))</f>
        <v xml:space="preserve">- KAIKKI: </v>
      </c>
      <c r="AA12" s="176" t="str">
        <f>IFERROR(IF(INDEX(Data_Omakoodi!H:H,MATCH($AK$3&amp;$AL12,Data_Omakoodi!A:A,0))="P","",$AK$3&amp;$AL12),$AK$3&amp;$AL12)</f>
        <v>ComboBox_EtKuntakoodi_00000005</v>
      </c>
      <c r="AB12" s="44" t="str">
        <f>IFERROR(INDEX(Data_Omakoodi!E:E,MATCH(AA12,Data_Omakoodi!A:A,0)),"")</f>
        <v/>
      </c>
      <c r="AC12" t="str">
        <f>IFERROR(IF(INDEX(Data_Omakoodi!H:H,MATCH($AH$3&amp;$AL12,Data_Omakoodi!A:A,0))="P","",$AH$3&amp;$AL12),$AH$3&amp;$AL12)</f>
        <v>ComboBox_TyHlo_yksikko_00000005</v>
      </c>
      <c r="AD12" s="44" t="str">
        <f>IFERROR(INDEX(Data_Omakoodi!E:E,MATCH(AC12,Data_Omakoodi!A:A,0)),"")</f>
        <v/>
      </c>
      <c r="AE12" t="str">
        <f>IFERROR(IF(INDEX(Data_Omakoodi!H:H,MATCH($AH$3&amp;$AL12,Data_Omakoodi!A:A,0))="P","",$AH$3&amp;$AL12),$AH$3&amp;$AL12)</f>
        <v>ComboBox_TyHlo_yksikko_00000005</v>
      </c>
      <c r="AF12" t="s">
        <v>1531</v>
      </c>
      <c r="AG12" s="739" t="str">
        <f t="shared" si="0"/>
        <v/>
      </c>
      <c r="AH12" s="739" t="str">
        <f t="shared" si="1"/>
        <v/>
      </c>
      <c r="AI12"/>
      <c r="AJ12" s="739" t="str">
        <f t="shared" si="2"/>
        <v/>
      </c>
      <c r="AK12" s="739" t="str">
        <f t="shared" si="3"/>
        <v/>
      </c>
      <c r="AL12" s="370" t="s">
        <v>1643</v>
      </c>
    </row>
    <row r="13" spans="1:45" x14ac:dyDescent="0.25">
      <c r="X13" s="221" t="str">
        <f>A7</f>
        <v>KAIKKI</v>
      </c>
      <c r="Y13" s="565" t="str">
        <f>IF(V14&gt;4,IFERROR(INDEX(X97:X136,MATCH(A7,AE97:AE135,0)),"*"),"*")</f>
        <v>*</v>
      </c>
      <c r="AA13" s="176" t="str">
        <f>IFERROR(IF(INDEX(Data_Omakoodi!H:H,MATCH($AK$3&amp;$AL13,Data_Omakoodi!A:A,0))="P","",$AK$3&amp;$AL13),$AK$3&amp;$AL13)</f>
        <v>ComboBox_EtKuntakoodi_00000006</v>
      </c>
      <c r="AB13" s="44" t="str">
        <f>IFERROR(INDEX(Data_Omakoodi!E:E,MATCH(AA13,Data_Omakoodi!A:A,0)),"")</f>
        <v/>
      </c>
      <c r="AC13" t="str">
        <f>IFERROR(IF(INDEX(Data_Omakoodi!H:H,MATCH($AH$3&amp;$AL13,Data_Omakoodi!A:A,0))="P","",$AH$3&amp;$AL13),$AH$3&amp;$AL13)</f>
        <v>ComboBox_TyHlo_yksikko_00000006</v>
      </c>
      <c r="AD13" s="44" t="str">
        <f>IFERROR(INDEX(Data_Omakoodi!E:E,MATCH(AC13,Data_Omakoodi!A:A,0)),"")</f>
        <v/>
      </c>
      <c r="AE13" t="str">
        <f>IFERROR(IF(INDEX(Data_Omakoodi!H:H,MATCH($AH$3&amp;$AL13,Data_Omakoodi!A:A,0))="P","",$AH$3&amp;$AL13),$AH$3&amp;$AL13)</f>
        <v>ComboBox_TyHlo_yksikko_00000006</v>
      </c>
      <c r="AF13" t="s">
        <v>1532</v>
      </c>
      <c r="AG13" s="739" t="str">
        <f t="shared" si="0"/>
        <v/>
      </c>
      <c r="AH13" s="739" t="str">
        <f t="shared" si="1"/>
        <v/>
      </c>
      <c r="AI13"/>
      <c r="AJ13" s="739" t="str">
        <f t="shared" si="2"/>
        <v/>
      </c>
      <c r="AK13" s="739" t="str">
        <f t="shared" si="3"/>
        <v/>
      </c>
      <c r="AL13" s="370" t="s">
        <v>1644</v>
      </c>
    </row>
    <row r="14" spans="1:45" ht="18" customHeight="1" x14ac:dyDescent="0.3">
      <c r="A14" s="539" t="s">
        <v>1103</v>
      </c>
      <c r="B14" s="538"/>
      <c r="C14" s="538"/>
      <c r="D14" s="538"/>
      <c r="E14" s="538"/>
      <c r="F14" s="537"/>
      <c r="G14" s="538"/>
      <c r="H14" s="538"/>
      <c r="I14" s="538"/>
      <c r="J14" s="538"/>
      <c r="K14" s="538"/>
      <c r="L14" s="538"/>
      <c r="M14" s="538"/>
      <c r="O14" s="790" t="str">
        <f>A6&amp;" asiakkaat: Yksiköt "&amp;X10&amp;", "&amp;A5</f>
        <v>Kaikki asiakkaat: Yksiköt 01.01.2025-30.04.2025 , Kaikki kunnat</v>
      </c>
      <c r="P14" s="790"/>
      <c r="Q14" s="790"/>
      <c r="R14" s="790"/>
      <c r="U14" s="9" t="s">
        <v>1590</v>
      </c>
      <c r="V14" s="9">
        <f>SUMIFS(AS!W:W,AS!$BO:$BO,$W$7,AS!AB:AB,AS!$AA$1,AS!$AV:$AV,$X$2,AS!$AW:$AW,$X$32,AS!$X:$X,$Y$5,AS!$AT:$AT,Parkki!$Y$14,AS!$K:$K,$X$31,AS!$F:$F,$V$29,AS!$L:$L,$V$30,AS!$AG:$AG,Parkki!$Y$9)</f>
        <v>0</v>
      </c>
      <c r="W14" s="9"/>
      <c r="X14" s="9"/>
      <c r="Y14" s="9" t="str">
        <f>IFERROR(INDEX(X97:X136,MATCH(A7,AE97:AE135,0)),"*")</f>
        <v>*</v>
      </c>
      <c r="AA14" s="176" t="str">
        <f>IFERROR(IF(INDEX(Data_Omakoodi!H:H,MATCH($AK$3&amp;$AL14,Data_Omakoodi!A:A,0))="P","",$AK$3&amp;$AL14),$AK$3&amp;$AL14)</f>
        <v>ComboBox_EtKuntakoodi_00000007</v>
      </c>
      <c r="AB14" s="44" t="str">
        <f>IFERROR(INDEX(Data_Omakoodi!E:E,MATCH(AA14,Data_Omakoodi!A:A,0)),"")</f>
        <v/>
      </c>
      <c r="AC14" t="str">
        <f>IFERROR(IF(INDEX(Data_Omakoodi!H:H,MATCH($AH$3&amp;$AL14,Data_Omakoodi!A:A,0))="P","",$AH$3&amp;$AL14),$AH$3&amp;$AL14)</f>
        <v>ComboBox_TyHlo_yksikko_00000007</v>
      </c>
      <c r="AD14" s="44" t="str">
        <f>IFERROR(INDEX(Data_Omakoodi!E:E,MATCH(AC14,Data_Omakoodi!A:A,0)),"")</f>
        <v/>
      </c>
      <c r="AE14" t="str">
        <f>IFERROR(IF(INDEX(Data_Omakoodi!H:H,MATCH($AH$3&amp;$AL14,Data_Omakoodi!A:A,0))="P","",$AH$3&amp;$AL14),$AH$3&amp;$AL14)</f>
        <v>ComboBox_TyHlo_yksikko_00000007</v>
      </c>
      <c r="AF14" t="s">
        <v>1533</v>
      </c>
      <c r="AG14" s="739" t="str">
        <f t="shared" si="0"/>
        <v/>
      </c>
      <c r="AH14" s="739" t="str">
        <f t="shared" si="1"/>
        <v/>
      </c>
      <c r="AI14"/>
      <c r="AJ14" s="739" t="str">
        <f t="shared" si="2"/>
        <v/>
      </c>
      <c r="AK14" s="739" t="str">
        <f t="shared" si="3"/>
        <v/>
      </c>
      <c r="AL14" s="370" t="s">
        <v>1645</v>
      </c>
    </row>
    <row r="15" spans="1:45" ht="31.5" customHeight="1" x14ac:dyDescent="0.25">
      <c r="B15" s="789" t="str">
        <f>"Kuinka moneen naiseen ja mieheen etsivä nuorisotyö yritti saada yhteyttä "&amp;Y12&amp;X10&amp;U8&amp;X15</f>
        <v>Kuinka moneen naiseen ja mieheen etsivä nuorisotyö yritti saada yhteyttä - KAIKKI: 01.01.2025-30.04.2025 (Kaikki yksiköt / perustiedoista, Kaikki kunnat / perustiedoista, Ikäluokka: Kaikki)</v>
      </c>
      <c r="C15" s="789"/>
      <c r="D15" s="789"/>
      <c r="E15" s="789"/>
      <c r="F15" s="422"/>
      <c r="G15" s="812" t="str">
        <f>B15</f>
        <v>Kuinka moneen naiseen ja mieheen etsivä nuorisotyö yritti saada yhteyttä - KAIKKI: 01.01.2025-30.04.2025 (Kaikki yksiköt / perustiedoista, Kaikki kunnat / perustiedoista, Ikäluokka: Kaikki)</v>
      </c>
      <c r="H15" s="813"/>
      <c r="I15" s="813"/>
      <c r="J15" s="813"/>
      <c r="K15" s="813"/>
      <c r="L15" s="813"/>
      <c r="M15" s="814"/>
      <c r="O15" s="791"/>
      <c r="P15" s="791"/>
      <c r="Q15" s="791"/>
      <c r="R15" s="791"/>
      <c r="X15" s="221" t="str">
        <f>"("&amp;A4&amp;" / "&amp;C4&amp;", "&amp;A5&amp;" / "&amp;C5&amp;", Ikäluokka: "&amp;C6&amp;")"</f>
        <v>(Kaikki yksiköt / perustiedoista, Kaikki kunnat / perustiedoista, Ikäluokka: Kaikki)</v>
      </c>
      <c r="Y15" s="564" t="str">
        <f>IF(Y18=0,"VANHA",IF(Y18="","VANHA","OK"))</f>
        <v>VANHA</v>
      </c>
      <c r="Z15" t="s">
        <v>1169</v>
      </c>
      <c r="AA15" s="176" t="str">
        <f>IFERROR(IF(INDEX(Data_Omakoodi!H:H,MATCH($AK$3&amp;$AL15,Data_Omakoodi!A:A,0))="P","",$AK$3&amp;$AL15),$AK$3&amp;$AL15)</f>
        <v>ComboBox_EtKuntakoodi_00000008</v>
      </c>
      <c r="AB15" s="44" t="str">
        <f>IFERROR(INDEX(Data_Omakoodi!E:E,MATCH(AA15,Data_Omakoodi!A:A,0)),"")</f>
        <v/>
      </c>
      <c r="AC15" t="str">
        <f>IFERROR(IF(INDEX(Data_Omakoodi!H:H,MATCH($AH$3&amp;$AL15,Data_Omakoodi!A:A,0))="P","",$AH$3&amp;$AL15),$AH$3&amp;$AL15)</f>
        <v>ComboBox_TyHlo_yksikko_00000008</v>
      </c>
      <c r="AD15" s="44" t="str">
        <f>IFERROR(INDEX(Data_Omakoodi!E:E,MATCH(AC15,Data_Omakoodi!A:A,0)),"")</f>
        <v/>
      </c>
      <c r="AE15" t="str">
        <f>IFERROR(IF(INDEX(Data_Omakoodi!H:H,MATCH($AH$3&amp;$AL15,Data_Omakoodi!A:A,0))="P","",$AH$3&amp;$AL15),$AH$3&amp;$AL15)</f>
        <v>ComboBox_TyHlo_yksikko_00000008</v>
      </c>
      <c r="AF15" t="s">
        <v>1534</v>
      </c>
      <c r="AG15" s="739" t="str">
        <f t="shared" si="0"/>
        <v/>
      </c>
      <c r="AH15" s="739" t="str">
        <f t="shared" si="1"/>
        <v/>
      </c>
      <c r="AI15"/>
      <c r="AJ15" s="739" t="str">
        <f t="shared" si="2"/>
        <v/>
      </c>
      <c r="AK15" s="739" t="str">
        <f t="shared" si="3"/>
        <v/>
      </c>
      <c r="AL15" s="370" t="s">
        <v>1646</v>
      </c>
    </row>
    <row r="16" spans="1:45" ht="25.5" x14ac:dyDescent="0.25">
      <c r="B16" s="518"/>
      <c r="C16" s="521" t="s">
        <v>114</v>
      </c>
      <c r="D16" s="521" t="s">
        <v>132</v>
      </c>
      <c r="E16" s="522" t="s">
        <v>1162</v>
      </c>
      <c r="F16" s="521" t="s">
        <v>1186</v>
      </c>
      <c r="G16" s="524"/>
      <c r="M16" s="525"/>
      <c r="O16" s="783" t="s">
        <v>1569</v>
      </c>
      <c r="P16" s="783" t="s">
        <v>1582</v>
      </c>
      <c r="Q16" s="783" t="s">
        <v>1583</v>
      </c>
      <c r="R16" s="783" t="s">
        <v>1581</v>
      </c>
      <c r="V16" s="386" t="s">
        <v>789</v>
      </c>
      <c r="X16" s="28" t="s">
        <v>625</v>
      </c>
      <c r="Y16" s="564" t="str">
        <f>IF(Y15="VANHA","",IF(V14&gt;4,IFERROR(INDEX(X97:X136,MATCH(A7,AE97:AE135,0)),"*"),"*"))</f>
        <v/>
      </c>
      <c r="Z16" t="s">
        <v>1170</v>
      </c>
      <c r="AA16" s="176" t="str">
        <f>IFERROR(IF(INDEX(Data_Omakoodi!H:H,MATCH($AK$3&amp;$AL16,Data_Omakoodi!A:A,0))="P","",$AK$3&amp;$AL16),$AK$3&amp;$AL16)</f>
        <v>ComboBox_EtKuntakoodi_00000009</v>
      </c>
      <c r="AB16" s="44" t="str">
        <f>IFERROR(INDEX(Data_Omakoodi!E:E,MATCH(AA16,Data_Omakoodi!A:A,0)),"")</f>
        <v/>
      </c>
      <c r="AC16" t="str">
        <f>IFERROR(IF(INDEX(Data_Omakoodi!H:H,MATCH($AH$3&amp;$AL16,Data_Omakoodi!A:A,0))="P","",$AH$3&amp;$AL16),$AH$3&amp;$AL16)</f>
        <v>ComboBox_TyHlo_yksikko_00000009</v>
      </c>
      <c r="AD16" s="44" t="str">
        <f>IFERROR(INDEX(Data_Omakoodi!E:E,MATCH(AC16,Data_Omakoodi!A:A,0)),"")</f>
        <v/>
      </c>
      <c r="AE16" t="str">
        <f>IFERROR(IF(INDEX(Data_Omakoodi!H:H,MATCH($AH$3&amp;$AL16,Data_Omakoodi!A:A,0))="P","",$AH$3&amp;$AL16),$AH$3&amp;$AL16)</f>
        <v>ComboBox_TyHlo_yksikko_00000009</v>
      </c>
      <c r="AF16" t="s">
        <v>1535</v>
      </c>
      <c r="AG16" s="739" t="str">
        <f t="shared" si="0"/>
        <v/>
      </c>
      <c r="AH16" s="739" t="str">
        <f t="shared" si="1"/>
        <v/>
      </c>
      <c r="AI16"/>
      <c r="AJ16" s="739" t="str">
        <f t="shared" si="2"/>
        <v/>
      </c>
      <c r="AK16" s="739" t="str">
        <f t="shared" si="3"/>
        <v/>
      </c>
      <c r="AL16" s="370" t="s">
        <v>1647</v>
      </c>
    </row>
    <row r="17" spans="1:45" x14ac:dyDescent="0.25">
      <c r="B17" s="518" t="s">
        <v>785</v>
      </c>
      <c r="C17" s="520">
        <f>SUMIFS(AS!W:W,AS!$BO:$BO,$W$7,AS!AB:AB,AS!$AA$1,AS!AG:AG,$X17,AS!$AV:$AV,$X$2,AS!$AW:$AW,$X$32,AS!$X:$X,$Y$5,AS!$AT:$AT,Parkki!$Y$13,AS!$K:$K,$X$31,AS!$F:$F,$V$29,AS!$L:$L,$V$30,AS!$AG:$AG,Parkki!$Y$9)</f>
        <v>0</v>
      </c>
      <c r="D17" s="520">
        <f>SUMIFS(AS!W:W,AS!$BO:$BO,$W$7,AS!AB:AB,AS!$AA$1,AS!AG:AG,$X17,AS!$AV:$AV,$X$2,AS!$AW:$AW,$X$32,AS!$X:$X,$Y$5,AS!I:I,$X$7,AS!$AT:$AT,Parkki!$Y$13,AS!$K:$K,$X$31,AS!$F:$F,$V$29,AS!$L:$L,$V$30,AS!$AG:$AG,Parkki!$Y$9)</f>
        <v>0</v>
      </c>
      <c r="E17" s="520">
        <f>SUMIFS(AS!W:W,AS!$BO:$BO,$W$7,AS!AB:AB,AS!$AA$1,AS!AG:AG,$X17,AS!$AV:$AV,$X$2,AS!$AW:$AW,$X$32,AS!$X:$X,$Y$5,AS!I:I,$Y$7,AS!$AT:$AT,Parkki!$Y$13,AS!$K:$K,$X$31,AS!$F:$F,$V$29,AS!$L:$L,$V$30,AS!$AG:$AG,Parkki!$Y$9)</f>
        <v>0</v>
      </c>
      <c r="F17" s="520">
        <f>SUMIFS(AS!W:W,AS!$BO:$BO,$W$7,AS!AB:AB,AS!$AA$1,AS!AG:AG,$X17,AS!$AV:$AV,$X$2,AS!$AW:$AW,$X$32,AS!$X:$X,$Y$5,AS!$AT:$AT,Parkki!$Y$13,AS!BP:BP,1,AS!$K:$K,$X$31,AS!$F:$F,$V$29,AS!$L:$L,$V$30,AS!$AG:$AG,Parkki!$Y$9)</f>
        <v>0</v>
      </c>
      <c r="G17" s="524"/>
      <c r="M17" s="525"/>
      <c r="O17" s="783"/>
      <c r="P17" s="783"/>
      <c r="Q17" s="783"/>
      <c r="R17" s="783"/>
      <c r="X17" s="28" t="s">
        <v>65</v>
      </c>
      <c r="Y17" s="564">
        <f>IFERROR(MATCH("OK",TP!AD:AD,0),4)</f>
        <v>4</v>
      </c>
      <c r="Z17" t="s">
        <v>1171</v>
      </c>
      <c r="AA17" s="176" t="str">
        <f>IFERROR(IF(INDEX(Data_Omakoodi!H:H,MATCH($AK$3&amp;$AL17,Data_Omakoodi!A:A,0))="P","",$AK$3&amp;$AL17),$AK$3&amp;$AL17)</f>
        <v>ComboBox_EtKuntakoodi_00000010</v>
      </c>
      <c r="AB17" s="44" t="str">
        <f>IFERROR(INDEX(Data_Omakoodi!E:E,MATCH(AA17,Data_Omakoodi!A:A,0)),"")</f>
        <v/>
      </c>
      <c r="AC17" t="str">
        <f>IFERROR(IF(INDEX(Data_Omakoodi!H:H,MATCH($AH$3&amp;$AL17,Data_Omakoodi!A:A,0))="P","",$AH$3&amp;$AL17),$AH$3&amp;$AL17)</f>
        <v>ComboBox_TyHlo_yksikko_00000010</v>
      </c>
      <c r="AD17" s="44" t="str">
        <f>IFERROR(INDEX(Data_Omakoodi!E:E,MATCH(AC17,Data_Omakoodi!A:A,0)),"")</f>
        <v/>
      </c>
      <c r="AE17" t="str">
        <f>IFERROR(IF(INDEX(Data_Omakoodi!H:H,MATCH($AH$3&amp;$AL17,Data_Omakoodi!A:A,0))="P","",$AH$3&amp;$AL17),$AH$3&amp;$AL17)</f>
        <v>ComboBox_TyHlo_yksikko_00000010</v>
      </c>
      <c r="AF17" t="s">
        <v>1536</v>
      </c>
      <c r="AG17" s="739" t="str">
        <f t="shared" si="0"/>
        <v/>
      </c>
      <c r="AH17" s="739" t="str">
        <f t="shared" si="1"/>
        <v/>
      </c>
      <c r="AI17"/>
      <c r="AJ17" s="739" t="str">
        <f t="shared" si="2"/>
        <v/>
      </c>
      <c r="AK17" s="739" t="str">
        <f t="shared" si="3"/>
        <v/>
      </c>
      <c r="AL17">
        <v>10</v>
      </c>
    </row>
    <row r="18" spans="1:45" x14ac:dyDescent="0.25">
      <c r="B18" s="518" t="s">
        <v>1359</v>
      </c>
      <c r="C18" s="520">
        <f>SUMIFS(AS!W:W,AS!$BO:$BO,$W$7,AS!AB:AB,AS!$AA$1,AS!AG:AG,$X18,AS!$AV:$AV,$X$2,AS!$AW:$AW,$X$32,AS!$X:$X,$Y$5,AS!$AT:$AT,Parkki!$Y$13,AS!$K:$K,$X$31,AS!$F:$F,$V$29,AS!$L:$L,$V$30,AS!$AG:$AG,Parkki!$Y$9)</f>
        <v>0</v>
      </c>
      <c r="D18" s="520">
        <f>SUMIFS(AS!W:W,AS!$BO:$BO,$W$7,AS!AB:AB,AS!$AA$1,AS!AG:AG,$X18,AS!$AV:$AV,$X$2,AS!$AW:$AW,$X$32,AS!$X:$X,$Y$5,AS!I:I,$X$7,AS!$AT:$AT,Parkki!$Y$13,AS!$K:$K,$X$31,AS!$F:$F,$V$29,AS!$L:$L,$V$30,AS!$AG:$AG,Parkki!$Y$9)</f>
        <v>0</v>
      </c>
      <c r="E18" s="520">
        <f>SUMIFS(AS!W:W,AS!$BO:$BO,$W$7,AS!AB:AB,AS!$AA$1,AS!AG:AG,$X18,AS!$AV:$AV,$X$2,AS!$AW:$AW,$X$32,AS!$X:$X,$Y$5,AS!I:I,$Y$7,AS!$AT:$AT,Parkki!$Y$13,AS!$K:$K,$X$31,AS!$F:$F,$V$29,AS!$L:$L,$V$30,AS!$AG:$AG,Parkki!$Y$9)</f>
        <v>0</v>
      </c>
      <c r="F18" s="520">
        <f>SUMIFS(AS!W:W,AS!$BO:$BO,$W$7,AS!AB:AB,AS!$AA$1,AS!AG:AG,$X18,AS!$AV:$AV,$X$2,AS!$AW:$AW,$X$32,AS!$X:$X,$Y$5,AS!$AT:$AT,Parkki!$Y$13,AS!BP:BP,1,AS!$K:$K,$X$31,AS!$F:$F,$V$29,AS!$L:$L,$V$30,AS!$AG:$AG,Parkki!$Y$9)</f>
        <v>0</v>
      </c>
      <c r="G18" s="524"/>
      <c r="M18" s="525"/>
      <c r="O18" s="783"/>
      <c r="P18" s="783"/>
      <c r="Q18" s="783"/>
      <c r="R18" s="783"/>
      <c r="X18" t="s">
        <v>1357</v>
      </c>
      <c r="Y18" s="9" t="str" cm="1">
        <f t="array" ref="Y18">INDEX(TP!AN:AN,Parkki!Y17)</f>
        <v/>
      </c>
      <c r="AA18" s="176" t="str">
        <f>IFERROR(IF(INDEX(Data_Omakoodi!H:H,MATCH($AK$3&amp;$AL18,Data_Omakoodi!A:A,0))="P","",$AK$3&amp;$AL18),$AK$3&amp;$AL18)</f>
        <v>ComboBox_EtKuntakoodi_00000011</v>
      </c>
      <c r="AB18" s="44" t="str">
        <f>IFERROR(INDEX(Data_Omakoodi!E:E,MATCH(AA18,Data_Omakoodi!A:A,0)),"")</f>
        <v/>
      </c>
      <c r="AC18" t="str">
        <f>IFERROR(IF(INDEX(Data_Omakoodi!H:H,MATCH($AH$3&amp;$AL18,Data_Omakoodi!A:A,0))="P","",$AH$3&amp;$AL18),$AH$3&amp;$AL18)</f>
        <v>ComboBox_TyHlo_yksikko_00000011</v>
      </c>
      <c r="AD18" s="44" t="str">
        <f>IFERROR(INDEX(Data_Omakoodi!E:E,MATCH(AC18,Data_Omakoodi!A:A,0)),"")</f>
        <v/>
      </c>
      <c r="AE18" t="str">
        <f>IFERROR(IF(INDEX(Data_Omakoodi!H:H,MATCH($AH$3&amp;$AL18,Data_Omakoodi!A:A,0))="P","",$AH$3&amp;$AL18),$AH$3&amp;$AL18)</f>
        <v>ComboBox_TyHlo_yksikko_00000011</v>
      </c>
      <c r="AF18" t="s">
        <v>1537</v>
      </c>
      <c r="AG18" s="739" t="str">
        <f t="shared" si="0"/>
        <v/>
      </c>
      <c r="AH18" s="739" t="str">
        <f t="shared" si="1"/>
        <v/>
      </c>
      <c r="AI18"/>
      <c r="AJ18" s="739" t="str">
        <f t="shared" si="2"/>
        <v/>
      </c>
      <c r="AK18" s="739" t="str">
        <f t="shared" si="3"/>
        <v/>
      </c>
      <c r="AL18">
        <v>11</v>
      </c>
    </row>
    <row r="19" spans="1:45" x14ac:dyDescent="0.25">
      <c r="B19" s="518" t="s">
        <v>1360</v>
      </c>
      <c r="C19" s="520">
        <f>SUMIFS(AS!W:W,AS!$BO:$BO,$W$7,AS!AB:AB,AS!$AA$1,AS!AG:AG,$X19,AS!$AV:$AV,$X$2,AS!$AW:$AW,$X$32,AS!$X:$X,$Y$5,AS!$AT:$AT,Parkki!$Y$13,AS!$K:$K,$X$31,AS!$F:$F,$V$29,AS!$L:$L,$V$30,AS!$AG:$AG,Parkki!$Y$9)</f>
        <v>0</v>
      </c>
      <c r="D19" s="520">
        <f>SUMIFS(AS!W:W,AS!$BO:$BO,$W$7,AS!AB:AB,AS!$AA$1,AS!AG:AG,$X19,AS!$AV:$AV,$X$2,AS!$AW:$AW,$X$32,AS!$X:$X,$Y$5,AS!I:I,$X$7,AS!$AT:$AT,Parkki!$Y$13,AS!$K:$K,$X$31,AS!$F:$F,$V$29,AS!$L:$L,$V$30,AS!$AG:$AG,Parkki!$Y$9)</f>
        <v>0</v>
      </c>
      <c r="E19" s="520">
        <f>SUMIFS(AS!W:W,AS!$BO:$BO,$W$7,AS!AB:AB,AS!$AA$1,AS!AG:AG,$X19,AS!$AV:$AV,$X$2,AS!$AW:$AW,$X$32,AS!$X:$X,$Y$5,AS!I:I,$Y$7,AS!$AT:$AT,Parkki!$Y$13,AS!$K:$K,$X$31,AS!$F:$F,$V$29,AS!$L:$L,$V$30,AS!$AG:$AG,Parkki!$Y$9)</f>
        <v>0</v>
      </c>
      <c r="F19" s="520">
        <f>SUMIFS(AS!W:W,AS!$BO:$BO,$W$7,AS!AB:AB,AS!$AA$1,AS!AG:AG,$X19,AS!$AV:$AV,$X$2,AS!$AW:$AW,$X$32,AS!$X:$X,$Y$5,AS!$AT:$AT,Parkki!$Y$13,AS!BP:BP,1,AS!$K:$K,$X$31,AS!$F:$F,$V$29,AS!$L:$L,$V$30,AS!$AG:$AG,Parkki!$Y$9)</f>
        <v>0</v>
      </c>
      <c r="G19" s="524"/>
      <c r="M19" s="525"/>
      <c r="O19" s="743" t="str">
        <f>IFERROR(INDEX($AG$5:$AG$37,MATCH(SMALL($AH$5:$AH$37,T19),$AH$5:$AH$37,0)),"")</f>
        <v>Kaikki yksiköt</v>
      </c>
      <c r="P19" s="752">
        <f>SUMIFS(AS!$W:$W,AS!$AB:$AB,"OK",AS!$AW:$AW,Parkki!$Y$6,AS!$X:$X,Parkki!$Y$5,AS!$H:$H,Parkki!$W$7,AS!$K:$K,Parkki!$U19,AS!AH:AH,"nuori",AS!$AG:$AG,Parkki!$Y$9)</f>
        <v>0</v>
      </c>
      <c r="Q19" s="752">
        <f>SUMIFS(JA!$Z:$Z,JA!$AE:$AE,"OK",JA!$R:$R,Parkki!$Y$6,JA!$AY:$AY,Parkki!$Y$5,JA!$AI:$AI,$Y$4,JA!$L:$L,$U19,JA!$T:$T,1,JA!$AJ:$AJ,Parkki!$W$7,JA!V:V,"nuori",JA!$M:$M,Parkki!$Y$9)</f>
        <v>0</v>
      </c>
      <c r="R19" s="752">
        <f>SUMIFS(JA!$Z:$Z,JA!$AE:$AE,"OK",JA!$R:$R,Parkki!$Y$6,JA!$AY:$AY,Parkki!$Y$5,JA!$AI:$AI,$Y$4,JA!$L:$L,$U19,JA!$AJ:$AJ,Parkki!$W$7,JA!V:V,"nuori",JA!$M:$M,Parkki!$Y$9)</f>
        <v>0</v>
      </c>
      <c r="S19">
        <f>IF(O19="",0,1)</f>
        <v>1</v>
      </c>
      <c r="T19" s="144">
        <v>1</v>
      </c>
      <c r="U19" s="744" t="str">
        <f>INDEX($AC$5:$AC$37,MATCH(O19,$AD$5:$AD$37,0))</f>
        <v>*</v>
      </c>
      <c r="V19" s="9" t="s">
        <v>1163</v>
      </c>
      <c r="W19" s="9">
        <f>COUNTIFS(AS!T:T,AS!$J$1,AS!AB:AB,"OK",AS!$BO:$BO,$W$7,AS!$AV:$AV,$X$3,AS!$AW:$AW,$X$32,AS!$X:$X,$Y$5,AS!$AT:$AT,Parkki!$Y$13,AS!$K:$K,$X$31,AS!$F:$F,$V$29,AS!$L:$L,$V$30,AS!$AG:$AG,Parkki!$Y$9)</f>
        <v>0</v>
      </c>
      <c r="X19" s="155" t="s">
        <v>1358</v>
      </c>
      <c r="AA19" s="176" t="str">
        <f>IFERROR(IF(INDEX(Data_Omakoodi!H:H,MATCH($AK$3&amp;$AL19,Data_Omakoodi!A:A,0))="P","",$AK$3&amp;$AL19),$AK$3&amp;$AL19)</f>
        <v>ComboBox_EtKuntakoodi_00000012</v>
      </c>
      <c r="AB19" s="44" t="str">
        <f>IFERROR(INDEX(Data_Omakoodi!E:E,MATCH(AA19,Data_Omakoodi!A:A,0)),"")</f>
        <v/>
      </c>
      <c r="AC19" t="str">
        <f>IFERROR(IF(INDEX(Data_Omakoodi!H:H,MATCH($AH$3&amp;$AL19,Data_Omakoodi!A:A,0))="P","",$AH$3&amp;$AL19),$AH$3&amp;$AL19)</f>
        <v>ComboBox_TyHlo_yksikko_00000012</v>
      </c>
      <c r="AD19" s="44" t="str">
        <f>IFERROR(INDEX(Data_Omakoodi!E:E,MATCH(AC19,Data_Omakoodi!A:A,0)),"")</f>
        <v/>
      </c>
      <c r="AE19" t="str">
        <f>IFERROR(IF(INDEX(Data_Omakoodi!H:H,MATCH($AH$3&amp;$AL19,Data_Omakoodi!A:A,0))="P","",$AH$3&amp;$AL19),$AH$3&amp;$AL19)</f>
        <v>ComboBox_TyHlo_yksikko_00000012</v>
      </c>
      <c r="AF19" t="s">
        <v>1538</v>
      </c>
      <c r="AG19" s="739" t="str">
        <f t="shared" si="0"/>
        <v/>
      </c>
      <c r="AH19" s="739" t="str">
        <f t="shared" si="1"/>
        <v/>
      </c>
      <c r="AI19"/>
      <c r="AJ19" s="739" t="str">
        <f t="shared" si="2"/>
        <v/>
      </c>
      <c r="AK19" s="739" t="str">
        <f t="shared" si="3"/>
        <v/>
      </c>
      <c r="AL19">
        <v>12</v>
      </c>
    </row>
    <row r="20" spans="1:45" x14ac:dyDescent="0.25">
      <c r="B20" s="518" t="s">
        <v>786</v>
      </c>
      <c r="C20" s="520">
        <f>SUMIFS(AS!W:W,AS!$BO:$BO,$W$7,AS!AB:AB,AS!$AA$1,AS!AG:AG,$X20,AS!$AV:$AV,$X$2,AS!$AW:$AW,$X$32,AS!$X:$X,$Y$5,AS!$AT:$AT,Parkki!$Y$13,AS!$K:$K,$X$31,AS!$F:$F,$V$29,AS!$L:$L,$V$30,AS!$AG:$AG,Parkki!$Y$9)</f>
        <v>0</v>
      </c>
      <c r="D20" s="520">
        <f>SUMIFS(AS!W:W,AS!$BO:$BO,$W$7,AS!AB:AB,AS!$AA$1,AS!AG:AG,$X20,AS!$AV:$AV,$X$2,AS!$AW:$AW,$X$32,AS!$X:$X,$Y$5,AS!I:I,$X$7,AS!$AT:$AT,Parkki!$Y$13,AS!$K:$K,$X$31,AS!$F:$F,$V$29,AS!$L:$L,$V$30,AS!$AG:$AG,Parkki!$Y$9)</f>
        <v>0</v>
      </c>
      <c r="E20" s="520">
        <f>SUMIFS(AS!W:W,AS!$BO:$BO,$W$7,AS!AB:AB,AS!$AA$1,AS!AG:AG,$X20,AS!$AV:$AV,$X$2,AS!$AW:$AW,$X$32,AS!$X:$X,$Y$5,AS!I:I,$Y$7,AS!$AT:$AT,Parkki!$Y$13,AS!$K:$K,$X$31,AS!$F:$F,$V$29,AS!$L:$L,$V$30,AS!$AG:$AG,Parkki!$Y$9)</f>
        <v>0</v>
      </c>
      <c r="F20" s="520">
        <f>SUMIFS(AS!W:W,AS!$BO:$BO,$W$7,AS!AB:AB,AS!$AA$1,AS!AG:AG,$X20,AS!$AV:$AV,$X$2,AS!$AW:$AW,$X$32,AS!$X:$X,$Y$5,AS!$AT:$AT,Parkki!$Y$13,AS!BP:BP,1,AS!$K:$K,$X$31,AS!$F:$F,$V$29,AS!$L:$L,$V$30,AS!$AG:$AG,Parkki!$Y$9)</f>
        <v>0</v>
      </c>
      <c r="G20" s="524"/>
      <c r="M20" s="525"/>
      <c r="O20" s="743" t="str">
        <f t="shared" ref="O20:O48" si="4">IFERROR(INDEX($AG$5:$AG$37,MATCH(SMALL($AH$5:$AH$37,T20),$AH$5:$AH$37,0)),"")</f>
        <v>Ei yksiköitä</v>
      </c>
      <c r="P20" s="742">
        <f>SUMIFS(AS!$W:$W,AS!$AB:$AB,"OK",AS!$AW:$AW,Parkki!$Y$6,AS!$X:$X,Parkki!$Y$5,AS!$H:$H,Parkki!$W$7,AS!$K:$K,Parkki!$U20,AS!AH:AH,"nuori",AS!$AG:$AG,Parkki!$Y$9)</f>
        <v>0</v>
      </c>
      <c r="Q20" s="742">
        <f>SUMIFS(JA!$Z:$Z,JA!$AE:$AE,"OK",JA!$R:$R,Parkki!$Y$6,JA!$AY:$AY,Parkki!$Y$5,JA!$AI:$AI,$Y$4,JA!$L:$L,$U20,JA!$T:$T,1,JA!$AJ:$AJ,Parkki!$W$7,JA!V:V,"nuori",JA!$M:$M,Parkki!$Y$9)</f>
        <v>0</v>
      </c>
      <c r="R20" s="742">
        <f>SUMIFS(JA!$Z:$Z,JA!$AE:$AE,"OK",JA!$R:$R,Parkki!$Y$6,JA!$AY:$AY,Parkki!$Y$5,JA!$AI:$AI,$Y$4,JA!$L:$L,$U20,JA!$AJ:$AJ,Parkki!$W$7,JA!V:V,"nuori",JA!$M:$M,Parkki!$Y$9)</f>
        <v>0</v>
      </c>
      <c r="S20">
        <f>IF(O20="",0,1)</f>
        <v>1</v>
      </c>
      <c r="T20" s="144">
        <v>2</v>
      </c>
      <c r="U20" s="744" t="str">
        <f>INDEX($AC$5:$AC$37,MATCH(O20,$AD$5:$AD$37,0))</f>
        <v>tyhja</v>
      </c>
      <c r="V20" s="9" t="s">
        <v>1164</v>
      </c>
      <c r="W20" s="9">
        <f>COUNTIFS(AS!T:T,AS!$J$1,AS!AB:AB,"OK",AS!$BO:$BO,$W$7,AS!$AV:$AV,$X$4,AS!$AW:$AW,$X$32,AS!$X:$X,$Y$5,AS!$AT:$AT,Parkki!$Y$13,AS!$K:$K,$X$31,AS!$F:$F,$V$29,AS!$L:$L,$V$30,AS!$AG:$AG,Parkki!$Y$9)</f>
        <v>0</v>
      </c>
      <c r="X20" s="155" t="s">
        <v>71</v>
      </c>
      <c r="AA20" s="176" t="str">
        <f>IFERROR(IF(INDEX(Data_Omakoodi!H:H,MATCH($AK$3&amp;$AL20,Data_Omakoodi!A:A,0))="P","",$AK$3&amp;$AL20),$AK$3&amp;$AL20)</f>
        <v>ComboBox_EtKuntakoodi_00000013</v>
      </c>
      <c r="AB20" s="44" t="str">
        <f>IFERROR(INDEX(Data_Omakoodi!E:E,MATCH(AA20,Data_Omakoodi!A:A,0)),"")</f>
        <v/>
      </c>
      <c r="AC20" t="str">
        <f>IFERROR(IF(INDEX(Data_Omakoodi!H:H,MATCH($AH$3&amp;$AL20,Data_Omakoodi!A:A,0))="P","",$AH$3&amp;$AL20),$AH$3&amp;$AL20)</f>
        <v>ComboBox_TyHlo_yksikko_00000013</v>
      </c>
      <c r="AD20" s="44" t="str">
        <f>IFERROR(INDEX(Data_Omakoodi!E:E,MATCH(AC20,Data_Omakoodi!A:A,0)),"")</f>
        <v/>
      </c>
      <c r="AE20" t="str">
        <f>IFERROR(IF(INDEX(Data_Omakoodi!H:H,MATCH($AH$3&amp;$AL20,Data_Omakoodi!A:A,0))="P","",$AH$3&amp;$AL20),$AH$3&amp;$AL20)</f>
        <v>ComboBox_TyHlo_yksikko_00000013</v>
      </c>
      <c r="AF20" t="s">
        <v>1539</v>
      </c>
      <c r="AG20" s="739" t="str">
        <f t="shared" si="0"/>
        <v/>
      </c>
      <c r="AH20" s="739" t="str">
        <f t="shared" si="1"/>
        <v/>
      </c>
      <c r="AI20"/>
      <c r="AJ20" s="739" t="str">
        <f t="shared" si="2"/>
        <v/>
      </c>
      <c r="AK20" s="739" t="str">
        <f t="shared" si="3"/>
        <v/>
      </c>
      <c r="AL20">
        <v>13</v>
      </c>
    </row>
    <row r="21" spans="1:45" x14ac:dyDescent="0.25">
      <c r="B21" s="518" t="s">
        <v>787</v>
      </c>
      <c r="C21" s="520">
        <f>SUMIFS(AS!W:W,AS!$BO:$BO,$W$7,AS!AB:AB,AS!$AA$1,AS!AG:AG,$X21,AS!$AV:$AV,$X$2,AS!$AW:$AW,$X$32,AS!$X:$X,$Y$5,AS!$AT:$AT,Parkki!$Y$13,AS!$K:$K,$X$31,AS!$F:$F,$V$29,AS!$L:$L,$V$30,AS!$AG:$AG,Parkki!$Y$9)</f>
        <v>0</v>
      </c>
      <c r="D21" s="520">
        <f>SUMIFS(AS!W:W,AS!$BO:$BO,$W$7,AS!AB:AB,AS!$AA$1,AS!AG:AG,$X21,AS!$AV:$AV,$X$2,AS!$AW:$AW,$X$32,AS!$X:$X,$Y$5,AS!I:I,$X$7,AS!$AT:$AT,Parkki!$Y$13,AS!$K:$K,$X$31,AS!$F:$F,$V$29,AS!$L:$L,$V$30,AS!$AG:$AG,Parkki!$Y$9)</f>
        <v>0</v>
      </c>
      <c r="E21" s="520">
        <f>SUMIFS(AS!W:W,AS!$BO:$BO,$W$7,AS!AB:AB,AS!$AA$1,AS!AG:AG,$X21,AS!$AV:$AV,$X$2,AS!$AW:$AW,$X$32,AS!$X:$X,$Y$5,AS!I:I,$Y$7,AS!$AT:$AT,Parkki!$Y$13,AS!$K:$K,$X$31,AS!$F:$F,$V$29,AS!$L:$L,$V$30,AS!$AG:$AG,Parkki!$Y$9)</f>
        <v>0</v>
      </c>
      <c r="F21" s="520">
        <f>SUMIFS(AS!W:W,AS!$BO:$BO,$W$7,AS!AB:AB,AS!$AA$1,AS!AG:AG,$X21,AS!$AV:$AV,$X$2,AS!$AW:$AW,$X$32,AS!$X:$X,$Y$5,AS!$AT:$AT,Parkki!$Y$13,AS!BP:BP,1,AS!$K:$K,$X$31,AS!$F:$F,$V$29,AS!$L:$L,$V$30,AS!$AG:$AG,Parkki!$Y$9)</f>
        <v>0</v>
      </c>
      <c r="G21" s="524"/>
      <c r="M21" s="525"/>
      <c r="O21" s="743" t="str">
        <f t="shared" si="4"/>
        <v>Muut yksiköt</v>
      </c>
      <c r="P21" s="742">
        <f>SUMIFS(AS!$W:$W,AS!$AB:$AB,"OK",AS!$AW:$AW,Parkki!$Y$6,AS!$X:$X,Parkki!$Y$5,AS!$H:$H,Parkki!$W$7,AS!$K:$K,Parkki!$U21,AS!AH:AH,"nuori",AS!$AG:$AG,Parkki!$Y$9)</f>
        <v>0</v>
      </c>
      <c r="Q21" s="742">
        <f>SUMIFS(JA!$Z:$Z,JA!$AE:$AE,"OK",JA!$R:$R,Parkki!$Y$6,JA!$AY:$AY,Parkki!$Y$5,JA!$AI:$AI,$Y$4,JA!$L:$L,$U21,JA!$T:$T,1,JA!$AJ:$AJ,Parkki!$W$7,JA!V:V,"nuori",JA!$M:$M,Parkki!$Y$9)</f>
        <v>0</v>
      </c>
      <c r="R21" s="742">
        <f>SUMIFS(JA!$Z:$Z,JA!$AE:$AE,"OK",JA!$R:$R,Parkki!$Y$6,JA!$AY:$AY,Parkki!$Y$5,JA!$AI:$AI,$Y$4,JA!$L:$L,$U21,JA!$AJ:$AJ,Parkki!$W$7,JA!V:V,"nuori",JA!$M:$M,Parkki!$Y$9)</f>
        <v>0</v>
      </c>
      <c r="S21">
        <f t="shared" ref="S21:S48" si="5">IF(O21="",0,1)</f>
        <v>1</v>
      </c>
      <c r="T21" s="144">
        <v>3</v>
      </c>
      <c r="U21" s="744" t="str">
        <f t="shared" ref="U21:U48" si="6">INDEX($AC$5:$AC$37,MATCH(O21,$AD$5:$AD$37,0))</f>
        <v>muut</v>
      </c>
      <c r="V21" s="9" t="s">
        <v>1165</v>
      </c>
      <c r="W21" s="9">
        <f>COUNTIFS(AS!T:T,AS!$J$1,AS!AB:AB,"OK",AS!$BO:$BO,$W$7,AS!$AV:$AV,$X$5,AS!$AW:$AW,$X$32,AS!$X:$X,$Y$5,AS!$AT:$AT,Parkki!$Y$13,AS!$K:$K,$X$31,AS!$F:$F,$V$29,AS!$L:$L,$V$30,AS!$AG:$AG,Parkki!$Y$9)</f>
        <v>0</v>
      </c>
      <c r="X21" s="155" t="s">
        <v>74</v>
      </c>
      <c r="AA21" s="176" t="str">
        <f>IFERROR(IF(INDEX(Data_Omakoodi!H:H,MATCH($AK$3&amp;$AL21,Data_Omakoodi!A:A,0))="P","",$AK$3&amp;$AL21),$AK$3&amp;$AL21)</f>
        <v>ComboBox_EtKuntakoodi_00000014</v>
      </c>
      <c r="AB21" s="44" t="str">
        <f>IFERROR(INDEX(Data_Omakoodi!E:E,MATCH(AA21,Data_Omakoodi!A:A,0)),"")</f>
        <v/>
      </c>
      <c r="AC21" t="str">
        <f>IFERROR(IF(INDEX(Data_Omakoodi!H:H,MATCH($AH$3&amp;$AL21,Data_Omakoodi!A:A,0))="P","",$AH$3&amp;$AL21),$AH$3&amp;$AL21)</f>
        <v>ComboBox_TyHlo_yksikko_00000014</v>
      </c>
      <c r="AD21" s="44" t="str">
        <f>IFERROR(INDEX(Data_Omakoodi!E:E,MATCH(AC21,Data_Omakoodi!A:A,0)),"")</f>
        <v/>
      </c>
      <c r="AE21" t="str">
        <f>IFERROR(IF(INDEX(Data_Omakoodi!H:H,MATCH($AH$3&amp;$AL21,Data_Omakoodi!A:A,0))="P","",$AH$3&amp;$AL21),$AH$3&amp;$AL21)</f>
        <v>ComboBox_TyHlo_yksikko_00000014</v>
      </c>
      <c r="AF21" t="s">
        <v>1540</v>
      </c>
      <c r="AG21" s="739" t="str">
        <f t="shared" si="0"/>
        <v/>
      </c>
      <c r="AH21" s="739" t="str">
        <f t="shared" si="1"/>
        <v/>
      </c>
      <c r="AI21"/>
      <c r="AJ21" s="739" t="str">
        <f t="shared" si="2"/>
        <v/>
      </c>
      <c r="AK21" s="739" t="str">
        <f t="shared" si="3"/>
        <v/>
      </c>
      <c r="AL21">
        <v>14</v>
      </c>
    </row>
    <row r="22" spans="1:45" x14ac:dyDescent="0.25">
      <c r="B22" s="518" t="s">
        <v>2</v>
      </c>
      <c r="C22" s="520">
        <f>SUMIFS(AS!W:W,AS!$BO:$BO,$W$7,AS!AB:AB,AS!$AA$1,AS!AG:AG,$X22,AS!$AV:$AV,$X$2,AS!$AW:$AW,$X$32,AS!$X:$X,$Y$5,AS!$AT:$AT,Parkki!$Y$13,AS!$K:$K,$X$31,AS!$F:$F,$V$29,AS!$L:$L,$V$30,AS!$AG:$AG,Parkki!$Y$9)+V26</f>
        <v>0</v>
      </c>
      <c r="D22" s="520">
        <f>SUMIFS(AS!W:W,AS!$BO:$BO,$W$7,AS!AB:AB,AS!$AA$1,AS!AG:AG,$X22,AS!$AV:$AV,$X$2,AS!$AW:$AW,$X$32,AS!$X:$X,$Y$5,AS!I:I,$X$7,AS!$AT:$AT,Parkki!$Y$13,AS!$K:$K,$X$31,AS!$F:$F,$V$29,AS!$L:$L,$V$30,AS!$AG:$AG,Parkki!$Y$9)+W26</f>
        <v>0</v>
      </c>
      <c r="E22" s="520">
        <f>SUMIFS(AS!W:W,AS!$BO:$BO,$W$7,AS!AB:AB,AS!$AA$1,AS!AG:AG,$X22,AS!$AV:$AV,$X$2,AS!$AW:$AW,$X$32,AS!$X:$X,$Y$5,AS!I:I,$Y$7,AS!$AT:$AT,Parkki!$Y$13,AS!$K:$K,$X$31,AS!$F:$F,$V$29,AS!$L:$L,$V$30,AS!$AG:$AG,Parkki!$Y$9)+X26</f>
        <v>0</v>
      </c>
      <c r="F22" s="520">
        <f>SUMIFS(AS!W:W,AS!$BO:$BO,$W$7,AS!AB:AB,AS!$AA$1,AS!AG:AG,$X22,AS!$AV:$AV,$X$2,AS!$AW:$AW,$X$32,AS!$X:$X,$Y$5,AS!$AT:$AT,Parkki!$Y$13,AS!BP:BP,1,AS!$K:$K,$X$31,AS!$F:$F,$V$29,AS!$L:$L,$V$30,AS!$AG:$AG,Parkki!$Y$9)+Y26</f>
        <v>0</v>
      </c>
      <c r="G22" s="524"/>
      <c r="M22" s="525"/>
      <c r="O22" s="743" t="str">
        <f t="shared" si="4"/>
        <v/>
      </c>
      <c r="P22" s="742">
        <f>SUMIFS(AS!$W:$W,AS!$AB:$AB,"OK",AS!$AW:$AW,Parkki!$Y$6,AS!$X:$X,Parkki!$Y$5,AS!$H:$H,Parkki!$W$7,AS!$K:$K,Parkki!$U22,AS!AH:AH,"nuori",AS!$AG:$AG,Parkki!$Y$9)</f>
        <v>0</v>
      </c>
      <c r="Q22" s="742">
        <f>SUMIFS(JA!$Z:$Z,JA!$AE:$AE,"OK",JA!$R:$R,Parkki!$Y$6,JA!$AY:$AY,Parkki!$Y$5,JA!$AI:$AI,$Y$4,JA!$L:$L,$U22,JA!$T:$T,1,JA!$AJ:$AJ,Parkki!$W$7,JA!V:V,"nuori",JA!$M:$M,Parkki!$Y$9)</f>
        <v>0</v>
      </c>
      <c r="R22" s="742">
        <f>SUMIFS(JA!$Z:$Z,JA!$AE:$AE,"OK",JA!$R:$R,Parkki!$Y$6,JA!$AY:$AY,Parkki!$Y$5,JA!$AI:$AI,$Y$4,JA!$L:$L,$U22,JA!$AJ:$AJ,Parkki!$W$7,JA!V:V,"nuori",JA!$M:$M,Parkki!$Y$9)</f>
        <v>0</v>
      </c>
      <c r="S22">
        <f>IF(O22="",0,1)</f>
        <v>0</v>
      </c>
      <c r="T22" s="144">
        <v>4</v>
      </c>
      <c r="U22" s="744" t="str">
        <f>INDEX($AC$5:$AC$37,MATCH(O22,$AD$5:$AD$37,0))</f>
        <v>ComboBox_TyHlo_yksikko_00000001</v>
      </c>
      <c r="V22" s="9" t="s">
        <v>1505</v>
      </c>
      <c r="W22">
        <f>COUNTIFS(AS!T:T,AS!$J$1,AS!AB:AB,"OK",AS!$BO:$BO,$W$7,AS!$AV:$AV,$X$5,AS!$AW:$AW,$X$32,AS!$X:$X,$Y$5,AS!$AT:$AT,Parkki!$Y$13,AS!BB:BB,AS!BA1,AS!$K:$K,$X$31,AS!$F:$F,$V$29,AS!$L:$L,$V$30,AS!$AG:$AG,Parkki!$Y$9)</f>
        <v>0</v>
      </c>
      <c r="X22" s="28" t="s">
        <v>498</v>
      </c>
      <c r="AA22" s="176" t="str">
        <f>IFERROR(IF(INDEX(Data_Omakoodi!H:H,MATCH($AK$3&amp;$AL22,Data_Omakoodi!A:A,0))="P","",$AK$3&amp;$AL22),$AK$3&amp;$AL22)</f>
        <v>ComboBox_EtKuntakoodi_00000015</v>
      </c>
      <c r="AB22" s="44" t="str">
        <f>IFERROR(INDEX(Data_Omakoodi!E:E,MATCH(AA22,Data_Omakoodi!A:A,0)),"")</f>
        <v/>
      </c>
      <c r="AC22" t="str">
        <f>IFERROR(IF(INDEX(Data_Omakoodi!H:H,MATCH($AH$3&amp;$AL22,Data_Omakoodi!A:A,0))="P","",$AH$3&amp;$AL22),$AH$3&amp;$AL22)</f>
        <v>ComboBox_TyHlo_yksikko_00000015</v>
      </c>
      <c r="AD22" s="44" t="str">
        <f>IFERROR(INDEX(Data_Omakoodi!E:E,MATCH(AC22,Data_Omakoodi!A:A,0)),"")</f>
        <v/>
      </c>
      <c r="AE22" t="str">
        <f>IFERROR(IF(INDEX(Data_Omakoodi!H:H,MATCH($AH$3&amp;$AL22,Data_Omakoodi!A:A,0))="P","",$AH$3&amp;$AL22),$AH$3&amp;$AL22)</f>
        <v>ComboBox_TyHlo_yksikko_00000015</v>
      </c>
      <c r="AF22" t="s">
        <v>1541</v>
      </c>
      <c r="AG22" s="739" t="str">
        <f t="shared" si="0"/>
        <v/>
      </c>
      <c r="AH22" s="739" t="str">
        <f t="shared" si="1"/>
        <v/>
      </c>
      <c r="AI22"/>
      <c r="AJ22" s="739" t="str">
        <f t="shared" si="2"/>
        <v/>
      </c>
      <c r="AK22" s="739" t="str">
        <f t="shared" si="3"/>
        <v/>
      </c>
      <c r="AL22">
        <v>15</v>
      </c>
    </row>
    <row r="23" spans="1:45" x14ac:dyDescent="0.25">
      <c r="B23" s="519" t="s">
        <v>93</v>
      </c>
      <c r="C23" s="519">
        <f>SUM(C17:C22)</f>
        <v>0</v>
      </c>
      <c r="D23" s="519">
        <f>SUM(D17:D22)</f>
        <v>0</v>
      </c>
      <c r="E23" s="519">
        <f>SUM(E17:E22)</f>
        <v>0</v>
      </c>
      <c r="F23" s="519">
        <f>SUM(F17:F22)</f>
        <v>0</v>
      </c>
      <c r="G23" s="524"/>
      <c r="M23" s="525"/>
      <c r="O23" s="743" t="str">
        <f t="shared" si="4"/>
        <v/>
      </c>
      <c r="P23" s="742">
        <f>SUMIFS(AS!$W:$W,AS!$AB:$AB,"OK",AS!$AW:$AW,Parkki!$Y$6,AS!$X:$X,Parkki!$Y$5,AS!$H:$H,Parkki!$W$7,AS!$K:$K,Parkki!$U23,AS!AH:AH,"nuori",AS!$AG:$AG,Parkki!$Y$9)</f>
        <v>0</v>
      </c>
      <c r="Q23" s="742">
        <f>SUMIFS(JA!$Z:$Z,JA!$AE:$AE,"OK",JA!$R:$R,Parkki!$Y$6,JA!$AY:$AY,Parkki!$Y$5,JA!$AI:$AI,$Y$4,JA!$L:$L,$U23,JA!$T:$T,1,JA!$AJ:$AJ,Parkki!$W$7,JA!V:V,"nuori",JA!$M:$M,Parkki!$Y$9)</f>
        <v>0</v>
      </c>
      <c r="R23" s="742">
        <f>SUMIFS(JA!$Z:$Z,JA!$AE:$AE,"OK",JA!$R:$R,Parkki!$Y$6,JA!$AY:$AY,Parkki!$Y$5,JA!$AI:$AI,$Y$4,JA!$L:$L,$U23,JA!$AJ:$AJ,Parkki!$W$7,JA!V:V,"nuori",JA!$M:$M,Parkki!$Y$9)</f>
        <v>0</v>
      </c>
      <c r="S23">
        <f t="shared" si="5"/>
        <v>0</v>
      </c>
      <c r="T23" s="144">
        <v>5</v>
      </c>
      <c r="U23" s="744" t="str">
        <f t="shared" si="6"/>
        <v>ComboBox_TyHlo_yksikko_00000001</v>
      </c>
      <c r="V23" s="9" t="s">
        <v>1506</v>
      </c>
      <c r="W23">
        <f>COUNTIFS(AS!T:T,AS!$J$1,AS!AB:AB,"OK",AS!$BO:$BO,$W$7,AS!$AV:$AV,$X$5,AS!$AW:$AW,$X$32,AS!$X:$X,$Y$5,AS!$AT:$AT,Parkki!$Y$13,AS!AU:AU,"*",AS!$K:$K,$X$31,AS!$F:$F,$V$29,AS!$L:$L,$V$30,AS!$AG:$AG,Parkki!$Y$9)</f>
        <v>0</v>
      </c>
      <c r="AA23" s="176" t="str">
        <f>IFERROR(IF(INDEX(Data_Omakoodi!H:H,MATCH($AK$3&amp;$AL23,Data_Omakoodi!A:A,0))="P","",$AK$3&amp;$AL23),$AK$3&amp;$AL23)</f>
        <v>ComboBox_EtKuntakoodi_00000016</v>
      </c>
      <c r="AB23" s="44" t="str">
        <f>IFERROR(INDEX(Data_Omakoodi!E:E,MATCH(AA23,Data_Omakoodi!A:A,0)),"")</f>
        <v/>
      </c>
      <c r="AC23" t="str">
        <f>IFERROR(IF(INDEX(Data_Omakoodi!H:H,MATCH($AH$3&amp;$AL23,Data_Omakoodi!A:A,0))="P","",$AH$3&amp;$AL23),$AH$3&amp;$AL23)</f>
        <v>ComboBox_TyHlo_yksikko_00000016</v>
      </c>
      <c r="AD23" s="44" t="str">
        <f>IFERROR(INDEX(Data_Omakoodi!E:E,MATCH(AC23,Data_Omakoodi!A:A,0)),"")</f>
        <v/>
      </c>
      <c r="AE23" t="str">
        <f>IFERROR(IF(INDEX(Data_Omakoodi!H:H,MATCH($AH$3&amp;$AL23,Data_Omakoodi!A:A,0))="P","",$AH$3&amp;$AL23),$AH$3&amp;$AL23)</f>
        <v>ComboBox_TyHlo_yksikko_00000016</v>
      </c>
      <c r="AF23" t="s">
        <v>1542</v>
      </c>
      <c r="AG23" s="739" t="str">
        <f t="shared" si="0"/>
        <v/>
      </c>
      <c r="AH23" s="739" t="str">
        <f t="shared" si="1"/>
        <v/>
      </c>
      <c r="AI23"/>
      <c r="AJ23" s="739" t="str">
        <f t="shared" si="2"/>
        <v/>
      </c>
      <c r="AK23" s="739" t="str">
        <f t="shared" si="3"/>
        <v/>
      </c>
      <c r="AL23">
        <v>16</v>
      </c>
    </row>
    <row r="24" spans="1:45" x14ac:dyDescent="0.25">
      <c r="B24" s="518" t="s">
        <v>789</v>
      </c>
      <c r="C24" s="520">
        <f>SUMIFS(AS!W:W,AS!$BO:$BO,$W$7,AS!AB:AB,AS!$AA$1,AS!AG:AG,$X24,AS!$AV:$AV,$X$2,AS!$AW:$AW,$X$32,AS!$X:$X,$Y$5,AS!$AT:$AT,Parkki!$Y$13,AS!$K:$K,$X$31,AS!$F:$F,$V$29,AS!$L:$L,$V$30,AS!$AG:$AG,Parkki!$Y$9)</f>
        <v>0</v>
      </c>
      <c r="D24" s="520">
        <f>SUMIFS(AS!W:W,AS!$BO:$BO,$W$7,AS!AB:AB,AS!$AA$1,AS!AG:AG,$X24,AS!$AV:$AV,$X$2,AS!$AW:$AW,$X$32,AS!$X:$X,$Y$5,AS!I:I,$X$7,AS!$AT:$AT,Parkki!$Y$13,AS!$K:$K,$X$31,AS!$F:$F,$V$29,AS!$L:$L,$V$30,AS!$AG:$AG,Parkki!$Y$9)</f>
        <v>0</v>
      </c>
      <c r="E24" s="520">
        <f>SUMIFS(AS!W:W,AS!$BO:$BO,$W$7,AS!AB:AB,AS!$AA$1,AS!AG:AG,$X24,AS!$AV:$AV,$X$2,AS!$AW:$AW,$X$32,AS!$X:$X,$Y$5,AS!I:I,$Y$7,AS!$AT:$AT,Parkki!$Y$13,AS!$K:$K,$X$31,AS!$F:$F,$V$29,AS!$L:$L,$V$30,AS!$AG:$AG,Parkki!$Y$9)</f>
        <v>0</v>
      </c>
      <c r="F24" s="520">
        <v>0</v>
      </c>
      <c r="G24" s="524"/>
      <c r="M24" s="525"/>
      <c r="O24" s="743" t="str">
        <f t="shared" si="4"/>
        <v/>
      </c>
      <c r="P24" s="742">
        <f>SUMIFS(AS!$W:$W,AS!$AB:$AB,"OK",AS!$AW:$AW,Parkki!$Y$6,AS!$X:$X,Parkki!$Y$5,AS!$H:$H,Parkki!$W$7,AS!$K:$K,Parkki!$U24,AS!AH:AH,"nuori",AS!$AG:$AG,Parkki!$Y$9)</f>
        <v>0</v>
      </c>
      <c r="Q24" s="742">
        <f>SUMIFS(JA!$Z:$Z,JA!$AE:$AE,"OK",JA!$R:$R,Parkki!$Y$6,JA!$AY:$AY,Parkki!$Y$5,JA!$AI:$AI,$Y$4,JA!$L:$L,$U24,JA!$T:$T,1,JA!$AJ:$AJ,Parkki!$W$7,JA!V:V,"nuori",JA!$M:$M,Parkki!$Y$9)</f>
        <v>0</v>
      </c>
      <c r="R24" s="742">
        <f>SUMIFS(JA!$Z:$Z,JA!$AE:$AE,"OK",JA!$R:$R,Parkki!$Y$6,JA!$AY:$AY,Parkki!$Y$5,JA!$AI:$AI,$Y$4,JA!$L:$L,$U24,JA!$AJ:$AJ,Parkki!$W$7,JA!V:V,"nuori",JA!$M:$M,Parkki!$Y$9)</f>
        <v>0</v>
      </c>
      <c r="S24">
        <f t="shared" si="5"/>
        <v>0</v>
      </c>
      <c r="T24" s="144">
        <v>6</v>
      </c>
      <c r="U24" s="744" t="str">
        <f t="shared" si="6"/>
        <v>ComboBox_TyHlo_yksikko_00000001</v>
      </c>
      <c r="X24" s="28" t="s">
        <v>499</v>
      </c>
      <c r="AA24" s="176" t="str">
        <f>IFERROR(IF(INDEX(Data_Omakoodi!H:H,MATCH($AK$3&amp;$AL24,Data_Omakoodi!A:A,0))="P","",$AK$3&amp;$AL24),$AK$3&amp;$AL24)</f>
        <v>ComboBox_EtKuntakoodi_00000017</v>
      </c>
      <c r="AB24" s="44" t="str">
        <f>IFERROR(INDEX(Data_Omakoodi!E:E,MATCH(AA24,Data_Omakoodi!A:A,0)),"")</f>
        <v/>
      </c>
      <c r="AC24" t="str">
        <f>IFERROR(IF(INDEX(Data_Omakoodi!H:H,MATCH($AH$3&amp;$AL24,Data_Omakoodi!A:A,0))="P","",$AH$3&amp;$AL24),$AH$3&amp;$AL24)</f>
        <v>ComboBox_TyHlo_yksikko_00000017</v>
      </c>
      <c r="AD24" s="44" t="str">
        <f>IFERROR(INDEX(Data_Omakoodi!E:E,MATCH(AC24,Data_Omakoodi!A:A,0)),"")</f>
        <v/>
      </c>
      <c r="AE24" t="str">
        <f>IFERROR(IF(INDEX(Data_Omakoodi!H:H,MATCH($AH$3&amp;$AL24,Data_Omakoodi!A:A,0))="P","",$AH$3&amp;$AL24),$AH$3&amp;$AL24)</f>
        <v>ComboBox_TyHlo_yksikko_00000017</v>
      </c>
      <c r="AF24" t="s">
        <v>1543</v>
      </c>
      <c r="AG24" s="739" t="str">
        <f t="shared" si="0"/>
        <v/>
      </c>
      <c r="AH24" s="739" t="str">
        <f t="shared" si="1"/>
        <v/>
      </c>
      <c r="AI24"/>
      <c r="AJ24" s="739" t="str">
        <f t="shared" si="2"/>
        <v/>
      </c>
      <c r="AK24" s="739" t="str">
        <f t="shared" si="3"/>
        <v/>
      </c>
      <c r="AL24">
        <v>17</v>
      </c>
      <c r="AP24" s="685"/>
      <c r="AQ24" s="685"/>
      <c r="AR24" s="27"/>
      <c r="AS24" s="27"/>
    </row>
    <row r="25" spans="1:45" x14ac:dyDescent="0.25">
      <c r="B25" s="553" t="str">
        <f>"*miehistä muun sukupuolisia (N: "&amp;$V$11&amp;")"</f>
        <v>*miehistä muun sukupuolisia (N: 0)</v>
      </c>
      <c r="G25" s="524"/>
      <c r="M25" s="525"/>
      <c r="O25" s="743" t="str">
        <f t="shared" si="4"/>
        <v/>
      </c>
      <c r="P25" s="742">
        <f>SUMIFS(AS!$W:$W,AS!$AB:$AB,"OK",AS!$AW:$AW,Parkki!$Y$6,AS!$X:$X,Parkki!$Y$5,AS!$H:$H,Parkki!$W$7,AS!$K:$K,Parkki!$U25,AS!AH:AH,"nuori",AS!$AG:$AG,Parkki!$Y$9)</f>
        <v>0</v>
      </c>
      <c r="Q25" s="742">
        <f>SUMIFS(JA!$Z:$Z,JA!$AE:$AE,"OK",JA!$R:$R,Parkki!$Y$6,JA!$AY:$AY,Parkki!$Y$5,JA!$AI:$AI,$Y$4,JA!$L:$L,$U25,JA!$T:$T,1,JA!$AJ:$AJ,Parkki!$W$7,JA!V:V,"nuori",JA!$M:$M,Parkki!$Y$9)</f>
        <v>0</v>
      </c>
      <c r="R25" s="742">
        <f>SUMIFS(JA!$Z:$Z,JA!$AE:$AE,"OK",JA!$R:$R,Parkki!$Y$6,JA!$AY:$AY,Parkki!$Y$5,JA!$AI:$AI,$Y$4,JA!$L:$L,$U25,JA!$AJ:$AJ,Parkki!$W$7,JA!V:V,"nuori",JA!$M:$M,Parkki!$Y$9)</f>
        <v>0</v>
      </c>
      <c r="S25">
        <f t="shared" si="5"/>
        <v>0</v>
      </c>
      <c r="T25" s="144">
        <v>7</v>
      </c>
      <c r="U25" s="744" t="str">
        <f t="shared" si="6"/>
        <v>ComboBox_TyHlo_yksikko_00000001</v>
      </c>
      <c r="V25" s="484" t="s">
        <v>1503</v>
      </c>
      <c r="AA25" s="176" t="str">
        <f>IFERROR(IF(INDEX(Data_Omakoodi!H:H,MATCH($AK$3&amp;$AL25,Data_Omakoodi!A:A,0))="P","",$AK$3&amp;$AL25),$AK$3&amp;$AL25)</f>
        <v>ComboBox_EtKuntakoodi_00000018</v>
      </c>
      <c r="AB25" s="44" t="str">
        <f>IFERROR(INDEX(Data_Omakoodi!E:E,MATCH(AA25,Data_Omakoodi!A:A,0)),"")</f>
        <v/>
      </c>
      <c r="AC25" t="str">
        <f>IFERROR(IF(INDEX(Data_Omakoodi!H:H,MATCH($AH$3&amp;$AL25,Data_Omakoodi!A:A,0))="P","",$AH$3&amp;$AL25),$AH$3&amp;$AL25)</f>
        <v>ComboBox_TyHlo_yksikko_00000018</v>
      </c>
      <c r="AD25" s="44" t="str">
        <f>IFERROR(INDEX(Data_Omakoodi!E:E,MATCH(AC25,Data_Omakoodi!A:A,0)),"")</f>
        <v/>
      </c>
      <c r="AE25" t="str">
        <f>IFERROR(IF(INDEX(Data_Omakoodi!H:H,MATCH($AH$3&amp;$AL25,Data_Omakoodi!A:A,0))="P","",$AH$3&amp;$AL25),$AH$3&amp;$AL25)</f>
        <v>ComboBox_TyHlo_yksikko_00000018</v>
      </c>
      <c r="AF25" t="s">
        <v>1544</v>
      </c>
      <c r="AG25" s="739" t="str">
        <f t="shared" si="0"/>
        <v/>
      </c>
      <c r="AH25" s="739" t="str">
        <f t="shared" si="1"/>
        <v/>
      </c>
      <c r="AI25"/>
      <c r="AJ25" s="739" t="str">
        <f t="shared" si="2"/>
        <v/>
      </c>
      <c r="AK25" s="739" t="str">
        <f t="shared" si="3"/>
        <v/>
      </c>
      <c r="AL25">
        <v>18</v>
      </c>
      <c r="AP25" s="685"/>
      <c r="AQ25" s="685"/>
      <c r="AR25" s="27"/>
      <c r="AS25" s="27"/>
    </row>
    <row r="26" spans="1:45" ht="30.75" customHeight="1" x14ac:dyDescent="0.25">
      <c r="B26" s="819" t="str">
        <f>"Aktiiviset ja päättyneet yhteydenottopyynnöt "&amp;Y12&amp;X10&amp;U8&amp;X15</f>
        <v>Aktiiviset ja päättyneet yhteydenottopyynnöt - KAIKKI: 01.01.2025-30.04.2025 (Kaikki yksiköt / perustiedoista, Kaikki kunnat / perustiedoista, Ikäluokka: Kaikki)</v>
      </c>
      <c r="C26" s="819"/>
      <c r="D26" s="819"/>
      <c r="E26" s="819"/>
      <c r="G26" s="524"/>
      <c r="M26" s="525"/>
      <c r="O26" s="743" t="str">
        <f t="shared" si="4"/>
        <v/>
      </c>
      <c r="P26" s="742">
        <f>SUMIFS(AS!$W:$W,AS!$AB:$AB,"OK",AS!$AW:$AW,Parkki!$Y$6,AS!$X:$X,Parkki!$Y$5,AS!$H:$H,Parkki!$W$7,AS!$K:$K,Parkki!$U26,AS!AH:AH,"nuori",AS!$AG:$AG,Parkki!$Y$9)</f>
        <v>0</v>
      </c>
      <c r="Q26" s="742">
        <f>SUMIFS(JA!$Z:$Z,JA!$AE:$AE,"OK",JA!$R:$R,Parkki!$Y$6,JA!$AY:$AY,Parkki!$Y$5,JA!$AI:$AI,$Y$4,JA!$L:$L,$U26,JA!$T:$T,1,JA!$AJ:$AJ,Parkki!$W$7,JA!V:V,"nuori",JA!$M:$M,Parkki!$Y$9)</f>
        <v>0</v>
      </c>
      <c r="R26" s="742">
        <f>SUMIFS(JA!$Z:$Z,JA!$AE:$AE,"OK",JA!$R:$R,Parkki!$Y$6,JA!$AY:$AY,Parkki!$Y$5,JA!$AI:$AI,$Y$4,JA!$L:$L,$U26,JA!$AJ:$AJ,Parkki!$W$7,JA!V:V,"nuori",JA!$M:$M,Parkki!$Y$9)</f>
        <v>0</v>
      </c>
      <c r="S26">
        <f t="shared" si="5"/>
        <v>0</v>
      </c>
      <c r="T26" s="144">
        <v>8</v>
      </c>
      <c r="U26" s="744" t="str">
        <f t="shared" si="6"/>
        <v>ComboBox_TyHlo_yksikko_00000001</v>
      </c>
      <c r="V26" s="9">
        <f>SUMIFS(AS!W:W,AS!$BO:$BO,$W$7,AS!AB:AB,AS!$AA$1,AS!AG:AG,$V25,AS!$AV:$AV,$X$2,AS!$AW:$AW,$X$32,AS!$X:$X,$Y$5,AS!$AT:$AT,Parkki!$Y$13,AS!$K:$K,$X$31,AS!$F:$F,$V$29,AS!$L:$L,$V$30,AS!$AG:$AG,Parkki!$Y$9)</f>
        <v>0</v>
      </c>
      <c r="W26" s="9">
        <f>SUMIFS(AS!W:W,AS!$BO:$BO,$W$7,AS!AB:AB,AS!$AA$1,AS!AG:AG,$V25,AS!$AV:$AV,$X$2,AS!$AW:$AW,$X$32,AS!$X:$X,$Y$5,AS!I:I,$X$7,AS!$AT:$AT,Parkki!$Y$13,AS!$K:$K,$X$31,AS!$F:$F,$V$29,AS!$L:$L,$V$30,AS!$AG:$AG,Parkki!$Y$9)</f>
        <v>0</v>
      </c>
      <c r="X26" s="9">
        <f>SUMIFS(AS!W:W,AS!$BO:$BO,$W$7,AS!AB:AB,AS!$AA$1,AS!AG:AG,$V25,AS!$AV:$AV,$X$2,AS!$AW:$AW,$X$32,AS!$X:$X,$Y$5,AS!I:I,$Y$7,AS!$AT:$AT,Parkki!$Y$13,AS!$K:$K,$X$31,AS!$F:$F,$V$29,AS!$L:$L,$V$30,AS!$AG:$AG,Parkki!$Y$9)</f>
        <v>0</v>
      </c>
      <c r="Y26" s="9">
        <f>SUMIFS(AS!W:W,AS!$BO:$BO,$W$7,AS!AB:AB,AS!$AA$1,AS!AG:AG,$V25,AS!$AV:$AV,$X$2,AS!$AW:$AW,$X$32,AS!$X:$X,$Y$5,AS!$AT:$AT,Parkki!$Y$13,AS!BP:BP,1,AS!$K:$K,$X$31,AS!$F:$F,$V$29,AS!$L:$L,$V$30,AS!$AG:$AG,Parkki!$Y$9)</f>
        <v>0</v>
      </c>
      <c r="AA26" s="176" t="str">
        <f>IFERROR(IF(INDEX(Data_Omakoodi!H:H,MATCH($AK$3&amp;$AL26,Data_Omakoodi!A:A,0))="P","",$AK$3&amp;$AL26),$AK$3&amp;$AL26)</f>
        <v>ComboBox_EtKuntakoodi_00000019</v>
      </c>
      <c r="AB26" s="44" t="str">
        <f>IFERROR(INDEX(Data_Omakoodi!E:E,MATCH(AA26,Data_Omakoodi!A:A,0)),"")</f>
        <v/>
      </c>
      <c r="AC26" t="str">
        <f>IFERROR(IF(INDEX(Data_Omakoodi!H:H,MATCH($AH$3&amp;$AL26,Data_Omakoodi!A:A,0))="P","",$AH$3&amp;$AL26),$AH$3&amp;$AL26)</f>
        <v>ComboBox_TyHlo_yksikko_00000019</v>
      </c>
      <c r="AD26" s="44" t="str">
        <f>IFERROR(INDEX(Data_Omakoodi!E:E,MATCH(AC26,Data_Omakoodi!A:A,0)),"")</f>
        <v/>
      </c>
      <c r="AE26" t="str">
        <f>IFERROR(IF(INDEX(Data_Omakoodi!H:H,MATCH($AH$3&amp;$AL26,Data_Omakoodi!A:A,0))="P","",$AH$3&amp;$AL26),$AH$3&amp;$AL26)</f>
        <v>ComboBox_TyHlo_yksikko_00000019</v>
      </c>
      <c r="AF26" t="s">
        <v>1545</v>
      </c>
      <c r="AG26" s="739" t="str">
        <f t="shared" si="0"/>
        <v/>
      </c>
      <c r="AH26" s="739" t="str">
        <f t="shared" si="1"/>
        <v/>
      </c>
      <c r="AI26"/>
      <c r="AJ26" s="739" t="str">
        <f t="shared" si="2"/>
        <v/>
      </c>
      <c r="AK26" s="739" t="str">
        <f t="shared" si="3"/>
        <v/>
      </c>
      <c r="AL26">
        <v>19</v>
      </c>
      <c r="AP26" s="685"/>
      <c r="AQ26" s="685"/>
      <c r="AR26" s="27"/>
      <c r="AS26" s="27"/>
    </row>
    <row r="27" spans="1:45" ht="25.5" x14ac:dyDescent="0.25">
      <c r="B27" s="518"/>
      <c r="C27" s="521" t="s">
        <v>114</v>
      </c>
      <c r="D27" s="521" t="s">
        <v>132</v>
      </c>
      <c r="E27" s="522" t="s">
        <v>1162</v>
      </c>
      <c r="G27" s="524"/>
      <c r="M27" s="525"/>
      <c r="O27" s="743" t="str">
        <f t="shared" si="4"/>
        <v/>
      </c>
      <c r="P27" s="742">
        <f>SUMIFS(AS!$W:$W,AS!$AB:$AB,"OK",AS!$AW:$AW,Parkki!$Y$6,AS!$X:$X,Parkki!$Y$5,AS!$H:$H,Parkki!$W$7,AS!$K:$K,Parkki!$U27,AS!AH:AH,"nuori",AS!$AG:$AG,Parkki!$Y$9)</f>
        <v>0</v>
      </c>
      <c r="Q27" s="742">
        <f>SUMIFS(JA!$Z:$Z,JA!$AE:$AE,"OK",JA!$R:$R,Parkki!$Y$6,JA!$AY:$AY,Parkki!$Y$5,JA!$AI:$AI,$Y$4,JA!$L:$L,$U27,JA!$T:$T,1,JA!$AJ:$AJ,Parkki!$W$7,JA!V:V,"nuori",JA!$M:$M,Parkki!$Y$9)</f>
        <v>0</v>
      </c>
      <c r="R27" s="742">
        <f>SUMIFS(JA!$Z:$Z,JA!$AE:$AE,"OK",JA!$R:$R,Parkki!$Y$6,JA!$AY:$AY,Parkki!$Y$5,JA!$AI:$AI,$Y$4,JA!$L:$L,$U27,JA!$AJ:$AJ,Parkki!$W$7,JA!V:V,"nuori",JA!$M:$M,Parkki!$Y$9)</f>
        <v>0</v>
      </c>
      <c r="S27">
        <f t="shared" si="5"/>
        <v>0</v>
      </c>
      <c r="T27" s="144">
        <v>9</v>
      </c>
      <c r="U27" s="744" t="str">
        <f t="shared" si="6"/>
        <v>ComboBox_TyHlo_yksikko_00000001</v>
      </c>
      <c r="V27" s="9" t="s">
        <v>1564</v>
      </c>
      <c r="AA27" s="176" t="str">
        <f>IFERROR(IF(INDEX(Data_Omakoodi!H:H,MATCH($AK$3&amp;$AL27,Data_Omakoodi!A:A,0))="P","",$AK$3&amp;$AL27),$AK$3&amp;$AL27)</f>
        <v>ComboBox_EtKuntakoodi_00000020</v>
      </c>
      <c r="AB27" s="44" t="str">
        <f>IFERROR(INDEX(Data_Omakoodi!E:E,MATCH(AA27,Data_Omakoodi!A:A,0)),"")</f>
        <v/>
      </c>
      <c r="AC27" t="str">
        <f>IFERROR(IF(INDEX(Data_Omakoodi!H:H,MATCH($AH$3&amp;$AL27,Data_Omakoodi!A:A,0))="P","",$AH$3&amp;$AL27),$AH$3&amp;$AL27)</f>
        <v>ComboBox_TyHlo_yksikko_00000020</v>
      </c>
      <c r="AD27" s="44" t="str">
        <f>IFERROR(INDEX(Data_Omakoodi!E:E,MATCH(AC27,Data_Omakoodi!A:A,0)),"")</f>
        <v/>
      </c>
      <c r="AE27" t="str">
        <f>IFERROR(IF(INDEX(Data_Omakoodi!H:H,MATCH($AH$3&amp;$AL27,Data_Omakoodi!A:A,0))="P","",$AH$3&amp;$AL27),$AH$3&amp;$AL27)</f>
        <v>ComboBox_TyHlo_yksikko_00000020</v>
      </c>
      <c r="AF27" t="s">
        <v>1546</v>
      </c>
      <c r="AG27" s="739" t="str">
        <f t="shared" si="0"/>
        <v/>
      </c>
      <c r="AH27" s="739" t="str">
        <f t="shared" si="1"/>
        <v/>
      </c>
      <c r="AI27"/>
      <c r="AJ27" s="739" t="str">
        <f t="shared" si="2"/>
        <v/>
      </c>
      <c r="AK27" s="739" t="str">
        <f t="shared" si="3"/>
        <v/>
      </c>
      <c r="AL27">
        <v>20</v>
      </c>
      <c r="AP27" s="685"/>
      <c r="AQ27" s="685"/>
      <c r="AR27" s="27"/>
      <c r="AS27" s="27"/>
    </row>
    <row r="28" spans="1:45" x14ac:dyDescent="0.25">
      <c r="B28" s="518" t="s">
        <v>829</v>
      </c>
      <c r="C28" s="520">
        <f>IFERROR(C47+C68+C90,"")</f>
        <v>0</v>
      </c>
      <c r="D28" s="520">
        <f>IFERROR(D47+D68+D90,"")</f>
        <v>0</v>
      </c>
      <c r="E28" s="520">
        <f>IFERROR(E47+E68+E90,"")</f>
        <v>0</v>
      </c>
      <c r="G28" s="524"/>
      <c r="M28" s="525"/>
      <c r="O28" s="743" t="str">
        <f t="shared" si="4"/>
        <v/>
      </c>
      <c r="P28" s="742">
        <f>SUMIFS(AS!$W:$W,AS!$AB:$AB,"OK",AS!$AW:$AW,Parkki!$Y$6,AS!$X:$X,Parkki!$Y$5,AS!$H:$H,Parkki!$W$7,AS!$K:$K,Parkki!$U28,AS!AH:AH,"nuori",AS!$AG:$AG,Parkki!$Y$9)</f>
        <v>0</v>
      </c>
      <c r="Q28" s="742">
        <f>SUMIFS(JA!$Z:$Z,JA!$AE:$AE,"OK",JA!$R:$R,Parkki!$Y$6,JA!$AY:$AY,Parkki!$Y$5,JA!$AI:$AI,$Y$4,JA!$L:$L,$U28,JA!$T:$T,1,JA!$AJ:$AJ,Parkki!$W$7,JA!V:V,"nuori",JA!$M:$M,Parkki!$Y$9)</f>
        <v>0</v>
      </c>
      <c r="R28" s="742">
        <f>SUMIFS(JA!$Z:$Z,JA!$AE:$AE,"OK",JA!$R:$R,Parkki!$Y$6,JA!$AY:$AY,Parkki!$Y$5,JA!$AI:$AI,$Y$4,JA!$L:$L,$U28,JA!$AJ:$AJ,Parkki!$W$7,JA!V:V,"nuori",JA!$M:$M,Parkki!$Y$9)</f>
        <v>0</v>
      </c>
      <c r="S28">
        <f t="shared" si="5"/>
        <v>0</v>
      </c>
      <c r="T28" s="144">
        <v>10</v>
      </c>
      <c r="U28" s="744" t="str">
        <f t="shared" si="6"/>
        <v>ComboBox_TyHlo_yksikko_00000001</v>
      </c>
      <c r="Y28" s="181" t="str">
        <f>IF(A4="","*",INDEX(AE5:AE55,MATCH(A4,AD5:AD55,0)))</f>
        <v>*</v>
      </c>
      <c r="AA28" s="176" t="str">
        <f>IFERROR(IF(INDEX(Data_Omakoodi!H:H,MATCH($AK$3&amp;$AL28,Data_Omakoodi!A:A,0))="P","",$AK$3&amp;$AL28),$AK$3&amp;$AL28)</f>
        <v>ComboBox_EtKuntakoodi_00000021</v>
      </c>
      <c r="AB28" s="44" t="str">
        <f>IFERROR(INDEX(Data_Omakoodi!E:E,MATCH(AA28,Data_Omakoodi!A:A,0)),"")</f>
        <v/>
      </c>
      <c r="AC28" t="str">
        <f>IFERROR(IF(INDEX(Data_Omakoodi!H:H,MATCH($AH$3&amp;$AL28,Data_Omakoodi!A:A,0))="P","",$AH$3&amp;$AL28),$AH$3&amp;$AL28)</f>
        <v>ComboBox_TyHlo_yksikko_00000021</v>
      </c>
      <c r="AD28" s="44" t="str">
        <f>IFERROR(INDEX(Data_Omakoodi!E:E,MATCH(AC28,Data_Omakoodi!A:A,0)),"")</f>
        <v/>
      </c>
      <c r="AE28" t="str">
        <f>IFERROR(IF(INDEX(Data_Omakoodi!H:H,MATCH($AH$3&amp;$AL28,Data_Omakoodi!A:A,0))="P","",$AH$3&amp;$AL28),$AH$3&amp;$AL28)</f>
        <v>ComboBox_TyHlo_yksikko_00000021</v>
      </c>
      <c r="AF28" t="s">
        <v>1547</v>
      </c>
      <c r="AG28" s="739" t="str">
        <f t="shared" si="0"/>
        <v/>
      </c>
      <c r="AH28" s="739" t="str">
        <f t="shared" si="1"/>
        <v/>
      </c>
      <c r="AI28"/>
      <c r="AJ28" s="739" t="str">
        <f t="shared" si="2"/>
        <v/>
      </c>
      <c r="AK28" s="739" t="str">
        <f t="shared" si="3"/>
        <v/>
      </c>
      <c r="AL28">
        <v>21</v>
      </c>
      <c r="AP28" s="685"/>
      <c r="AQ28" s="685"/>
      <c r="AR28" s="27"/>
      <c r="AS28" s="27"/>
    </row>
    <row r="29" spans="1:45" x14ac:dyDescent="0.25">
      <c r="B29" s="518" t="s">
        <v>830</v>
      </c>
      <c r="C29" s="520">
        <f>SUM(C48:C50,C69:C72,C91)</f>
        <v>0</v>
      </c>
      <c r="D29" s="520">
        <f t="shared" ref="D29:E29" si="7">SUM(D48:D50,D69:D72,D91)</f>
        <v>0</v>
      </c>
      <c r="E29" s="520">
        <f t="shared" si="7"/>
        <v>0</v>
      </c>
      <c r="G29" s="524"/>
      <c r="M29" s="525"/>
      <c r="O29" s="743" t="str">
        <f t="shared" si="4"/>
        <v/>
      </c>
      <c r="P29" s="742">
        <f>SUMIFS(AS!$W:$W,AS!$AB:$AB,"OK",AS!$AW:$AW,Parkki!$Y$6,AS!$X:$X,Parkki!$Y$5,AS!$H:$H,Parkki!$W$7,AS!$K:$K,Parkki!$U29,AS!AH:AH,"nuori",AS!$AG:$AG,Parkki!$Y$9)</f>
        <v>0</v>
      </c>
      <c r="Q29" s="742">
        <f>SUMIFS(JA!$Z:$Z,JA!$AE:$AE,"OK",JA!$R:$R,Parkki!$Y$6,JA!$AY:$AY,Parkki!$Y$5,JA!$AI:$AI,$Y$4,JA!$L:$L,$U29,JA!$T:$T,1,JA!$AJ:$AJ,Parkki!$W$7,JA!V:V,"nuori",JA!$M:$M,Parkki!$Y$9)</f>
        <v>0</v>
      </c>
      <c r="R29" s="742">
        <f>SUMIFS(JA!$Z:$Z,JA!$AE:$AE,"OK",JA!$R:$R,Parkki!$Y$6,JA!$AY:$AY,Parkki!$Y$5,JA!$AI:$AI,$Y$4,JA!$L:$L,$U29,JA!$AJ:$AJ,Parkki!$W$7,JA!V:V,"nuori",JA!$M:$M,Parkki!$Y$9)</f>
        <v>0</v>
      </c>
      <c r="S29">
        <f t="shared" si="5"/>
        <v>0</v>
      </c>
      <c r="T29" s="144">
        <v>11</v>
      </c>
      <c r="U29" s="744" t="str">
        <f t="shared" si="6"/>
        <v>ComboBox_TyHlo_yksikko_00000001</v>
      </c>
      <c r="V29" s="181" t="str">
        <f>IF($X$29="*","*","OK")</f>
        <v>*</v>
      </c>
      <c r="W29" t="s">
        <v>1565</v>
      </c>
      <c r="X29" s="181" t="str">
        <f>IF($C$5="","*",IF($C$5=$V$2,"*",$Y$6))</f>
        <v>*</v>
      </c>
      <c r="AA29" s="176" t="str">
        <f>IFERROR(IF(INDEX(Data_Omakoodi!H:H,MATCH($AK$3&amp;$AL29,Data_Omakoodi!A:A,0))="P","",$AK$3&amp;$AL29),$AK$3&amp;$AL29)</f>
        <v>ComboBox_EtKuntakoodi_00000022</v>
      </c>
      <c r="AB29" s="44" t="str">
        <f>IFERROR(INDEX(Data_Omakoodi!E:E,MATCH(AA29,Data_Omakoodi!A:A,0)),"")</f>
        <v/>
      </c>
      <c r="AC29" t="str">
        <f>IFERROR(IF(INDEX(Data_Omakoodi!H:H,MATCH($AH$3&amp;$AL29,Data_Omakoodi!A:A,0))="P","",$AH$3&amp;$AL29),$AH$3&amp;$AL29)</f>
        <v>ComboBox_TyHlo_yksikko_00000022</v>
      </c>
      <c r="AD29" s="44" t="str">
        <f>IFERROR(INDEX(Data_Omakoodi!E:E,MATCH(AC29,Data_Omakoodi!A:A,0)),"")</f>
        <v/>
      </c>
      <c r="AE29" t="str">
        <f>IFERROR(IF(INDEX(Data_Omakoodi!H:H,MATCH($AH$3&amp;$AL29,Data_Omakoodi!A:A,0))="P","",$AH$3&amp;$AL29),$AH$3&amp;$AL29)</f>
        <v>ComboBox_TyHlo_yksikko_00000022</v>
      </c>
      <c r="AF29" t="s">
        <v>1548</v>
      </c>
      <c r="AG29" s="739" t="str">
        <f t="shared" si="0"/>
        <v/>
      </c>
      <c r="AH29" s="739" t="str">
        <f t="shared" si="1"/>
        <v/>
      </c>
      <c r="AI29"/>
      <c r="AJ29" s="739" t="str">
        <f t="shared" si="2"/>
        <v/>
      </c>
      <c r="AK29" s="739" t="str">
        <f t="shared" si="3"/>
        <v/>
      </c>
      <c r="AL29">
        <v>22</v>
      </c>
      <c r="AP29" s="685"/>
      <c r="AQ29" s="685"/>
      <c r="AR29" s="27"/>
      <c r="AS29" s="27"/>
    </row>
    <row r="30" spans="1:45" x14ac:dyDescent="0.25">
      <c r="B30" s="519" t="s">
        <v>93</v>
      </c>
      <c r="C30" s="519">
        <f>IFERROR(SUM(C28:C29),"")</f>
        <v>0</v>
      </c>
      <c r="D30" s="519">
        <f>IFERROR(SUM(D28:D29),"")</f>
        <v>0</v>
      </c>
      <c r="E30" s="519">
        <f>IFERROR(SUM(E28:E29),"")</f>
        <v>0</v>
      </c>
      <c r="G30" s="524"/>
      <c r="M30" s="525"/>
      <c r="O30" s="743" t="str">
        <f t="shared" si="4"/>
        <v/>
      </c>
      <c r="P30" s="742">
        <f>SUMIFS(AS!$W:$W,AS!$AB:$AB,"OK",AS!$AW:$AW,Parkki!$Y$6,AS!$X:$X,Parkki!$Y$5,AS!$H:$H,Parkki!$W$7,AS!$K:$K,Parkki!$U30,AS!AH:AH,"nuori",AS!$AG:$AG,Parkki!$Y$9)</f>
        <v>0</v>
      </c>
      <c r="Q30" s="742">
        <f>SUMIFS(JA!$Z:$Z,JA!$AE:$AE,"OK",JA!$R:$R,Parkki!$Y$6,JA!$AY:$AY,Parkki!$Y$5,JA!$AI:$AI,$Y$4,JA!$L:$L,$U30,JA!$T:$T,1,JA!$AJ:$AJ,Parkki!$W$7,JA!V:V,"nuori",JA!$M:$M,Parkki!$Y$9)</f>
        <v>0</v>
      </c>
      <c r="R30" s="742">
        <f>SUMIFS(JA!$Z:$Z,JA!$AE:$AE,"OK",JA!$R:$R,Parkki!$Y$6,JA!$AY:$AY,Parkki!$Y$5,JA!$AI:$AI,$Y$4,JA!$L:$L,$U30,JA!$AJ:$AJ,Parkki!$W$7,JA!V:V,"nuori",JA!$M:$M,Parkki!$Y$9)</f>
        <v>0</v>
      </c>
      <c r="S30">
        <f t="shared" si="5"/>
        <v>0</v>
      </c>
      <c r="T30" s="144">
        <v>12</v>
      </c>
      <c r="U30" s="744" t="str">
        <f t="shared" si="6"/>
        <v>ComboBox_TyHlo_yksikko_00000001</v>
      </c>
      <c r="V30" s="181" t="str">
        <f>IF($X$30="*","*","OK")</f>
        <v>*</v>
      </c>
      <c r="W30" t="s">
        <v>1566</v>
      </c>
      <c r="X30" s="181" t="str">
        <f>IF($C$4="","*",IF($C$4=$V$2,"*",$Y$28))</f>
        <v>*</v>
      </c>
      <c r="AA30" s="176" t="str">
        <f>IFERROR(IF(INDEX(Data_Omakoodi!H:H,MATCH($AK$3&amp;$AL30,Data_Omakoodi!A:A,0))="P","",$AK$3&amp;$AL30),$AK$3&amp;$AL30)</f>
        <v>ComboBox_EtKuntakoodi_00000023</v>
      </c>
      <c r="AB30" s="44" t="str">
        <f>IFERROR(INDEX(Data_Omakoodi!E:E,MATCH(AA30,Data_Omakoodi!A:A,0)),"")</f>
        <v/>
      </c>
      <c r="AC30" t="str">
        <f>IFERROR(IF(INDEX(Data_Omakoodi!H:H,MATCH($AH$3&amp;$AL30,Data_Omakoodi!A:A,0))="P","",$AH$3&amp;$AL30),$AH$3&amp;$AL30)</f>
        <v>ComboBox_TyHlo_yksikko_00000023</v>
      </c>
      <c r="AD30" s="44" t="str">
        <f>IFERROR(INDEX(Data_Omakoodi!E:E,MATCH(AC30,Data_Omakoodi!A:A,0)),"")</f>
        <v/>
      </c>
      <c r="AE30" t="str">
        <f>IFERROR(IF(INDEX(Data_Omakoodi!H:H,MATCH($AH$3&amp;$AL30,Data_Omakoodi!A:A,0))="P","",$AH$3&amp;$AL30),$AH$3&amp;$AL30)</f>
        <v>ComboBox_TyHlo_yksikko_00000023</v>
      </c>
      <c r="AF30" t="s">
        <v>1549</v>
      </c>
      <c r="AG30" s="739" t="str">
        <f t="shared" si="0"/>
        <v/>
      </c>
      <c r="AH30" s="739" t="str">
        <f t="shared" si="1"/>
        <v/>
      </c>
      <c r="AI30"/>
      <c r="AJ30" s="739" t="str">
        <f t="shared" si="2"/>
        <v/>
      </c>
      <c r="AK30" s="739" t="str">
        <f t="shared" si="3"/>
        <v/>
      </c>
      <c r="AL30">
        <v>23</v>
      </c>
      <c r="AP30" s="685"/>
      <c r="AQ30" s="685"/>
      <c r="AR30" s="27"/>
      <c r="AS30" s="27"/>
    </row>
    <row r="31" spans="1:45" x14ac:dyDescent="0.25">
      <c r="B31" s="553" t="str">
        <f>"*miehistä muun sukupuolisia (N: "&amp;$V$11&amp;")"</f>
        <v>*miehistä muun sukupuolisia (N: 0)</v>
      </c>
      <c r="G31" s="524"/>
      <c r="M31" s="525"/>
      <c r="O31" s="743" t="str">
        <f t="shared" si="4"/>
        <v/>
      </c>
      <c r="P31" s="742">
        <f>SUMIFS(AS!$W:$W,AS!$AB:$AB,"OK",AS!$AW:$AW,Parkki!$Y$6,AS!$X:$X,Parkki!$Y$5,AS!$H:$H,Parkki!$W$7,AS!$K:$K,Parkki!$U31,AS!AH:AH,"nuori",AS!$AG:$AG,Parkki!$Y$9)</f>
        <v>0</v>
      </c>
      <c r="Q31" s="742">
        <f>SUMIFS(JA!$Z:$Z,JA!$AE:$AE,"OK",JA!$R:$R,Parkki!$Y$6,JA!$AY:$AY,Parkki!$Y$5,JA!$AI:$AI,$Y$4,JA!$L:$L,$U31,JA!$T:$T,1,JA!$AJ:$AJ,Parkki!$W$7,JA!V:V,"nuori",JA!$M:$M,Parkki!$Y$9)</f>
        <v>0</v>
      </c>
      <c r="R31" s="742">
        <f>SUMIFS(JA!$Z:$Z,JA!$AE:$AE,"OK",JA!$R:$R,Parkki!$Y$6,JA!$AY:$AY,Parkki!$Y$5,JA!$AI:$AI,$Y$4,JA!$L:$L,$U31,JA!$AJ:$AJ,Parkki!$W$7,JA!V:V,"nuori",JA!$M:$M,Parkki!$Y$9)</f>
        <v>0</v>
      </c>
      <c r="S31">
        <f t="shared" si="5"/>
        <v>0</v>
      </c>
      <c r="T31" s="144">
        <v>13</v>
      </c>
      <c r="U31" s="744" t="str">
        <f t="shared" si="6"/>
        <v>ComboBox_TyHlo_yksikko_00000001</v>
      </c>
      <c r="W31" t="s">
        <v>1567</v>
      </c>
      <c r="X31" s="741" t="str">
        <f>IF($C$4=V3,"*",$Y$28)</f>
        <v>*</v>
      </c>
      <c r="AA31" s="176" t="str">
        <f>IFERROR(IF(INDEX(Data_Omakoodi!H:H,MATCH($AK$3&amp;$AL31,Data_Omakoodi!A:A,0))="P","",$AK$3&amp;$AL31),$AK$3&amp;$AL31)</f>
        <v>ComboBox_EtKuntakoodi_00000024</v>
      </c>
      <c r="AB31" s="44" t="str">
        <f>IFERROR(INDEX(Data_Omakoodi!E:E,MATCH(AA31,Data_Omakoodi!A:A,0)),"")</f>
        <v/>
      </c>
      <c r="AC31" t="str">
        <f>IFERROR(IF(INDEX(Data_Omakoodi!H:H,MATCH($AH$3&amp;$AL31,Data_Omakoodi!A:A,0))="P","",$AH$3&amp;$AL31),$AH$3&amp;$AL31)</f>
        <v>ComboBox_TyHlo_yksikko_00000024</v>
      </c>
      <c r="AD31" s="44" t="str">
        <f>IFERROR(INDEX(Data_Omakoodi!E:E,MATCH(AC31,Data_Omakoodi!A:A,0)),"")</f>
        <v/>
      </c>
      <c r="AE31" t="str">
        <f>IFERROR(IF(INDEX(Data_Omakoodi!H:H,MATCH($AH$3&amp;$AL31,Data_Omakoodi!A:A,0))="P","",$AH$3&amp;$AL31),$AH$3&amp;$AL31)</f>
        <v>ComboBox_TyHlo_yksikko_00000024</v>
      </c>
      <c r="AF31" t="s">
        <v>1550</v>
      </c>
      <c r="AG31" s="739" t="str">
        <f t="shared" si="0"/>
        <v/>
      </c>
      <c r="AH31" s="739" t="str">
        <f t="shared" si="1"/>
        <v/>
      </c>
      <c r="AI31"/>
      <c r="AJ31" s="739" t="str">
        <f t="shared" si="2"/>
        <v/>
      </c>
      <c r="AK31" s="739" t="str">
        <f t="shared" si="3"/>
        <v/>
      </c>
      <c r="AL31">
        <v>24</v>
      </c>
      <c r="AP31" s="685"/>
      <c r="AQ31" s="685"/>
      <c r="AR31" s="27"/>
      <c r="AS31" s="27"/>
    </row>
    <row r="32" spans="1:45" ht="15.75" thickBot="1" x14ac:dyDescent="0.3">
      <c r="A32" s="384"/>
      <c r="B32" s="384"/>
      <c r="C32" s="384"/>
      <c r="D32" s="384"/>
      <c r="E32" s="384"/>
      <c r="F32" s="384"/>
      <c r="G32" s="534" t="str">
        <f>"N: "&amp;C23&amp;"; *miehet ja muun sukupuoliset (N: "&amp;$V$11&amp;")"</f>
        <v>N: 0; *miehet ja muun sukupuoliset (N: 0)</v>
      </c>
      <c r="H32" s="535"/>
      <c r="I32" s="535"/>
      <c r="J32" s="535"/>
      <c r="K32" s="535"/>
      <c r="L32" s="535"/>
      <c r="M32" s="536"/>
      <c r="O32" s="743" t="str">
        <f t="shared" si="4"/>
        <v/>
      </c>
      <c r="P32" s="742">
        <f>SUMIFS(AS!$W:$W,AS!$AB:$AB,"OK",AS!$AW:$AW,Parkki!$Y$6,AS!$X:$X,Parkki!$Y$5,AS!$H:$H,Parkki!$W$7,AS!$K:$K,Parkki!$U32,AS!AH:AH,"nuori",AS!$AG:$AG,Parkki!$Y$9)</f>
        <v>0</v>
      </c>
      <c r="Q32" s="742">
        <f>SUMIFS(JA!$Z:$Z,JA!$AE:$AE,"OK",JA!$R:$R,Parkki!$Y$6,JA!$AY:$AY,Parkki!$Y$5,JA!$AI:$AI,$Y$4,JA!$L:$L,$U32,JA!$T:$T,1,JA!$AJ:$AJ,Parkki!$W$7,JA!V:V,"nuori",JA!$M:$M,Parkki!$Y$9)</f>
        <v>0</v>
      </c>
      <c r="R32" s="742">
        <f>SUMIFS(JA!$Z:$Z,JA!$AE:$AE,"OK",JA!$R:$R,Parkki!$Y$6,JA!$AY:$AY,Parkki!$Y$5,JA!$AI:$AI,$Y$4,JA!$L:$L,$U32,JA!$AJ:$AJ,Parkki!$W$7,JA!V:V,"nuori",JA!$M:$M,Parkki!$Y$9)</f>
        <v>0</v>
      </c>
      <c r="S32">
        <f t="shared" si="5"/>
        <v>0</v>
      </c>
      <c r="T32" s="144">
        <v>14</v>
      </c>
      <c r="U32" s="744" t="str">
        <f t="shared" si="6"/>
        <v>ComboBox_TyHlo_yksikko_00000001</v>
      </c>
      <c r="W32" t="s">
        <v>1568</v>
      </c>
      <c r="X32" s="741" t="str">
        <f>IF($C$5=V3,"*",$Y$6)</f>
        <v>*</v>
      </c>
      <c r="AA32" s="176" t="str">
        <f>IFERROR(IF(INDEX(Data_Omakoodi!H:H,MATCH($AK$3&amp;$AL32,Data_Omakoodi!A:A,0))="P","",$AK$3&amp;$AL32),$AK$3&amp;$AL32)</f>
        <v>ComboBox_EtKuntakoodi_00000025</v>
      </c>
      <c r="AB32" s="44" t="str">
        <f>IFERROR(INDEX(Data_Omakoodi!E:E,MATCH(AA32,Data_Omakoodi!A:A,0)),"")</f>
        <v/>
      </c>
      <c r="AC32" t="str">
        <f>IFERROR(IF(INDEX(Data_Omakoodi!H:H,MATCH($AH$3&amp;$AL32,Data_Omakoodi!A:A,0))="P","",$AH$3&amp;$AL32),$AH$3&amp;$AL32)</f>
        <v>ComboBox_TyHlo_yksikko_00000025</v>
      </c>
      <c r="AD32" s="44" t="str">
        <f>IFERROR(INDEX(Data_Omakoodi!E:E,MATCH(AC32,Data_Omakoodi!A:A,0)),"")</f>
        <v/>
      </c>
      <c r="AE32" t="str">
        <f>IFERROR(IF(INDEX(Data_Omakoodi!H:H,MATCH($AH$3&amp;$AL32,Data_Omakoodi!A:A,0))="P","",$AH$3&amp;$AL32),$AH$3&amp;$AL32)</f>
        <v>ComboBox_TyHlo_yksikko_00000025</v>
      </c>
      <c r="AF32" t="s">
        <v>1551</v>
      </c>
      <c r="AG32" s="739" t="str">
        <f t="shared" si="0"/>
        <v/>
      </c>
      <c r="AH32" s="739" t="str">
        <f t="shared" si="1"/>
        <v/>
      </c>
      <c r="AI32"/>
      <c r="AJ32" s="739" t="str">
        <f t="shared" si="2"/>
        <v/>
      </c>
      <c r="AK32" s="739" t="str">
        <f t="shared" si="3"/>
        <v/>
      </c>
      <c r="AL32">
        <v>25</v>
      </c>
      <c r="AP32" s="685"/>
      <c r="AQ32" s="685"/>
      <c r="AR32" s="27"/>
      <c r="AS32" s="27"/>
    </row>
    <row r="33" spans="1:45" ht="19.5" thickTop="1" x14ac:dyDescent="0.3">
      <c r="A33" s="539" t="s">
        <v>1102</v>
      </c>
      <c r="B33" s="538"/>
      <c r="C33" s="538"/>
      <c r="D33" s="538"/>
      <c r="E33" s="538"/>
      <c r="F33" s="537"/>
      <c r="G33" s="538"/>
      <c r="H33" s="538"/>
      <c r="I33" s="538"/>
      <c r="J33" s="538"/>
      <c r="K33" s="538"/>
      <c r="L33" s="538"/>
      <c r="M33" s="538"/>
      <c r="O33" s="743" t="str">
        <f t="shared" si="4"/>
        <v/>
      </c>
      <c r="P33" s="742">
        <f>SUMIFS(AS!$W:$W,AS!$AB:$AB,"OK",AS!$AW:$AW,Parkki!$Y$6,AS!$X:$X,Parkki!$Y$5,AS!$H:$H,Parkki!$W$7,AS!$K:$K,Parkki!$U33,AS!AH:AH,"nuori",AS!$AG:$AG,Parkki!$Y$9)</f>
        <v>0</v>
      </c>
      <c r="Q33" s="742">
        <f>SUMIFS(JA!$Z:$Z,JA!$AE:$AE,"OK",JA!$R:$R,Parkki!$Y$6,JA!$AY:$AY,Parkki!$Y$5,JA!$AI:$AI,$Y$4,JA!$L:$L,$U33,JA!$T:$T,1,JA!$AJ:$AJ,Parkki!$W$7,JA!V:V,"nuori",JA!$M:$M,Parkki!$Y$9)</f>
        <v>0</v>
      </c>
      <c r="R33" s="742">
        <f>SUMIFS(JA!$Z:$Z,JA!$AE:$AE,"OK",JA!$R:$R,Parkki!$Y$6,JA!$AY:$AY,Parkki!$Y$5,JA!$AI:$AI,$Y$4,JA!$L:$L,$U33,JA!$AJ:$AJ,Parkki!$W$7,JA!V:V,"nuori",JA!$M:$M,Parkki!$Y$9)</f>
        <v>0</v>
      </c>
      <c r="S33">
        <f t="shared" si="5"/>
        <v>0</v>
      </c>
      <c r="T33" s="144">
        <v>15</v>
      </c>
      <c r="U33" s="744" t="str">
        <f t="shared" si="6"/>
        <v>ComboBox_TyHlo_yksikko_00000001</v>
      </c>
      <c r="AA33" s="176" t="str">
        <f>IFERROR(IF(INDEX(Data_Omakoodi!H:H,MATCH($AK$3&amp;$AL33,Data_Omakoodi!A:A,0))="P","",$AK$3&amp;$AL33),$AK$3&amp;$AL33)</f>
        <v>ComboBox_EtKuntakoodi_00000026</v>
      </c>
      <c r="AB33" s="44" t="str">
        <f>IFERROR(INDEX(Data_Omakoodi!E:E,MATCH(AA33,Data_Omakoodi!A:A,0)),"")</f>
        <v/>
      </c>
      <c r="AC33" t="str">
        <f>IFERROR(IF(INDEX(Data_Omakoodi!H:H,MATCH($AH$3&amp;$AL33,Data_Omakoodi!A:A,0))="P","",$AH$3&amp;$AL33),$AH$3&amp;$AL33)</f>
        <v>ComboBox_TyHlo_yksikko_00000026</v>
      </c>
      <c r="AD33" s="44" t="str">
        <f>IFERROR(INDEX(Data_Omakoodi!E:E,MATCH(AC33,Data_Omakoodi!A:A,0)),"")</f>
        <v/>
      </c>
      <c r="AE33" t="str">
        <f>IFERROR(IF(INDEX(Data_Omakoodi!H:H,MATCH($AH$3&amp;$AL33,Data_Omakoodi!A:A,0))="P","",$AH$3&amp;$AL33),$AH$3&amp;$AL33)</f>
        <v>ComboBox_TyHlo_yksikko_00000026</v>
      </c>
      <c r="AF33" t="s">
        <v>1552</v>
      </c>
      <c r="AG33" s="739" t="str">
        <f t="shared" si="0"/>
        <v/>
      </c>
      <c r="AH33" s="739" t="str">
        <f t="shared" si="1"/>
        <v/>
      </c>
      <c r="AI33"/>
      <c r="AJ33" s="739" t="str">
        <f t="shared" si="2"/>
        <v/>
      </c>
      <c r="AK33" s="739" t="str">
        <f t="shared" si="3"/>
        <v/>
      </c>
      <c r="AL33">
        <v>26</v>
      </c>
      <c r="AP33" s="685"/>
      <c r="AQ33" s="685"/>
      <c r="AR33" s="27"/>
      <c r="AS33" s="27"/>
    </row>
    <row r="34" spans="1:45" ht="28.5" customHeight="1" x14ac:dyDescent="0.25">
      <c r="A34" s="388">
        <f>SUMIFS(AS!W:W,AS!$BO:$BO,$W$7,AS!AB:AB,AS!$AA$1,AS!$D:$D,$X$3,AS!$AW:$AW,$Y$6,AS!$X:$X,$Y$5)-C42-C43</f>
        <v>0</v>
      </c>
      <c r="B34" s="789" t="str">
        <f>"Kuinka moneen naiseen ja mieheen etsivä nuorisotyö ei saanut yhteyttä "&amp;Y12&amp;X10&amp;U8&amp;X15</f>
        <v>Kuinka moneen naiseen ja mieheen etsivä nuorisotyö ei saanut yhteyttä - KAIKKI: 01.01.2025-30.04.2025 (Kaikki yksiköt / perustiedoista, Kaikki kunnat / perustiedoista, Ikäluokka: Kaikki)</v>
      </c>
      <c r="C34" s="789"/>
      <c r="D34" s="789"/>
      <c r="E34" s="789"/>
      <c r="F34" s="422"/>
      <c r="G34" s="812" t="str">
        <f>B34</f>
        <v>Kuinka moneen naiseen ja mieheen etsivä nuorisotyö ei saanut yhteyttä - KAIKKI: 01.01.2025-30.04.2025 (Kaikki yksiköt / perustiedoista, Kaikki kunnat / perustiedoista, Ikäluokka: Kaikki)</v>
      </c>
      <c r="H34" s="813"/>
      <c r="I34" s="813"/>
      <c r="J34" s="813"/>
      <c r="K34" s="813"/>
      <c r="L34" s="813"/>
      <c r="M34" s="814"/>
      <c r="O34" s="743" t="str">
        <f t="shared" si="4"/>
        <v/>
      </c>
      <c r="P34" s="742">
        <f>SUMIFS(AS!$W:$W,AS!$AB:$AB,"OK",AS!$AW:$AW,Parkki!$Y$6,AS!$X:$X,Parkki!$Y$5,AS!$H:$H,Parkki!$W$7,AS!$K:$K,Parkki!$U34,AS!AH:AH,"nuori",AS!$AG:$AG,Parkki!$Y$9)</f>
        <v>0</v>
      </c>
      <c r="Q34" s="742">
        <f>SUMIFS(JA!$Z:$Z,JA!$AE:$AE,"OK",JA!$R:$R,Parkki!$Y$6,JA!$AY:$AY,Parkki!$Y$5,JA!$AI:$AI,$Y$4,JA!$L:$L,$U34,JA!$T:$T,1,JA!$AJ:$AJ,Parkki!$W$7,JA!V:V,"nuori",JA!$M:$M,Parkki!$Y$9)</f>
        <v>0</v>
      </c>
      <c r="R34" s="742">
        <f>SUMIFS(JA!$Z:$Z,JA!$AE:$AE,"OK",JA!$R:$R,Parkki!$Y$6,JA!$AY:$AY,Parkki!$Y$5,JA!$AI:$AI,$Y$4,JA!$L:$L,$U34,JA!$AJ:$AJ,Parkki!$W$7,JA!V:V,"nuori",JA!$M:$M,Parkki!$Y$9)</f>
        <v>0</v>
      </c>
      <c r="S34">
        <f t="shared" si="5"/>
        <v>0</v>
      </c>
      <c r="T34" s="144">
        <v>16</v>
      </c>
      <c r="U34" s="744" t="str">
        <f t="shared" si="6"/>
        <v>ComboBox_TyHlo_yksikko_00000001</v>
      </c>
      <c r="AA34" s="176" t="str">
        <f>IFERROR(IF(INDEX(Data_Omakoodi!H:H,MATCH($AK$3&amp;$AL34,Data_Omakoodi!A:A,0))="P","",$AK$3&amp;$AL34),$AK$3&amp;$AL34)</f>
        <v>ComboBox_EtKuntakoodi_00000027</v>
      </c>
      <c r="AB34" s="44" t="str">
        <f>IFERROR(INDEX(Data_Omakoodi!E:E,MATCH(AA34,Data_Omakoodi!A:A,0)),"")</f>
        <v/>
      </c>
      <c r="AC34" t="str">
        <f>IFERROR(IF(INDEX(Data_Omakoodi!H:H,MATCH($AH$3&amp;$AL34,Data_Omakoodi!A:A,0))="P","",$AH$3&amp;$AL34),$AH$3&amp;$AL34)</f>
        <v>ComboBox_TyHlo_yksikko_00000027</v>
      </c>
      <c r="AD34" s="44" t="str">
        <f>IFERROR(INDEX(Data_Omakoodi!E:E,MATCH(AC34,Data_Omakoodi!A:A,0)),"")</f>
        <v/>
      </c>
      <c r="AE34" t="str">
        <f>IFERROR(IF(INDEX(Data_Omakoodi!H:H,MATCH($AH$3&amp;$AL34,Data_Omakoodi!A:A,0))="P","",$AH$3&amp;$AL34),$AH$3&amp;$AL34)</f>
        <v>ComboBox_TyHlo_yksikko_00000027</v>
      </c>
      <c r="AF34" t="s">
        <v>1553</v>
      </c>
      <c r="AG34" s="739" t="str">
        <f t="shared" si="0"/>
        <v/>
      </c>
      <c r="AH34" s="739" t="str">
        <f t="shared" si="1"/>
        <v/>
      </c>
      <c r="AI34"/>
      <c r="AJ34" s="739" t="str">
        <f t="shared" si="2"/>
        <v/>
      </c>
      <c r="AK34" s="739" t="str">
        <f t="shared" si="3"/>
        <v/>
      </c>
      <c r="AL34">
        <v>27</v>
      </c>
      <c r="AP34" s="685"/>
      <c r="AQ34" s="685"/>
      <c r="AR34" s="27"/>
      <c r="AS34" s="27"/>
    </row>
    <row r="35" spans="1:45" ht="25.5" x14ac:dyDescent="0.25">
      <c r="A35" s="815" t="str">
        <f>IF(A34=0,"","HUOM! Toimenpiteitä on merkitty "&amp;A34&amp;":lle nuorelle, "&amp;IF(A34=1,"jonka","joiden") &amp;" status on muutettu tämän vuoksi tavoitetuksi. Tarkista status PAR-ohjelmasta, asiakaslistasta.")</f>
        <v/>
      </c>
      <c r="B35" s="518"/>
      <c r="C35" s="521" t="s">
        <v>114</v>
      </c>
      <c r="D35" s="521" t="s">
        <v>132</v>
      </c>
      <c r="E35" s="522" t="s">
        <v>1162</v>
      </c>
      <c r="F35" s="422"/>
      <c r="G35" s="524"/>
      <c r="M35" s="525"/>
      <c r="O35" s="743" t="str">
        <f t="shared" si="4"/>
        <v/>
      </c>
      <c r="P35" s="742">
        <f>SUMIFS(AS!$W:$W,AS!$AB:$AB,"OK",AS!$AW:$AW,Parkki!$Y$6,AS!$X:$X,Parkki!$Y$5,AS!$H:$H,Parkki!$W$7,AS!$K:$K,Parkki!$U35,AS!AH:AH,"nuori",AS!$AG:$AG,Parkki!$Y$9)</f>
        <v>0</v>
      </c>
      <c r="Q35" s="742">
        <f>SUMIFS(JA!$Z:$Z,JA!$AE:$AE,"OK",JA!$R:$R,Parkki!$Y$6,JA!$AY:$AY,Parkki!$Y$5,JA!$AI:$AI,$Y$4,JA!$L:$L,$U35,JA!$T:$T,1,JA!$AJ:$AJ,Parkki!$W$7,JA!V:V,"nuori",JA!$M:$M,Parkki!$Y$9)</f>
        <v>0</v>
      </c>
      <c r="R35" s="742">
        <f>SUMIFS(JA!$Z:$Z,JA!$AE:$AE,"OK",JA!$R:$R,Parkki!$Y$6,JA!$AY:$AY,Parkki!$Y$5,JA!$AI:$AI,$Y$4,JA!$L:$L,$U35,JA!$AJ:$AJ,Parkki!$W$7,JA!V:V,"nuori",JA!$M:$M,Parkki!$Y$9)</f>
        <v>0</v>
      </c>
      <c r="S35">
        <f t="shared" si="5"/>
        <v>0</v>
      </c>
      <c r="T35" s="144">
        <v>17</v>
      </c>
      <c r="U35" s="744" t="str">
        <f t="shared" si="6"/>
        <v>ComboBox_TyHlo_yksikko_00000001</v>
      </c>
      <c r="V35" s="386" t="s">
        <v>789</v>
      </c>
      <c r="AA35" s="176" t="str">
        <f>IFERROR(IF(INDEX(Data_Omakoodi!H:H,MATCH($AK$3&amp;$AL35,Data_Omakoodi!A:A,0))="P","",$AK$3&amp;$AL35),$AK$3&amp;$AL35)</f>
        <v>ComboBox_EtKuntakoodi_00000028</v>
      </c>
      <c r="AB35" s="44" t="str">
        <f>IFERROR(INDEX(Data_Omakoodi!E:E,MATCH(AA35,Data_Omakoodi!A:A,0)),"")</f>
        <v/>
      </c>
      <c r="AC35" t="str">
        <f>IFERROR(IF(INDEX(Data_Omakoodi!H:H,MATCH($AH$3&amp;$AL35,Data_Omakoodi!A:A,0))="P","",$AH$3&amp;$AL35),$AH$3&amp;$AL35)</f>
        <v>ComboBox_TyHlo_yksikko_00000028</v>
      </c>
      <c r="AD35" s="44" t="str">
        <f>IFERROR(INDEX(Data_Omakoodi!E:E,MATCH(AC35,Data_Omakoodi!A:A,0)),"")</f>
        <v/>
      </c>
      <c r="AE35" t="str">
        <f>IFERROR(IF(INDEX(Data_Omakoodi!H:H,MATCH($AH$3&amp;$AL35,Data_Omakoodi!A:A,0))="P","",$AH$3&amp;$AL35),$AH$3&amp;$AL35)</f>
        <v>ComboBox_TyHlo_yksikko_00000028</v>
      </c>
      <c r="AF35" t="s">
        <v>1554</v>
      </c>
      <c r="AG35" s="739" t="str">
        <f t="shared" si="0"/>
        <v/>
      </c>
      <c r="AH35" s="739" t="str">
        <f t="shared" si="1"/>
        <v/>
      </c>
      <c r="AI35"/>
      <c r="AJ35" s="739" t="str">
        <f t="shared" si="2"/>
        <v/>
      </c>
      <c r="AK35" s="739" t="str">
        <f t="shared" si="3"/>
        <v/>
      </c>
      <c r="AL35">
        <v>28</v>
      </c>
      <c r="AP35" s="685"/>
      <c r="AQ35" s="685"/>
      <c r="AR35" s="27"/>
      <c r="AS35" s="27"/>
    </row>
    <row r="36" spans="1:45" x14ac:dyDescent="0.25">
      <c r="A36" s="815"/>
      <c r="B36" s="518" t="s">
        <v>785</v>
      </c>
      <c r="C36" s="520">
        <f>SUMIFS(AS!W:W,AS!$BO:$BO,$W$7,AS!AB:AB,AS!$AA$1,AS!AG:AG,$X36,AS!$AV:$AV,$X$3,AS!$AW:$AW,$X$32,AS!$X:$X,$Y$5,AS!$AT:$AT,Parkki!$Y$13,AS!$K:$K,$X$31,AS!$F:$F,$V$29,AS!$L:$L,$V$30,AS!$AG:$AG,Parkki!$Y$9)</f>
        <v>0</v>
      </c>
      <c r="D36" s="520">
        <f>SUMIFS(AS!W:W,AS!$BO:$BO,$W$7,AS!AB:AB,AS!$AA$1,AS!AG:AG,$X36,AS!$AV:$AV,$X$3,AS!$AW:$AW,$X$32,AS!$X:$X,$Y$5,AS!I:I,$X$7,AS!$AT:$AT,Parkki!$Y$13,AS!$K:$K,$X$31,AS!$F:$F,$V$29,AS!$L:$L,$V$30,AS!$AG:$AG,Parkki!$Y$9)</f>
        <v>0</v>
      </c>
      <c r="E36" s="520">
        <f>SUMIFS(AS!W:W,AS!$BO:$BO,$W$7,AS!AB:AB,AS!$AA$1,AS!AG:AG,$X36,AS!$AV:$AV,$X$3,AS!$AW:$AW,$X$32,AS!$X:$X,$Y$5,AS!I:I,$Y$7,AS!$AT:$AT,Parkki!$Y$13,AS!$K:$K,$X$31,AS!$F:$F,$V$29,AS!$L:$L,$V$30,AS!$AG:$AG,Parkki!$Y$9)</f>
        <v>0</v>
      </c>
      <c r="F36" s="423"/>
      <c r="G36" s="524"/>
      <c r="M36" s="525"/>
      <c r="O36" s="743" t="str">
        <f t="shared" si="4"/>
        <v/>
      </c>
      <c r="P36" s="742">
        <f>SUMIFS(AS!$W:$W,AS!$AB:$AB,"OK",AS!$AW:$AW,Parkki!$Y$6,AS!$X:$X,Parkki!$Y$5,AS!$H:$H,Parkki!$W$7,AS!$K:$K,Parkki!$U36,AS!AH:AH,"nuori",AS!$AG:$AG,Parkki!$Y$9)</f>
        <v>0</v>
      </c>
      <c r="Q36" s="742">
        <f>SUMIFS(JA!$Z:$Z,JA!$AE:$AE,"OK",JA!$R:$R,Parkki!$Y$6,JA!$AY:$AY,Parkki!$Y$5,JA!$AI:$AI,$Y$4,JA!$L:$L,$U36,JA!$T:$T,1,JA!$AJ:$AJ,Parkki!$W$7,JA!V:V,"nuori",JA!$M:$M,Parkki!$Y$9)</f>
        <v>0</v>
      </c>
      <c r="R36" s="742">
        <f>SUMIFS(JA!$Z:$Z,JA!$AE:$AE,"OK",JA!$R:$R,Parkki!$Y$6,JA!$AY:$AY,Parkki!$Y$5,JA!$AI:$AI,$Y$4,JA!$L:$L,$U36,JA!$AJ:$AJ,Parkki!$W$7,JA!V:V,"nuori",JA!$M:$M,Parkki!$Y$9)</f>
        <v>0</v>
      </c>
      <c r="S36">
        <f t="shared" si="5"/>
        <v>0</v>
      </c>
      <c r="T36" s="144">
        <v>18</v>
      </c>
      <c r="U36" s="744" t="str">
        <f t="shared" si="6"/>
        <v>ComboBox_TyHlo_yksikko_00000001</v>
      </c>
      <c r="V36" s="292">
        <f>F41-V37</f>
        <v>0</v>
      </c>
      <c r="X36" s="28" t="s">
        <v>65</v>
      </c>
      <c r="AA36" s="176" t="str">
        <f>IFERROR(IF(INDEX(Data_Omakoodi!H:H,MATCH($AK$3&amp;$AL36,Data_Omakoodi!A:A,0))="P","",$AK$3&amp;$AL36),$AK$3&amp;$AL36)</f>
        <v>ComboBox_EtKuntakoodi_00000029</v>
      </c>
      <c r="AB36" s="44" t="str">
        <f>IFERROR(INDEX(Data_Omakoodi!E:E,MATCH(AA36,Data_Omakoodi!A:A,0)),"")</f>
        <v/>
      </c>
      <c r="AC36" t="str">
        <f>IFERROR(IF(INDEX(Data_Omakoodi!H:H,MATCH($AH$3&amp;$AL36,Data_Omakoodi!A:A,0))="P","",$AH$3&amp;$AL36),$AH$3&amp;$AL36)</f>
        <v>ComboBox_TyHlo_yksikko_00000029</v>
      </c>
      <c r="AD36" s="44" t="str">
        <f>IFERROR(INDEX(Data_Omakoodi!E:E,MATCH(AC36,Data_Omakoodi!A:A,0)),"")</f>
        <v/>
      </c>
      <c r="AE36" t="str">
        <f>IFERROR(IF(INDEX(Data_Omakoodi!H:H,MATCH($AH$3&amp;$AL36,Data_Omakoodi!A:A,0))="P","",$AH$3&amp;$AL36),$AH$3&amp;$AL36)</f>
        <v>ComboBox_TyHlo_yksikko_00000029</v>
      </c>
      <c r="AF36" t="s">
        <v>1555</v>
      </c>
      <c r="AG36" s="739" t="str">
        <f t="shared" si="0"/>
        <v/>
      </c>
      <c r="AH36" s="739" t="str">
        <f t="shared" si="1"/>
        <v/>
      </c>
      <c r="AI36"/>
      <c r="AJ36" s="739" t="str">
        <f t="shared" si="2"/>
        <v/>
      </c>
      <c r="AK36" s="739" t="str">
        <f t="shared" si="3"/>
        <v/>
      </c>
      <c r="AL36">
        <v>29</v>
      </c>
      <c r="AP36" s="685"/>
      <c r="AQ36" s="685"/>
      <c r="AR36" s="27"/>
      <c r="AS36" s="27"/>
    </row>
    <row r="37" spans="1:45" x14ac:dyDescent="0.25">
      <c r="A37" s="815"/>
      <c r="B37" s="518" t="s">
        <v>1359</v>
      </c>
      <c r="C37" s="520">
        <f>SUMIFS(AS!W:W,AS!$BO:$BO,$W$7,AS!AB:AB,AS!$AA$1,AS!AG:AG,$X37,AS!$AV:$AV,$X$3,AS!$AW:$AW,$X$32,AS!$X:$X,$Y$5,AS!$AT:$AT,Parkki!$Y$13,AS!$K:$K,$X$31,AS!$F:$F,$V$29,AS!$L:$L,$V$30,AS!$AG:$AG,Parkki!$Y$9)</f>
        <v>0</v>
      </c>
      <c r="D37" s="520">
        <f>SUMIFS(AS!W:W,AS!$BO:$BO,$W$7,AS!AB:AB,AS!$AA$1,AS!AG:AG,$X37,AS!$AV:$AV,$X$3,AS!$AW:$AW,$X$32,AS!$X:$X,$Y$5,AS!I:I,$X$7,AS!$AT:$AT,Parkki!$Y$13,AS!$K:$K,$X$31,AS!$F:$F,$V$29,AS!$L:$L,$V$30,AS!$AG:$AG,Parkki!$Y$9)</f>
        <v>0</v>
      </c>
      <c r="E37" s="520">
        <f>SUMIFS(AS!W:W,AS!$BO:$BO,$W$7,AS!AB:AB,AS!$AA$1,AS!AG:AG,$X37,AS!$AV:$AV,$X$3,AS!$AW:$AW,$X$32,AS!$X:$X,$Y$5,AS!I:I,$Y$7,AS!$AT:$AT,Parkki!$Y$13,AS!$K:$K,$X$31,AS!$F:$F,$V$29,AS!$L:$L,$V$30,AS!$AG:$AG,Parkki!$Y$9)</f>
        <v>0</v>
      </c>
      <c r="F37" s="423"/>
      <c r="G37" s="524"/>
      <c r="M37" s="525"/>
      <c r="O37" s="743" t="str">
        <f t="shared" si="4"/>
        <v/>
      </c>
      <c r="P37" s="742">
        <f>SUMIFS(AS!$W:$W,AS!$AB:$AB,"OK",AS!$AW:$AW,Parkki!$Y$6,AS!$X:$X,Parkki!$Y$5,AS!$H:$H,Parkki!$W$7,AS!$K:$K,Parkki!$U37,AS!AH:AH,"nuori",AS!$AG:$AG,Parkki!$Y$9)</f>
        <v>0</v>
      </c>
      <c r="Q37" s="742">
        <f>SUMIFS(JA!$Z:$Z,JA!$AE:$AE,"OK",JA!$R:$R,Parkki!$Y$6,JA!$AY:$AY,Parkki!$Y$5,JA!$AI:$AI,$Y$4,JA!$L:$L,$U37,JA!$T:$T,1,JA!$AJ:$AJ,Parkki!$W$7,JA!V:V,"nuori",JA!$M:$M,Parkki!$Y$9)</f>
        <v>0</v>
      </c>
      <c r="R37" s="742">
        <f>SUMIFS(JA!$Z:$Z,JA!$AE:$AE,"OK",JA!$R:$R,Parkki!$Y$6,JA!$AY:$AY,Parkki!$Y$5,JA!$AI:$AI,$Y$4,JA!$L:$L,$U37,JA!$AJ:$AJ,Parkki!$W$7,JA!V:V,"nuori",JA!$M:$M,Parkki!$Y$9)</f>
        <v>0</v>
      </c>
      <c r="S37">
        <f t="shared" si="5"/>
        <v>0</v>
      </c>
      <c r="T37" s="144">
        <v>19</v>
      </c>
      <c r="U37" s="744" t="str">
        <f t="shared" si="6"/>
        <v>ComboBox_TyHlo_yksikko_00000001</v>
      </c>
      <c r="V37" s="292">
        <f>SUMIFS(AS!$W:$W,AS!$BO:$BO,$W$7,AS!$AB:$AB,AS!$AA$1,AS!$AV:$AV,$X$3,AS!$AH:$AH,$Y$8,AS!$BB:$BB,AS!$BA$1,AS!$AW:$AW,$Y$6,AS!$X:$X,$Y$5)</f>
        <v>0</v>
      </c>
      <c r="W37" s="385" t="s">
        <v>331</v>
      </c>
      <c r="X37" t="s">
        <v>1357</v>
      </c>
      <c r="AA37" s="176" t="str">
        <f>IFERROR(IF(INDEX(Data_Omakoodi!H:H,MATCH($AK$3&amp;$AL37,Data_Omakoodi!A:A,0))="P","",$AK$3&amp;$AL37),$AK$3&amp;$AL37)</f>
        <v>ComboBox_EtKuntakoodi_00000030</v>
      </c>
      <c r="AB37" s="44" t="str">
        <f>IFERROR(INDEX(Data_Omakoodi!E:E,MATCH(AA37,Data_Omakoodi!A:A,0)),"")</f>
        <v/>
      </c>
      <c r="AC37" t="str">
        <f>IFERROR(IF(INDEX(Data_Omakoodi!H:H,MATCH($AH$3&amp;$AL37,Data_Omakoodi!A:A,0))="P","",$AH$3&amp;$AL37),$AH$3&amp;$AL37)</f>
        <v>ComboBox_TyHlo_yksikko_00000030</v>
      </c>
      <c r="AD37" s="44" t="str">
        <f>IFERROR(INDEX(Data_Omakoodi!E:E,MATCH(AC37,Data_Omakoodi!A:A,0)),"")</f>
        <v/>
      </c>
      <c r="AE37" t="str">
        <f>IFERROR(IF(INDEX(Data_Omakoodi!H:H,MATCH($AH$3&amp;$AL37,Data_Omakoodi!A:A,0))="P","",$AH$3&amp;$AL37),$AH$3&amp;$AL37)</f>
        <v>ComboBox_TyHlo_yksikko_00000030</v>
      </c>
      <c r="AF37" t="s">
        <v>1556</v>
      </c>
      <c r="AG37" s="739" t="str">
        <f t="shared" si="0"/>
        <v/>
      </c>
      <c r="AH37" s="739" t="str">
        <f t="shared" si="1"/>
        <v/>
      </c>
      <c r="AI37"/>
      <c r="AJ37" s="739" t="str">
        <f t="shared" si="2"/>
        <v/>
      </c>
      <c r="AK37" s="739" t="str">
        <f t="shared" si="3"/>
        <v/>
      </c>
      <c r="AL37">
        <v>30</v>
      </c>
      <c r="AP37" s="685"/>
      <c r="AQ37" s="685"/>
      <c r="AR37" s="27"/>
      <c r="AS37" s="27"/>
    </row>
    <row r="38" spans="1:45" x14ac:dyDescent="0.25">
      <c r="A38" s="815"/>
      <c r="B38" s="518" t="s">
        <v>1360</v>
      </c>
      <c r="C38" s="520">
        <f>SUMIFS(AS!W:W,AS!$BO:$BO,$W$7,AS!AB:AB,AS!$AA$1,AS!AG:AG,$X38,AS!$AV:$AV,$X$3,AS!$AW:$AW,$X$32,AS!$X:$X,$Y$5,AS!$AT:$AT,Parkki!$Y$13,AS!$K:$K,$X$31,AS!$F:$F,$V$29,AS!$L:$L,$V$30,AS!$AG:$AG,Parkki!$Y$9)</f>
        <v>0</v>
      </c>
      <c r="D38" s="520">
        <f>SUMIFS(AS!W:W,AS!$BO:$BO,$W$7,AS!AB:AB,AS!$AA$1,AS!AG:AG,$X38,AS!$AV:$AV,$X$3,AS!$AW:$AW,$X$32,AS!$X:$X,$Y$5,AS!I:I,$X$7,AS!$AT:$AT,Parkki!$Y$13,AS!$K:$K,$X$31,AS!$F:$F,$V$29,AS!$L:$L,$V$30,AS!$AG:$AG,Parkki!$Y$9)</f>
        <v>0</v>
      </c>
      <c r="E38" s="520">
        <f>SUMIFS(AS!W:W,AS!$BO:$BO,$W$7,AS!AB:AB,AS!$AA$1,AS!AG:AG,$X38,AS!$AV:$AV,$X$3,AS!$AW:$AW,$X$32,AS!$X:$X,$Y$5,AS!I:I,$Y$7,AS!$AT:$AT,Parkki!$Y$13,AS!$K:$K,$X$31,AS!$F:$F,$V$29,AS!$L:$L,$V$30,AS!$AG:$AG,Parkki!$Y$9)</f>
        <v>0</v>
      </c>
      <c r="F38" s="423"/>
      <c r="G38" s="524"/>
      <c r="M38" s="525"/>
      <c r="O38" s="743" t="str">
        <f t="shared" si="4"/>
        <v/>
      </c>
      <c r="P38" s="742">
        <f>SUMIFS(AS!$W:$W,AS!$AB:$AB,"OK",AS!$AW:$AW,Parkki!$Y$6,AS!$X:$X,Parkki!$Y$5,AS!$H:$H,Parkki!$W$7,AS!$K:$K,Parkki!$U38,AS!AH:AH,"nuori",AS!$AG:$AG,Parkki!$Y$9)</f>
        <v>0</v>
      </c>
      <c r="Q38" s="742">
        <f>SUMIFS(JA!$Z:$Z,JA!$AE:$AE,"OK",JA!$R:$R,Parkki!$Y$6,JA!$AY:$AY,Parkki!$Y$5,JA!$AI:$AI,$Y$4,JA!$L:$L,$U38,JA!$T:$T,1,JA!$AJ:$AJ,Parkki!$W$7,JA!V:V,"nuori",JA!$M:$M,Parkki!$Y$9)</f>
        <v>0</v>
      </c>
      <c r="R38" s="742">
        <f>SUMIFS(JA!$Z:$Z,JA!$AE:$AE,"OK",JA!$R:$R,Parkki!$Y$6,JA!$AY:$AY,Parkki!$Y$5,JA!$AI:$AI,$Y$4,JA!$L:$L,$U38,JA!$AJ:$AJ,Parkki!$W$7,JA!V:V,"nuori",JA!$M:$M,Parkki!$Y$9)</f>
        <v>0</v>
      </c>
      <c r="S38">
        <f t="shared" si="5"/>
        <v>0</v>
      </c>
      <c r="T38" s="144">
        <v>20</v>
      </c>
      <c r="U38" s="744" t="str">
        <f t="shared" si="6"/>
        <v>ComboBox_TyHlo_yksikko_00000001</v>
      </c>
      <c r="V38" s="376">
        <f>SUM(V36:V37)</f>
        <v>0</v>
      </c>
      <c r="W38" s="385" t="s">
        <v>1365</v>
      </c>
      <c r="X38" s="155" t="s">
        <v>1358</v>
      </c>
      <c r="AA38" s="176" t="str">
        <f>IFERROR(IF(INDEX(Data_Omakoodi!H:H,MATCH($AK$3&amp;$AL38,Data_Omakoodi!A:A,0))="P","",$AK$3&amp;$AL38),$AK$3&amp;$AL38)</f>
        <v>ComboBox_EtKuntakoodi_00000031</v>
      </c>
      <c r="AB38" s="44" t="str">
        <f>IFERROR(INDEX(Data_Omakoodi!E:E,MATCH(AA38,Data_Omakoodi!A:A,0)),"")</f>
        <v/>
      </c>
      <c r="AC38" t="str">
        <f>IFERROR(IF(INDEX(Data_Omakoodi!H:H,MATCH($AH$3&amp;$AL38,Data_Omakoodi!A:A,0))="P","",$AH$3&amp;$AL38),$AH$3&amp;$AL38)</f>
        <v>ComboBox_TyHlo_yksikko_00000031</v>
      </c>
      <c r="AD38" s="44" t="str">
        <f>IFERROR(INDEX(Data_Omakoodi!E:E,MATCH(AC38,Data_Omakoodi!A:A,0)),"")</f>
        <v/>
      </c>
      <c r="AE38" t="str">
        <f>IFERROR(IF(INDEX(Data_Omakoodi!H:H,MATCH($AH$3&amp;$AL38,Data_Omakoodi!A:A,0))="P","",$AH$3&amp;$AL38),$AH$3&amp;$AL38)</f>
        <v>ComboBox_TyHlo_yksikko_00000031</v>
      </c>
      <c r="AF38" t="s">
        <v>1621</v>
      </c>
      <c r="AG38" s="739" t="str">
        <f t="shared" ref="AG38:AG55" si="8">TEXT(AD38,"@")</f>
        <v/>
      </c>
      <c r="AH38" s="739" t="str">
        <f t="shared" ref="AH38:AH55" si="9">IF(AG38&lt;&gt;"",ROW(),"")</f>
        <v/>
      </c>
      <c r="AI38"/>
      <c r="AJ38" s="739" t="str">
        <f t="shared" ref="AJ38:AJ55" si="10">TEXT(AB38,"@")</f>
        <v/>
      </c>
      <c r="AK38" s="739" t="str">
        <f t="shared" ref="AK38:AK55" si="11">IF(AJ38&lt;&gt;"",ROW(),"")</f>
        <v/>
      </c>
      <c r="AL38">
        <v>31</v>
      </c>
      <c r="AP38" s="685"/>
      <c r="AQ38" s="685"/>
      <c r="AR38" s="27"/>
      <c r="AS38" s="27"/>
    </row>
    <row r="39" spans="1:45" x14ac:dyDescent="0.25">
      <c r="A39" s="815"/>
      <c r="B39" s="518" t="s">
        <v>786</v>
      </c>
      <c r="C39" s="520">
        <f>SUMIFS(AS!W:W,AS!$BO:$BO,$W$7,AS!AB:AB,AS!$AA$1,AS!AG:AG,$X39,AS!$AV:$AV,$X$3,AS!$AW:$AW,$X$32,AS!$X:$X,$Y$5,AS!$AT:$AT,Parkki!$Y$13,AS!$K:$K,$X$31,AS!$F:$F,$V$29,AS!$L:$L,$V$30,AS!$AG:$AG,Parkki!$Y$9)</f>
        <v>0</v>
      </c>
      <c r="D39" s="520">
        <f>SUMIFS(AS!W:W,AS!$BO:$BO,$W$7,AS!AB:AB,AS!$AA$1,AS!AG:AG,$X39,AS!$AV:$AV,$X$3,AS!$AW:$AW,$X$32,AS!$X:$X,$Y$5,AS!I:I,$X$7,AS!$AT:$AT,Parkki!$Y$13,AS!$K:$K,$X$31,AS!$F:$F,$V$29,AS!$L:$L,$V$30,AS!$AG:$AG,Parkki!$Y$9)</f>
        <v>0</v>
      </c>
      <c r="E39" s="520">
        <f>SUMIFS(AS!W:W,AS!$BO:$BO,$W$7,AS!AB:AB,AS!$AA$1,AS!AG:AG,$X39,AS!$AV:$AV,$X$3,AS!$AW:$AW,$X$32,AS!$X:$X,$Y$5,AS!I:I,$Y$7,AS!$AT:$AT,Parkki!$Y$13,AS!$K:$K,$X$31,AS!$F:$F,$V$29,AS!$L:$L,$V$30,AS!$AG:$AG,Parkki!$Y$9)</f>
        <v>0</v>
      </c>
      <c r="F39" s="423"/>
      <c r="G39" s="524"/>
      <c r="M39" s="525"/>
      <c r="O39" s="743" t="str">
        <f t="shared" si="4"/>
        <v/>
      </c>
      <c r="P39" s="742">
        <f>SUMIFS(AS!$W:$W,AS!$AB:$AB,"OK",AS!$AW:$AW,Parkki!$Y$6,AS!$X:$X,Parkki!$Y$5,AS!$H:$H,Parkki!$W$7,AS!$K:$K,Parkki!$U39,AS!AH:AH,"nuori",AS!$AG:$AG,Parkki!$Y$9)</f>
        <v>0</v>
      </c>
      <c r="Q39" s="742">
        <f>SUMIFS(JA!$Z:$Z,JA!$AE:$AE,"OK",JA!$R:$R,Parkki!$Y$6,JA!$AY:$AY,Parkki!$Y$5,JA!$AI:$AI,$Y$4,JA!$L:$L,$U39,JA!$T:$T,1,JA!$AJ:$AJ,Parkki!$W$7,JA!V:V,"nuori",JA!$M:$M,Parkki!$Y$9)</f>
        <v>0</v>
      </c>
      <c r="R39" s="742">
        <f>SUMIFS(JA!$Z:$Z,JA!$AE:$AE,"OK",JA!$R:$R,Parkki!$Y$6,JA!$AY:$AY,Parkki!$Y$5,JA!$AI:$AI,$Y$4,JA!$L:$L,$U39,JA!$AJ:$AJ,Parkki!$W$7,JA!V:V,"nuori",JA!$M:$M,Parkki!$Y$9)</f>
        <v>0</v>
      </c>
      <c r="S39">
        <f t="shared" si="5"/>
        <v>0</v>
      </c>
      <c r="T39" s="144">
        <v>21</v>
      </c>
      <c r="U39" s="744" t="str">
        <f t="shared" si="6"/>
        <v>ComboBox_TyHlo_yksikko_00000001</v>
      </c>
      <c r="W39" s="385" t="s">
        <v>1364</v>
      </c>
      <c r="X39" s="155" t="s">
        <v>71</v>
      </c>
      <c r="AA39" s="176" t="str">
        <f>IFERROR(IF(INDEX(Data_Omakoodi!H:H,MATCH($AK$3&amp;$AL39,Data_Omakoodi!A:A,0))="P","",$AK$3&amp;$AL39),$AK$3&amp;$AL39)</f>
        <v>ComboBox_EtKuntakoodi_00000032</v>
      </c>
      <c r="AB39" s="44" t="str">
        <f>IFERROR(INDEX(Data_Omakoodi!E:E,MATCH(AA39,Data_Omakoodi!A:A,0)),"")</f>
        <v/>
      </c>
      <c r="AC39" t="str">
        <f>IFERROR(IF(INDEX(Data_Omakoodi!H:H,MATCH($AH$3&amp;$AL39,Data_Omakoodi!A:A,0))="P","",$AH$3&amp;$AL39),$AH$3&amp;$AL39)</f>
        <v>ComboBox_TyHlo_yksikko_00000032</v>
      </c>
      <c r="AD39" s="44" t="str">
        <f>IFERROR(INDEX(Data_Omakoodi!E:E,MATCH(AC39,Data_Omakoodi!A:A,0)),"")</f>
        <v/>
      </c>
      <c r="AE39" t="str">
        <f>IFERROR(IF(INDEX(Data_Omakoodi!H:H,MATCH($AH$3&amp;$AL39,Data_Omakoodi!A:A,0))="P","",$AH$3&amp;$AL39),$AH$3&amp;$AL39)</f>
        <v>ComboBox_TyHlo_yksikko_00000032</v>
      </c>
      <c r="AF39" t="s">
        <v>1622</v>
      </c>
      <c r="AG39" s="739" t="str">
        <f t="shared" si="8"/>
        <v/>
      </c>
      <c r="AH39" s="739" t="str">
        <f t="shared" si="9"/>
        <v/>
      </c>
      <c r="AI39"/>
      <c r="AJ39" s="739" t="str">
        <f t="shared" si="10"/>
        <v/>
      </c>
      <c r="AK39" s="739" t="str">
        <f t="shared" si="11"/>
        <v/>
      </c>
      <c r="AL39">
        <v>32</v>
      </c>
      <c r="AP39" s="685"/>
      <c r="AQ39" s="685"/>
      <c r="AR39" s="27"/>
      <c r="AS39" s="27"/>
    </row>
    <row r="40" spans="1:45" x14ac:dyDescent="0.25">
      <c r="A40" s="815"/>
      <c r="B40" s="518" t="s">
        <v>787</v>
      </c>
      <c r="C40" s="520">
        <f>SUMIFS(AS!W:W,AS!$BO:$BO,$W$7,AS!AB:AB,AS!$AA$1,AS!AG:AG,$X40,AS!$AV:$AV,$X$3,AS!$AW:$AW,$X$32,AS!$X:$X,$Y$5,AS!$AT:$AT,Parkki!$Y$13,AS!$K:$K,$X$31,AS!$F:$F,$V$29,AS!$L:$L,$V$30,AS!$AG:$AG,Parkki!$Y$9)</f>
        <v>0</v>
      </c>
      <c r="D40" s="520">
        <f>SUMIFS(AS!W:W,AS!$BO:$BO,$W$7,AS!AB:AB,AS!$AA$1,AS!AG:AG,$X40,AS!$AV:$AV,$X$3,AS!$AW:$AW,$X$32,AS!$X:$X,$Y$5,AS!I:I,$X$7,AS!$AT:$AT,Parkki!$Y$13,AS!$K:$K,$X$31,AS!$F:$F,$V$29,AS!$L:$L,$V$30,AS!$AG:$AG,Parkki!$Y$9)</f>
        <v>0</v>
      </c>
      <c r="E40" s="520">
        <f>SUMIFS(AS!W:W,AS!$BO:$BO,$W$7,AS!AB:AB,AS!$AA$1,AS!AG:AG,$X40,AS!$AV:$AV,$X$3,AS!$AW:$AW,$X$32,AS!$X:$X,$Y$5,AS!I:I,$Y$7,AS!$AT:$AT,Parkki!$Y$13,AS!$K:$K,$X$31,AS!$F:$F,$V$29,AS!$L:$L,$V$30,AS!$AG:$AG,Parkki!$Y$9)</f>
        <v>0</v>
      </c>
      <c r="F40" s="423"/>
      <c r="G40" s="524"/>
      <c r="M40" s="525"/>
      <c r="O40" s="743" t="str">
        <f t="shared" si="4"/>
        <v/>
      </c>
      <c r="P40" s="742">
        <f>SUMIFS(AS!$W:$W,AS!$AB:$AB,"OK",AS!$AW:$AW,Parkki!$Y$6,AS!$X:$X,Parkki!$Y$5,AS!$H:$H,Parkki!$W$7,AS!$K:$K,Parkki!$U40,AS!AH:AH,"nuori",AS!$AG:$AG,Parkki!$Y$9)</f>
        <v>0</v>
      </c>
      <c r="Q40" s="742">
        <f>SUMIFS(JA!$Z:$Z,JA!$AE:$AE,"OK",JA!$R:$R,Parkki!$Y$6,JA!$AY:$AY,Parkki!$Y$5,JA!$AI:$AI,$Y$4,JA!$L:$L,$U40,JA!$T:$T,1,JA!$AJ:$AJ,Parkki!$W$7,JA!V:V,"nuori",JA!$M:$M,Parkki!$Y$9)</f>
        <v>0</v>
      </c>
      <c r="R40" s="742">
        <f>SUMIFS(JA!$Z:$Z,JA!$AE:$AE,"OK",JA!$R:$R,Parkki!$Y$6,JA!$AY:$AY,Parkki!$Y$5,JA!$AI:$AI,$Y$4,JA!$L:$L,$U40,JA!$AJ:$AJ,Parkki!$W$7,JA!V:V,"nuori",JA!$M:$M,Parkki!$Y$9)</f>
        <v>0</v>
      </c>
      <c r="S40">
        <f t="shared" si="5"/>
        <v>0</v>
      </c>
      <c r="T40" s="144">
        <v>22</v>
      </c>
      <c r="U40" s="744" t="str">
        <f t="shared" si="6"/>
        <v>ComboBox_TyHlo_yksikko_00000001</v>
      </c>
      <c r="X40" s="155" t="s">
        <v>74</v>
      </c>
      <c r="AA40" s="176" t="str">
        <f>IFERROR(IF(INDEX(Data_Omakoodi!H:H,MATCH($AK$3&amp;$AL40,Data_Omakoodi!A:A,0))="P","",$AK$3&amp;$AL40),$AK$3&amp;$AL40)</f>
        <v>ComboBox_EtKuntakoodi_00000033</v>
      </c>
      <c r="AB40" s="44" t="str">
        <f>IFERROR(INDEX(Data_Omakoodi!E:E,MATCH(AA40,Data_Omakoodi!A:A,0)),"")</f>
        <v/>
      </c>
      <c r="AC40" t="str">
        <f>IFERROR(IF(INDEX(Data_Omakoodi!H:H,MATCH($AH$3&amp;$AL40,Data_Omakoodi!A:A,0))="P","",$AH$3&amp;$AL40),$AH$3&amp;$AL40)</f>
        <v>ComboBox_TyHlo_yksikko_00000033</v>
      </c>
      <c r="AD40" s="44" t="str">
        <f>IFERROR(INDEX(Data_Omakoodi!E:E,MATCH(AC40,Data_Omakoodi!A:A,0)),"")</f>
        <v/>
      </c>
      <c r="AE40" t="str">
        <f>IFERROR(IF(INDEX(Data_Omakoodi!H:H,MATCH($AH$3&amp;$AL40,Data_Omakoodi!A:A,0))="P","",$AH$3&amp;$AL40),$AH$3&amp;$AL40)</f>
        <v>ComboBox_TyHlo_yksikko_00000033</v>
      </c>
      <c r="AF40" t="s">
        <v>1623</v>
      </c>
      <c r="AG40" s="739" t="str">
        <f t="shared" si="8"/>
        <v/>
      </c>
      <c r="AH40" s="739" t="str">
        <f t="shared" si="9"/>
        <v/>
      </c>
      <c r="AI40"/>
      <c r="AJ40" s="739" t="str">
        <f t="shared" si="10"/>
        <v/>
      </c>
      <c r="AK40" s="739" t="str">
        <f t="shared" si="11"/>
        <v/>
      </c>
      <c r="AL40">
        <v>33</v>
      </c>
      <c r="AP40" s="685"/>
      <c r="AQ40" s="685"/>
      <c r="AR40" s="27"/>
      <c r="AS40" s="27"/>
    </row>
    <row r="41" spans="1:45" x14ac:dyDescent="0.25">
      <c r="A41" s="815"/>
      <c r="B41" s="518" t="s">
        <v>2</v>
      </c>
      <c r="C41" s="520">
        <f>SUMIFS(AS!W:W,AS!$BO:$BO,$W$7,AS!AB:AB,AS!$AA$1,AS!AG:AG,$X41,AS!$AV:$AV,$X$3,AS!$AW:$AW,$X$32,AS!$X:$X,$Y$5,AS!$AT:$AT,Parkki!$Y$13,AS!$K:$K,$X$31,AS!$F:$F,$V$29,AS!$L:$L,$V$30,AS!$AG:$AG,Parkki!$Y$9)+V45</f>
        <v>0</v>
      </c>
      <c r="D41" s="520">
        <f>SUMIFS(AS!W:W,AS!$BO:$BO,$W$7,AS!AB:AB,AS!$AA$1,AS!AG:AG,$X41,AS!$AV:$AV,$X$3,AS!$AW:$AW,$X$32,AS!$X:$X,$Y$5,AS!I:I,$X$7,AS!$AT:$AT,Parkki!$Y$13,AS!$K:$K,$X$31,AS!$F:$F,$V$29,AS!$L:$L,$V$30,AS!$AG:$AG,Parkki!$Y$9)+W45</f>
        <v>0</v>
      </c>
      <c r="E41" s="520">
        <f>SUMIFS(AS!W:W,AS!$BO:$BO,$W$7,AS!AB:AB,AS!$AA$1,AS!AG:AG,$X41,AS!$AV:$AV,$X$3,AS!$AW:$AW,$X$32,AS!$X:$X,$Y$5,AS!I:I,$Y$7,AS!$AT:$AT,Parkki!$Y$13,AS!$K:$K,$X$31,AS!$F:$F,$V$29,AS!$L:$L,$V$30,AS!$AG:$AG,Parkki!$Y$9)+X45</f>
        <v>0</v>
      </c>
      <c r="F41" s="423"/>
      <c r="G41" s="524"/>
      <c r="M41" s="525"/>
      <c r="O41" s="743" t="str">
        <f t="shared" si="4"/>
        <v/>
      </c>
      <c r="P41" s="742">
        <f>SUMIFS(AS!$W:$W,AS!$AB:$AB,"OK",AS!$AW:$AW,Parkki!$Y$6,AS!$X:$X,Parkki!$Y$5,AS!$H:$H,Parkki!$W$7,AS!$K:$K,Parkki!$U41,AS!AH:AH,"nuori",AS!$AG:$AG,Parkki!$Y$9)</f>
        <v>0</v>
      </c>
      <c r="Q41" s="742">
        <f>SUMIFS(JA!$Z:$Z,JA!$AE:$AE,"OK",JA!$R:$R,Parkki!$Y$6,JA!$AY:$AY,Parkki!$Y$5,JA!$AI:$AI,$Y$4,JA!$L:$L,$U41,JA!$T:$T,1,JA!$AJ:$AJ,Parkki!$W$7,JA!V:V,"nuori",JA!$M:$M,Parkki!$Y$9)</f>
        <v>0</v>
      </c>
      <c r="R41" s="742">
        <f>SUMIFS(JA!$Z:$Z,JA!$AE:$AE,"OK",JA!$R:$R,Parkki!$Y$6,JA!$AY:$AY,Parkki!$Y$5,JA!$AI:$AI,$Y$4,JA!$L:$L,$U41,JA!$AJ:$AJ,Parkki!$W$7,JA!V:V,"nuori",JA!$M:$M,Parkki!$Y$9)</f>
        <v>0</v>
      </c>
      <c r="S41">
        <f t="shared" si="5"/>
        <v>0</v>
      </c>
      <c r="T41" s="144">
        <v>23</v>
      </c>
      <c r="U41" s="744" t="str">
        <f t="shared" si="6"/>
        <v>ComboBox_TyHlo_yksikko_00000001</v>
      </c>
      <c r="X41" s="28" t="s">
        <v>498</v>
      </c>
      <c r="AA41" s="176" t="str">
        <f>IFERROR(IF(INDEX(Data_Omakoodi!H:H,MATCH($AK$3&amp;$AL41,Data_Omakoodi!A:A,0))="P","",$AK$3&amp;$AL41),$AK$3&amp;$AL41)</f>
        <v>ComboBox_EtKuntakoodi_00000034</v>
      </c>
      <c r="AB41" s="44" t="str">
        <f>IFERROR(INDEX(Data_Omakoodi!E:E,MATCH(AA41,Data_Omakoodi!A:A,0)),"")</f>
        <v/>
      </c>
      <c r="AC41" t="str">
        <f>IFERROR(IF(INDEX(Data_Omakoodi!H:H,MATCH($AH$3&amp;$AL41,Data_Omakoodi!A:A,0))="P","",$AH$3&amp;$AL41),$AH$3&amp;$AL41)</f>
        <v>ComboBox_TyHlo_yksikko_00000034</v>
      </c>
      <c r="AD41" s="44" t="str">
        <f>IFERROR(INDEX(Data_Omakoodi!E:E,MATCH(AC41,Data_Omakoodi!A:A,0)),"")</f>
        <v/>
      </c>
      <c r="AE41" t="str">
        <f>IFERROR(IF(INDEX(Data_Omakoodi!H:H,MATCH($AH$3&amp;$AL41,Data_Omakoodi!A:A,0))="P","",$AH$3&amp;$AL41),$AH$3&amp;$AL41)</f>
        <v>ComboBox_TyHlo_yksikko_00000034</v>
      </c>
      <c r="AF41" t="s">
        <v>1624</v>
      </c>
      <c r="AG41" s="739" t="str">
        <f t="shared" si="8"/>
        <v/>
      </c>
      <c r="AH41" s="739" t="str">
        <f t="shared" si="9"/>
        <v/>
      </c>
      <c r="AI41"/>
      <c r="AJ41" s="739" t="str">
        <f t="shared" si="10"/>
        <v/>
      </c>
      <c r="AK41" s="739" t="str">
        <f t="shared" si="11"/>
        <v/>
      </c>
      <c r="AL41">
        <v>34</v>
      </c>
      <c r="AP41" s="685"/>
      <c r="AQ41" s="685"/>
      <c r="AR41" s="27"/>
      <c r="AS41" s="27"/>
    </row>
    <row r="42" spans="1:45" x14ac:dyDescent="0.25">
      <c r="A42" s="815"/>
      <c r="B42" s="519" t="s">
        <v>93</v>
      </c>
      <c r="C42" s="619">
        <f>SUM(C36:C41)</f>
        <v>0</v>
      </c>
      <c r="D42" s="619">
        <f>SUM(D36:D41)</f>
        <v>0</v>
      </c>
      <c r="E42" s="619">
        <f>SUM(E36:E41)</f>
        <v>0</v>
      </c>
      <c r="F42" s="423"/>
      <c r="G42" s="524"/>
      <c r="M42" s="525"/>
      <c r="O42" s="743" t="str">
        <f t="shared" si="4"/>
        <v/>
      </c>
      <c r="P42" s="742">
        <f>SUMIFS(AS!$W:$W,AS!$AB:$AB,"OK",AS!$AW:$AW,Parkki!$Y$6,AS!$X:$X,Parkki!$Y$5,AS!$H:$H,Parkki!$W$7,AS!$K:$K,Parkki!$U42,AS!AH:AH,"nuori",AS!$AG:$AG,Parkki!$Y$9)</f>
        <v>0</v>
      </c>
      <c r="Q42" s="742">
        <f>SUMIFS(JA!$Z:$Z,JA!$AE:$AE,"OK",JA!$R:$R,Parkki!$Y$6,JA!$AY:$AY,Parkki!$Y$5,JA!$AI:$AI,$Y$4,JA!$L:$L,$U42,JA!$T:$T,1,JA!$AJ:$AJ,Parkki!$W$7,JA!V:V,"nuori",JA!$M:$M,Parkki!$Y$9)</f>
        <v>0</v>
      </c>
      <c r="R42" s="742">
        <f>SUMIFS(JA!$Z:$Z,JA!$AE:$AE,"OK",JA!$R:$R,Parkki!$Y$6,JA!$AY:$AY,Parkki!$Y$5,JA!$AI:$AI,$Y$4,JA!$L:$L,$U42,JA!$AJ:$AJ,Parkki!$W$7,JA!V:V,"nuori",JA!$M:$M,Parkki!$Y$9)</f>
        <v>0</v>
      </c>
      <c r="S42">
        <f t="shared" si="5"/>
        <v>0</v>
      </c>
      <c r="T42" s="144">
        <v>24</v>
      </c>
      <c r="U42" s="744" t="str">
        <f t="shared" si="6"/>
        <v>ComboBox_TyHlo_yksikko_00000001</v>
      </c>
      <c r="X42" s="27"/>
      <c r="AA42" s="176" t="str">
        <f>IFERROR(IF(INDEX(Data_Omakoodi!H:H,MATCH($AK$3&amp;$AL42,Data_Omakoodi!A:A,0))="P","",$AK$3&amp;$AL42),$AK$3&amp;$AL42)</f>
        <v>ComboBox_EtKuntakoodi_00000035</v>
      </c>
      <c r="AB42" s="44" t="str">
        <f>IFERROR(INDEX(Data_Omakoodi!E:E,MATCH(AA42,Data_Omakoodi!A:A,0)),"")</f>
        <v/>
      </c>
      <c r="AC42" t="str">
        <f>IFERROR(IF(INDEX(Data_Omakoodi!H:H,MATCH($AH$3&amp;$AL42,Data_Omakoodi!A:A,0))="P","",$AH$3&amp;$AL42),$AH$3&amp;$AL42)</f>
        <v>ComboBox_TyHlo_yksikko_00000035</v>
      </c>
      <c r="AD42" s="44" t="str">
        <f>IFERROR(INDEX(Data_Omakoodi!E:E,MATCH(AC42,Data_Omakoodi!A:A,0)),"")</f>
        <v/>
      </c>
      <c r="AE42" t="str">
        <f>IFERROR(IF(INDEX(Data_Omakoodi!H:H,MATCH($AH$3&amp;$AL42,Data_Omakoodi!A:A,0))="P","",$AH$3&amp;$AL42),$AH$3&amp;$AL42)</f>
        <v>ComboBox_TyHlo_yksikko_00000035</v>
      </c>
      <c r="AF42" t="s">
        <v>1625</v>
      </c>
      <c r="AG42" s="739" t="str">
        <f t="shared" si="8"/>
        <v/>
      </c>
      <c r="AH42" s="739" t="str">
        <f t="shared" si="9"/>
        <v/>
      </c>
      <c r="AI42"/>
      <c r="AJ42" s="739" t="str">
        <f t="shared" si="10"/>
        <v/>
      </c>
      <c r="AK42" s="739" t="str">
        <f t="shared" si="11"/>
        <v/>
      </c>
      <c r="AL42">
        <v>35</v>
      </c>
      <c r="AP42" s="685"/>
      <c r="AQ42" s="685"/>
      <c r="AR42" s="27"/>
      <c r="AS42" s="27"/>
    </row>
    <row r="43" spans="1:45" x14ac:dyDescent="0.25">
      <c r="B43" s="518" t="s">
        <v>789</v>
      </c>
      <c r="C43" s="520">
        <f>SUMIFS(AS!W:W,AS!$BO:$BO,$W$7,AS!AB:AB,AS!$AA$1,AS!AG:AG,$X43,AS!$AV:$AV,$X$3,AS!$AW:$AW,$X$32,AS!$X:$X,$Y$5,AS!$AT:$AT,Parkki!$Y$13,AS!$K:$K,$X$31,AS!$F:$F,$V$29,AS!$L:$L,$V$30,AS!$AG:$AG,Parkki!$Y$9)</f>
        <v>0</v>
      </c>
      <c r="D43" s="520">
        <f>SUMIFS(AS!W:W,AS!$BO:$BO,$W$7,AS!AB:AB,AS!$AA$1,AS!AG:AG,$X43,AS!$AV:$AV,$X$3,AS!$AW:$AW,$X$32,AS!$X:$X,$Y$5,AS!I:I,$X$7,AS!$AT:$AT,Parkki!$Y$13,AS!$K:$K,$X$31,AS!$F:$F,$V$29,AS!$L:$L,$V$30,AS!$AG:$AG,Parkki!$Y$9)</f>
        <v>0</v>
      </c>
      <c r="E43" s="520">
        <f>SUMIFS(AS!W:W,AS!$BO:$BO,$W$7,AS!AB:AB,AS!$AA$1,AS!AG:AG,$X43,AS!$AV:$AV,$X$3,AS!$AW:$AW,$X$32,AS!$X:$X,$Y$5,AS!I:I,$Y$7,AS!$AT:$AT,Parkki!$Y$13,AS!$K:$K,$X$31,AS!$F:$F,$V$29,AS!$L:$L,$V$30,AS!$AG:$AG,Parkki!$Y$9)</f>
        <v>0</v>
      </c>
      <c r="F43" s="423"/>
      <c r="G43" s="524"/>
      <c r="M43" s="525"/>
      <c r="O43" s="743" t="str">
        <f t="shared" si="4"/>
        <v/>
      </c>
      <c r="P43" s="742">
        <f>SUMIFS(AS!$W:$W,AS!$AB:$AB,"OK",AS!$AW:$AW,Parkki!$Y$6,AS!$X:$X,Parkki!$Y$5,AS!$H:$H,Parkki!$W$7,AS!$K:$K,Parkki!$U43,AS!AH:AH,"nuori",AS!$AG:$AG,Parkki!$Y$9)</f>
        <v>0</v>
      </c>
      <c r="Q43" s="742">
        <f>SUMIFS(JA!$Z:$Z,JA!$AE:$AE,"OK",JA!$R:$R,Parkki!$Y$6,JA!$AY:$AY,Parkki!$Y$5,JA!$AI:$AI,$Y$4,JA!$L:$L,$U43,JA!$T:$T,1,JA!$AJ:$AJ,Parkki!$W$7,JA!V:V,"nuori",JA!$M:$M,Parkki!$Y$9)</f>
        <v>0</v>
      </c>
      <c r="R43" s="742">
        <f>SUMIFS(JA!$Z:$Z,JA!$AE:$AE,"OK",JA!$R:$R,Parkki!$Y$6,JA!$AY:$AY,Parkki!$Y$5,JA!$AI:$AI,$Y$4,JA!$L:$L,$U43,JA!$AJ:$AJ,Parkki!$W$7,JA!V:V,"nuori",JA!$M:$M,Parkki!$Y$9)</f>
        <v>0</v>
      </c>
      <c r="S43">
        <f t="shared" si="5"/>
        <v>0</v>
      </c>
      <c r="T43" s="144">
        <v>25</v>
      </c>
      <c r="U43" s="744" t="str">
        <f t="shared" si="6"/>
        <v>ComboBox_TyHlo_yksikko_00000001</v>
      </c>
      <c r="X43" s="28" t="s">
        <v>499</v>
      </c>
      <c r="AA43" s="176" t="str">
        <f>IFERROR(IF(INDEX(Data_Omakoodi!H:H,MATCH($AK$3&amp;$AL43,Data_Omakoodi!A:A,0))="P","",$AK$3&amp;$AL43),$AK$3&amp;$AL43)</f>
        <v>ComboBox_EtKuntakoodi_00000036</v>
      </c>
      <c r="AB43" s="44" t="str">
        <f>IFERROR(INDEX(Data_Omakoodi!E:E,MATCH(AA43,Data_Omakoodi!A:A,0)),"")</f>
        <v/>
      </c>
      <c r="AC43" t="str">
        <f>IFERROR(IF(INDEX(Data_Omakoodi!H:H,MATCH($AH$3&amp;$AL43,Data_Omakoodi!A:A,0))="P","",$AH$3&amp;$AL43),$AH$3&amp;$AL43)</f>
        <v>ComboBox_TyHlo_yksikko_00000036</v>
      </c>
      <c r="AD43" s="44" t="str">
        <f>IFERROR(INDEX(Data_Omakoodi!E:E,MATCH(AC43,Data_Omakoodi!A:A,0)),"")</f>
        <v/>
      </c>
      <c r="AE43" t="str">
        <f>IFERROR(IF(INDEX(Data_Omakoodi!H:H,MATCH($AH$3&amp;$AL43,Data_Omakoodi!A:A,0))="P","",$AH$3&amp;$AL43),$AH$3&amp;$AL43)</f>
        <v>ComboBox_TyHlo_yksikko_00000036</v>
      </c>
      <c r="AF43" t="s">
        <v>1626</v>
      </c>
      <c r="AG43" s="739" t="str">
        <f t="shared" si="8"/>
        <v/>
      </c>
      <c r="AH43" s="739" t="str">
        <f t="shared" si="9"/>
        <v/>
      </c>
      <c r="AI43"/>
      <c r="AJ43" s="739" t="str">
        <f t="shared" si="10"/>
        <v/>
      </c>
      <c r="AK43" s="739" t="str">
        <f t="shared" si="11"/>
        <v/>
      </c>
      <c r="AL43">
        <v>36</v>
      </c>
      <c r="AP43" s="685"/>
      <c r="AQ43" s="685"/>
      <c r="AR43" s="27"/>
      <c r="AS43" s="27"/>
    </row>
    <row r="44" spans="1:45" x14ac:dyDescent="0.25">
      <c r="B44" s="553" t="str">
        <f>"*miehistä muun sukupuolisia (N: "&amp;$W$19&amp;")"</f>
        <v>*miehistä muun sukupuolisia (N: 0)</v>
      </c>
      <c r="F44" s="423"/>
      <c r="G44" s="524"/>
      <c r="M44" s="525"/>
      <c r="O44" s="743" t="str">
        <f t="shared" si="4"/>
        <v/>
      </c>
      <c r="P44" s="742">
        <f>SUMIFS(AS!$W:$W,AS!$AB:$AB,"OK",AS!$AW:$AW,Parkki!$Y$6,AS!$X:$X,Parkki!$Y$5,AS!$H:$H,Parkki!$W$7,AS!$K:$K,Parkki!$U44,AS!AH:AH,"nuori",AS!$AG:$AG,Parkki!$Y$9)</f>
        <v>0</v>
      </c>
      <c r="Q44" s="742">
        <f>SUMIFS(JA!$Z:$Z,JA!$AE:$AE,"OK",JA!$R:$R,Parkki!$Y$6,JA!$AY:$AY,Parkki!$Y$5,JA!$AI:$AI,$Y$4,JA!$L:$L,$U44,JA!$T:$T,1,JA!$AJ:$AJ,Parkki!$W$7,JA!V:V,"nuori",JA!$M:$M,Parkki!$Y$9)</f>
        <v>0</v>
      </c>
      <c r="R44" s="742">
        <f>SUMIFS(JA!$Z:$Z,JA!$AE:$AE,"OK",JA!$R:$R,Parkki!$Y$6,JA!$AY:$AY,Parkki!$Y$5,JA!$AI:$AI,$Y$4,JA!$L:$L,$U44,JA!$AJ:$AJ,Parkki!$W$7,JA!V:V,"nuori",JA!$M:$M,Parkki!$Y$9)</f>
        <v>0</v>
      </c>
      <c r="S44">
        <f t="shared" si="5"/>
        <v>0</v>
      </c>
      <c r="T44" s="144">
        <v>26</v>
      </c>
      <c r="U44" s="744" t="str">
        <f t="shared" si="6"/>
        <v>ComboBox_TyHlo_yksikko_00000001</v>
      </c>
      <c r="V44" s="484" t="s">
        <v>1503</v>
      </c>
      <c r="AA44" s="176" t="str">
        <f>IFERROR(IF(INDEX(Data_Omakoodi!H:H,MATCH($AK$3&amp;$AL44,Data_Omakoodi!A:A,0))="P","",$AK$3&amp;$AL44),$AK$3&amp;$AL44)</f>
        <v>ComboBox_EtKuntakoodi_00000037</v>
      </c>
      <c r="AB44" s="44" t="str">
        <f>IFERROR(INDEX(Data_Omakoodi!E:E,MATCH(AA44,Data_Omakoodi!A:A,0)),"")</f>
        <v/>
      </c>
      <c r="AC44" t="str">
        <f>IFERROR(IF(INDEX(Data_Omakoodi!H:H,MATCH($AH$3&amp;$AL44,Data_Omakoodi!A:A,0))="P","",$AH$3&amp;$AL44),$AH$3&amp;$AL44)</f>
        <v>ComboBox_TyHlo_yksikko_00000037</v>
      </c>
      <c r="AD44" s="44" t="str">
        <f>IFERROR(INDEX(Data_Omakoodi!E:E,MATCH(AC44,Data_Omakoodi!A:A,0)),"")</f>
        <v/>
      </c>
      <c r="AE44" t="str">
        <f>IFERROR(IF(INDEX(Data_Omakoodi!H:H,MATCH($AH$3&amp;$AL44,Data_Omakoodi!A:A,0))="P","",$AH$3&amp;$AL44),$AH$3&amp;$AL44)</f>
        <v>ComboBox_TyHlo_yksikko_00000037</v>
      </c>
      <c r="AF44" t="s">
        <v>1627</v>
      </c>
      <c r="AG44" s="739" t="str">
        <f t="shared" si="8"/>
        <v/>
      </c>
      <c r="AH44" s="739" t="str">
        <f t="shared" si="9"/>
        <v/>
      </c>
      <c r="AI44"/>
      <c r="AJ44" s="739" t="str">
        <f t="shared" si="10"/>
        <v/>
      </c>
      <c r="AK44" s="739" t="str">
        <f t="shared" si="11"/>
        <v/>
      </c>
      <c r="AL44">
        <v>37</v>
      </c>
      <c r="AP44" s="685"/>
      <c r="AQ44" s="685"/>
      <c r="AR44" s="27"/>
      <c r="AS44" s="27"/>
    </row>
    <row r="45" spans="1:45" ht="30" customHeight="1" x14ac:dyDescent="0.25">
      <c r="B45" s="789" t="str">
        <f>"Aktiiviset ja päättyneet yritykset yhteydenotoksi "&amp;Y12&amp;X10&amp;U8&amp;X15</f>
        <v>Aktiiviset ja päättyneet yritykset yhteydenotoksi - KAIKKI: 01.01.2025-30.04.2025 (Kaikki yksiköt / perustiedoista, Kaikki kunnat / perustiedoista, Ikäluokka: Kaikki)</v>
      </c>
      <c r="C45" s="789"/>
      <c r="D45" s="789"/>
      <c r="E45" s="789"/>
      <c r="F45" s="423"/>
      <c r="M45" s="525"/>
      <c r="O45" s="743" t="str">
        <f t="shared" si="4"/>
        <v/>
      </c>
      <c r="P45" s="742">
        <f>SUMIFS(AS!$W:$W,AS!$AB:$AB,"OK",AS!$AW:$AW,Parkki!$Y$6,AS!$X:$X,Parkki!$Y$5,AS!$H:$H,Parkki!$W$7,AS!$K:$K,Parkki!$U45,AS!AH:AH,"nuori",AS!$AG:$AG,Parkki!$Y$9)</f>
        <v>0</v>
      </c>
      <c r="Q45" s="742">
        <f>SUMIFS(JA!$Z:$Z,JA!$AE:$AE,"OK",JA!$R:$R,Parkki!$Y$6,JA!$AY:$AY,Parkki!$Y$5,JA!$AI:$AI,$Y$4,JA!$L:$L,$U45,JA!$T:$T,1,JA!$AJ:$AJ,Parkki!$W$7,JA!V:V,"nuori",JA!$M:$M,Parkki!$Y$9)</f>
        <v>0</v>
      </c>
      <c r="R45" s="742">
        <f>SUMIFS(JA!$Z:$Z,JA!$AE:$AE,"OK",JA!$R:$R,Parkki!$Y$6,JA!$AY:$AY,Parkki!$Y$5,JA!$AI:$AI,$Y$4,JA!$L:$L,$U45,JA!$AJ:$AJ,Parkki!$W$7,JA!V:V,"nuori",JA!$M:$M,Parkki!$Y$9)</f>
        <v>0</v>
      </c>
      <c r="S45">
        <f t="shared" si="5"/>
        <v>0</v>
      </c>
      <c r="T45" s="144">
        <v>27</v>
      </c>
      <c r="U45" s="744" t="str">
        <f t="shared" si="6"/>
        <v>ComboBox_TyHlo_yksikko_00000001</v>
      </c>
      <c r="V45" s="9">
        <f>SUMIFS(AS!W:W,AS!$BO:$BO,$W$7,AS!AB:AB,AS!$AA$1,AS!AG:AG,$V44,AS!$AV:$AV,$X$3,AS!$AW:$AW,$X$32,AS!$X:$X,$Y$5,AS!$AT:$AT,Parkki!$Y$13,AS!$K:$K,$X$31,AS!$F:$F,$V$29,AS!$L:$L,$V$30,AS!$AG:$AG,Parkki!$Y$9)</f>
        <v>0</v>
      </c>
      <c r="W45" s="9">
        <f>SUMIFS(AS!W:W,AS!$BO:$BO,$W$7,AS!AB:AB,AS!$AA$1,AS!AG:AG,$V44,AS!$AV:$AV,$X$3,AS!$AW:$AW,$X$32,AS!$X:$X,$Y$5,AS!I:I,$X$7,AS!$AT:$AT,Parkki!$Y$13,AS!$K:$K,$X$31,AS!$F:$F,$V$29,AS!$L:$L,$V$30,AS!$AG:$AG,Parkki!$Y$9)</f>
        <v>0</v>
      </c>
      <c r="X45" s="9">
        <f>SUMIFS(AS!W:W,AS!$BO:$BO,$W$7,AS!AB:AB,AS!$AA$1,AS!AG:AG,$V44,AS!$AV:$AV,$X$3,AS!$AW:$AW,$X$32,AS!$X:$X,$Y$5,AS!I:I,$Y$7,AS!$AT:$AT,Parkki!$Y$13,AS!$K:$K,$X$31,AS!$F:$F,$V$29,AS!$L:$L,$V$30,AS!$AG:$AG,Parkki!$Y$9)</f>
        <v>0</v>
      </c>
      <c r="AA45" s="176" t="str">
        <f>IFERROR(IF(INDEX(Data_Omakoodi!H:H,MATCH($AK$3&amp;$AL45,Data_Omakoodi!A:A,0))="P","",$AK$3&amp;$AL45),$AK$3&amp;$AL45)</f>
        <v>ComboBox_EtKuntakoodi_00000038</v>
      </c>
      <c r="AB45" s="44" t="str">
        <f>IFERROR(INDEX(Data_Omakoodi!E:E,MATCH(AA45,Data_Omakoodi!A:A,0)),"")</f>
        <v/>
      </c>
      <c r="AC45" t="str">
        <f>IFERROR(IF(INDEX(Data_Omakoodi!H:H,MATCH($AH$3&amp;$AL45,Data_Omakoodi!A:A,0))="P","",$AH$3&amp;$AL45),$AH$3&amp;$AL45)</f>
        <v>ComboBox_TyHlo_yksikko_00000038</v>
      </c>
      <c r="AD45" s="44" t="str">
        <f>IFERROR(INDEX(Data_Omakoodi!E:E,MATCH(AC45,Data_Omakoodi!A:A,0)),"")</f>
        <v/>
      </c>
      <c r="AE45" t="str">
        <f>IFERROR(IF(INDEX(Data_Omakoodi!H:H,MATCH($AH$3&amp;$AL45,Data_Omakoodi!A:A,0))="P","",$AH$3&amp;$AL45),$AH$3&amp;$AL45)</f>
        <v>ComboBox_TyHlo_yksikko_00000038</v>
      </c>
      <c r="AF45" t="s">
        <v>1628</v>
      </c>
      <c r="AG45" s="739" t="str">
        <f t="shared" si="8"/>
        <v/>
      </c>
      <c r="AH45" s="739" t="str">
        <f t="shared" si="9"/>
        <v/>
      </c>
      <c r="AI45"/>
      <c r="AJ45" s="739" t="str">
        <f t="shared" si="10"/>
        <v/>
      </c>
      <c r="AK45" s="739" t="str">
        <f t="shared" si="11"/>
        <v/>
      </c>
      <c r="AL45">
        <v>38</v>
      </c>
      <c r="AP45" s="685"/>
      <c r="AQ45" s="685"/>
      <c r="AR45" s="27"/>
      <c r="AS45" s="27"/>
    </row>
    <row r="46" spans="1:45" ht="25.5" x14ac:dyDescent="0.25">
      <c r="B46" s="518"/>
      <c r="C46" s="521" t="s">
        <v>114</v>
      </c>
      <c r="D46" s="521" t="s">
        <v>132</v>
      </c>
      <c r="E46" s="522" t="s">
        <v>1162</v>
      </c>
      <c r="F46" s="423"/>
      <c r="G46" s="524"/>
      <c r="M46" s="525"/>
      <c r="O46" s="743" t="str">
        <f t="shared" si="4"/>
        <v/>
      </c>
      <c r="P46" s="742">
        <f>SUMIFS(AS!$W:$W,AS!$AB:$AB,"OK",AS!$AW:$AW,Parkki!$Y$6,AS!$X:$X,Parkki!$Y$5,AS!$H:$H,Parkki!$W$7,AS!$K:$K,Parkki!$U46,AS!AH:AH,"nuori",AS!$AG:$AG,Parkki!$Y$9)</f>
        <v>0</v>
      </c>
      <c r="Q46" s="742">
        <f>SUMIFS(JA!$Z:$Z,JA!$AE:$AE,"OK",JA!$R:$R,Parkki!$Y$6,JA!$AY:$AY,Parkki!$Y$5,JA!$AI:$AI,$Y$4,JA!$L:$L,$U46,JA!$T:$T,1,JA!$AJ:$AJ,Parkki!$W$7,JA!V:V,"nuori",JA!$M:$M,Parkki!$Y$9)</f>
        <v>0</v>
      </c>
      <c r="R46" s="742">
        <f>SUMIFS(JA!$Z:$Z,JA!$AE:$AE,"OK",JA!$R:$R,Parkki!$Y$6,JA!$AY:$AY,Parkki!$Y$5,JA!$AI:$AI,$Y$4,JA!$L:$L,$U46,JA!$AJ:$AJ,Parkki!$W$7,JA!V:V,"nuori",JA!$M:$M,Parkki!$Y$9)</f>
        <v>0</v>
      </c>
      <c r="S46">
        <f t="shared" si="5"/>
        <v>0</v>
      </c>
      <c r="T46" s="144">
        <v>28</v>
      </c>
      <c r="U46" s="744" t="str">
        <f t="shared" si="6"/>
        <v>ComboBox_TyHlo_yksikko_00000001</v>
      </c>
      <c r="AA46" s="176" t="str">
        <f>IFERROR(IF(INDEX(Data_Omakoodi!H:H,MATCH($AK$3&amp;$AL46,Data_Omakoodi!A:A,0))="P","",$AK$3&amp;$AL46),$AK$3&amp;$AL46)</f>
        <v>ComboBox_EtKuntakoodi_00000039</v>
      </c>
      <c r="AB46" s="44" t="str">
        <f>IFERROR(INDEX(Data_Omakoodi!E:E,MATCH(AA46,Data_Omakoodi!A:A,0)),"")</f>
        <v/>
      </c>
      <c r="AC46" t="str">
        <f>IFERROR(IF(INDEX(Data_Omakoodi!H:H,MATCH($AH$3&amp;$AL46,Data_Omakoodi!A:A,0))="P","",$AH$3&amp;$AL46),$AH$3&amp;$AL46)</f>
        <v>ComboBox_TyHlo_yksikko_00000039</v>
      </c>
      <c r="AD46" s="44" t="str">
        <f>IFERROR(INDEX(Data_Omakoodi!E:E,MATCH(AC46,Data_Omakoodi!A:A,0)),"")</f>
        <v/>
      </c>
      <c r="AE46" t="str">
        <f>IFERROR(IF(INDEX(Data_Omakoodi!H:H,MATCH($AH$3&amp;$AL46,Data_Omakoodi!A:A,0))="P","",$AH$3&amp;$AL46),$AH$3&amp;$AL46)</f>
        <v>ComboBox_TyHlo_yksikko_00000039</v>
      </c>
      <c r="AF46" t="s">
        <v>1629</v>
      </c>
      <c r="AG46" s="739" t="str">
        <f t="shared" si="8"/>
        <v/>
      </c>
      <c r="AH46" s="739" t="str">
        <f t="shared" si="9"/>
        <v/>
      </c>
      <c r="AI46"/>
      <c r="AJ46" s="739" t="str">
        <f t="shared" si="10"/>
        <v/>
      </c>
      <c r="AK46" s="739" t="str">
        <f t="shared" si="11"/>
        <v/>
      </c>
      <c r="AL46">
        <v>39</v>
      </c>
      <c r="AP46" s="685"/>
      <c r="AQ46" s="685"/>
      <c r="AR46" s="27"/>
      <c r="AS46" s="27"/>
    </row>
    <row r="47" spans="1:45" x14ac:dyDescent="0.25">
      <c r="B47" s="518" t="s">
        <v>1469</v>
      </c>
      <c r="C47" s="520">
        <f>C42-SUM(C48:C50)</f>
        <v>0</v>
      </c>
      <c r="D47" s="520">
        <f>D42-SUM(D48:D50)</f>
        <v>0</v>
      </c>
      <c r="E47" s="520">
        <f>E42-SUM(E48:E50)</f>
        <v>0</v>
      </c>
      <c r="F47" s="423"/>
      <c r="G47" s="524"/>
      <c r="M47" s="525"/>
      <c r="O47" s="743" t="str">
        <f t="shared" si="4"/>
        <v/>
      </c>
      <c r="P47" s="742">
        <f>SUMIFS(AS!$W:$W,AS!$AB:$AB,"OK",AS!$AW:$AW,Parkki!$Y$6,AS!$X:$X,Parkki!$Y$5,AS!$H:$H,Parkki!$W$7,AS!$K:$K,Parkki!$U47,AS!AH:AH,"nuori",AS!$AG:$AG,Parkki!$Y$9)</f>
        <v>0</v>
      </c>
      <c r="Q47" s="742">
        <f>SUMIFS(JA!$Z:$Z,JA!$AE:$AE,"OK",JA!$R:$R,Parkki!$Y$6,JA!$AY:$AY,Parkki!$Y$5,JA!$AI:$AI,$Y$4,JA!$L:$L,$U47,JA!$T:$T,1,JA!$AJ:$AJ,Parkki!$W$7,JA!V:V,"nuori",JA!$M:$M,Parkki!$Y$9)</f>
        <v>0</v>
      </c>
      <c r="R47" s="742">
        <f>SUMIFS(JA!$Z:$Z,JA!$AE:$AE,"OK",JA!$R:$R,Parkki!$Y$6,JA!$AY:$AY,Parkki!$Y$5,JA!$AI:$AI,$Y$4,JA!$L:$L,$U47,JA!$AJ:$AJ,Parkki!$W$7,JA!V:V,"nuori",JA!$M:$M,Parkki!$Y$9)</f>
        <v>0</v>
      </c>
      <c r="S47">
        <f t="shared" si="5"/>
        <v>0</v>
      </c>
      <c r="T47" s="144">
        <v>29</v>
      </c>
      <c r="U47" s="744" t="str">
        <f t="shared" si="6"/>
        <v>ComboBox_TyHlo_yksikko_00000001</v>
      </c>
      <c r="AA47" s="176" t="str">
        <f>IFERROR(IF(INDEX(Data_Omakoodi!H:H,MATCH($AK$3&amp;$AL47,Data_Omakoodi!A:A,0))="P","",$AK$3&amp;$AL47),$AK$3&amp;$AL47)</f>
        <v>ComboBox_EtKuntakoodi_00000040</v>
      </c>
      <c r="AB47" s="44" t="str">
        <f>IFERROR(INDEX(Data_Omakoodi!E:E,MATCH(AA47,Data_Omakoodi!A:A,0)),"")</f>
        <v/>
      </c>
      <c r="AC47" t="str">
        <f>IFERROR(IF(INDEX(Data_Omakoodi!H:H,MATCH($AH$3&amp;$AL47,Data_Omakoodi!A:A,0))="P","",$AH$3&amp;$AL47),$AH$3&amp;$AL47)</f>
        <v>ComboBox_TyHlo_yksikko_00000040</v>
      </c>
      <c r="AD47" s="44" t="str">
        <f>IFERROR(INDEX(Data_Omakoodi!E:E,MATCH(AC47,Data_Omakoodi!A:A,0)),"")</f>
        <v/>
      </c>
      <c r="AE47" t="str">
        <f>IFERROR(IF(INDEX(Data_Omakoodi!H:H,MATCH($AH$3&amp;$AL47,Data_Omakoodi!A:A,0))="P","",$AH$3&amp;$AL47),$AH$3&amp;$AL47)</f>
        <v>ComboBox_TyHlo_yksikko_00000040</v>
      </c>
      <c r="AF47" t="s">
        <v>1630</v>
      </c>
      <c r="AG47" s="739" t="str">
        <f t="shared" si="8"/>
        <v/>
      </c>
      <c r="AH47" s="739" t="str">
        <f t="shared" si="9"/>
        <v/>
      </c>
      <c r="AI47"/>
      <c r="AJ47" s="739" t="str">
        <f t="shared" si="10"/>
        <v/>
      </c>
      <c r="AK47" s="739" t="str">
        <f t="shared" si="11"/>
        <v/>
      </c>
      <c r="AL47">
        <v>40</v>
      </c>
      <c r="AP47" s="685"/>
      <c r="AQ47" s="685"/>
      <c r="AR47" s="27"/>
      <c r="AS47" s="27"/>
    </row>
    <row r="48" spans="1:45" x14ac:dyDescent="0.25">
      <c r="B48" s="518" t="s">
        <v>828</v>
      </c>
      <c r="C48" s="520">
        <f>SUMIFS(AS!$W:$W,AS!$BO:$BO,$W$7,AS!$AB:$AB,AS!$AA$1,AS!$AV:$AV,$X$3,AS!$AH:$AH,$X$8,AS!BB:BB,AS!$BA$1,AS!$AW:$AW,$X$32,AS!$X:$X,$Y$5,AS!$AT:$AT,Parkki!$Y$13,AS!$AX:$AX,W37,AS!$K:$K,$X$31,AS!$F:$F,$V$29,AS!$L:$L,$V$30,AS!$AG:$AG,Parkki!$Y$9)</f>
        <v>0</v>
      </c>
      <c r="D48" s="520">
        <f>SUMIFS(AS!$W:$W,AS!$BO:$BO,$W$7,AS!$AB:$AB,AS!$AA$1,AS!$AV:$AV,$X$3,AS!$I:$I,$X$7,AS!$AH:$AH,$X$8,AS!$BB:$BB,AS!$BA$1,AS!$AW:$AW,$X$32,AS!$X:$X,$Y$5,AS!$AT:$AT,Parkki!$Y$13,AS!$AX:$AX,W37,AS!$K:$K,$X$31,AS!$F:$F,$V$29,AS!$L:$L,$V$30,AS!$AG:$AG,Parkki!$Y$9)</f>
        <v>0</v>
      </c>
      <c r="E48" s="520">
        <f>SUMIFS(AS!$W:$W,AS!$BO:$BO,$W$7,AS!$AB:$AB,AS!$AA$1,AS!$AV:$AV,$X$3,AS!$I:$I,$Y$7,AS!$AH:$AH,$X$8,AS!$BB:$BB,AS!$BA$1,AS!$AW:$AW,$X$32,AS!$X:$X,$Y$5,AS!$AT:$AT,Parkki!$Y$13,AS!$AX:$AX,W37,AS!$K:$K,$X$31,AS!$F:$F,$V$29,AS!$L:$L,$V$30,AS!$AG:$AG,Parkki!$Y$9)</f>
        <v>0</v>
      </c>
      <c r="F48" s="423"/>
      <c r="G48" s="524"/>
      <c r="M48" s="525"/>
      <c r="O48" s="743" t="str">
        <f t="shared" si="4"/>
        <v/>
      </c>
      <c r="P48" s="742">
        <f>SUMIFS(AS!$W:$W,AS!$AB:$AB,"OK",AS!$AW:$AW,Parkki!$Y$6,AS!$X:$X,Parkki!$Y$5,AS!$H:$H,Parkki!$W$7,AS!$K:$K,Parkki!$U48,AS!AH:AH,"nuori",AS!$AG:$AG,Parkki!$Y$9)</f>
        <v>0</v>
      </c>
      <c r="Q48" s="742">
        <f>SUMIFS(JA!$Z:$Z,JA!$AE:$AE,"OK",JA!$R:$R,Parkki!$Y$6,JA!$AY:$AY,Parkki!$Y$5,JA!$AI:$AI,$Y$4,JA!$L:$L,$U48,JA!$T:$T,1,JA!$AJ:$AJ,Parkki!$W$7,JA!V:V,"nuori",JA!$M:$M,Parkki!$Y$9)</f>
        <v>0</v>
      </c>
      <c r="R48" s="742">
        <f>SUMIFS(JA!$Z:$Z,JA!$AE:$AE,"OK",JA!$R:$R,Parkki!$Y$6,JA!$AY:$AY,Parkki!$Y$5,JA!$AI:$AI,$Y$4,JA!$L:$L,$U48,JA!$AJ:$AJ,Parkki!$W$7,JA!V:V,"nuori",JA!$M:$M,Parkki!$Y$9)</f>
        <v>0</v>
      </c>
      <c r="S48">
        <f t="shared" si="5"/>
        <v>0</v>
      </c>
      <c r="T48" s="144">
        <v>30</v>
      </c>
      <c r="U48" s="744" t="str">
        <f t="shared" si="6"/>
        <v>ComboBox_TyHlo_yksikko_00000001</v>
      </c>
      <c r="AA48" s="176" t="str">
        <f>IFERROR(IF(INDEX(Data_Omakoodi!H:H,MATCH($AK$3&amp;$AL48,Data_Omakoodi!A:A,0))="P","",$AK$3&amp;$AL48),$AK$3&amp;$AL48)</f>
        <v>ComboBox_EtKuntakoodi_00000041</v>
      </c>
      <c r="AB48" s="44" t="str">
        <f>IFERROR(INDEX(Data_Omakoodi!E:E,MATCH(AA48,Data_Omakoodi!A:A,0)),"")</f>
        <v/>
      </c>
      <c r="AC48" t="str">
        <f>IFERROR(IF(INDEX(Data_Omakoodi!H:H,MATCH($AH$3&amp;$AL48,Data_Omakoodi!A:A,0))="P","",$AH$3&amp;$AL48),$AH$3&amp;$AL48)</f>
        <v>ComboBox_TyHlo_yksikko_00000041</v>
      </c>
      <c r="AD48" s="44" t="str">
        <f>IFERROR(INDEX(Data_Omakoodi!E:E,MATCH(AC48,Data_Omakoodi!A:A,0)),"")</f>
        <v/>
      </c>
      <c r="AE48" t="str">
        <f>IFERROR(IF(INDEX(Data_Omakoodi!H:H,MATCH($AH$3&amp;$AL48,Data_Omakoodi!A:A,0))="P","",$AH$3&amp;$AL48),$AH$3&amp;$AL48)</f>
        <v>ComboBox_TyHlo_yksikko_00000041</v>
      </c>
      <c r="AF48" t="s">
        <v>1631</v>
      </c>
      <c r="AG48" s="739" t="str">
        <f t="shared" si="8"/>
        <v/>
      </c>
      <c r="AH48" s="739" t="str">
        <f t="shared" si="9"/>
        <v/>
      </c>
      <c r="AI48"/>
      <c r="AJ48" s="739" t="str">
        <f t="shared" si="10"/>
        <v/>
      </c>
      <c r="AK48" s="739" t="str">
        <f t="shared" si="11"/>
        <v/>
      </c>
      <c r="AL48">
        <v>41</v>
      </c>
      <c r="AP48" s="685"/>
      <c r="AQ48" s="685"/>
      <c r="AR48" s="27"/>
      <c r="AS48" s="27"/>
    </row>
    <row r="49" spans="1:45" x14ac:dyDescent="0.25">
      <c r="B49" s="518" t="s">
        <v>1362</v>
      </c>
      <c r="C49" s="520">
        <f>SUMIFS(AS!$W:$W,AS!$BO:$BO,$W$7,AS!$AB:$AB,AS!$AA$1,AS!$AV:$AV,$X$3,AS!$AH:$AH,$X$8,AS!BB:BB,AS!$BA$1,AS!$AW:$AW,$X$32,AS!$X:$X,$Y$5,AS!$AT:$AT,Parkki!$Y$13,AS!$AX:$AX,W38,AS!$K:$K,$X$31,AS!$F:$F,$V$29,AS!$L:$L,$V$30,AS!$AG:$AG,Parkki!$Y$9)</f>
        <v>0</v>
      </c>
      <c r="D49" s="520">
        <f>SUMIFS(AS!$W:$W,AS!$BO:$BO,$W$7,AS!$AB:$AB,AS!$AA$1,AS!$AV:$AV,$X$3,AS!$I:$I,$X$7,AS!$AH:$AH,$X$8,AS!$BB:$BB,AS!$BA$1,AS!$AW:$AW,$X$32,AS!$X:$X,$Y$5,AS!$AT:$AT,Parkki!$Y$13,AS!$AX:$AX,W38,AS!$K:$K,$X$31,AS!$F:$F,$V$29,AS!$L:$L,$V$30,AS!$AG:$AG,Parkki!$Y$9)</f>
        <v>0</v>
      </c>
      <c r="E49" s="520">
        <f>SUMIFS(AS!$W:$W,AS!$BO:$BO,$W$7,AS!$AB:$AB,AS!$AA$1,AS!$AV:$AV,$X$3,AS!$I:$I,$Y$7,AS!$AH:$AH,$X$8,AS!$BB:$BB,AS!$BA$1,AS!$AW:$AW,$X$32,AS!$X:$X,$Y$5,AS!$AT:$AT,Parkki!$Y$13,AS!$AX:$AX,W38,AS!$K:$K,$X$31,AS!$F:$F,$V$29,AS!$L:$L,$V$30,AS!$AG:$AG,Parkki!$Y$9)</f>
        <v>0</v>
      </c>
      <c r="F49" s="423"/>
      <c r="G49" s="524"/>
      <c r="M49" s="525"/>
      <c r="O49" s="1" t="str">
        <f>A6&amp;" asiakkaat: Kunnat "&amp;X10&amp;", "&amp;A4</f>
        <v>Kaikki asiakkaat: Kunnat 01.01.2025-30.04.2025 , Kaikki yksiköt</v>
      </c>
      <c r="AA49" s="176" t="str">
        <f>IFERROR(IF(INDEX(Data_Omakoodi!H:H,MATCH($AK$3&amp;$AL49,Data_Omakoodi!A:A,0))="P","",$AK$3&amp;$AL49),$AK$3&amp;$AL49)</f>
        <v>ComboBox_EtKuntakoodi_00000042</v>
      </c>
      <c r="AB49" s="44" t="str">
        <f>IFERROR(INDEX(Data_Omakoodi!E:E,MATCH(AA49,Data_Omakoodi!A:A,0)),"")</f>
        <v/>
      </c>
      <c r="AC49" t="str">
        <f>IFERROR(IF(INDEX(Data_Omakoodi!H:H,MATCH($AH$3&amp;$AL49,Data_Omakoodi!A:A,0))="P","",$AH$3&amp;$AL49),$AH$3&amp;$AL49)</f>
        <v>ComboBox_TyHlo_yksikko_00000042</v>
      </c>
      <c r="AD49" s="44" t="str">
        <f>IFERROR(INDEX(Data_Omakoodi!E:E,MATCH(AC49,Data_Omakoodi!A:A,0)),"")</f>
        <v/>
      </c>
      <c r="AE49" t="str">
        <f>IFERROR(IF(INDEX(Data_Omakoodi!H:H,MATCH($AH$3&amp;$AL49,Data_Omakoodi!A:A,0))="P","",$AH$3&amp;$AL49),$AH$3&amp;$AL49)</f>
        <v>ComboBox_TyHlo_yksikko_00000042</v>
      </c>
      <c r="AF49" t="s">
        <v>1632</v>
      </c>
      <c r="AG49" s="739" t="str">
        <f t="shared" si="8"/>
        <v/>
      </c>
      <c r="AH49" s="739" t="str">
        <f t="shared" si="9"/>
        <v/>
      </c>
      <c r="AI49"/>
      <c r="AJ49" s="739" t="str">
        <f t="shared" si="10"/>
        <v/>
      </c>
      <c r="AK49" s="739" t="str">
        <f t="shared" si="11"/>
        <v/>
      </c>
      <c r="AL49">
        <v>42</v>
      </c>
      <c r="AP49" s="685"/>
      <c r="AQ49" s="685"/>
      <c r="AR49" s="27"/>
      <c r="AS49" s="27"/>
    </row>
    <row r="50" spans="1:45" x14ac:dyDescent="0.25">
      <c r="B50" s="518" t="s">
        <v>1363</v>
      </c>
      <c r="C50" s="520">
        <f>SUMIFS(AS!$W:$W,AS!$BO:$BO,$W$7,AS!$AB:$AB,AS!$AA$1,AS!$AV:$AV,$X$3,AS!$AH:$AH,$X$8,AS!BB:BB,AS!$BA$1,AS!$AW:$AW,$X$32,AS!$X:$X,$Y$5,AS!$AT:$AT,Parkki!$Y$13,AS!$AX:$AX,W39,AS!$K:$K,$X$31,AS!$F:$F,$V$29,AS!$L:$L,$V$30,AS!$AG:$AG,Parkki!$Y$9)</f>
        <v>0</v>
      </c>
      <c r="D50" s="520">
        <f>SUMIFS(AS!$W:$W,AS!$BO:$BO,$W$7,AS!$AB:$AB,AS!$AA$1,AS!$AV:$AV,$X$3,AS!$I:$I,$X$7,AS!$AH:$AH,$X$8,AS!$BB:$BB,AS!$BA$1,AS!$AW:$AW,$X$32,AS!$X:$X,$Y$5,AS!$AT:$AT,Parkki!$Y$13,AS!$AX:$AX,W39,AS!$K:$K,$X$31,AS!$F:$F,$V$29,AS!$L:$L,$V$30,AS!$AG:$AG,Parkki!$Y$9)</f>
        <v>0</v>
      </c>
      <c r="E50" s="520">
        <f>SUMIFS(AS!$W:$W,AS!$BO:$BO,$W$7,AS!$AB:$AB,AS!$AA$1,AS!$AV:$AV,$X$3,AS!$I:$I,$Y$7,AS!$AH:$AH,$X$8,AS!$BB:$BB,AS!$BA$1,AS!$AW:$AW,$X$32,AS!$X:$X,$Y$5,AS!$AT:$AT,Parkki!$Y$13,AS!$AX:$AX,W39,AS!$K:$K,$X$31,AS!$F:$F,$V$29,AS!$L:$L,$V$30,AS!$AG:$AG,Parkki!$Y$9)</f>
        <v>0</v>
      </c>
      <c r="F50" s="423"/>
      <c r="G50" s="524"/>
      <c r="M50" s="525"/>
      <c r="O50" s="783" t="s">
        <v>1570</v>
      </c>
      <c r="P50" s="783" t="s">
        <v>1582</v>
      </c>
      <c r="Q50" s="783" t="s">
        <v>1585</v>
      </c>
      <c r="R50" s="783" t="s">
        <v>1586</v>
      </c>
      <c r="AA50" s="176" t="str">
        <f>IFERROR(IF(INDEX(Data_Omakoodi!H:H,MATCH($AK$3&amp;$AL50,Data_Omakoodi!A:A,0))="P","",$AK$3&amp;$AL50),$AK$3&amp;$AL50)</f>
        <v>ComboBox_EtKuntakoodi_00000043</v>
      </c>
      <c r="AB50" s="44" t="str">
        <f>IFERROR(INDEX(Data_Omakoodi!E:E,MATCH(AA50,Data_Omakoodi!A:A,0)),"")</f>
        <v/>
      </c>
      <c r="AC50" t="str">
        <f>IFERROR(IF(INDEX(Data_Omakoodi!H:H,MATCH($AH$3&amp;$AL50,Data_Omakoodi!A:A,0))="P","",$AH$3&amp;$AL50),$AH$3&amp;$AL50)</f>
        <v>ComboBox_TyHlo_yksikko_00000043</v>
      </c>
      <c r="AD50" s="44" t="str">
        <f>IFERROR(INDEX(Data_Omakoodi!E:E,MATCH(AC50,Data_Omakoodi!A:A,0)),"")</f>
        <v/>
      </c>
      <c r="AE50" t="str">
        <f>IFERROR(IF(INDEX(Data_Omakoodi!H:H,MATCH($AH$3&amp;$AL50,Data_Omakoodi!A:A,0))="P","",$AH$3&amp;$AL50),$AH$3&amp;$AL50)</f>
        <v>ComboBox_TyHlo_yksikko_00000043</v>
      </c>
      <c r="AF50" t="s">
        <v>1633</v>
      </c>
      <c r="AG50" s="739" t="str">
        <f t="shared" si="8"/>
        <v/>
      </c>
      <c r="AH50" s="739" t="str">
        <f t="shared" si="9"/>
        <v/>
      </c>
      <c r="AI50"/>
      <c r="AJ50" s="739" t="str">
        <f t="shared" si="10"/>
        <v/>
      </c>
      <c r="AK50" s="739" t="str">
        <f t="shared" si="11"/>
        <v/>
      </c>
      <c r="AL50">
        <v>43</v>
      </c>
      <c r="AP50" s="685"/>
      <c r="AQ50" s="685"/>
      <c r="AR50" s="27"/>
      <c r="AS50" s="27"/>
    </row>
    <row r="51" spans="1:45" x14ac:dyDescent="0.25">
      <c r="B51" s="519" t="s">
        <v>93</v>
      </c>
      <c r="C51" s="619">
        <f>SUM(C47:C50)</f>
        <v>0</v>
      </c>
      <c r="D51" s="619">
        <f>SUM(D47:D50)</f>
        <v>0</v>
      </c>
      <c r="E51" s="619">
        <f>SUM(E47:E50)</f>
        <v>0</v>
      </c>
      <c r="F51" s="423"/>
      <c r="G51" s="524"/>
      <c r="M51" s="525"/>
      <c r="O51" s="783"/>
      <c r="P51" s="783"/>
      <c r="Q51" s="783"/>
      <c r="R51" s="783"/>
      <c r="S51" s="15"/>
      <c r="AA51" s="176" t="str">
        <f>IFERROR(IF(INDEX(Data_Omakoodi!H:H,MATCH($AK$3&amp;$AL51,Data_Omakoodi!A:A,0))="P","",$AK$3&amp;$AL51),$AK$3&amp;$AL51)</f>
        <v>ComboBox_EtKuntakoodi_00000044</v>
      </c>
      <c r="AB51" s="44" t="str">
        <f>IFERROR(INDEX(Data_Omakoodi!E:E,MATCH(AA51,Data_Omakoodi!A:A,0)),"")</f>
        <v/>
      </c>
      <c r="AC51" t="str">
        <f>IFERROR(IF(INDEX(Data_Omakoodi!H:H,MATCH($AH$3&amp;$AL51,Data_Omakoodi!A:A,0))="P","",$AH$3&amp;$AL51),$AH$3&amp;$AL51)</f>
        <v>ComboBox_TyHlo_yksikko_00000044</v>
      </c>
      <c r="AD51" s="44" t="str">
        <f>IFERROR(INDEX(Data_Omakoodi!E:E,MATCH(AC51,Data_Omakoodi!A:A,0)),"")</f>
        <v/>
      </c>
      <c r="AE51" t="str">
        <f>IFERROR(IF(INDEX(Data_Omakoodi!H:H,MATCH($AH$3&amp;$AL51,Data_Omakoodi!A:A,0))="P","",$AH$3&amp;$AL51),$AH$3&amp;$AL51)</f>
        <v>ComboBox_TyHlo_yksikko_00000044</v>
      </c>
      <c r="AF51" t="s">
        <v>1634</v>
      </c>
      <c r="AG51" s="739" t="str">
        <f t="shared" si="8"/>
        <v/>
      </c>
      <c r="AH51" s="739" t="str">
        <f t="shared" si="9"/>
        <v/>
      </c>
      <c r="AI51"/>
      <c r="AJ51" s="739" t="str">
        <f t="shared" si="10"/>
        <v/>
      </c>
      <c r="AK51" s="739" t="str">
        <f t="shared" si="11"/>
        <v/>
      </c>
      <c r="AL51">
        <v>44</v>
      </c>
      <c r="AP51" s="685"/>
      <c r="AQ51" s="685"/>
      <c r="AR51" s="27"/>
      <c r="AS51" s="27"/>
    </row>
    <row r="52" spans="1:45" x14ac:dyDescent="0.25">
      <c r="B52" s="553" t="str">
        <f>"*miehistä muun sukupuolisia (N: "&amp;$W$19&amp;")"</f>
        <v>*miehistä muun sukupuolisia (N: 0)</v>
      </c>
      <c r="F52" s="423"/>
      <c r="G52" s="524"/>
      <c r="M52" s="525"/>
      <c r="O52" s="783"/>
      <c r="P52" s="783"/>
      <c r="Q52" s="783"/>
      <c r="R52" s="783"/>
      <c r="AA52" s="176" t="str">
        <f>IFERROR(IF(INDEX(Data_Omakoodi!H:H,MATCH($AK$3&amp;$AL52,Data_Omakoodi!A:A,0))="P","",$AK$3&amp;$AL52),$AK$3&amp;$AL52)</f>
        <v>ComboBox_EtKuntakoodi_00000045</v>
      </c>
      <c r="AB52" s="44" t="str">
        <f>IFERROR(INDEX(Data_Omakoodi!E:E,MATCH(AA52,Data_Omakoodi!A:A,0)),"")</f>
        <v/>
      </c>
      <c r="AC52" t="str">
        <f>IFERROR(IF(INDEX(Data_Omakoodi!H:H,MATCH($AH$3&amp;$AL52,Data_Omakoodi!A:A,0))="P","",$AH$3&amp;$AL52),$AH$3&amp;$AL52)</f>
        <v>ComboBox_TyHlo_yksikko_00000045</v>
      </c>
      <c r="AD52" s="44" t="str">
        <f>IFERROR(INDEX(Data_Omakoodi!E:E,MATCH(AC52,Data_Omakoodi!A:A,0)),"")</f>
        <v/>
      </c>
      <c r="AE52" t="str">
        <f>IFERROR(IF(INDEX(Data_Omakoodi!H:H,MATCH($AH$3&amp;$AL52,Data_Omakoodi!A:A,0))="P","",$AH$3&amp;$AL52),$AH$3&amp;$AL52)</f>
        <v>ComboBox_TyHlo_yksikko_00000045</v>
      </c>
      <c r="AF52" t="s">
        <v>1635</v>
      </c>
      <c r="AG52" s="739" t="str">
        <f t="shared" si="8"/>
        <v/>
      </c>
      <c r="AH52" s="739" t="str">
        <f t="shared" si="9"/>
        <v/>
      </c>
      <c r="AI52"/>
      <c r="AJ52" s="739" t="str">
        <f t="shared" si="10"/>
        <v/>
      </c>
      <c r="AK52" s="739" t="str">
        <f t="shared" si="11"/>
        <v/>
      </c>
      <c r="AL52">
        <v>45</v>
      </c>
      <c r="AP52" s="685"/>
      <c r="AQ52" s="685"/>
      <c r="AR52" s="27"/>
      <c r="AS52" s="27"/>
    </row>
    <row r="53" spans="1:45" ht="15.75" thickBot="1" x14ac:dyDescent="0.3">
      <c r="A53" s="384"/>
      <c r="B53" s="384"/>
      <c r="C53" s="384"/>
      <c r="D53" s="384"/>
      <c r="E53" s="384"/>
      <c r="F53" s="424"/>
      <c r="G53" s="535" t="str">
        <f>"N: "&amp;C42&amp;"; *miehet ja muun sukupuoliset (N: "&amp;$W$19&amp;")"</f>
        <v>N: 0; *miehet ja muun sukupuoliset (N: 0)</v>
      </c>
      <c r="H53" s="535"/>
      <c r="I53" s="535"/>
      <c r="J53" s="535"/>
      <c r="K53" s="535"/>
      <c r="L53" s="535"/>
      <c r="M53" s="536"/>
      <c r="O53" s="743" t="str">
        <f>IFERROR(INDEX($AJ$5:$AJ$37,MATCH(SMALL($AK$5:$AK$37,T53),$AK$5:$AK$37,0)),"")</f>
        <v>Kaikki kunnat</v>
      </c>
      <c r="P53" s="742">
        <f>SUMIFS(AS!$W:$W,AS!$AB:$AB,"OK",AS!$AW:$AW,U53,AS!$X:$X,Parkki!$Y$5,AS!$H:$H,Parkki!$W$7,AS!$K:$K,Parkki!$Y$28,AS!AH:AH,"nuori",AS!$AG:$AG,Parkki!$Y$9)</f>
        <v>0</v>
      </c>
      <c r="Q53" s="742">
        <f>SUMIFS(JA!$Z:$Z,JA!$AE:$AE,"OK",JA!$AY:$AY,Parkki!$Y$5,JA!$AI:$AI,Parkki!$Y$5,JA!$N:$N,$U53,JA!$BA:$BA,1,JA!$AJ:$AJ,Parkki!$W$7,JA!$L:$L,$Y$28,JA!V:V,"nuori",JA!$M:$M,Parkki!$Y$9)</f>
        <v>0</v>
      </c>
      <c r="R53" s="742">
        <f>SUMIFS(JA!$Z:$Z,JA!$AE:$AE,"OK",JA!$AY:$AY,Parkki!$Y$5,JA!$AI:$AI,Parkki!$Y$5,JA!$N:$N,$U53,JA!$AJ:$AJ,Parkki!$W$7,JA!$L:$L,$Y$28,JA!V:V,"nuori",JA!$M:$M,Parkki!$Y$9)</f>
        <v>0</v>
      </c>
      <c r="S53">
        <f>IF(O53="",0,1)</f>
        <v>1</v>
      </c>
      <c r="T53" s="144">
        <v>1</v>
      </c>
      <c r="U53" s="744" t="str">
        <f>INDEX($AA$5:$AA$37,MATCH(O53,$AB$5:$AB$37,0))</f>
        <v>*</v>
      </c>
      <c r="AA53" s="176" t="str">
        <f>IFERROR(IF(INDEX(Data_Omakoodi!H:H,MATCH($AK$3&amp;$AL53,Data_Omakoodi!A:A,0))="P","",$AK$3&amp;$AL53),$AK$3&amp;$AL53)</f>
        <v>ComboBox_EtKuntakoodi_00000046</v>
      </c>
      <c r="AB53" s="44" t="str">
        <f>IFERROR(INDEX(Data_Omakoodi!E:E,MATCH(AA53,Data_Omakoodi!A:A,0)),"")</f>
        <v/>
      </c>
      <c r="AC53" t="str">
        <f>IFERROR(IF(INDEX(Data_Omakoodi!H:H,MATCH($AH$3&amp;$AL53,Data_Omakoodi!A:A,0))="P","",$AH$3&amp;$AL53),$AH$3&amp;$AL53)</f>
        <v>ComboBox_TyHlo_yksikko_00000046</v>
      </c>
      <c r="AD53" s="44" t="str">
        <f>IFERROR(INDEX(Data_Omakoodi!E:E,MATCH(AC53,Data_Omakoodi!A:A,0)),"")</f>
        <v/>
      </c>
      <c r="AE53" t="str">
        <f>IFERROR(IF(INDEX(Data_Omakoodi!H:H,MATCH($AH$3&amp;$AL53,Data_Omakoodi!A:A,0))="P","",$AH$3&amp;$AL53),$AH$3&amp;$AL53)</f>
        <v>ComboBox_TyHlo_yksikko_00000046</v>
      </c>
      <c r="AF53" t="s">
        <v>1636</v>
      </c>
      <c r="AG53" s="739" t="str">
        <f t="shared" si="8"/>
        <v/>
      </c>
      <c r="AH53" s="739" t="str">
        <f t="shared" si="9"/>
        <v/>
      </c>
      <c r="AI53"/>
      <c r="AJ53" s="739" t="str">
        <f t="shared" si="10"/>
        <v/>
      </c>
      <c r="AK53" s="739" t="str">
        <f t="shared" si="11"/>
        <v/>
      </c>
      <c r="AL53">
        <v>46</v>
      </c>
      <c r="AP53" s="685"/>
      <c r="AQ53" s="685"/>
      <c r="AR53" s="27"/>
      <c r="AS53" s="27"/>
    </row>
    <row r="54" spans="1:45" ht="19.5" thickTop="1" x14ac:dyDescent="0.3">
      <c r="A54" s="539" t="s">
        <v>800</v>
      </c>
      <c r="B54" s="538"/>
      <c r="C54" s="538"/>
      <c r="D54" s="538"/>
      <c r="E54" s="538"/>
      <c r="F54" s="537"/>
      <c r="G54" s="538"/>
      <c r="H54" s="538"/>
      <c r="I54" s="538"/>
      <c r="J54" s="538"/>
      <c r="K54" s="538"/>
      <c r="L54" s="538"/>
      <c r="M54" s="538"/>
      <c r="O54" s="743" t="str">
        <f t="shared" ref="O54:O82" si="12">IFERROR(INDEX($AJ$5:$AJ$37,MATCH(SMALL($AK$5:$AK$37,T54),$AK$5:$AK$37,0)),"")</f>
        <v>Ei kuntaluokkaa</v>
      </c>
      <c r="P54" s="742">
        <f>SUMIFS(AS!$W:$W,AS!$AB:$AB,"OK",AS!$AW:$AW,U54,AS!$X:$X,Parkki!$Y$5,AS!$H:$H,Parkki!$W$7,AS!$K:$K,Parkki!$Y$28,AS!AH:AH,"nuori",AS!$AG:$AG,Parkki!$Y$9)</f>
        <v>0</v>
      </c>
      <c r="Q54" s="742">
        <f>SUMIFS(JA!$Z:$Z,JA!$AE:$AE,"OK",JA!$AY:$AY,Parkki!$Y$5,JA!$AI:$AI,Parkki!$Y$5,JA!$N:$N,$U54,JA!$BA:$BA,1,JA!$AJ:$AJ,Parkki!$W$7,JA!$L:$L,$Y$28,JA!V:V,"nuori",JA!$M:$M,Parkki!$Y$9)</f>
        <v>0</v>
      </c>
      <c r="R54" s="742">
        <f>SUMIFS(JA!$Z:$Z,JA!$AE:$AE,"OK",JA!$AY:$AY,Parkki!$Y$5,JA!$AI:$AI,Parkki!$Y$5,JA!$N:$N,$U54,JA!$AJ:$AJ,Parkki!$W$7,JA!$L:$L,$Y$28,JA!V:V,"nuori",JA!$M:$M,Parkki!$Y$9)</f>
        <v>0</v>
      </c>
      <c r="S54">
        <f t="shared" ref="S54:S82" si="13">IF(O54="",0,1)</f>
        <v>1</v>
      </c>
      <c r="T54" s="144">
        <v>2</v>
      </c>
      <c r="U54" s="744" t="str">
        <f t="shared" ref="U54:U82" si="14">INDEX($AA$5:$AA$37,MATCH(O54,$AB$5:$AB$37,0))</f>
        <v>tyhja</v>
      </c>
      <c r="AA54" s="176" t="str">
        <f>IFERROR(IF(INDEX(Data_Omakoodi!H:H,MATCH($AK$3&amp;$AL54,Data_Omakoodi!A:A,0))="P","",$AK$3&amp;$AL54),$AK$3&amp;$AL54)</f>
        <v>ComboBox_EtKuntakoodi_00000047</v>
      </c>
      <c r="AB54" s="44" t="str">
        <f>IFERROR(INDEX(Data_Omakoodi!E:E,MATCH(AA54,Data_Omakoodi!A:A,0)),"")</f>
        <v/>
      </c>
      <c r="AC54" t="str">
        <f>IFERROR(IF(INDEX(Data_Omakoodi!H:H,MATCH($AH$3&amp;$AL54,Data_Omakoodi!A:A,0))="P","",$AH$3&amp;$AL54),$AH$3&amp;$AL54)</f>
        <v>ComboBox_TyHlo_yksikko_00000047</v>
      </c>
      <c r="AD54" s="44" t="str">
        <f>IFERROR(INDEX(Data_Omakoodi!E:E,MATCH(AC54,Data_Omakoodi!A:A,0)),"")</f>
        <v/>
      </c>
      <c r="AE54" t="str">
        <f>IFERROR(IF(INDEX(Data_Omakoodi!H:H,MATCH($AH$3&amp;$AL54,Data_Omakoodi!A:A,0))="P","",$AH$3&amp;$AL54),$AH$3&amp;$AL54)</f>
        <v>ComboBox_TyHlo_yksikko_00000047</v>
      </c>
      <c r="AF54" t="s">
        <v>1637</v>
      </c>
      <c r="AG54" s="739" t="str">
        <f t="shared" si="8"/>
        <v/>
      </c>
      <c r="AH54" s="739" t="str">
        <f t="shared" si="9"/>
        <v/>
      </c>
      <c r="AI54"/>
      <c r="AJ54" s="739" t="str">
        <f t="shared" si="10"/>
        <v/>
      </c>
      <c r="AK54" s="739" t="str">
        <f t="shared" si="11"/>
        <v/>
      </c>
      <c r="AL54">
        <v>47</v>
      </c>
      <c r="AP54" s="685"/>
      <c r="AQ54" s="685"/>
      <c r="AR54" s="27"/>
      <c r="AS54" s="27"/>
    </row>
    <row r="55" spans="1:45" ht="30" customHeight="1" x14ac:dyDescent="0.25">
      <c r="A55" s="388">
        <f>SUMIFS(AS!W:W,AS!$BO:$BO,$W$7,AS!AB:AB,AS!$AA$1,AS!$D:$D,$X$4,AS!$AW:$AW,$Y$6,AS!$X:$X,$Y$5)-C63-C64</f>
        <v>0</v>
      </c>
      <c r="B55" s="789" t="str">
        <f>"Kuinka moneen naiseen ja mieheen etsivä nuorisotyö oli VAIN kontaktissa "&amp;Y12&amp;X10&amp;U8&amp;X15</f>
        <v>Kuinka moneen naiseen ja mieheen etsivä nuorisotyö oli VAIN kontaktissa - KAIKKI: 01.01.2025-30.04.2025 (Kaikki yksiköt / perustiedoista, Kaikki kunnat / perustiedoista, Ikäluokka: Kaikki)</v>
      </c>
      <c r="C55" s="789"/>
      <c r="D55" s="789"/>
      <c r="E55" s="789"/>
      <c r="F55" s="422"/>
      <c r="G55" s="812" t="str">
        <f>B55</f>
        <v>Kuinka moneen naiseen ja mieheen etsivä nuorisotyö oli VAIN kontaktissa - KAIKKI: 01.01.2025-30.04.2025 (Kaikki yksiköt / perustiedoista, Kaikki kunnat / perustiedoista, Ikäluokka: Kaikki)</v>
      </c>
      <c r="H55" s="813"/>
      <c r="I55" s="813"/>
      <c r="J55" s="813"/>
      <c r="K55" s="813"/>
      <c r="L55" s="813"/>
      <c r="M55" s="814"/>
      <c r="O55" s="743" t="str">
        <f t="shared" si="12"/>
        <v>Muut kunnat</v>
      </c>
      <c r="P55" s="742">
        <f>SUMIFS(AS!$W:$W,AS!$AB:$AB,"OK",AS!$AW:$AW,U55,AS!$X:$X,Parkki!$Y$5,AS!$H:$H,Parkki!$W$7,AS!$K:$K,Parkki!$Y$28,AS!AH:AH,"nuori",AS!$AG:$AG,Parkki!$Y$9)</f>
        <v>0</v>
      </c>
      <c r="Q55" s="742">
        <f>SUMIFS(JA!$Z:$Z,JA!$AE:$AE,"OK",JA!$AY:$AY,Parkki!$Y$5,JA!$AI:$AI,Parkki!$Y$5,JA!$N:$N,$U55,JA!$BA:$BA,1,JA!$AJ:$AJ,Parkki!$W$7,JA!$L:$L,$Y$28,JA!V:V,"nuori",JA!$M:$M,Parkki!$Y$9)</f>
        <v>0</v>
      </c>
      <c r="R55" s="742">
        <f>SUMIFS(JA!$Z:$Z,JA!$AE:$AE,"OK",JA!$AY:$AY,Parkki!$Y$5,JA!$AI:$AI,Parkki!$Y$5,JA!$N:$N,$U55,JA!$AJ:$AJ,Parkki!$W$7,JA!$L:$L,$Y$28,JA!V:V,"nuori",JA!$M:$M,Parkki!$Y$9)</f>
        <v>0</v>
      </c>
      <c r="S55">
        <f t="shared" si="13"/>
        <v>1</v>
      </c>
      <c r="T55" s="144">
        <v>3</v>
      </c>
      <c r="U55" s="744" t="str">
        <f t="shared" si="14"/>
        <v>muut</v>
      </c>
      <c r="AA55" s="176" t="str">
        <f>IFERROR(IF(INDEX(Data_Omakoodi!H:H,MATCH($AK$3&amp;$AL55,Data_Omakoodi!A:A,0))="P","",$AK$3&amp;$AL55),$AK$3&amp;$AL55)</f>
        <v>ComboBox_EtKuntakoodi_00000048</v>
      </c>
      <c r="AB55" s="44" t="str">
        <f>IFERROR(INDEX(Data_Omakoodi!E:E,MATCH(AA55,Data_Omakoodi!A:A,0)),"")</f>
        <v/>
      </c>
      <c r="AC55" t="str">
        <f>IFERROR(IF(INDEX(Data_Omakoodi!H:H,MATCH($AH$3&amp;$AL55,Data_Omakoodi!A:A,0))="P","",$AH$3&amp;$AL55),$AH$3&amp;$AL55)</f>
        <v>ComboBox_TyHlo_yksikko_00000048</v>
      </c>
      <c r="AD55" s="44" t="str">
        <f>IFERROR(INDEX(Data_Omakoodi!E:E,MATCH(AC55,Data_Omakoodi!A:A,0)),"")</f>
        <v/>
      </c>
      <c r="AE55" t="str">
        <f>IFERROR(IF(INDEX(Data_Omakoodi!H:H,MATCH($AH$3&amp;$AL55,Data_Omakoodi!A:A,0))="P","",$AH$3&amp;$AL55),$AH$3&amp;$AL55)</f>
        <v>ComboBox_TyHlo_yksikko_00000048</v>
      </c>
      <c r="AF55" t="s">
        <v>1638</v>
      </c>
      <c r="AG55" s="739" t="str">
        <f t="shared" si="8"/>
        <v/>
      </c>
      <c r="AH55" s="739" t="str">
        <f t="shared" si="9"/>
        <v/>
      </c>
      <c r="AI55"/>
      <c r="AJ55" s="739" t="str">
        <f t="shared" si="10"/>
        <v/>
      </c>
      <c r="AK55" s="739" t="str">
        <f t="shared" si="11"/>
        <v/>
      </c>
      <c r="AL55">
        <v>48</v>
      </c>
      <c r="AP55" s="685"/>
      <c r="AQ55" s="685"/>
      <c r="AR55" s="27"/>
      <c r="AS55" s="27"/>
    </row>
    <row r="56" spans="1:45" ht="25.5" x14ac:dyDescent="0.25">
      <c r="A56" s="815" t="str">
        <f>IF(A55=0,"","HUOM! Toimenpiteitä on merkitty "&amp;A55&amp;":lle nuorelle, "&amp;IF(A55=1,"jonka","joiden") &amp;" status on muutettu tämän vuoksi tavoitetuksi. Tarkista status PAR-ohjelmasta, asiakaslistasta.")</f>
        <v/>
      </c>
      <c r="B56" s="518"/>
      <c r="C56" s="521" t="s">
        <v>114</v>
      </c>
      <c r="D56" s="521" t="s">
        <v>132</v>
      </c>
      <c r="E56" s="522" t="s">
        <v>1162</v>
      </c>
      <c r="F56" s="422"/>
      <c r="G56" s="524"/>
      <c r="M56" s="525"/>
      <c r="O56" s="743" t="str">
        <f t="shared" si="12"/>
        <v/>
      </c>
      <c r="P56" s="742">
        <f>SUMIFS(AS!$W:$W,AS!$AB:$AB,"OK",AS!$AW:$AW,U56,AS!$X:$X,Parkki!$Y$5,AS!$H:$H,Parkki!$W$7,AS!$K:$K,Parkki!$Y$28,AS!AH:AH,"nuori",AS!$AG:$AG,Parkki!$Y$9)</f>
        <v>0</v>
      </c>
      <c r="Q56" s="742">
        <f>SUMIFS(JA!$Z:$Z,JA!$AE:$AE,"OK",JA!$AY:$AY,Parkki!$Y$5,JA!$AI:$AI,Parkki!$Y$5,JA!$N:$N,$U56,JA!$BA:$BA,1,JA!$AJ:$AJ,Parkki!$W$7,JA!$L:$L,$Y$28,JA!V:V,"nuori",JA!$M:$M,Parkki!$Y$9)</f>
        <v>0</v>
      </c>
      <c r="R56" s="742">
        <f>SUMIFS(JA!$Z:$Z,JA!$AE:$AE,"OK",JA!$AY:$AY,Parkki!$Y$5,JA!$AI:$AI,Parkki!$Y$5,JA!$N:$N,$U56,JA!$AJ:$AJ,Parkki!$W$7,JA!$L:$L,$Y$28,JA!V:V,"nuori",JA!$M:$M,Parkki!$Y$9)</f>
        <v>0</v>
      </c>
      <c r="S56">
        <f t="shared" si="13"/>
        <v>0</v>
      </c>
      <c r="T56" s="144">
        <v>4</v>
      </c>
      <c r="U56" s="744" t="str">
        <f t="shared" si="14"/>
        <v>ComboBox_EtKuntakoodi_00000001</v>
      </c>
      <c r="V56" s="386" t="s">
        <v>789</v>
      </c>
      <c r="Y56" s="512" t="s">
        <v>593</v>
      </c>
      <c r="AP56" s="685"/>
      <c r="AQ56" s="685"/>
      <c r="AR56" s="27"/>
      <c r="AS56" s="27"/>
    </row>
    <row r="57" spans="1:45" x14ac:dyDescent="0.25">
      <c r="A57" s="815"/>
      <c r="B57" s="518" t="s">
        <v>785</v>
      </c>
      <c r="C57" s="520">
        <f>SUMIFS(AS!W:W,AS!$BO:$BO,$W$7,AS!AB:AB,AS!$AA$1,AS!AG:AG,$X57,AS!$AV:$AV,$X$4,AS!$AW:$AW,$X$32,AS!$X:$X,$Y$5,AS!$AT:$AT,Parkki!$Y$13,AS!$K:$K,$X$31,AS!$F:$F,$V$29,AS!$L:$L,$V$30,AS!$AG:$AG,Parkki!$Y$9)</f>
        <v>0</v>
      </c>
      <c r="D57" s="520">
        <f>SUMIFS(AS!W:W,AS!$BO:$BO,$W$7,AS!AB:AB,AS!$AA$1,AS!AG:AG,$X57,AS!$AV:$AV,$X$4,AS!$AW:$AW,$X$32,AS!$X:$X,$Y$5,AS!I:I,$X$7,AS!$AT:$AT,Parkki!$Y$13,AS!$K:$K,$X$31,AS!$F:$F,$V$29,AS!$L:$L,$V$30,AS!$AG:$AG,Parkki!$Y$9)</f>
        <v>0</v>
      </c>
      <c r="E57" s="520">
        <f>SUMIFS(AS!W:W,AS!$BO:$BO,$W$7,AS!AB:AB,AS!$AA$1,AS!AG:AG,$X57,AS!$AV:$AV,$X$4,AS!$AW:$AW,$X$32,AS!$X:$X,$Y$5,AS!I:I,$Y$7,AS!$AT:$AT,Parkki!$Y$13,AS!$K:$K,$X$31,AS!$F:$F,$V$29,AS!$L:$L,$V$30,AS!$AG:$AG,Parkki!$Y$9)</f>
        <v>0</v>
      </c>
      <c r="F57" s="422"/>
      <c r="G57" s="524"/>
      <c r="M57" s="525"/>
      <c r="O57" s="743" t="str">
        <f t="shared" si="12"/>
        <v/>
      </c>
      <c r="P57" s="742">
        <f>SUMIFS(AS!$W:$W,AS!$AB:$AB,"OK",AS!$AW:$AW,U57,AS!$X:$X,Parkki!$Y$5,AS!$H:$H,Parkki!$W$7,AS!$K:$K,Parkki!$Y$28,AS!AH:AH,"nuori",AS!$AG:$AG,Parkki!$Y$9)</f>
        <v>0</v>
      </c>
      <c r="Q57" s="742">
        <f>SUMIFS(JA!$Z:$Z,JA!$AE:$AE,"OK",JA!$AY:$AY,Parkki!$Y$5,JA!$AI:$AI,Parkki!$Y$5,JA!$N:$N,$U57,JA!$BA:$BA,1,JA!$AJ:$AJ,Parkki!$W$7,JA!$L:$L,$Y$28,JA!V:V,"nuori",JA!$M:$M,Parkki!$Y$9)</f>
        <v>0</v>
      </c>
      <c r="R57" s="742">
        <f>SUMIFS(JA!$Z:$Z,JA!$AE:$AE,"OK",JA!$AY:$AY,Parkki!$Y$5,JA!$AI:$AI,Parkki!$Y$5,JA!$N:$N,$U57,JA!$AJ:$AJ,Parkki!$W$7,JA!$L:$L,$Y$28,JA!V:V,"nuori",JA!$M:$M,Parkki!$Y$9)</f>
        <v>0</v>
      </c>
      <c r="S57">
        <f t="shared" si="13"/>
        <v>0</v>
      </c>
      <c r="T57" s="144">
        <v>5</v>
      </c>
      <c r="U57" s="744" t="str">
        <f t="shared" si="14"/>
        <v>ComboBox_EtKuntakoodi_00000001</v>
      </c>
      <c r="V57" s="148">
        <f>F62-SUM(V58:V61)</f>
        <v>0</v>
      </c>
      <c r="X57" s="28" t="s">
        <v>65</v>
      </c>
      <c r="AP57" s="685"/>
      <c r="AQ57" s="685"/>
      <c r="AR57" s="27"/>
      <c r="AS57" s="27"/>
    </row>
    <row r="58" spans="1:45" x14ac:dyDescent="0.25">
      <c r="A58" s="815"/>
      <c r="B58" s="518" t="s">
        <v>1359</v>
      </c>
      <c r="C58" s="520">
        <f>SUMIFS(AS!W:W,AS!$BO:$BO,$W$7,AS!AB:AB,AS!$AA$1,AS!AG:AG,$X58,AS!$AV:$AV,$X$4,AS!$AW:$AW,$X$32,AS!$X:$X,$Y$5,AS!$AT:$AT,Parkki!$Y$13,AS!$K:$K,$X$31,AS!$F:$F,$V$29,AS!$L:$L,$V$30,AS!$AG:$AG,Parkki!$Y$9)</f>
        <v>0</v>
      </c>
      <c r="D58" s="520">
        <f>SUMIFS(AS!W:W,AS!$BO:$BO,$W$7,AS!AB:AB,AS!$AA$1,AS!AG:AG,$X58,AS!$AV:$AV,$X$4,AS!$AW:$AW,$X$32,AS!$X:$X,$Y$5,AS!I:I,$X$7,AS!$AT:$AT,Parkki!$Y$13,AS!$K:$K,$X$31,AS!$F:$F,$V$29,AS!$L:$L,$V$30,AS!$AG:$AG,Parkki!$Y$9)</f>
        <v>0</v>
      </c>
      <c r="E58" s="520">
        <f>SUMIFS(AS!W:W,AS!$BO:$BO,$W$7,AS!AB:AB,AS!$AA$1,AS!AG:AG,$X58,AS!$AV:$AV,$X$4,AS!$AW:$AW,$X$32,AS!$X:$X,$Y$5,AS!I:I,$Y$7,AS!$AT:$AT,Parkki!$Y$13,AS!$K:$K,$X$31,AS!$F:$F,$V$29,AS!$L:$L,$V$30,AS!$AG:$AG,Parkki!$Y$9)</f>
        <v>0</v>
      </c>
      <c r="F58" s="422"/>
      <c r="G58" s="524"/>
      <c r="M58" s="525"/>
      <c r="O58" s="743" t="str">
        <f t="shared" si="12"/>
        <v/>
      </c>
      <c r="P58" s="742">
        <f>SUMIFS(AS!$W:$W,AS!$AB:$AB,"OK",AS!$AW:$AW,U58,AS!$X:$X,Parkki!$Y$5,AS!$H:$H,Parkki!$W$7,AS!$K:$K,Parkki!$Y$28,AS!AH:AH,"nuori",AS!$AG:$AG,Parkki!$Y$9)</f>
        <v>0</v>
      </c>
      <c r="Q58" s="742">
        <f>SUMIFS(JA!$Z:$Z,JA!$AE:$AE,"OK",JA!$AY:$AY,Parkki!$Y$5,JA!$AI:$AI,Parkki!$Y$5,JA!$N:$N,$U58,JA!$BA:$BA,1,JA!$AJ:$AJ,Parkki!$W$7,JA!$L:$L,$Y$28,JA!V:V,"nuori",JA!$M:$M,Parkki!$Y$9)</f>
        <v>0</v>
      </c>
      <c r="R58" s="742">
        <f>SUMIFS(JA!$Z:$Z,JA!$AE:$AE,"OK",JA!$AY:$AY,Parkki!$Y$5,JA!$AI:$AI,Parkki!$Y$5,JA!$N:$N,$U58,JA!$AJ:$AJ,Parkki!$W$7,JA!$L:$L,$Y$28,JA!V:V,"nuori",JA!$M:$M,Parkki!$Y$9)</f>
        <v>0</v>
      </c>
      <c r="S58">
        <f t="shared" si="13"/>
        <v>0</v>
      </c>
      <c r="T58" s="144">
        <v>6</v>
      </c>
      <c r="U58" s="744" t="str">
        <f t="shared" si="14"/>
        <v>ComboBox_EtKuntakoodi_00000001</v>
      </c>
      <c r="V58" s="148">
        <f>SUMIFS(AS!$W:$W,AS!$BO:$BO,$W$7,AS!$AB:$AB,AS!$AA$1,AS!$AV:$AV,$X$4,AS!$AH:$AH,$Y$8,AS!$BB:$BB,AS!$BA$1,AS!$AX:$AX,W58,AS!$AW:$AW,$Y$6,AS!$X:$X,$Y$5)</f>
        <v>0</v>
      </c>
      <c r="W58" s="385" t="s">
        <v>224</v>
      </c>
      <c r="X58" t="s">
        <v>1357</v>
      </c>
      <c r="AP58" s="685"/>
      <c r="AQ58" s="685"/>
      <c r="AR58" s="27"/>
      <c r="AS58" s="27"/>
    </row>
    <row r="59" spans="1:45" x14ac:dyDescent="0.25">
      <c r="A59" s="815"/>
      <c r="B59" s="518" t="s">
        <v>1360</v>
      </c>
      <c r="C59" s="520">
        <f>SUMIFS(AS!W:W,AS!$BO:$BO,$W$7,AS!AB:AB,AS!$AA$1,AS!AG:AG,$X59,AS!$AV:$AV,$X$4,AS!$AW:$AW,$X$32,AS!$X:$X,$Y$5,AS!$AT:$AT,Parkki!$Y$13,AS!$K:$K,$X$31,AS!$F:$F,$V$29,AS!$L:$L,$V$30,AS!$AG:$AG,Parkki!$Y$9)</f>
        <v>0</v>
      </c>
      <c r="D59" s="520">
        <f>SUMIFS(AS!W:W,AS!$BO:$BO,$W$7,AS!AB:AB,AS!$AA$1,AS!AG:AG,$X59,AS!$AV:$AV,$X$4,AS!$AW:$AW,$X$32,AS!$X:$X,$Y$5,AS!I:I,$X$7,AS!$AT:$AT,Parkki!$Y$13,AS!$K:$K,$X$31,AS!$F:$F,$V$29,AS!$L:$L,$V$30,AS!$AG:$AG,Parkki!$Y$9)</f>
        <v>0</v>
      </c>
      <c r="E59" s="520">
        <f>SUMIFS(AS!W:W,AS!$BO:$BO,$W$7,AS!AB:AB,AS!$AA$1,AS!AG:AG,$X59,AS!$AV:$AV,$X$4,AS!$AW:$AW,$X$32,AS!$X:$X,$Y$5,AS!I:I,$Y$7,AS!$AT:$AT,Parkki!$Y$13,AS!$K:$K,$X$31,AS!$F:$F,$V$29,AS!$L:$L,$V$30,AS!$AG:$AG,Parkki!$Y$9)</f>
        <v>0</v>
      </c>
      <c r="F59" s="422"/>
      <c r="G59" s="524"/>
      <c r="M59" s="525"/>
      <c r="O59" s="743" t="str">
        <f t="shared" si="12"/>
        <v/>
      </c>
      <c r="P59" s="742">
        <f>SUMIFS(AS!$W:$W,AS!$AB:$AB,"OK",AS!$AW:$AW,U59,AS!$X:$X,Parkki!$Y$5,AS!$H:$H,Parkki!$W$7,AS!$K:$K,Parkki!$Y$28,AS!AH:AH,"nuori",AS!$AG:$AG,Parkki!$Y$9)</f>
        <v>0</v>
      </c>
      <c r="Q59" s="742">
        <f>SUMIFS(JA!$Z:$Z,JA!$AE:$AE,"OK",JA!$AY:$AY,Parkki!$Y$5,JA!$AI:$AI,Parkki!$Y$5,JA!$N:$N,$U59,JA!$BA:$BA,1,JA!$AJ:$AJ,Parkki!$W$7,JA!$L:$L,$Y$28,JA!V:V,"nuori",JA!$M:$M,Parkki!$Y$9)</f>
        <v>0</v>
      </c>
      <c r="R59" s="742">
        <f>SUMIFS(JA!$Z:$Z,JA!$AE:$AE,"OK",JA!$AY:$AY,Parkki!$Y$5,JA!$AI:$AI,Parkki!$Y$5,JA!$N:$N,$U59,JA!$AJ:$AJ,Parkki!$W$7,JA!$L:$L,$Y$28,JA!V:V,"nuori",JA!$M:$M,Parkki!$Y$9)</f>
        <v>0</v>
      </c>
      <c r="S59">
        <f t="shared" si="13"/>
        <v>0</v>
      </c>
      <c r="T59" s="144">
        <v>7</v>
      </c>
      <c r="U59" s="744" t="str">
        <f t="shared" si="14"/>
        <v>ComboBox_EtKuntakoodi_00000001</v>
      </c>
      <c r="V59" s="148">
        <f>SUMIFS(AS!$W:$W,AS!$BO:$BO,$W$7,AS!$AB:$AB,AS!$AA$1,AS!$AV:$AV,$X$4,AS!$AH:$AH,$Y$8,AS!$BB:$BB,AS!$BA$1,AS!$AX:$AX,W59,AS!$AW:$AW,$Y$6,AS!$X:$X,$Y$5)</f>
        <v>0</v>
      </c>
      <c r="W59" s="385" t="s">
        <v>210</v>
      </c>
      <c r="X59" s="155" t="s">
        <v>1358</v>
      </c>
      <c r="AP59" s="685"/>
      <c r="AQ59" s="685"/>
      <c r="AR59" s="27"/>
      <c r="AS59" s="27"/>
    </row>
    <row r="60" spans="1:45" x14ac:dyDescent="0.25">
      <c r="A60" s="815"/>
      <c r="B60" s="518" t="s">
        <v>786</v>
      </c>
      <c r="C60" s="520">
        <f>SUMIFS(AS!W:W,AS!$BO:$BO,$W$7,AS!AB:AB,AS!$AA$1,AS!AG:AG,$X60,AS!$AV:$AV,$X$4,AS!$AW:$AW,$X$32,AS!$X:$X,$Y$5,AS!$AT:$AT,Parkki!$Y$13,AS!$K:$K,$X$31,AS!$F:$F,$V$29,AS!$L:$L,$V$30,AS!$AG:$AG,Parkki!$Y$9)</f>
        <v>0</v>
      </c>
      <c r="D60" s="520">
        <f>SUMIFS(AS!W:W,AS!$BO:$BO,$W$7,AS!AB:AB,AS!$AA$1,AS!AG:AG,$X60,AS!$AV:$AV,$X$4,AS!$AW:$AW,$X$32,AS!$X:$X,$Y$5,AS!I:I,$X$7,AS!$AT:$AT,Parkki!$Y$13,AS!$K:$K,$X$31,AS!$F:$F,$V$29,AS!$L:$L,$V$30,AS!$AG:$AG,Parkki!$Y$9)</f>
        <v>0</v>
      </c>
      <c r="E60" s="520">
        <f>SUMIFS(AS!W:W,AS!$BO:$BO,$W$7,AS!AB:AB,AS!$AA$1,AS!AG:AG,$X60,AS!$AV:$AV,$X$4,AS!$AW:$AW,$X$32,AS!$X:$X,$Y$5,AS!I:I,$Y$7,AS!$AT:$AT,Parkki!$Y$13,AS!$K:$K,$X$31,AS!$F:$F,$V$29,AS!$L:$L,$V$30,AS!$AG:$AG,Parkki!$Y$9)</f>
        <v>0</v>
      </c>
      <c r="F60" s="422"/>
      <c r="G60" s="524"/>
      <c r="M60" s="525"/>
      <c r="O60" s="743" t="str">
        <f t="shared" si="12"/>
        <v/>
      </c>
      <c r="P60" s="742">
        <f>SUMIFS(AS!$W:$W,AS!$AB:$AB,"OK",AS!$AW:$AW,U60,AS!$X:$X,Parkki!$Y$5,AS!$H:$H,Parkki!$W$7,AS!$K:$K,Parkki!$Y$28,AS!AH:AH,"nuori",AS!$AG:$AG,Parkki!$Y$9)</f>
        <v>0</v>
      </c>
      <c r="Q60" s="742">
        <f>SUMIFS(JA!$Z:$Z,JA!$AE:$AE,"OK",JA!$AY:$AY,Parkki!$Y$5,JA!$AI:$AI,Parkki!$Y$5,JA!$N:$N,$U60,JA!$BA:$BA,1,JA!$AJ:$AJ,Parkki!$W$7,JA!$L:$L,$Y$28,JA!V:V,"nuori",JA!$M:$M,Parkki!$Y$9)</f>
        <v>0</v>
      </c>
      <c r="R60" s="742">
        <f>SUMIFS(JA!$Z:$Z,JA!$AE:$AE,"OK",JA!$AY:$AY,Parkki!$Y$5,JA!$AI:$AI,Parkki!$Y$5,JA!$N:$N,$U60,JA!$AJ:$AJ,Parkki!$W$7,JA!$L:$L,$Y$28,JA!V:V,"nuori",JA!$M:$M,Parkki!$Y$9)</f>
        <v>0</v>
      </c>
      <c r="S60">
        <f t="shared" si="13"/>
        <v>0</v>
      </c>
      <c r="T60" s="144">
        <v>8</v>
      </c>
      <c r="U60" s="744" t="str">
        <f t="shared" si="14"/>
        <v>ComboBox_EtKuntakoodi_00000001</v>
      </c>
      <c r="V60" s="148">
        <f>SUMIFS(AS!$W:$W,AS!$BO:$BO,$W$7,AS!$AB:$AB,AS!$AA$1,AS!$AV:$AV,$X$4,AS!$AH:$AH,$Y$8,AS!$BB:$BB,AS!$BA$1,AS!$AX:$AX,W60,AS!$AW:$AW,$Y$6,AS!$X:$X,$Y$5)</f>
        <v>0</v>
      </c>
      <c r="W60" s="385" t="s">
        <v>958</v>
      </c>
      <c r="X60" s="155" t="s">
        <v>71</v>
      </c>
      <c r="Y60" s="513" t="s">
        <v>220</v>
      </c>
      <c r="AP60" s="685"/>
      <c r="AQ60" s="685"/>
      <c r="AR60" s="27"/>
      <c r="AS60" s="27"/>
    </row>
    <row r="61" spans="1:45" x14ac:dyDescent="0.25">
      <c r="A61" s="815"/>
      <c r="B61" s="518" t="s">
        <v>787</v>
      </c>
      <c r="C61" s="520">
        <f>SUMIFS(AS!W:W,AS!$BO:$BO,$W$7,AS!AB:AB,AS!$AA$1,AS!AG:AG,$X61,AS!$AV:$AV,$X$4,AS!$AW:$AW,$X$32,AS!$X:$X,$Y$5,AS!$AT:$AT,Parkki!$Y$13,AS!$K:$K,$X$31,AS!$F:$F,$V$29,AS!$L:$L,$V$30,AS!$AG:$AG,Parkki!$Y$9)</f>
        <v>0</v>
      </c>
      <c r="D61" s="520">
        <f>SUMIFS(AS!W:W,AS!$BO:$BO,$W$7,AS!AB:AB,AS!$AA$1,AS!AG:AG,$X61,AS!$AV:$AV,$X$4,AS!$AW:$AW,$X$32,AS!$X:$X,$Y$5,AS!I:I,$X$7,AS!$AT:$AT,Parkki!$Y$13,AS!$K:$K,$X$31,AS!$F:$F,$V$29,AS!$L:$L,$V$30,AS!$AG:$AG,Parkki!$Y$9)</f>
        <v>0</v>
      </c>
      <c r="E61" s="520">
        <f>SUMIFS(AS!W:W,AS!$BO:$BO,$W$7,AS!AB:AB,AS!$AA$1,AS!AG:AG,$X61,AS!$AV:$AV,$X$4,AS!$AW:$AW,$X$32,AS!$X:$X,$Y$5,AS!I:I,$Y$7,AS!$AT:$AT,Parkki!$Y$13,AS!$K:$K,$X$31,AS!$F:$F,$V$29,AS!$L:$L,$V$30,AS!$AG:$AG,Parkki!$Y$9)</f>
        <v>0</v>
      </c>
      <c r="F61" s="422"/>
      <c r="G61" s="524"/>
      <c r="M61" s="525"/>
      <c r="O61" s="743" t="str">
        <f t="shared" si="12"/>
        <v/>
      </c>
      <c r="P61" s="742">
        <f>SUMIFS(AS!$W:$W,AS!$AB:$AB,"OK",AS!$AW:$AW,U61,AS!$X:$X,Parkki!$Y$5,AS!$H:$H,Parkki!$W$7,AS!$K:$K,Parkki!$Y$28,AS!AH:AH,"nuori",AS!$AG:$AG,Parkki!$Y$9)</f>
        <v>0</v>
      </c>
      <c r="Q61" s="742">
        <f>SUMIFS(JA!$Z:$Z,JA!$AE:$AE,"OK",JA!$AY:$AY,Parkki!$Y$5,JA!$AI:$AI,Parkki!$Y$5,JA!$N:$N,$U61,JA!$BA:$BA,1,JA!$AJ:$AJ,Parkki!$W$7,JA!$L:$L,$Y$28,JA!V:V,"nuori",JA!$M:$M,Parkki!$Y$9)</f>
        <v>0</v>
      </c>
      <c r="R61" s="742">
        <f>SUMIFS(JA!$Z:$Z,JA!$AE:$AE,"OK",JA!$AY:$AY,Parkki!$Y$5,JA!$AI:$AI,Parkki!$Y$5,JA!$N:$N,$U61,JA!$AJ:$AJ,Parkki!$W$7,JA!$L:$L,$Y$28,JA!V:V,"nuori",JA!$M:$M,Parkki!$Y$9)</f>
        <v>0</v>
      </c>
      <c r="S61">
        <f t="shared" si="13"/>
        <v>0</v>
      </c>
      <c r="T61" s="144">
        <v>9</v>
      </c>
      <c r="U61" s="744" t="str">
        <f t="shared" si="14"/>
        <v>ComboBox_EtKuntakoodi_00000001</v>
      </c>
      <c r="V61" s="148">
        <f>SUMIFS(AS!$W:$W,AS!$BO:$BO,$W$7,AS!$AB:$AB,AS!$AA$1,AS!$AV:$AV,$X$4,AS!$AH:$AH,$Y$8,AS!$BB:$BB,AS!$BA$1,AS!$AW:$AW,$Y$6,AS!$X:$X,$Y$5)-V63</f>
        <v>0</v>
      </c>
      <c r="W61" s="385" t="s">
        <v>825</v>
      </c>
      <c r="X61" s="155" t="s">
        <v>74</v>
      </c>
      <c r="AP61" s="685"/>
      <c r="AQ61" s="685"/>
      <c r="AR61" s="27"/>
      <c r="AS61" s="27"/>
    </row>
    <row r="62" spans="1:45" x14ac:dyDescent="0.25">
      <c r="A62" s="815"/>
      <c r="B62" s="518" t="s">
        <v>2</v>
      </c>
      <c r="C62" s="520">
        <f>SUMIFS(AS!W:W,AS!$BO:$BO,$W$7,AS!AB:AB,AS!$AA$1,AS!AG:AG,$X62,AS!$AV:$AV,$X$4,AS!$AW:$AW,$X$32,AS!$X:$X,$Y$5,AS!$AT:$AT,Parkki!$Y$13,AS!$K:$K,$X$31,AS!$F:$F,$V$29,AS!$L:$L,$V$30,AS!$AG:$AG,Parkki!$Y$9)+V66</f>
        <v>0</v>
      </c>
      <c r="D62" s="520">
        <f>SUMIFS(AS!W:W,AS!$BO:$BO,$W$7,AS!AB:AB,AS!$AA$1,AS!AG:AG,$X62,AS!$AV:$AV,$X$4,AS!$AW:$AW,$X$32,AS!$X:$X,$Y$5,AS!I:I,$X$7,AS!$AT:$AT,Parkki!$Y$13,AS!$K:$K,$X$31,AS!$F:$F,$V$29,AS!$L:$L,$V$30,AS!$AG:$AG,Parkki!$Y$9)+W66</f>
        <v>0</v>
      </c>
      <c r="E62" s="520">
        <f>SUMIFS(AS!W:W,AS!$BO:$BO,$W$7,AS!AB:AB,AS!$AA$1,AS!AG:AG,$X62,AS!$AV:$AV,$X$4,AS!$AW:$AW,$X$32,AS!$X:$X,$Y$5,AS!I:I,$Y$7,AS!$AT:$AT,Parkki!$Y$13,AS!$K:$K,$X$31,AS!$F:$F,$V$29,AS!$L:$L,$V$30,AS!$AG:$AG,Parkki!$Y$9)+X66</f>
        <v>0</v>
      </c>
      <c r="F62" s="422"/>
      <c r="G62" s="524"/>
      <c r="M62" s="525"/>
      <c r="O62" s="743" t="str">
        <f t="shared" si="12"/>
        <v/>
      </c>
      <c r="P62" s="742">
        <f>SUMIFS(AS!$W:$W,AS!$AB:$AB,"OK",AS!$AW:$AW,U62,AS!$X:$X,Parkki!$Y$5,AS!$H:$H,Parkki!$W$7,AS!$K:$K,Parkki!$Y$28,AS!AH:AH,"nuori",AS!$AG:$AG,Parkki!$Y$9)</f>
        <v>0</v>
      </c>
      <c r="Q62" s="742">
        <f>SUMIFS(JA!$Z:$Z,JA!$AE:$AE,"OK",JA!$AY:$AY,Parkki!$Y$5,JA!$AI:$AI,Parkki!$Y$5,JA!$N:$N,$U62,JA!$BA:$BA,1,JA!$AJ:$AJ,Parkki!$W$7,JA!$L:$L,$Y$28,JA!V:V,"nuori",JA!$M:$M,Parkki!$Y$9)</f>
        <v>0</v>
      </c>
      <c r="R62" s="742">
        <f>SUMIFS(JA!$Z:$Z,JA!$AE:$AE,"OK",JA!$AY:$AY,Parkki!$Y$5,JA!$AI:$AI,Parkki!$Y$5,JA!$N:$N,$U62,JA!$AJ:$AJ,Parkki!$W$7,JA!$L:$L,$Y$28,JA!V:V,"nuori",JA!$M:$M,Parkki!$Y$9)</f>
        <v>0</v>
      </c>
      <c r="S62">
        <f t="shared" si="13"/>
        <v>0</v>
      </c>
      <c r="T62" s="144">
        <v>10</v>
      </c>
      <c r="U62" s="744" t="str">
        <f t="shared" si="14"/>
        <v>ComboBox_EtKuntakoodi_00000001</v>
      </c>
      <c r="V62" s="376">
        <f>SUM(V57:V61)</f>
        <v>0</v>
      </c>
      <c r="W62" s="385"/>
      <c r="X62" s="28" t="s">
        <v>498</v>
      </c>
      <c r="AP62" s="685"/>
      <c r="AQ62" s="685"/>
      <c r="AR62" s="27"/>
      <c r="AS62" s="27"/>
    </row>
    <row r="63" spans="1:45" x14ac:dyDescent="0.25">
      <c r="A63" s="815"/>
      <c r="B63" s="519" t="s">
        <v>93</v>
      </c>
      <c r="C63" s="619">
        <f>SUM(C57:C62)</f>
        <v>0</v>
      </c>
      <c r="D63" s="519">
        <f>SUM(D57:D62)</f>
        <v>0</v>
      </c>
      <c r="E63" s="519">
        <f>SUM(E57:E62)</f>
        <v>0</v>
      </c>
      <c r="F63" s="422"/>
      <c r="G63" s="524"/>
      <c r="M63" s="525"/>
      <c r="O63" s="743" t="str">
        <f t="shared" si="12"/>
        <v/>
      </c>
      <c r="P63" s="742">
        <f>SUMIFS(AS!$W:$W,AS!$AB:$AB,"OK",AS!$AW:$AW,U63,AS!$X:$X,Parkki!$Y$5,AS!$H:$H,Parkki!$W$7,AS!$K:$K,Parkki!$Y$28,AS!AH:AH,"nuori",AS!$AG:$AG,Parkki!$Y$9)</f>
        <v>0</v>
      </c>
      <c r="Q63" s="742">
        <f>SUMIFS(JA!$Z:$Z,JA!$AE:$AE,"OK",JA!$AY:$AY,Parkki!$Y$5,JA!$AI:$AI,Parkki!$Y$5,JA!$N:$N,$U63,JA!$BA:$BA,1,JA!$AJ:$AJ,Parkki!$W$7,JA!$L:$L,$Y$28,JA!V:V,"nuori",JA!$M:$M,Parkki!$Y$9)</f>
        <v>0</v>
      </c>
      <c r="R63" s="742">
        <f>SUMIFS(JA!$Z:$Z,JA!$AE:$AE,"OK",JA!$AY:$AY,Parkki!$Y$5,JA!$AI:$AI,Parkki!$Y$5,JA!$N:$N,$U63,JA!$AJ:$AJ,Parkki!$W$7,JA!$L:$L,$Y$28,JA!V:V,"nuori",JA!$M:$M,Parkki!$Y$9)</f>
        <v>0</v>
      </c>
      <c r="S63">
        <f t="shared" si="13"/>
        <v>0</v>
      </c>
      <c r="T63" s="144">
        <v>11</v>
      </c>
      <c r="U63" s="744" t="str">
        <f t="shared" si="14"/>
        <v>ComboBox_EtKuntakoodi_00000001</v>
      </c>
      <c r="V63" s="380">
        <f>SUM(V58:V60)</f>
        <v>0</v>
      </c>
      <c r="X63" s="27"/>
      <c r="AP63" s="685"/>
      <c r="AQ63" s="685"/>
      <c r="AR63" s="27"/>
      <c r="AS63" s="27"/>
    </row>
    <row r="64" spans="1:45" x14ac:dyDescent="0.25">
      <c r="B64" s="518" t="s">
        <v>789</v>
      </c>
      <c r="C64" s="520">
        <f>SUMIFS(AS!W:W,AS!$BO:$BO,$W$7,AS!AB:AB,AS!$AA$1,AS!AG:AG,$X64,AS!$AV:$AV,$X$4,AS!$AW:$AW,$X$32,AS!$X:$X,$Y$5,AS!$AT:$AT,Parkki!$Y$13,AS!$K:$K,$X$31,AS!$F:$F,$V$29,AS!$L:$L,$V$30,AS!$AG:$AG,Parkki!$Y$9)</f>
        <v>0</v>
      </c>
      <c r="D64" s="520">
        <f>SUMIFS(AS!W:W,AS!$BO:$BO,$W$7,AS!AB:AB,AS!$AA$1,AS!AG:AG,$X64,AS!$AV:$AV,$X$4,AS!$AW:$AW,$X$32,AS!$X:$X,$Y$5,AS!I:I,$X$7,AS!$AT:$AT,Parkki!$Y$13,AS!$K:$K,$X$31,AS!$F:$F,$V$29,AS!$L:$L,$V$30,AS!$AG:$AG,Parkki!$Y$9)</f>
        <v>0</v>
      </c>
      <c r="E64" s="520">
        <f>SUMIFS(AS!W:W,AS!$BO:$BO,$W$7,AS!AB:AB,AS!$AA$1,AS!AG:AG,$X64,AS!$AV:$AV,$X$4,AS!$AW:$AW,$X$32,AS!$X:$X,$Y$5,AS!I:I,$Y$7,AS!$AT:$AT,Parkki!$Y$13,AS!$K:$K,$X$31,AS!$F:$F,$V$29,AS!$L:$L,$V$30,AS!$AG:$AG,Parkki!$Y$9)</f>
        <v>0</v>
      </c>
      <c r="F64" s="423"/>
      <c r="G64" s="524"/>
      <c r="M64" s="525"/>
      <c r="O64" s="743" t="str">
        <f t="shared" si="12"/>
        <v/>
      </c>
      <c r="P64" s="742">
        <f>SUMIFS(AS!$W:$W,AS!$AB:$AB,"OK",AS!$AW:$AW,U64,AS!$X:$X,Parkki!$Y$5,AS!$H:$H,Parkki!$W$7,AS!$K:$K,Parkki!$Y$28,AS!AH:AH,"nuori",AS!$AG:$AG,Parkki!$Y$9)</f>
        <v>0</v>
      </c>
      <c r="Q64" s="742">
        <f>SUMIFS(JA!$Z:$Z,JA!$AE:$AE,"OK",JA!$AY:$AY,Parkki!$Y$5,JA!$AI:$AI,Parkki!$Y$5,JA!$N:$N,$U64,JA!$BA:$BA,1,JA!$AJ:$AJ,Parkki!$W$7,JA!$L:$L,$Y$28,JA!V:V,"nuori",JA!$M:$M,Parkki!$Y$9)</f>
        <v>0</v>
      </c>
      <c r="R64" s="742">
        <f>SUMIFS(JA!$Z:$Z,JA!$AE:$AE,"OK",JA!$AY:$AY,Parkki!$Y$5,JA!$AI:$AI,Parkki!$Y$5,JA!$N:$N,$U64,JA!$AJ:$AJ,Parkki!$W$7,JA!$L:$L,$Y$28,JA!V:V,"nuori",JA!$M:$M,Parkki!$Y$9)</f>
        <v>0</v>
      </c>
      <c r="S64">
        <f t="shared" si="13"/>
        <v>0</v>
      </c>
      <c r="T64" s="144">
        <v>12</v>
      </c>
      <c r="U64" s="744" t="str">
        <f t="shared" si="14"/>
        <v>ComboBox_EtKuntakoodi_00000001</v>
      </c>
      <c r="X64" s="28" t="s">
        <v>499</v>
      </c>
      <c r="AP64" s="685"/>
      <c r="AQ64" s="685"/>
      <c r="AR64" s="27"/>
      <c r="AS64" s="27"/>
    </row>
    <row r="65" spans="1:45" x14ac:dyDescent="0.25">
      <c r="B65" s="553" t="str">
        <f>"*mmiehistä muun sukupuolisia (N: "&amp;$W$20&amp;")"</f>
        <v>*mmiehistä muun sukupuolisia (N: 0)</v>
      </c>
      <c r="G65" s="524"/>
      <c r="M65" s="525"/>
      <c r="O65" s="743" t="str">
        <f t="shared" si="12"/>
        <v/>
      </c>
      <c r="P65" s="742">
        <f>SUMIFS(AS!$W:$W,AS!$AB:$AB,"OK",AS!$AW:$AW,U65,AS!$X:$X,Parkki!$Y$5,AS!$H:$H,Parkki!$W$7,AS!$K:$K,Parkki!$Y$28,AS!AH:AH,"nuori",AS!$AG:$AG,Parkki!$Y$9)</f>
        <v>0</v>
      </c>
      <c r="Q65" s="742">
        <f>SUMIFS(JA!$Z:$Z,JA!$AE:$AE,"OK",JA!$AY:$AY,Parkki!$Y$5,JA!$AI:$AI,Parkki!$Y$5,JA!$N:$N,$U65,JA!$BA:$BA,1,JA!$AJ:$AJ,Parkki!$W$7,JA!$L:$L,$Y$28,JA!V:V,"nuori",JA!$M:$M,Parkki!$Y$9)</f>
        <v>0</v>
      </c>
      <c r="R65" s="742">
        <f>SUMIFS(JA!$Z:$Z,JA!$AE:$AE,"OK",JA!$AY:$AY,Parkki!$Y$5,JA!$AI:$AI,Parkki!$Y$5,JA!$N:$N,$U65,JA!$AJ:$AJ,Parkki!$W$7,JA!$L:$L,$Y$28,JA!V:V,"nuori",JA!$M:$M,Parkki!$Y$9)</f>
        <v>0</v>
      </c>
      <c r="S65">
        <f t="shared" si="13"/>
        <v>0</v>
      </c>
      <c r="T65" s="144">
        <v>13</v>
      </c>
      <c r="U65" s="744" t="str">
        <f t="shared" si="14"/>
        <v>ComboBox_EtKuntakoodi_00000001</v>
      </c>
      <c r="V65" s="484" t="s">
        <v>1503</v>
      </c>
      <c r="AP65" s="685"/>
      <c r="AQ65" s="685"/>
      <c r="AR65" s="27"/>
      <c r="AS65" s="27"/>
    </row>
    <row r="66" spans="1:45" ht="29.25" customHeight="1" x14ac:dyDescent="0.25">
      <c r="B66" s="786" t="str">
        <f>"Aktiiviset ja päättyneet kontaktit "&amp;Y12&amp;X10&amp;U8&amp;X15</f>
        <v>Aktiiviset ja päättyneet kontaktit - KAIKKI: 01.01.2025-30.04.2025 (Kaikki yksiköt / perustiedoista, Kaikki kunnat / perustiedoista, Ikäluokka: Kaikki)</v>
      </c>
      <c r="C66" s="786"/>
      <c r="D66" s="786"/>
      <c r="E66" s="786"/>
      <c r="F66" s="423"/>
      <c r="M66" s="525"/>
      <c r="O66" s="743" t="str">
        <f t="shared" si="12"/>
        <v/>
      </c>
      <c r="P66" s="742">
        <f>SUMIFS(AS!$W:$W,AS!$AB:$AB,"OK",AS!$AW:$AW,U66,AS!$X:$X,Parkki!$Y$5,AS!$H:$H,Parkki!$W$7,AS!$K:$K,Parkki!$Y$28,AS!AH:AH,"nuori",AS!$AG:$AG,Parkki!$Y$9)</f>
        <v>0</v>
      </c>
      <c r="Q66" s="742">
        <f>SUMIFS(JA!$Z:$Z,JA!$AE:$AE,"OK",JA!$AY:$AY,Parkki!$Y$5,JA!$AI:$AI,Parkki!$Y$5,JA!$N:$N,$U66,JA!$BA:$BA,1,JA!$AJ:$AJ,Parkki!$W$7,JA!$L:$L,$Y$28,JA!V:V,"nuori",JA!$M:$M,Parkki!$Y$9)</f>
        <v>0</v>
      </c>
      <c r="R66" s="742">
        <f>SUMIFS(JA!$Z:$Z,JA!$AE:$AE,"OK",JA!$AY:$AY,Parkki!$Y$5,JA!$AI:$AI,Parkki!$Y$5,JA!$N:$N,$U66,JA!$AJ:$AJ,Parkki!$W$7,JA!$L:$L,$Y$28,JA!V:V,"nuori",JA!$M:$M,Parkki!$Y$9)</f>
        <v>0</v>
      </c>
      <c r="S66">
        <f t="shared" si="13"/>
        <v>0</v>
      </c>
      <c r="T66" s="144">
        <v>14</v>
      </c>
      <c r="U66" s="744" t="str">
        <f t="shared" si="14"/>
        <v>ComboBox_EtKuntakoodi_00000001</v>
      </c>
      <c r="V66" s="9">
        <f>SUMIFS(AS!W:W,AS!$BO:$BO,$W$7,AS!AB:AB,AS!$AA$1,AS!AG:AG,$V65,AS!$AV:$AV,$X$4,AS!$AW:$AW,$X$32,AS!$X:$X,$Y$5,AS!$AT:$AT,Parkki!$Y$13,AS!$K:$K,$X$31,AS!$F:$F,$V$29,AS!$L:$L,$V$30,AS!$AG:$AG,Parkki!$Y$9)</f>
        <v>0</v>
      </c>
      <c r="W66" s="9">
        <f>SUMIFS(AS!W:W,AS!$BO:$BO,$W$7,AS!AB:AB,AS!$AA$1,AS!AG:AG,$V65,AS!$AV:$AV,$X$4,AS!$AW:$AW,$X$32,AS!$X:$X,$Y$5,AS!I:I,$X$7,AS!$AT:$AT,Parkki!$Y$13,AS!$K:$K,$X$31,AS!$F:$F,$V$29,AS!$L:$L,$V$30,AS!$AG:$AG,Parkki!$Y$9)</f>
        <v>0</v>
      </c>
      <c r="X66" s="9">
        <f>SUMIFS(AS!W:W,AS!$BO:$BO,$W$7,AS!AB:AB,AS!$AA$1,AS!AG:AG,$V65,AS!$AV:$AV,$X$4,AS!$AW:$AW,$X$32,AS!$X:$X,$Y$5,AS!I:I,$Y$7,AS!$AT:$AT,Parkki!$Y$13,AS!$K:$K,$X$31,AS!$F:$F,$V$29,AS!$L:$L,$V$30,AS!$AG:$AG,Parkki!$Y$9)</f>
        <v>0</v>
      </c>
      <c r="AP66" s="685"/>
      <c r="AQ66" s="685"/>
      <c r="AR66" s="27"/>
      <c r="AS66" s="27"/>
    </row>
    <row r="67" spans="1:45" ht="25.5" x14ac:dyDescent="0.25">
      <c r="B67" s="518"/>
      <c r="C67" s="521" t="s">
        <v>114</v>
      </c>
      <c r="D67" s="521" t="s">
        <v>132</v>
      </c>
      <c r="E67" s="522" t="s">
        <v>1162</v>
      </c>
      <c r="F67" s="423"/>
      <c r="G67" s="524"/>
      <c r="M67" s="525"/>
      <c r="O67" s="743" t="str">
        <f t="shared" si="12"/>
        <v/>
      </c>
      <c r="P67" s="742">
        <f>SUMIFS(AS!$W:$W,AS!$AB:$AB,"OK",AS!$AW:$AW,U67,AS!$X:$X,Parkki!$Y$5,AS!$H:$H,Parkki!$W$7,AS!$K:$K,Parkki!$Y$28,AS!AH:AH,"nuori",AS!$AG:$AG,Parkki!$Y$9)</f>
        <v>0</v>
      </c>
      <c r="Q67" s="742">
        <f>SUMIFS(JA!$Z:$Z,JA!$AE:$AE,"OK",JA!$AY:$AY,Parkki!$Y$5,JA!$AI:$AI,Parkki!$Y$5,JA!$N:$N,$U67,JA!$BA:$BA,1,JA!$AJ:$AJ,Parkki!$W$7,JA!$L:$L,$Y$28,JA!V:V,"nuori",JA!$M:$M,Parkki!$Y$9)</f>
        <v>0</v>
      </c>
      <c r="R67" s="742">
        <f>SUMIFS(JA!$Z:$Z,JA!$AE:$AE,"OK",JA!$AY:$AY,Parkki!$Y$5,JA!$AI:$AI,Parkki!$Y$5,JA!$N:$N,$U67,JA!$AJ:$AJ,Parkki!$W$7,JA!$L:$L,$Y$28,JA!V:V,"nuori",JA!$M:$M,Parkki!$Y$9)</f>
        <v>0</v>
      </c>
      <c r="S67">
        <f t="shared" si="13"/>
        <v>0</v>
      </c>
      <c r="T67" s="144">
        <v>15</v>
      </c>
      <c r="U67" s="744" t="str">
        <f t="shared" si="14"/>
        <v>ComboBox_EtKuntakoodi_00000001</v>
      </c>
      <c r="AP67" s="685"/>
      <c r="AQ67" s="685"/>
      <c r="AR67" s="27"/>
      <c r="AS67" s="27"/>
    </row>
    <row r="68" spans="1:45" x14ac:dyDescent="0.25">
      <c r="B68" s="518" t="s">
        <v>820</v>
      </c>
      <c r="C68" s="520">
        <f>IFERROR(C63-SUM(C69:C72,AS!$K:$K,$X$31,AS!$F:$F,$V$29,AS!$L:$L,$V$30,AS!$AG:$AG,Parkki!$Y$9),"")</f>
        <v>0</v>
      </c>
      <c r="D68" s="520">
        <f>IFERROR(D63-SUM(D69:D72,AS!$K:$K,$X$31,AS!$F:$F,$V$29,AS!$L:$L,$V$30,AS!$AG:$AG,Parkki!$Y$9),"")</f>
        <v>0</v>
      </c>
      <c r="E68" s="520">
        <f>IFERROR(E63-SUM(E69:E72,AS!$K:$K,$X$31,AS!$F:$F,$V$29,AS!$L:$L,$V$30,AS!$AG:$AG,Parkki!$Y$9),"")</f>
        <v>0</v>
      </c>
      <c r="F68" s="423"/>
      <c r="G68" s="524"/>
      <c r="M68" s="525"/>
      <c r="O68" s="743" t="str">
        <f t="shared" si="12"/>
        <v/>
      </c>
      <c r="P68" s="742">
        <f>SUMIFS(AS!$W:$W,AS!$AB:$AB,"OK",AS!$AW:$AW,U68,AS!$X:$X,Parkki!$Y$5,AS!$H:$H,Parkki!$W$7,AS!$K:$K,Parkki!$Y$28,AS!AH:AH,"nuori",AS!$AG:$AG,Parkki!$Y$9)</f>
        <v>0</v>
      </c>
      <c r="Q68" s="742">
        <f>SUMIFS(JA!$Z:$Z,JA!$AE:$AE,"OK",JA!$AY:$AY,Parkki!$Y$5,JA!$AI:$AI,Parkki!$Y$5,JA!$N:$N,$U68,JA!$BA:$BA,1,JA!$AJ:$AJ,Parkki!$W$7,JA!$L:$L,$Y$28,JA!V:V,"nuori",JA!$M:$M,Parkki!$Y$9)</f>
        <v>0</v>
      </c>
      <c r="R68" s="742">
        <f>SUMIFS(JA!$Z:$Z,JA!$AE:$AE,"OK",JA!$AY:$AY,Parkki!$Y$5,JA!$AI:$AI,Parkki!$Y$5,JA!$N:$N,$U68,JA!$AJ:$AJ,Parkki!$W$7,JA!$L:$L,$Y$28,JA!V:V,"nuori",JA!$M:$M,Parkki!$Y$9)</f>
        <v>0</v>
      </c>
      <c r="S68">
        <f t="shared" si="13"/>
        <v>0</v>
      </c>
      <c r="T68" s="144">
        <v>16</v>
      </c>
      <c r="U68" s="744" t="str">
        <f t="shared" si="14"/>
        <v>ComboBox_EtKuntakoodi_00000001</v>
      </c>
      <c r="AP68" s="685"/>
      <c r="AQ68" s="685"/>
      <c r="AR68" s="27"/>
      <c r="AS68" s="27"/>
    </row>
    <row r="69" spans="1:45" x14ac:dyDescent="0.25">
      <c r="B69" s="518" t="s">
        <v>821</v>
      </c>
      <c r="C69" s="520">
        <f>SUMIFS(AS!$W:$W,AS!$BO:$BO,$W$7,AS!$AB:$AB,AS!$AA$1,AS!$AV:$AV,$X$4,AS!$AH:$AH,$X$8,AS!$BB:$BB,AS!$BA$1,AS!$AX:$AX,W58,AS!$AW:$AW,$X$32,AS!$X:$X,$Y$5,AS!$AT:$AT,Parkki!$Y$13,AS!$K:$K,$X$31,AS!$F:$F,$V$29,AS!$L:$L,$V$30,AS!$AG:$AG,Parkki!$Y$9)</f>
        <v>0</v>
      </c>
      <c r="D69" s="520">
        <f>SUMIFS(AS!$W:$W,AS!$BO:$BO,$W$7,AS!$AB:$AB,AS!$AA$1,AS!$AV:$AV,$X$4,AS!$I:$I,$X$7,AS!$AH:$AH,$X$8,AS!$BB:$BB,AS!$BA$1,AS!$AX:$AX,W58,AS!$AW:$AW,$X$32,AS!$X:$X,$Y$5,AS!$AT:$AT,Parkki!$Y$13,AS!$K:$K,$X$31,AS!$F:$F,$V$29,AS!$L:$L,$V$30,AS!$AG:$AG,Parkki!$Y$9)</f>
        <v>0</v>
      </c>
      <c r="E69" s="520">
        <f>SUMIFS(AS!$W:$W,AS!$BO:$BO,$W$7,AS!$AB:$AB,AS!$AA$1,AS!$AV:$AV,$X$4,AS!$I:$I,$Y$7,AS!$AH:$AH,$X$8,AS!$BB:$BB,AS!$BA$1,AS!$AX:$AX,W58,AS!$AW:$AW,$X$32,AS!$X:$X,$Y$5,AS!$AT:$AT,Parkki!$Y$13,AS!$K:$K,$X$31,AS!$F:$F,$V$29,AS!$L:$L,$V$30,AS!$AG:$AG,Parkki!$Y$9)</f>
        <v>0</v>
      </c>
      <c r="F69" s="423"/>
      <c r="G69" s="524"/>
      <c r="M69" s="525"/>
      <c r="O69" s="743" t="str">
        <f t="shared" si="12"/>
        <v/>
      </c>
      <c r="P69" s="742">
        <f>SUMIFS(AS!$W:$W,AS!$AB:$AB,"OK",AS!$AW:$AW,U69,AS!$X:$X,Parkki!$Y$5,AS!$H:$H,Parkki!$W$7,AS!$K:$K,Parkki!$Y$28,AS!AH:AH,"nuori",AS!$AG:$AG,Parkki!$Y$9)</f>
        <v>0</v>
      </c>
      <c r="Q69" s="742">
        <f>SUMIFS(JA!$Z:$Z,JA!$AE:$AE,"OK",JA!$AY:$AY,Parkki!$Y$5,JA!$AI:$AI,Parkki!$Y$5,JA!$N:$N,$U69,JA!$BA:$BA,1,JA!$AJ:$AJ,Parkki!$W$7,JA!$L:$L,$Y$28,JA!V:V,"nuori",JA!$M:$M,Parkki!$Y$9)</f>
        <v>0</v>
      </c>
      <c r="R69" s="742">
        <f>SUMIFS(JA!$Z:$Z,JA!$AE:$AE,"OK",JA!$AY:$AY,Parkki!$Y$5,JA!$AI:$AI,Parkki!$Y$5,JA!$N:$N,$U69,JA!$AJ:$AJ,Parkki!$W$7,JA!$L:$L,$Y$28,JA!V:V,"nuori",JA!$M:$M,Parkki!$Y$9)</f>
        <v>0</v>
      </c>
      <c r="S69">
        <f t="shared" si="13"/>
        <v>0</v>
      </c>
      <c r="T69" s="144">
        <v>17</v>
      </c>
      <c r="U69" s="744" t="str">
        <f t="shared" si="14"/>
        <v>ComboBox_EtKuntakoodi_00000001</v>
      </c>
      <c r="AP69" s="685"/>
      <c r="AQ69" s="685"/>
      <c r="AR69" s="27"/>
      <c r="AS69" s="27"/>
    </row>
    <row r="70" spans="1:45" x14ac:dyDescent="0.25">
      <c r="B70" s="518" t="s">
        <v>822</v>
      </c>
      <c r="C70" s="520">
        <f>SUMIFS(AS!$W:$W,AS!$BO:$BO,$W$7,AS!$AB:$AB,AS!$AA$1,AS!$AV:$AV,$X$4,AS!$AH:$AH,$X$8,AS!$BB:$BB,AS!$BA$1,AS!$AX:$AX,W59,AS!$AW:$AW,$X$32,AS!$X:$X,$Y$5,AS!$AT:$AT,Parkki!$Y$13,AS!$K:$K,$X$31,AS!$F:$F,$V$29,AS!$L:$L,$V$30,AS!$AG:$AG,Parkki!$Y$9)</f>
        <v>0</v>
      </c>
      <c r="D70" s="520">
        <f>SUMIFS(AS!$W:$W,AS!$BO:$BO,$W$7,AS!$AB:$AB,AS!$AA$1,AS!$AV:$AV,$X$4,AS!$I:$I,$X$7,AS!$AH:$AH,$X$8,AS!$BB:$BB,AS!$BA$1,AS!$AX:$AX,W59,AS!$AW:$AW,$X$32,AS!$X:$X,$Y$5,AS!$AT:$AT,Parkki!$Y$13,AS!$K:$K,$X$31,AS!$F:$F,$V$29,AS!$L:$L,$V$30,AS!$AG:$AG,Parkki!$Y$9)</f>
        <v>0</v>
      </c>
      <c r="E70" s="520">
        <f>SUMIFS(AS!$W:$W,AS!$BO:$BO,$W$7,AS!$AB:$AB,AS!$AA$1,AS!$AV:$AV,$X$4,AS!$I:$I,$Y$7,AS!$AH:$AH,$X$8,AS!$BB:$BB,AS!$BA$1,AS!$AX:$AX,W59,AS!$AW:$AW,$X$32,AS!$X:$X,$Y$5,AS!$AT:$AT,Parkki!$Y$13,AS!$K:$K,$X$31,AS!$F:$F,$V$29,AS!$L:$L,$V$30,AS!$AG:$AG,Parkki!$Y$9)</f>
        <v>0</v>
      </c>
      <c r="F70" s="423"/>
      <c r="G70" s="524"/>
      <c r="M70" s="525"/>
      <c r="O70" s="743" t="str">
        <f t="shared" si="12"/>
        <v/>
      </c>
      <c r="P70" s="742">
        <f>SUMIFS(AS!$W:$W,AS!$AB:$AB,"OK",AS!$AW:$AW,U70,AS!$X:$X,Parkki!$Y$5,AS!$H:$H,Parkki!$W$7,AS!$K:$K,Parkki!$Y$28,AS!AH:AH,"nuori",AS!$AG:$AG,Parkki!$Y$9)</f>
        <v>0</v>
      </c>
      <c r="Q70" s="742">
        <f>SUMIFS(JA!$Z:$Z,JA!$AE:$AE,"OK",JA!$AY:$AY,Parkki!$Y$5,JA!$AI:$AI,Parkki!$Y$5,JA!$N:$N,$U70,JA!$BA:$BA,1,JA!$AJ:$AJ,Parkki!$W$7,JA!$L:$L,$Y$28,JA!V:V,"nuori",JA!$M:$M,Parkki!$Y$9)</f>
        <v>0</v>
      </c>
      <c r="R70" s="742">
        <f>SUMIFS(JA!$Z:$Z,JA!$AE:$AE,"OK",JA!$AY:$AY,Parkki!$Y$5,JA!$AI:$AI,Parkki!$Y$5,JA!$N:$N,$U70,JA!$AJ:$AJ,Parkki!$W$7,JA!$L:$L,$Y$28,JA!V:V,"nuori",JA!$M:$M,Parkki!$Y$9)</f>
        <v>0</v>
      </c>
      <c r="S70">
        <f t="shared" si="13"/>
        <v>0</v>
      </c>
      <c r="T70" s="144">
        <v>18</v>
      </c>
      <c r="U70" s="744" t="str">
        <f t="shared" si="14"/>
        <v>ComboBox_EtKuntakoodi_00000001</v>
      </c>
      <c r="AP70" s="685"/>
      <c r="AQ70" s="685"/>
      <c r="AR70" s="27"/>
      <c r="AS70" s="27"/>
    </row>
    <row r="71" spans="1:45" x14ac:dyDescent="0.25">
      <c r="B71" s="518" t="s">
        <v>959</v>
      </c>
      <c r="C71" s="520">
        <f>SUMIFS(AS!$W:$W,AS!$BO:$BO,$W$7,AS!$AB:$AB,AS!$AA$1,AS!$AV:$AV,$X$4,AS!$AH:$AH,$X$8,AS!$BB:$BB,AS!$BA$1,AS!$AX:$AX,Y60,AS!$AW:$AW,$X$32,AS!$X:$X,$Y$5,AS!$AT:$AT,Parkki!$Y$13,AS!$K:$K,$X$31,AS!$F:$F,$V$29,AS!$L:$L,$V$30,AS!$AG:$AG,Parkki!$Y$9)+SUMIFS(AS!$W:$W,AS!$BO:$BO,$W$7,AS!$AB:$AB,AS!$AA$1,AS!$AV:$AV,$X$4,AS!$AH:$AH,$X$8,AS!$BB:$BB,AS!$BA$1,AS!$AX:$AX,W60,AS!$AW:$AW,$X$32,AS!$X:$X,$Y$5,AS!$AT:$AT,Parkki!$Y$13,AS!$K:$K,$X$31,AS!$F:$F,$V$29,AS!$L:$L,$V$30,AS!$AG:$AG,Parkki!$Y$9)</f>
        <v>0</v>
      </c>
      <c r="D71" s="520">
        <f>SUMIFS(AS!$W:$W,AS!$BO:$BO,$W$7,AS!$AB:$AB,AS!$AA$1,AS!$AV:$AV,$X$4,AS!$I:$I,$X$7,AS!$AH:$AH,$X$8,AS!$BB:$BB,AS!$BA$1,AS!$AX:$AX,Y60,AS!$AW:$AW,$X$32,AS!$X:$X,$Y$5,AS!$AT:$AT,Parkki!$Y$13,AS!$K:$K,$X$31,AS!$F:$F,$V$29,AS!$L:$L,$V$30,AS!$AG:$AG,Parkki!$Y$9)+SUMIFS(AS!$W:$W,AS!$BO:$BO,$W$7,AS!$AB:$AB,AS!$AA$1,AS!$AV:$AV,$X$4,AS!$I:$I,$X$7,AS!$AH:$AH,$X$8,AS!$BB:$BB,AS!$BA$1,AS!$AX:$AX,W60,AS!$AW:$AW,$X$32,AS!$X:$X,$Y$5,AS!$AT:$AT,Parkki!$Y$13,AS!$K:$K,$X$31,AS!$F:$F,$V$29,AS!$L:$L,$V$30,AS!$AG:$AG,Parkki!$Y$9)</f>
        <v>0</v>
      </c>
      <c r="E71" s="520">
        <f>SUMIFS(AS!$W:$W,AS!$BO:$BO,$W$7,AS!$AB:$AB,AS!$AA$1,AS!$AV:$AV,$X$4,AS!$I:$I,$Y$7,AS!$AH:$AH,$X$8,AS!$BB:$BB,AS!$BA$1,AS!$AX:$AX,Y60,AS!$AW:$AW,$X$32,AS!$X:$X,$Y$5,AS!$AT:$AT,Parkki!$Y$13,AS!$K:$K,$X$31,AS!$F:$F,$V$29,AS!$L:$L,$V$30,AS!$AG:$AG,Parkki!$Y$9)+SUMIFS(AS!$W:$W,AS!$BO:$BO,$W$7,AS!$AB:$AB,AS!$AA$1,AS!$AV:$AV,$X$4,AS!$I:$I,$Y$7,AS!$AH:$AH,$X$8,AS!$BB:$BB,AS!$BA$1,AS!$AX:$AX,W60,AS!$AW:$AW,$X$32,AS!$X:$X,$Y$5,AS!$AT:$AT,Parkki!$Y$13,AS!$K:$K,$X$31,AS!$F:$F,$V$29,AS!$L:$L,$V$30,AS!$AG:$AG,Parkki!$Y$9)</f>
        <v>0</v>
      </c>
      <c r="F71" s="423"/>
      <c r="G71" s="524"/>
      <c r="M71" s="525"/>
      <c r="O71" s="743" t="str">
        <f t="shared" si="12"/>
        <v/>
      </c>
      <c r="P71" s="742">
        <f>SUMIFS(AS!$W:$W,AS!$AB:$AB,"OK",AS!$AW:$AW,U71,AS!$X:$X,Parkki!$Y$5,AS!$H:$H,Parkki!$W$7,AS!$K:$K,Parkki!$Y$28,AS!AH:AH,"nuori",AS!$AG:$AG,Parkki!$Y$9)</f>
        <v>0</v>
      </c>
      <c r="Q71" s="742">
        <f>SUMIFS(JA!$Z:$Z,JA!$AE:$AE,"OK",JA!$AY:$AY,Parkki!$Y$5,JA!$AI:$AI,Parkki!$Y$5,JA!$N:$N,$U71,JA!$BA:$BA,1,JA!$AJ:$AJ,Parkki!$W$7,JA!$L:$L,$Y$28,JA!V:V,"nuori",JA!$M:$M,Parkki!$Y$9)</f>
        <v>0</v>
      </c>
      <c r="R71" s="742">
        <f>SUMIFS(JA!$Z:$Z,JA!$AE:$AE,"OK",JA!$AY:$AY,Parkki!$Y$5,JA!$AI:$AI,Parkki!$Y$5,JA!$N:$N,$U71,JA!$AJ:$AJ,Parkki!$W$7,JA!$L:$L,$Y$28,JA!V:V,"nuori",JA!$M:$M,Parkki!$Y$9)</f>
        <v>0</v>
      </c>
      <c r="S71">
        <f t="shared" si="13"/>
        <v>0</v>
      </c>
      <c r="T71" s="144">
        <v>19</v>
      </c>
      <c r="U71" s="744" t="str">
        <f t="shared" si="14"/>
        <v>ComboBox_EtKuntakoodi_00000001</v>
      </c>
      <c r="AP71" s="685"/>
      <c r="AQ71" s="685"/>
      <c r="AR71" s="27"/>
      <c r="AS71" s="27"/>
    </row>
    <row r="72" spans="1:45" x14ac:dyDescent="0.25">
      <c r="B72" s="518" t="s">
        <v>827</v>
      </c>
      <c r="C72" s="520">
        <f>SUMIFS(AS!$W:$W,AS!$BO:$BO,$W$7,AS!$AB:$AB,AS!$AA$1,AS!$AV:$AV,$X$4,AS!$AH:$AH,$X$8,AS!$BB:$BB,AS!$BA$1,AS!$AW:$AW,$X$32,AS!$X:$X,$Y$5,AS!$AT:$AT,Parkki!$Y$13,AS!$K:$K,$X$31,AS!$F:$F,$V$29,AS!$L:$L,$V$30,AS!$AG:$AG,Parkki!$Y$9)-C74</f>
        <v>0</v>
      </c>
      <c r="D72" s="520">
        <f>SUMIFS(AS!$W:$W,AS!$BO:$BO,$W$7,AS!$AB:$AB,AS!$AA$1,AS!$AV:$AV,$X$4,AS!$I:$I,$X$7,AS!$AH:$AH,$X$8,AS!$BB:$BB,AS!$BA$1,AS!$AW:$AW,$X$32,AS!$X:$X,$Y$5,AS!$AT:$AT,Parkki!$Y$13,AS!$K:$K,$X$31,AS!$F:$F,$V$29,AS!$L:$L,$V$30,AS!$AG:$AG,Parkki!$Y$9)-D74</f>
        <v>0</v>
      </c>
      <c r="E72" s="520">
        <f>SUMIFS(AS!$W:$W,AS!$BO:$BO,$W$7,AS!$AB:$AB,AS!$AA$1,AS!$AV:$AV,$X$4,AS!$I:$I,$Y$7,AS!$AH:$AH,$X$8,AS!$BB:$BB,AS!$BA$1,AS!$AW:$AW,$X$32,AS!$X:$X,$Y$5,AS!$AT:$AT,Parkki!$Y$13,AS!$K:$K,$X$31,AS!$F:$F,$V$29,AS!$L:$L,$V$30,AS!$AG:$AG,Parkki!$Y$9)-E74</f>
        <v>0</v>
      </c>
      <c r="F72" s="423"/>
      <c r="G72" s="524"/>
      <c r="M72" s="525"/>
      <c r="O72" s="743" t="str">
        <f t="shared" si="12"/>
        <v/>
      </c>
      <c r="P72" s="742">
        <f>SUMIFS(AS!$W:$W,AS!$AB:$AB,"OK",AS!$AW:$AW,U72,AS!$X:$X,Parkki!$Y$5,AS!$H:$H,Parkki!$W$7,AS!$K:$K,Parkki!$Y$28,AS!AH:AH,"nuori",AS!$AG:$AG,Parkki!$Y$9)</f>
        <v>0</v>
      </c>
      <c r="Q72" s="742">
        <f>SUMIFS(JA!$Z:$Z,JA!$AE:$AE,"OK",JA!$AY:$AY,Parkki!$Y$5,JA!$AI:$AI,Parkki!$Y$5,JA!$N:$N,$U72,JA!$BA:$BA,1,JA!$AJ:$AJ,Parkki!$W$7,JA!$L:$L,$Y$28,JA!V:V,"nuori",JA!$M:$M,Parkki!$Y$9)</f>
        <v>0</v>
      </c>
      <c r="R72" s="742">
        <f>SUMIFS(JA!$Z:$Z,JA!$AE:$AE,"OK",JA!$AY:$AY,Parkki!$Y$5,JA!$AI:$AI,Parkki!$Y$5,JA!$N:$N,$U72,JA!$AJ:$AJ,Parkki!$W$7,JA!$L:$L,$Y$28,JA!V:V,"nuori",JA!$M:$M,Parkki!$Y$9)</f>
        <v>0</v>
      </c>
      <c r="S72">
        <f t="shared" si="13"/>
        <v>0</v>
      </c>
      <c r="T72" s="144">
        <v>20</v>
      </c>
      <c r="U72" s="744" t="str">
        <f t="shared" si="14"/>
        <v>ComboBox_EtKuntakoodi_00000001</v>
      </c>
      <c r="AP72" s="685"/>
      <c r="AQ72" s="685"/>
      <c r="AR72" s="27"/>
      <c r="AS72" s="27"/>
    </row>
    <row r="73" spans="1:45" x14ac:dyDescent="0.25">
      <c r="B73" s="519" t="s">
        <v>93</v>
      </c>
      <c r="C73" s="619">
        <f>IFERROR(SUM(C68:C72),"")</f>
        <v>0</v>
      </c>
      <c r="D73" s="519">
        <f>IFERROR(SUM(D68:D72),"")</f>
        <v>0</v>
      </c>
      <c r="E73" s="519">
        <f>IFERROR(SUM(E68:E72),"")</f>
        <v>0</v>
      </c>
      <c r="F73" s="423"/>
      <c r="G73" s="524"/>
      <c r="M73" s="525"/>
      <c r="O73" s="743" t="str">
        <f t="shared" si="12"/>
        <v/>
      </c>
      <c r="P73" s="742">
        <f>SUMIFS(AS!$W:$W,AS!$AB:$AB,"OK",AS!$AW:$AW,U73,AS!$X:$X,Parkki!$Y$5,AS!$H:$H,Parkki!$W$7,AS!$K:$K,Parkki!$Y$28,AS!AH:AH,"nuori",AS!$AG:$AG,Parkki!$Y$9)</f>
        <v>0</v>
      </c>
      <c r="Q73" s="742">
        <f>SUMIFS(JA!$Z:$Z,JA!$AE:$AE,"OK",JA!$AY:$AY,Parkki!$Y$5,JA!$AI:$AI,Parkki!$Y$5,JA!$N:$N,$U73,JA!$BA:$BA,1,JA!$AJ:$AJ,Parkki!$W$7,JA!$L:$L,$Y$28,JA!V:V,"nuori",JA!$M:$M,Parkki!$Y$9)</f>
        <v>0</v>
      </c>
      <c r="R73" s="742">
        <f>SUMIFS(JA!$Z:$Z,JA!$AE:$AE,"OK",JA!$AY:$AY,Parkki!$Y$5,JA!$AI:$AI,Parkki!$Y$5,JA!$N:$N,$U73,JA!$AJ:$AJ,Parkki!$W$7,JA!$L:$L,$Y$28,JA!V:V,"nuori",JA!$M:$M,Parkki!$Y$9)</f>
        <v>0</v>
      </c>
      <c r="S73">
        <f t="shared" si="13"/>
        <v>0</v>
      </c>
      <c r="T73" s="144">
        <v>21</v>
      </c>
      <c r="U73" s="744" t="str">
        <f t="shared" si="14"/>
        <v>ComboBox_EtKuntakoodi_00000001</v>
      </c>
      <c r="AP73" s="685"/>
      <c r="AQ73" s="685"/>
      <c r="AR73" s="27"/>
      <c r="AS73" s="27"/>
    </row>
    <row r="74" spans="1:45" x14ac:dyDescent="0.25">
      <c r="B74" s="553" t="str">
        <f>"*miehistä muun sukupuolisia (N: "&amp;$W$20&amp;")"</f>
        <v>*miehistä muun sukupuolisia (N: 0)</v>
      </c>
      <c r="C74" s="388">
        <f>SUM(C69:C71)</f>
        <v>0</v>
      </c>
      <c r="D74" s="388">
        <f>SUM(D69:D71)</f>
        <v>0</v>
      </c>
      <c r="E74" s="388">
        <f t="shared" ref="E74" si="15">SUM(E69:E71)</f>
        <v>0</v>
      </c>
      <c r="F74" s="423"/>
      <c r="G74" s="524"/>
      <c r="M74" s="525"/>
      <c r="O74" s="743" t="str">
        <f t="shared" si="12"/>
        <v/>
      </c>
      <c r="P74" s="742">
        <f>SUMIFS(AS!$W:$W,AS!$AB:$AB,"OK",AS!$AW:$AW,U74,AS!$X:$X,Parkki!$Y$5,AS!$H:$H,Parkki!$W$7,AS!$K:$K,Parkki!$Y$28,AS!AH:AH,"nuori",AS!$AG:$AG,Parkki!$Y$9)</f>
        <v>0</v>
      </c>
      <c r="Q74" s="742">
        <f>SUMIFS(JA!$Z:$Z,JA!$AE:$AE,"OK",JA!$AY:$AY,Parkki!$Y$5,JA!$AI:$AI,Parkki!$Y$5,JA!$N:$N,$U74,JA!$BA:$BA,1,JA!$AJ:$AJ,Parkki!$W$7,JA!$L:$L,$Y$28,JA!V:V,"nuori",JA!$M:$M,Parkki!$Y$9)</f>
        <v>0</v>
      </c>
      <c r="R74" s="742">
        <f>SUMIFS(JA!$Z:$Z,JA!$AE:$AE,"OK",JA!$AY:$AY,Parkki!$Y$5,JA!$AI:$AI,Parkki!$Y$5,JA!$N:$N,$U74,JA!$AJ:$AJ,Parkki!$W$7,JA!$L:$L,$Y$28,JA!V:V,"nuori",JA!$M:$M,Parkki!$Y$9)</f>
        <v>0</v>
      </c>
      <c r="S74">
        <f t="shared" si="13"/>
        <v>0</v>
      </c>
      <c r="T74" s="144">
        <v>22</v>
      </c>
      <c r="U74" s="744" t="str">
        <f t="shared" si="14"/>
        <v>ComboBox_EtKuntakoodi_00000001</v>
      </c>
      <c r="AP74" s="685"/>
      <c r="AQ74" s="685"/>
      <c r="AR74" s="27"/>
      <c r="AS74" s="27"/>
    </row>
    <row r="75" spans="1:45" ht="15.75" thickBot="1" x14ac:dyDescent="0.3">
      <c r="A75" s="352" t="s">
        <v>746</v>
      </c>
      <c r="B75" s="542" t="s">
        <v>1104</v>
      </c>
      <c r="C75" s="543">
        <f>SUM(C69:C72)</f>
        <v>0</v>
      </c>
      <c r="D75" s="543">
        <f t="shared" ref="D75:E75" si="16">SUM(D69:D72)</f>
        <v>0</v>
      </c>
      <c r="E75" s="543">
        <f t="shared" si="16"/>
        <v>0</v>
      </c>
      <c r="F75" s="424"/>
      <c r="G75" s="535" t="str">
        <f>"N: "&amp;C63&amp;"; *miehet ja muun sukupuoliset (N: "&amp;$W$20&amp;")"</f>
        <v>N: 0; *miehet ja muun sukupuoliset (N: 0)</v>
      </c>
      <c r="H75" s="535"/>
      <c r="I75" s="535"/>
      <c r="J75" s="535"/>
      <c r="K75" s="535"/>
      <c r="L75" s="535"/>
      <c r="M75" s="536"/>
      <c r="O75" s="743" t="str">
        <f t="shared" si="12"/>
        <v/>
      </c>
      <c r="P75" s="742">
        <f>SUMIFS(AS!$W:$W,AS!$AB:$AB,"OK",AS!$AW:$AW,U75,AS!$X:$X,Parkki!$Y$5,AS!$H:$H,Parkki!$W$7,AS!$K:$K,Parkki!$Y$28,AS!AH:AH,"nuori",AS!$AG:$AG,Parkki!$Y$9)</f>
        <v>0</v>
      </c>
      <c r="Q75" s="742">
        <f>SUMIFS(JA!$Z:$Z,JA!$AE:$AE,"OK",JA!$AY:$AY,Parkki!$Y$5,JA!$AI:$AI,Parkki!$Y$5,JA!$N:$N,$U75,JA!$BA:$BA,1,JA!$AJ:$AJ,Parkki!$W$7,JA!$L:$L,$Y$28,JA!V:V,"nuori",JA!$M:$M,Parkki!$Y$9)</f>
        <v>0</v>
      </c>
      <c r="R75" s="742">
        <f>SUMIFS(JA!$Z:$Z,JA!$AE:$AE,"OK",JA!$AY:$AY,Parkki!$Y$5,JA!$AI:$AI,Parkki!$Y$5,JA!$N:$N,$U75,JA!$AJ:$AJ,Parkki!$W$7,JA!$L:$L,$Y$28,JA!V:V,"nuori",JA!$M:$M,Parkki!$Y$9)</f>
        <v>0</v>
      </c>
      <c r="S75">
        <f t="shared" si="13"/>
        <v>0</v>
      </c>
      <c r="T75" s="144">
        <v>23</v>
      </c>
      <c r="U75" s="744" t="str">
        <f t="shared" si="14"/>
        <v>ComboBox_EtKuntakoodi_00000001</v>
      </c>
      <c r="AP75" s="685"/>
      <c r="AQ75" s="685"/>
      <c r="AR75" s="27"/>
      <c r="AS75" s="27"/>
    </row>
    <row r="76" spans="1:45" ht="19.5" thickTop="1" x14ac:dyDescent="0.3">
      <c r="A76" s="539" t="s">
        <v>790</v>
      </c>
      <c r="B76" s="538"/>
      <c r="C76" s="538"/>
      <c r="D76" s="538"/>
      <c r="E76" s="538"/>
      <c r="F76" s="540"/>
      <c r="G76" s="538"/>
      <c r="H76" s="538"/>
      <c r="I76" s="538"/>
      <c r="J76" s="538"/>
      <c r="K76" s="538"/>
      <c r="L76" s="538"/>
      <c r="M76" s="538"/>
      <c r="O76" s="743" t="str">
        <f t="shared" si="12"/>
        <v/>
      </c>
      <c r="P76" s="742">
        <f>SUMIFS(AS!$W:$W,AS!$AB:$AB,"OK",AS!$AW:$AW,U76,AS!$X:$X,Parkki!$Y$5,AS!$H:$H,Parkki!$W$7,AS!$K:$K,Parkki!$Y$28,AS!AH:AH,"nuori",AS!$AG:$AG,Parkki!$Y$9)</f>
        <v>0</v>
      </c>
      <c r="Q76" s="742">
        <f>SUMIFS(JA!$Z:$Z,JA!$AE:$AE,"OK",JA!$AY:$AY,Parkki!$Y$5,JA!$AI:$AI,Parkki!$Y$5,JA!$N:$N,$U76,JA!$BA:$BA,1,JA!$AJ:$AJ,Parkki!$W$7,JA!$L:$L,$Y$28,JA!V:V,"nuori",JA!$M:$M,Parkki!$Y$9)</f>
        <v>0</v>
      </c>
      <c r="R76" s="742">
        <f>SUMIFS(JA!$Z:$Z,JA!$AE:$AE,"OK",JA!$AY:$AY,Parkki!$Y$5,JA!$AI:$AI,Parkki!$Y$5,JA!$N:$N,$U76,JA!$AJ:$AJ,Parkki!$W$7,JA!$L:$L,$Y$28,JA!V:V,"nuori",JA!$M:$M,Parkki!$Y$9)</f>
        <v>0</v>
      </c>
      <c r="S76">
        <f t="shared" si="13"/>
        <v>0</v>
      </c>
      <c r="T76" s="144">
        <v>24</v>
      </c>
      <c r="U76" s="744" t="str">
        <f t="shared" si="14"/>
        <v>ComboBox_EtKuntakoodi_00000001</v>
      </c>
      <c r="AP76" s="685"/>
      <c r="AQ76" s="685"/>
      <c r="AR76" s="27"/>
      <c r="AS76" s="27"/>
    </row>
    <row r="77" spans="1:45" ht="33" customHeight="1" x14ac:dyDescent="0.25">
      <c r="B77" s="789" t="str">
        <f>"Kuinka monta naista ja miestä etsivä nuorisotyö tavoitti "&amp;Y12&amp;X10&amp;U8&amp;X15</f>
        <v>Kuinka monta naista ja miestä etsivä nuorisotyö tavoitti - KAIKKI: 01.01.2025-30.04.2025 (Kaikki yksiköt / perustiedoista, Kaikki kunnat / perustiedoista, Ikäluokka: Kaikki)</v>
      </c>
      <c r="C77" s="789"/>
      <c r="D77" s="789"/>
      <c r="E77" s="789"/>
      <c r="F77" s="423"/>
      <c r="G77" s="780" t="str">
        <f>B77</f>
        <v>Kuinka monta naista ja miestä etsivä nuorisotyö tavoitti - KAIKKI: 01.01.2025-30.04.2025 (Kaikki yksiköt / perustiedoista, Kaikki kunnat / perustiedoista, Ikäluokka: Kaikki)</v>
      </c>
      <c r="H77" s="781"/>
      <c r="I77" s="781"/>
      <c r="J77" s="781"/>
      <c r="K77" s="781"/>
      <c r="L77" s="781"/>
      <c r="M77" s="782"/>
      <c r="O77" s="743" t="str">
        <f t="shared" si="12"/>
        <v/>
      </c>
      <c r="P77" s="742">
        <f>SUMIFS(AS!$W:$W,AS!$AB:$AB,"OK",AS!$AW:$AW,U77,AS!$X:$X,Parkki!$Y$5,AS!$H:$H,Parkki!$W$7,AS!$K:$K,Parkki!$Y$28,AS!AH:AH,"nuori",AS!$AG:$AG,Parkki!$Y$9)</f>
        <v>0</v>
      </c>
      <c r="Q77" s="742">
        <f>SUMIFS(JA!$Z:$Z,JA!$AE:$AE,"OK",JA!$AY:$AY,Parkki!$Y$5,JA!$AI:$AI,Parkki!$Y$5,JA!$N:$N,$U77,JA!$BA:$BA,1,JA!$AJ:$AJ,Parkki!$W$7,JA!$L:$L,$Y$28,JA!V:V,"nuori",JA!$M:$M,Parkki!$Y$9)</f>
        <v>0</v>
      </c>
      <c r="R77" s="742">
        <f>SUMIFS(JA!$Z:$Z,JA!$AE:$AE,"OK",JA!$AY:$AY,Parkki!$Y$5,JA!$AI:$AI,Parkki!$Y$5,JA!$N:$N,$U77,JA!$AJ:$AJ,Parkki!$W$7,JA!$L:$L,$Y$28,JA!V:V,"nuori",JA!$M:$M,Parkki!$Y$9)</f>
        <v>0</v>
      </c>
      <c r="S77">
        <f t="shared" si="13"/>
        <v>0</v>
      </c>
      <c r="T77" s="144">
        <v>25</v>
      </c>
      <c r="U77" s="744" t="str">
        <f t="shared" si="14"/>
        <v>ComboBox_EtKuntakoodi_00000001</v>
      </c>
      <c r="AP77" s="685"/>
      <c r="AQ77" s="685"/>
      <c r="AR77" s="27"/>
      <c r="AS77" s="27"/>
    </row>
    <row r="78" spans="1:45" ht="25.5" x14ac:dyDescent="0.25">
      <c r="A78" s="824" t="s">
        <v>833</v>
      </c>
      <c r="B78" s="518"/>
      <c r="C78" s="521" t="s">
        <v>114</v>
      </c>
      <c r="D78" s="521" t="s">
        <v>132</v>
      </c>
      <c r="E78" s="522" t="s">
        <v>1162</v>
      </c>
      <c r="F78" s="423"/>
      <c r="G78" s="524"/>
      <c r="M78" s="525"/>
      <c r="O78" s="743" t="str">
        <f t="shared" si="12"/>
        <v/>
      </c>
      <c r="P78" s="742">
        <f>SUMIFS(AS!$W:$W,AS!$AB:$AB,"OK",AS!$AW:$AW,U78,AS!$X:$X,Parkki!$Y$5,AS!$H:$H,Parkki!$W$7,AS!$K:$K,Parkki!$Y$28,AS!AH:AH,"nuori",AS!$AG:$AG,Parkki!$Y$9)</f>
        <v>0</v>
      </c>
      <c r="Q78" s="742">
        <f>SUMIFS(JA!$Z:$Z,JA!$AE:$AE,"OK",JA!$AY:$AY,Parkki!$Y$5,JA!$AI:$AI,Parkki!$Y$5,JA!$N:$N,$U78,JA!$BA:$BA,1,JA!$AJ:$AJ,Parkki!$W$7,JA!$L:$L,$Y$28,JA!V:V,"nuori",JA!$M:$M,Parkki!$Y$9)</f>
        <v>0</v>
      </c>
      <c r="R78" s="742">
        <f>SUMIFS(JA!$Z:$Z,JA!$AE:$AE,"OK",JA!$AY:$AY,Parkki!$Y$5,JA!$AI:$AI,Parkki!$Y$5,JA!$N:$N,$U78,JA!$AJ:$AJ,Parkki!$W$7,JA!$L:$L,$Y$28,JA!V:V,"nuori",JA!$M:$M,Parkki!$Y$9)</f>
        <v>0</v>
      </c>
      <c r="S78">
        <f t="shared" si="13"/>
        <v>0</v>
      </c>
      <c r="T78" s="144">
        <v>26</v>
      </c>
      <c r="U78" s="744" t="str">
        <f t="shared" si="14"/>
        <v>ComboBox_EtKuntakoodi_00000001</v>
      </c>
      <c r="V78" s="386" t="s">
        <v>789</v>
      </c>
      <c r="AP78" s="685"/>
      <c r="AQ78" s="685"/>
      <c r="AR78" s="27"/>
      <c r="AS78" s="27"/>
    </row>
    <row r="79" spans="1:45" x14ac:dyDescent="0.25">
      <c r="A79" s="824"/>
      <c r="B79" s="518" t="s">
        <v>785</v>
      </c>
      <c r="C79" s="520">
        <f>SUMIFS(AS!W:W,AS!$BO:$BO,$W$7,AS!AB:AB,AS!$AA$1,AS!AG:AG,$X79,AS!$AV:$AV,$X$5,AS!$AW:$AW,$X$32,AS!$X:$X,$Y$5,AS!$AT:$AT,Parkki!$Y$13,AS!$K:$K,$X$31,AS!$F:$F,$V$29,AS!$L:$L,$V$30,AS!$AG:$AG,Parkki!$Y$9)</f>
        <v>0</v>
      </c>
      <c r="D79" s="520">
        <f>SUMIFS(AS!W:W,AS!$BO:$BO,$W$7,AS!AB:AB,AS!$AA$1,AS!AG:AG,$X79,AS!$AV:$AV,$X$5,AS!$AW:$AW,$X$32,AS!$X:$X,$Y$5,AS!I:I,$X$7,AS!$AT:$AT,Parkki!$Y$13,AS!$K:$K,$X$31,AS!$F:$F,$V$29,AS!$L:$L,$V$30,AS!$AG:$AG,Parkki!$Y$9)</f>
        <v>0</v>
      </c>
      <c r="E79" s="520">
        <f>SUMIFS(AS!W:W,AS!$BO:$BO,$W$7,AS!AB:AB,AS!$AA$1,AS!AG:AG,$X79,AS!$AV:$AV,$X$5,AS!$AW:$AW,$X$32,AS!$X:$X,$Y$5,AS!I:I,$Y$7,AS!$AT:$AT,Parkki!$Y$13,AS!$K:$K,$X$31,AS!$F:$F,$V$29,AS!$L:$L,$V$30,AS!$AG:$AG,Parkki!$Y$9)</f>
        <v>0</v>
      </c>
      <c r="F79" s="423"/>
      <c r="G79" s="524"/>
      <c r="M79" s="525"/>
      <c r="O79" s="743" t="str">
        <f t="shared" si="12"/>
        <v/>
      </c>
      <c r="P79" s="742">
        <f>SUMIFS(AS!$W:$W,AS!$AB:$AB,"OK",AS!$AW:$AW,U79,AS!$X:$X,Parkki!$Y$5,AS!$H:$H,Parkki!$W$7,AS!$K:$K,Parkki!$Y$28,AS!AH:AH,"nuori",AS!$AG:$AG,Parkki!$Y$9)</f>
        <v>0</v>
      </c>
      <c r="Q79" s="742">
        <f>SUMIFS(JA!$Z:$Z,JA!$AE:$AE,"OK",JA!$AY:$AY,Parkki!$Y$5,JA!$AI:$AI,Parkki!$Y$5,JA!$N:$N,$U79,JA!$BA:$BA,1,JA!$AJ:$AJ,Parkki!$W$7,JA!$L:$L,$Y$28,JA!V:V,"nuori",JA!$M:$M,Parkki!$Y$9)</f>
        <v>0</v>
      </c>
      <c r="R79" s="742">
        <f>SUMIFS(JA!$Z:$Z,JA!$AE:$AE,"OK",JA!$AY:$AY,Parkki!$Y$5,JA!$AI:$AI,Parkki!$Y$5,JA!$N:$N,$U79,JA!$AJ:$AJ,Parkki!$W$7,JA!$L:$L,$Y$28,JA!V:V,"nuori",JA!$M:$M,Parkki!$Y$9)</f>
        <v>0</v>
      </c>
      <c r="S79">
        <f t="shared" si="13"/>
        <v>0</v>
      </c>
      <c r="T79" s="144">
        <v>27</v>
      </c>
      <c r="U79" s="744" t="str">
        <f t="shared" si="14"/>
        <v>ComboBox_EtKuntakoodi_00000001</v>
      </c>
      <c r="V79" s="148">
        <f>F84-V177</f>
        <v>0</v>
      </c>
      <c r="X79" s="28" t="s">
        <v>65</v>
      </c>
      <c r="AP79" s="685"/>
      <c r="AQ79" s="685"/>
      <c r="AR79" s="27"/>
      <c r="AS79" s="27"/>
    </row>
    <row r="80" spans="1:45" x14ac:dyDescent="0.25">
      <c r="A80" s="824"/>
      <c r="B80" s="518" t="s">
        <v>1359</v>
      </c>
      <c r="C80" s="520">
        <f>SUMIFS(AS!W:W,AS!$BO:$BO,$W$7,AS!AB:AB,AS!$AA$1,AS!AG:AG,$X80,AS!$AV:$AV,$X$5,AS!$AW:$AW,$X$32,AS!$X:$X,$Y$5,AS!$AT:$AT,Parkki!$Y$13,AS!$K:$K,$X$31,AS!$F:$F,$V$29,AS!$L:$L,$V$30,AS!$AG:$AG,Parkki!$Y$9)</f>
        <v>0</v>
      </c>
      <c r="D80" s="520">
        <f>SUMIFS(AS!W:W,AS!$BO:$BO,$W$7,AS!AB:AB,AS!$AA$1,AS!AG:AG,$X80,AS!$AV:$AV,$X$5,AS!$AW:$AW,$X$32,AS!$X:$X,$Y$5,AS!I:I,$X$7,AS!$AT:$AT,Parkki!$Y$13,AS!$K:$K,$X$31,AS!$F:$F,$V$29,AS!$L:$L,$V$30,AS!$AG:$AG,Parkki!$Y$9)</f>
        <v>0</v>
      </c>
      <c r="E80" s="520">
        <f>SUMIFS(AS!W:W,AS!$BO:$BO,$W$7,AS!AB:AB,AS!$AA$1,AS!AG:AG,$X80,AS!$AV:$AV,$X$5,AS!$AW:$AW,$X$32,AS!$X:$X,$Y$5,AS!I:I,$Y$7,AS!$AT:$AT,Parkki!$Y$13,AS!$K:$K,$X$31,AS!$F:$F,$V$29,AS!$L:$L,$V$30,AS!$AG:$AG,Parkki!$Y$9)</f>
        <v>0</v>
      </c>
      <c r="F80" s="423"/>
      <c r="G80" s="524"/>
      <c r="M80" s="525"/>
      <c r="O80" s="743" t="str">
        <f t="shared" si="12"/>
        <v/>
      </c>
      <c r="P80" s="742">
        <f>SUMIFS(AS!$W:$W,AS!$AB:$AB,"OK",AS!$AW:$AW,U80,AS!$X:$X,Parkki!$Y$5,AS!$H:$H,Parkki!$W$7,AS!$K:$K,Parkki!$Y$28,AS!AH:AH,"nuori",AS!$AG:$AG,Parkki!$Y$9)</f>
        <v>0</v>
      </c>
      <c r="Q80" s="742">
        <f>SUMIFS(JA!$Z:$Z,JA!$AE:$AE,"OK",JA!$AY:$AY,Parkki!$Y$5,JA!$AI:$AI,Parkki!$Y$5,JA!$N:$N,$U80,JA!$BA:$BA,1,JA!$AJ:$AJ,Parkki!$W$7,JA!$L:$L,$Y$28,JA!V:V,"nuori",JA!$M:$M,Parkki!$Y$9)</f>
        <v>0</v>
      </c>
      <c r="R80" s="742">
        <f>SUMIFS(JA!$Z:$Z,JA!$AE:$AE,"OK",JA!$AY:$AY,Parkki!$Y$5,JA!$AI:$AI,Parkki!$Y$5,JA!$N:$N,$U80,JA!$AJ:$AJ,Parkki!$W$7,JA!$L:$L,$Y$28,JA!V:V,"nuori",JA!$M:$M,Parkki!$Y$9)</f>
        <v>0</v>
      </c>
      <c r="S80">
        <f t="shared" si="13"/>
        <v>0</v>
      </c>
      <c r="T80" s="144">
        <v>28</v>
      </c>
      <c r="U80" s="744" t="str">
        <f t="shared" si="14"/>
        <v>ComboBox_EtKuntakoodi_00000001</v>
      </c>
      <c r="V80" s="148">
        <f>V177</f>
        <v>0</v>
      </c>
      <c r="X80" t="s">
        <v>1357</v>
      </c>
      <c r="AP80" s="685"/>
      <c r="AQ80" s="685"/>
      <c r="AR80" s="27"/>
      <c r="AS80" s="27"/>
    </row>
    <row r="81" spans="1:45" x14ac:dyDescent="0.25">
      <c r="A81" s="824"/>
      <c r="B81" s="518" t="s">
        <v>1360</v>
      </c>
      <c r="C81" s="520">
        <f>SUMIFS(AS!W:W,AS!$BO:$BO,$W$7,AS!AB:AB,AS!$AA$1,AS!AG:AG,$X81,AS!$AV:$AV,$X$5,AS!$AW:$AW,$X$32,AS!$X:$X,$Y$5,AS!$AT:$AT,Parkki!$Y$13,AS!$K:$K,$X$31,AS!$F:$F,$V$29,AS!$L:$L,$V$30,AS!$AG:$AG,Parkki!$Y$9)</f>
        <v>0</v>
      </c>
      <c r="D81" s="520">
        <f>SUMIFS(AS!W:W,AS!$BO:$BO,$W$7,AS!AB:AB,AS!$AA$1,AS!AG:AG,$X81,AS!$AV:$AV,$X$5,AS!$AW:$AW,$X$32,AS!$X:$X,$Y$5,AS!I:I,$X$7,AS!$AT:$AT,Parkki!$Y$13,AS!$K:$K,$X$31,AS!$F:$F,$V$29,AS!$L:$L,$V$30,AS!$AG:$AG,Parkki!$Y$9)</f>
        <v>0</v>
      </c>
      <c r="E81" s="520">
        <f>SUMIFS(AS!W:W,AS!$BO:$BO,$W$7,AS!AB:AB,AS!$AA$1,AS!AG:AG,$X81,AS!$AV:$AV,$X$5,AS!$AW:$AW,$X$32,AS!$X:$X,$Y$5,AS!I:I,$Y$7,AS!$AT:$AT,Parkki!$Y$13,AS!$K:$K,$X$31,AS!$F:$F,$V$29,AS!$L:$L,$V$30,AS!$AG:$AG,Parkki!$Y$9)</f>
        <v>0</v>
      </c>
      <c r="F81" s="423"/>
      <c r="G81" s="524"/>
      <c r="M81" s="525"/>
      <c r="O81" s="743" t="str">
        <f t="shared" si="12"/>
        <v/>
      </c>
      <c r="P81" s="742">
        <f>SUMIFS(AS!$W:$W,AS!$AB:$AB,"OK",AS!$AW:$AW,U81,AS!$X:$X,Parkki!$Y$5,AS!$H:$H,Parkki!$W$7,AS!$K:$K,Parkki!$Y$28,AS!AH:AH,"nuori",AS!$AG:$AG,Parkki!$Y$9)</f>
        <v>0</v>
      </c>
      <c r="Q81" s="742">
        <f>SUMIFS(JA!$Z:$Z,JA!$AE:$AE,"OK",JA!$AY:$AY,Parkki!$Y$5,JA!$AI:$AI,Parkki!$Y$5,JA!$N:$N,$U81,JA!$BA:$BA,1,JA!$AJ:$AJ,Parkki!$W$7,JA!$L:$L,$Y$28,JA!V:V,"nuori",JA!$M:$M,Parkki!$Y$9)</f>
        <v>0</v>
      </c>
      <c r="R81" s="742">
        <f>SUMIFS(JA!$Z:$Z,JA!$AE:$AE,"OK",JA!$AY:$AY,Parkki!$Y$5,JA!$AI:$AI,Parkki!$Y$5,JA!$N:$N,$U81,JA!$AJ:$AJ,Parkki!$W$7,JA!$L:$L,$Y$28,JA!V:V,"nuori",JA!$M:$M,Parkki!$Y$9)</f>
        <v>0</v>
      </c>
      <c r="S81">
        <f t="shared" si="13"/>
        <v>0</v>
      </c>
      <c r="T81" s="144">
        <v>29</v>
      </c>
      <c r="U81" s="744" t="str">
        <f t="shared" si="14"/>
        <v>ComboBox_EtKuntakoodi_00000001</v>
      </c>
      <c r="V81" s="376">
        <f>SUM(V79:V80)</f>
        <v>0</v>
      </c>
      <c r="X81" s="155" t="s">
        <v>1358</v>
      </c>
      <c r="AP81" s="685"/>
      <c r="AQ81" s="685"/>
      <c r="AR81" s="27"/>
      <c r="AS81" s="27"/>
    </row>
    <row r="82" spans="1:45" x14ac:dyDescent="0.25">
      <c r="A82" s="824"/>
      <c r="B82" s="518" t="s">
        <v>786</v>
      </c>
      <c r="C82" s="520">
        <f>SUMIFS(AS!W:W,AS!$BO:$BO,$W$7,AS!AB:AB,AS!$AA$1,AS!AG:AG,$X82,AS!$AV:$AV,$X$5,AS!$AW:$AW,$X$32,AS!$X:$X,$Y$5,AS!$AT:$AT,Parkki!$Y$13,AS!$K:$K,$X$31,AS!$F:$F,$V$29,AS!$L:$L,$V$30,AS!$AG:$AG,Parkki!$Y$9)</f>
        <v>0</v>
      </c>
      <c r="D82" s="520">
        <f>SUMIFS(AS!W:W,AS!$BO:$BO,$W$7,AS!AB:AB,AS!$AA$1,AS!AG:AG,$X82,AS!$AV:$AV,$X$5,AS!$AW:$AW,$X$32,AS!$X:$X,$Y$5,AS!I:I,$X$7,AS!$AT:$AT,Parkki!$Y$13,AS!$K:$K,$X$31,AS!$F:$F,$V$29,AS!$L:$L,$V$30,AS!$AG:$AG,Parkki!$Y$9)</f>
        <v>0</v>
      </c>
      <c r="E82" s="520">
        <f>SUMIFS(AS!W:W,AS!$BO:$BO,$W$7,AS!AB:AB,AS!$AA$1,AS!AG:AG,$X82,AS!$AV:$AV,$X$5,AS!$AW:$AW,$X$32,AS!$X:$X,$Y$5,AS!I:I,$Y$7,AS!$AT:$AT,Parkki!$Y$13,AS!$K:$K,$X$31,AS!$F:$F,$V$29,AS!$L:$L,$V$30,AS!$AG:$AG,Parkki!$Y$9)</f>
        <v>0</v>
      </c>
      <c r="F82" s="423"/>
      <c r="G82" s="524"/>
      <c r="M82" s="525"/>
      <c r="O82" s="743" t="str">
        <f t="shared" si="12"/>
        <v/>
      </c>
      <c r="P82" s="742">
        <f>SUMIFS(AS!$W:$W,AS!$AB:$AB,"OK",AS!$AW:$AW,U82,AS!$X:$X,Parkki!$Y$5,AS!$H:$H,Parkki!$W$7,AS!$K:$K,Parkki!$Y$28,AS!AH:AH,"nuori",AS!$AG:$AG,Parkki!$Y$9)</f>
        <v>0</v>
      </c>
      <c r="Q82" s="742">
        <f>SUMIFS(JA!$Z:$Z,JA!$AE:$AE,"OK",JA!$AY:$AY,Parkki!$Y$5,JA!$AI:$AI,Parkki!$Y$5,JA!$N:$N,$U82,JA!$BA:$BA,1,JA!$AJ:$AJ,Parkki!$W$7,JA!$L:$L,$Y$28,JA!V:V,"nuori",JA!$M:$M,Parkki!$Y$9)</f>
        <v>0</v>
      </c>
      <c r="R82" s="742">
        <f>SUMIFS(JA!$Z:$Z,JA!$AE:$AE,"OK",JA!$AY:$AY,Parkki!$Y$5,JA!$AI:$AI,Parkki!$Y$5,JA!$N:$N,$U82,JA!$AJ:$AJ,Parkki!$W$7,JA!$L:$L,$Y$28,JA!V:V,"nuori",JA!$M:$M,Parkki!$Y$9)</f>
        <v>0</v>
      </c>
      <c r="S82">
        <f t="shared" si="13"/>
        <v>0</v>
      </c>
      <c r="T82" s="144">
        <v>30</v>
      </c>
      <c r="U82" s="744" t="str">
        <f t="shared" si="14"/>
        <v>ComboBox_EtKuntakoodi_00000001</v>
      </c>
      <c r="X82" s="155" t="s">
        <v>71</v>
      </c>
      <c r="AP82" s="685"/>
      <c r="AQ82" s="685"/>
      <c r="AR82" s="27"/>
      <c r="AS82" s="27"/>
    </row>
    <row r="83" spans="1:45" x14ac:dyDescent="0.25">
      <c r="A83" s="824"/>
      <c r="B83" s="518" t="s">
        <v>787</v>
      </c>
      <c r="C83" s="520">
        <f>SUMIFS(AS!W:W,AS!$BO:$BO,$W$7,AS!AB:AB,AS!$AA$1,AS!AG:AG,$X83,AS!$AV:$AV,$X$5,AS!$AW:$AW,$X$32,AS!$X:$X,$Y$5,AS!$AT:$AT,Parkki!$Y$13,AS!$K:$K,$X$31,AS!$F:$F,$V$29,AS!$L:$L,$V$30,AS!$AG:$AG,Parkki!$Y$9)</f>
        <v>0</v>
      </c>
      <c r="D83" s="520">
        <f>SUMIFS(AS!W:W,AS!$BO:$BO,$W$7,AS!AB:AB,AS!$AA$1,AS!AG:AG,$X83,AS!$AV:$AV,$X$5,AS!$AW:$AW,$X$32,AS!$X:$X,$Y$5,AS!I:I,$X$7,AS!$AT:$AT,Parkki!$Y$13,AS!$K:$K,$X$31,AS!$F:$F,$V$29,AS!$L:$L,$V$30,AS!$AG:$AG,Parkki!$Y$9)</f>
        <v>0</v>
      </c>
      <c r="E83" s="520">
        <f>SUMIFS(AS!W:W,AS!$BO:$BO,$W$7,AS!AB:AB,AS!$AA$1,AS!AG:AG,$X83,AS!$AV:$AV,$X$5,AS!$AW:$AW,$X$32,AS!$X:$X,$Y$5,AS!I:I,$Y$7,AS!$AT:$AT,Parkki!$Y$13,AS!$K:$K,$X$31,AS!$F:$F,$V$29,AS!$L:$L,$V$30,AS!$AG:$AG,Parkki!$Y$9)</f>
        <v>0</v>
      </c>
      <c r="F83" s="423"/>
      <c r="G83" s="524"/>
      <c r="M83" s="525"/>
      <c r="X83" s="155" t="s">
        <v>74</v>
      </c>
      <c r="AP83" s="685"/>
      <c r="AQ83" s="685"/>
      <c r="AR83" s="27"/>
      <c r="AS83" s="27"/>
    </row>
    <row r="84" spans="1:45" x14ac:dyDescent="0.25">
      <c r="A84" s="824"/>
      <c r="B84" s="518" t="s">
        <v>2</v>
      </c>
      <c r="C84" s="520">
        <f>SUMIFS(AS!W:W,AS!$BO:$BO,$W$7,AS!AB:AB,AS!$AA$1,AS!AG:AG,$X84,AS!$AV:$AV,$X$5,AS!$AW:$AW,$X$32,AS!$X:$X,$Y$5,AS!$AT:$AT,Parkki!$Y$13,AS!$K:$K,$X$31,AS!$F:$F,$V$29,AS!$L:$L,$V$30,AS!$AG:$AG,Parkki!$Y$9)+V88</f>
        <v>0</v>
      </c>
      <c r="D84" s="520">
        <f>SUMIFS(AS!W:W,AS!$BO:$BO,$W$7,AS!AB:AB,AS!$AA$1,AS!AG:AG,$X84,AS!$AV:$AV,$X$5,AS!$AW:$AW,$X$32,AS!$X:$X,$Y$5,AS!I:I,$X$7,AS!$AT:$AT,Parkki!$Y$13,AS!$K:$K,$X$31,AS!$F:$F,$V$29,AS!$L:$L,$V$30,AS!$AG:$AG,Parkki!$Y$9)+W88</f>
        <v>0</v>
      </c>
      <c r="E84" s="520">
        <f>SUMIFS(AS!W:W,AS!$BO:$BO,$W$7,AS!AB:AB,AS!$AA$1,AS!AG:AG,$X84,AS!$AV:$AV,$X$5,AS!$AW:$AW,$X$32,AS!$X:$X,$Y$5,AS!I:I,$Y$7,AS!$AT:$AT,Parkki!$Y$13,AS!$K:$K,$X$31,AS!$F:$F,$V$29,AS!$L:$L,$V$30,AS!$AG:$AG,Parkki!$Y$9)+X88</f>
        <v>0</v>
      </c>
      <c r="F84" s="423"/>
      <c r="G84" s="524"/>
      <c r="M84" s="525"/>
      <c r="X84" s="28" t="s">
        <v>498</v>
      </c>
      <c r="AP84" s="685"/>
      <c r="AQ84" s="685"/>
      <c r="AR84" s="27"/>
      <c r="AS84" s="27"/>
    </row>
    <row r="85" spans="1:45" x14ac:dyDescent="0.25">
      <c r="A85" s="824"/>
      <c r="B85" s="519" t="s">
        <v>93</v>
      </c>
      <c r="C85" s="519">
        <f>IFERROR(SUM(C79:C84),0)</f>
        <v>0</v>
      </c>
      <c r="D85" s="519">
        <f>SUM(D79:D84)</f>
        <v>0</v>
      </c>
      <c r="E85" s="519">
        <f>SUM(E79:E84)</f>
        <v>0</v>
      </c>
      <c r="F85" s="423"/>
      <c r="G85" s="524"/>
      <c r="M85" s="525"/>
      <c r="X85" s="27"/>
      <c r="AP85" s="685"/>
      <c r="AQ85" s="685"/>
      <c r="AR85" s="27"/>
      <c r="AS85" s="27"/>
    </row>
    <row r="86" spans="1:45" x14ac:dyDescent="0.25">
      <c r="B86" s="518" t="s">
        <v>789</v>
      </c>
      <c r="C86" s="520">
        <f>SUMIFS(AS!W:W,AS!$BO:$BO,$W$7,AS!AB:AB,AS!$AA$1,AS!AG:AG,$X86,AS!$AV:$AV,$X$5,AS!$AW:$AW,$X$32,AS!$X:$X,$Y$5,AS!$AT:$AT,Parkki!$Y$13,AS!$K:$K,$X$31,AS!$F:$F,$V$29,AS!$L:$L,$V$30,AS!$AG:$AG,Parkki!$Y$9)</f>
        <v>0</v>
      </c>
      <c r="D86" s="520">
        <f>SUMIFS(AS!W:W,AS!$BO:$BO,$W$7,AS!AB:AB,AS!$AA$1,AS!AG:AG,$X86,AS!$AV:$AV,$X$5,AS!$AW:$AW,$X$32,AS!$X:$X,$Y$5,AS!I:I,$X$7,AS!$AT:$AT,Parkki!$Y$13,AS!$K:$K,$X$31,AS!$F:$F,$V$29,AS!$L:$L,$V$30,AS!$AG:$AG,Parkki!$Y$9)</f>
        <v>0</v>
      </c>
      <c r="E86" s="520">
        <f>SUMIFS(AS!W:W,AS!$BO:$BO,$W$7,AS!AB:AB,AS!$AA$1,AS!AG:AG,$X86,AS!$AV:$AV,$X$5,AS!$AW:$AW,$X$32,AS!$X:$X,$Y$5,AS!I:I,$Y$7,AS!$AT:$AT,Parkki!$Y$13,AS!$K:$K,$X$31,AS!$F:$F,$V$29,AS!$L:$L,$V$30,AS!$AG:$AG,Parkki!$Y$9)</f>
        <v>0</v>
      </c>
      <c r="F86" s="423"/>
      <c r="G86" s="524"/>
      <c r="M86" s="525"/>
      <c r="X86" s="28" t="s">
        <v>499</v>
      </c>
      <c r="AP86" s="685"/>
      <c r="AQ86" s="685"/>
      <c r="AR86" s="27"/>
      <c r="AS86" s="27"/>
    </row>
    <row r="87" spans="1:45" ht="25.15" customHeight="1" x14ac:dyDescent="0.25">
      <c r="B87" s="621" t="str">
        <f>"*miehistä muun sukupuolisia (N: "&amp;$W$21&amp;")"</f>
        <v>*miehistä muun sukupuolisia (N: 0)</v>
      </c>
      <c r="G87" s="524"/>
      <c r="M87" s="525"/>
      <c r="V87" s="484" t="s">
        <v>1503</v>
      </c>
      <c r="AP87" s="685"/>
      <c r="AQ87" s="685"/>
      <c r="AR87" s="27"/>
      <c r="AS87" s="27"/>
    </row>
    <row r="88" spans="1:45" ht="29.25" customHeight="1" x14ac:dyDescent="0.25">
      <c r="B88" s="820" t="str">
        <f>"Aktiiviset ja päättyneet asiakkuudet tavoitettujen osalta "&amp;Y12&amp;X10&amp;U8&amp;X15</f>
        <v>Aktiiviset ja päättyneet asiakkuudet tavoitettujen osalta - KAIKKI: 01.01.2025-30.04.2025 (Kaikki yksiköt / perustiedoista, Kaikki kunnat / perustiedoista, Ikäluokka: Kaikki)</v>
      </c>
      <c r="C88" s="820"/>
      <c r="D88" s="820"/>
      <c r="E88" s="820"/>
      <c r="F88" s="423"/>
      <c r="M88" s="525"/>
      <c r="V88" s="9">
        <f>SUMIFS(AS!W:W,AS!$BO:$BO,$W$7,AS!AB:AB,AS!$AA$1,AS!AG:AG,$V87,AS!$AV:$AV,$X$5,AS!$AW:$AW,$X$32,AS!$X:$X,$Y$5,AS!$AT:$AT,Parkki!$Y$13,AS!$K:$K,$X$31,AS!$F:$F,$V$29,AS!$L:$L,$V$30,AS!$AG:$AG,Parkki!$Y$9)</f>
        <v>0</v>
      </c>
      <c r="W88" s="9">
        <f>SUMIFS(AS!W:W,AS!$BO:$BO,$W$7,AS!AB:AB,AS!$AA$1,AS!AG:AG,$V87,AS!$AV:$AV,$X$5,AS!$AW:$AW,$X$32,AS!$X:$X,$Y$5,AS!I:I,$X$7,AS!$AT:$AT,Parkki!$Y$13,AS!$K:$K,$X$31,AS!$F:$F,$V$29,AS!$L:$L,$V$30,AS!$AG:$AG,Parkki!$Y$9)</f>
        <v>0</v>
      </c>
      <c r="X88" s="9">
        <f>SUMIFS(AS!W:W,AS!$BO:$BO,$W$7,AS!AB:AB,AS!$AA$1,AS!AG:AG,$V87,AS!$AV:$AV,$X$5,AS!$AW:$AW,$X$32,AS!$X:$X,$Y$5,AS!I:I,$Y$7,AS!$AT:$AT,Parkki!$Y$13,AS!$K:$K,$X$31,AS!$F:$F,$V$29,AS!$L:$L,$V$30,AS!$AG:$AG,Parkki!$Y$9)</f>
        <v>0</v>
      </c>
      <c r="AP88" s="685"/>
      <c r="AQ88" s="685"/>
      <c r="AR88" s="27"/>
      <c r="AS88" s="27"/>
    </row>
    <row r="89" spans="1:45" ht="25.5" x14ac:dyDescent="0.25">
      <c r="B89" s="516"/>
      <c r="C89" s="521" t="s">
        <v>114</v>
      </c>
      <c r="D89" s="521" t="s">
        <v>132</v>
      </c>
      <c r="E89" s="522" t="s">
        <v>1162</v>
      </c>
      <c r="F89" s="423"/>
      <c r="G89" s="524"/>
      <c r="M89" s="525"/>
      <c r="AP89" s="685"/>
      <c r="AQ89" s="685"/>
      <c r="AR89" s="27"/>
      <c r="AS89" s="27"/>
    </row>
    <row r="90" spans="1:45" x14ac:dyDescent="0.25">
      <c r="B90" s="516" t="s">
        <v>826</v>
      </c>
      <c r="C90" s="148">
        <f>C85-C177</f>
        <v>0</v>
      </c>
      <c r="D90" s="148">
        <f>D85-E177</f>
        <v>0</v>
      </c>
      <c r="E90" s="148">
        <f>E85-F177</f>
        <v>0</v>
      </c>
      <c r="F90" s="423"/>
      <c r="G90" s="524"/>
      <c r="M90" s="525"/>
      <c r="AP90" s="685"/>
      <c r="AQ90" s="685"/>
      <c r="AR90" s="27"/>
      <c r="AS90" s="27"/>
    </row>
    <row r="91" spans="1:45" x14ac:dyDescent="0.25">
      <c r="B91" s="516" t="s">
        <v>823</v>
      </c>
      <c r="C91" s="148">
        <f>C177</f>
        <v>0</v>
      </c>
      <c r="D91" s="148">
        <f>E177</f>
        <v>0</v>
      </c>
      <c r="E91" s="148">
        <f>F177</f>
        <v>0</v>
      </c>
      <c r="F91" s="423"/>
      <c r="G91" s="524"/>
      <c r="M91" s="525"/>
      <c r="AP91" s="685"/>
      <c r="AQ91" s="685"/>
      <c r="AR91" s="27"/>
      <c r="AS91" s="27"/>
    </row>
    <row r="92" spans="1:45" x14ac:dyDescent="0.25">
      <c r="B92" s="517" t="s">
        <v>93</v>
      </c>
      <c r="C92" s="715">
        <f>SUM(C90:C91)</f>
        <v>0</v>
      </c>
      <c r="D92" s="517">
        <f>SUM(D90:D91)</f>
        <v>0</v>
      </c>
      <c r="E92" s="517">
        <f>SUM(E90:E91)</f>
        <v>0</v>
      </c>
      <c r="F92" s="423"/>
      <c r="G92" s="524"/>
      <c r="M92" s="525"/>
      <c r="AP92" s="685"/>
      <c r="AQ92" s="685"/>
      <c r="AR92" s="27"/>
      <c r="AS92" s="27"/>
    </row>
    <row r="93" spans="1:45" x14ac:dyDescent="0.25">
      <c r="B93" s="553" t="str">
        <f>"*miehistä muun sukupuolisia (N: "&amp;$W$21&amp;")"</f>
        <v>*miehistä muun sukupuolisia (N: 0)</v>
      </c>
      <c r="F93" s="423"/>
      <c r="G93" s="524"/>
      <c r="M93" s="525"/>
      <c r="AP93" s="685"/>
      <c r="AQ93" s="685"/>
      <c r="AR93" s="27"/>
      <c r="AS93" s="27"/>
    </row>
    <row r="94" spans="1:45" x14ac:dyDescent="0.25">
      <c r="F94" s="423"/>
      <c r="G94" s="535" t="str">
        <f>"N: "&amp;C85&amp;"; *miehet ja muun sukupuoliset (N: "&amp;$W$21&amp;")"</f>
        <v>N: 0; *miehet ja muun sukupuoliset (N: 0)</v>
      </c>
      <c r="H94" s="535"/>
      <c r="I94" s="535"/>
      <c r="J94" s="535"/>
      <c r="K94" s="535"/>
      <c r="L94" s="535"/>
      <c r="M94" s="536"/>
      <c r="X94" s="144" t="s">
        <v>1341</v>
      </c>
      <c r="AE94" t="s">
        <v>794</v>
      </c>
      <c r="AG94" s="1" t="s">
        <v>1263</v>
      </c>
      <c r="AH94" s="603" t="s">
        <v>1264</v>
      </c>
      <c r="AI94" s="689" t="s">
        <v>1265</v>
      </c>
      <c r="AJ94" s="450" t="s">
        <v>794</v>
      </c>
      <c r="AK94" s="450" t="s">
        <v>1266</v>
      </c>
      <c r="AL94" s="146" t="s">
        <v>1267</v>
      </c>
      <c r="AM94" s="146" t="s">
        <v>226</v>
      </c>
      <c r="AP94" s="685"/>
      <c r="AQ94" s="685"/>
      <c r="AR94" s="27"/>
      <c r="AS94" s="27"/>
    </row>
    <row r="95" spans="1:45" ht="29.25" customHeight="1" x14ac:dyDescent="0.25">
      <c r="A95" s="818" t="str">
        <f>"Mitä kautta TAVOITETUT nuoret ohjautuivat etsivän nuorisotyön piiriin "&amp;Y12&amp;X10&amp;U8&amp;X15</f>
        <v>Mitä kautta TAVOITETUT nuoret ohjautuivat etsivän nuorisotyön piiriin - KAIKKI: 01.01.2025-30.04.2025 (Kaikki yksiköt / perustiedoista, Kaikki kunnat / perustiedoista, Ikäluokka: Kaikki)</v>
      </c>
      <c r="B95" s="818"/>
      <c r="C95" s="818"/>
      <c r="D95" s="818"/>
      <c r="E95" s="818"/>
      <c r="F95" s="818"/>
      <c r="X95" s="177" t="s">
        <v>1042</v>
      </c>
      <c r="AP95" s="685"/>
      <c r="AQ95" s="685"/>
      <c r="AR95" s="27"/>
      <c r="AS95" s="27"/>
    </row>
    <row r="96" spans="1:45" ht="15" customHeight="1" x14ac:dyDescent="0.25">
      <c r="A96" s="810" t="s">
        <v>118</v>
      </c>
      <c r="B96" s="810"/>
      <c r="C96" s="805" t="s">
        <v>934</v>
      </c>
      <c r="D96" s="805"/>
      <c r="E96" s="521" t="s">
        <v>132</v>
      </c>
      <c r="F96" s="522" t="s">
        <v>1162</v>
      </c>
      <c r="G96" s="784" t="s">
        <v>1496</v>
      </c>
      <c r="H96" s="785"/>
      <c r="I96" s="784" t="s">
        <v>1497</v>
      </c>
      <c r="J96" s="785"/>
      <c r="X96" s="177"/>
      <c r="Y96" s="512" t="s">
        <v>593</v>
      </c>
      <c r="Z96" s="530" t="s">
        <v>114</v>
      </c>
      <c r="AA96" s="530" t="s">
        <v>132</v>
      </c>
      <c r="AB96" s="530" t="s">
        <v>133</v>
      </c>
      <c r="AP96" s="685"/>
      <c r="AQ96" s="685"/>
      <c r="AR96" s="27"/>
      <c r="AS96" s="27"/>
    </row>
    <row r="97" spans="1:39" x14ac:dyDescent="0.25">
      <c r="A97" s="810"/>
      <c r="B97" s="810"/>
      <c r="C97" s="521" t="s">
        <v>106</v>
      </c>
      <c r="D97" s="521" t="s">
        <v>176</v>
      </c>
      <c r="E97" s="521" t="s">
        <v>106</v>
      </c>
      <c r="F97" s="521" t="s">
        <v>106</v>
      </c>
      <c r="G97" s="721" t="s">
        <v>106</v>
      </c>
      <c r="H97" s="721" t="s">
        <v>176</v>
      </c>
      <c r="I97" s="721" t="s">
        <v>106</v>
      </c>
      <c r="J97" s="721" t="s">
        <v>176</v>
      </c>
      <c r="U97" s="15"/>
      <c r="X97" t="s">
        <v>568</v>
      </c>
      <c r="AE97" t="s">
        <v>971</v>
      </c>
    </row>
    <row r="98" spans="1:39" ht="15" customHeight="1" x14ac:dyDescent="0.25">
      <c r="A98" s="777" t="s">
        <v>67</v>
      </c>
      <c r="B98" s="518" t="s">
        <v>68</v>
      </c>
      <c r="C98" s="520">
        <f>SUMIFS(AS!$W:$W,AS!$BO:$BO,$W$7,AS!$AB:$AB,AS!$AA$1,AS!$AH:$AH,$X$8,AS!$AT:$AT,$X98,AS!$AV:$AV,$X$5,AS!$AW:$AW,$X$32,AS!$X:$X,$Y$5,AS!$AT:$AT,Parkki!$Y$13,AS!$K:$K,$X$31,AS!$F:$F,$V$29,AS!$L:$L,$V$30,AS!$AG:$AG,Parkki!$Y$9)+Z98</f>
        <v>0</v>
      </c>
      <c r="D98" s="552" t="str">
        <f t="shared" ref="D98:D123" si="17">IFERROR(C98/$C$139,"-")</f>
        <v>-</v>
      </c>
      <c r="E98" s="520">
        <f>SUMIFS(AS!$W:$W,AS!$BO:$BO,$W$7,AS!$AB:$AB,AS!$AA$1,AS!$AH:$AH,$X$8,AS!$AT:$AT,$X98,AS!$AV:$AV,$X$5,AS!$AW:$AW,$X$32,AS!$X:$X,$Y$5,AS!$I:$I,$X$7,AS!$AT:$AT,Parkki!$Y$13,AS!$K:$K,$X$31,AS!$F:$F,$V$29,AS!$L:$L,$V$30,AS!$AG:$AG,Parkki!$Y$9)+AA98</f>
        <v>0</v>
      </c>
      <c r="F98" s="520">
        <f>SUMIFS(AS!$W:$W,AS!$BO:$BO,$W$7,AS!$AB:$AB,AS!$AA$1,AS!$AH:$AH,$X$8,AS!$AT:$AT,$X98,AS!$AV:$AV,$X$5,AS!$AW:$AW,$X$32,AS!$X:$X,$Y$5,AS!$I:$I,$Y$7,AS!$AT:$AT,Parkki!$Y$13,AS!$K:$K,$X$31,AS!$F:$F,$V$29,AS!$L:$L,$V$30,AS!$AG:$AG,Parkki!$Y$9)+AB98</f>
        <v>0</v>
      </c>
      <c r="G98" s="719">
        <f>SUMIFS(AS!$W:$W,AS!$BO:$BO,$W$7,AS!$AB:$AB,AS!$AA$1,AS!$AH:$AH,$X$8,AS!$AT:$AT,$X98,AS!$AV:$AV,$X$2,AS!$AW:$AW,$X$32,AS!$X:$X,$Y$5,AS!$AT:$AT,Parkki!$Y$13,AS!$K:$K,$X$31,AS!$F:$F,$V$29,AS!$L:$L,$V$30,AS!$AG:$AG,Parkki!$Y$9)</f>
        <v>0</v>
      </c>
      <c r="H98" s="720" t="str">
        <f t="shared" ref="H98:H138" si="18">IFERROR(G98/$G$139,"-")</f>
        <v>-</v>
      </c>
      <c r="I98" s="719">
        <f>SUMIFS(JA!Z:Z,JA!X:X,Parkki!X98,JA!AF:AF,"OK",JA!AE:AE,"OK")</f>
        <v>0</v>
      </c>
      <c r="J98" s="720" t="str">
        <f t="shared" ref="J98:J138" si="19">IFERROR(I98/$I$139,"-")</f>
        <v>-</v>
      </c>
      <c r="X98" s="35" t="s">
        <v>240</v>
      </c>
      <c r="Z98">
        <f>SUMIFS(AS!$W:$W,AS!$BO:$BO,$W$7,AS!$AB:$AB,AS!$AA$1,AS!$AH:$AH,$X$8,AS!$AT:$AT,$Y98,AS!$AV:$AV,$X$5,AS!$AW:$AW,$X$32,AS!$X:$X,$Y$5,AS!$AT:$AT,Parkki!$Y$13,AS!$K:$K,$X$31,AS!$F:$F,$V$29,AS!$L:$L,$V$30,AS!$AG:$AG,Parkki!$Y$9)</f>
        <v>0</v>
      </c>
      <c r="AA98">
        <f>SUMIFS(AS!$W:$W,AS!$BO:$BO,$W$7,AS!$AB:$AB,AS!$AA$1,AS!$AH:$AH,$X$8,AS!$AT:$AT,$Y98,AS!$AV:$AV,$X$5,AS!$AW:$AW,$X$32,AS!$X:$X,$Y$5,AS!$I:$I,$X$7,AS!$AT:$AT,Parkki!$Y$13,AS!$K:$K,$X$31,AS!$F:$F,$V$29,AS!$L:$L,$V$30,AS!$AG:$AG,Parkki!$Y$9)</f>
        <v>0</v>
      </c>
      <c r="AB98">
        <f>SUMIFS(AS!$W:$W,AS!$BO:$BO,$W$7,AS!$AB:$AB,AS!$AA$1,AS!$AH:$AH,$X$8,AS!$AT:$AT,$Y98,AS!$AV:$AV,$X$5,AS!$AW:$AW,$X$32,AS!$X:$X,$Y$5,AS!$I:$I,$Y$7,AS!$AT:$AT,Parkki!$Y$13,AS!$K:$K,$X$31,AS!$F:$F,$V$29,AS!$L:$L,$V$30,AS!$AG:$AG,Parkki!$Y$9)</f>
        <v>0</v>
      </c>
      <c r="AE98" t="s">
        <v>791</v>
      </c>
      <c r="AG98" s="607" t="s">
        <v>67</v>
      </c>
      <c r="AH98" s="1" t="s">
        <v>1246</v>
      </c>
      <c r="AI98" s="690" t="s">
        <v>1247</v>
      </c>
      <c r="AJ98" s="450" t="s">
        <v>791</v>
      </c>
      <c r="AK98" s="450" t="s">
        <v>1248</v>
      </c>
      <c r="AL98" s="691" t="s">
        <v>1249</v>
      </c>
      <c r="AM98" s="146" t="s">
        <v>240</v>
      </c>
    </row>
    <row r="99" spans="1:39" ht="15" customHeight="1" x14ac:dyDescent="0.25">
      <c r="A99" s="778"/>
      <c r="B99" s="518" t="s">
        <v>1250</v>
      </c>
      <c r="C99" s="520">
        <f>SUMIFS(AS!$W:$W,AS!$BO:$BO,$W$7,AS!$AB:$AB,AS!$AA$1,AS!$AH:$AH,$X$8,AS!$AT:$AT,$X99,AS!$AV:$AV,$X$5,AS!$AW:$AW,$X$32,AS!$X:$X,$Y$5,AS!$AT:$AT,Parkki!$Y$13,AS!$K:$K,$X$31,AS!$F:$F,$V$29,AS!$L:$L,$V$30,AS!$AG:$AG,Parkki!$Y$9)+Z99</f>
        <v>0</v>
      </c>
      <c r="D99" s="552" t="str">
        <f t="shared" si="17"/>
        <v>-</v>
      </c>
      <c r="E99" s="520">
        <f>SUMIFS(AS!$W:$W,AS!$BO:$BO,$W$7,AS!$AB:$AB,AS!$AA$1,AS!$AH:$AH,$X$8,AS!$AT:$AT,$X99,AS!$AV:$AV,$X$5,AS!$AW:$AW,$X$32,AS!$X:$X,$Y$5,AS!$I:$I,$X$7,AS!$AT:$AT,Parkki!$Y$13,AS!$K:$K,$X$31,AS!$F:$F,$V$29,AS!$L:$L,$V$30,AS!$AG:$AG,Parkki!$Y$9)+AA99</f>
        <v>0</v>
      </c>
      <c r="F99" s="520">
        <f>SUMIFS(AS!$W:$W,AS!$BO:$BO,$W$7,AS!$AB:$AB,AS!$AA$1,AS!$AH:$AH,$X$8,AS!$AT:$AT,$X99,AS!$AV:$AV,$X$5,AS!$AW:$AW,$X$32,AS!$X:$X,$Y$5,AS!$I:$I,$Y$7,AS!$AT:$AT,Parkki!$Y$13,AS!$K:$K,$X$31,AS!$F:$F,$V$29,AS!$L:$L,$V$30,AS!$AG:$AG,Parkki!$Y$9)+AB99</f>
        <v>0</v>
      </c>
      <c r="G99" s="719">
        <f>SUMIFS(AS!$W:$W,AS!$BO:$BO,$W$7,AS!$AB:$AB,AS!$AA$1,AS!$AH:$AH,$X$8,AS!$AT:$AT,$X99,AS!$AV:$AV,$X$2,AS!$AW:$AW,$X$32,AS!$X:$X,$Y$5,AS!$AT:$AT,Parkki!$Y$13,AS!$K:$K,$X$31,AS!$F:$F,$V$29,AS!$L:$L,$V$30,AS!$AG:$AG,Parkki!$Y$9)</f>
        <v>0</v>
      </c>
      <c r="H99" s="720" t="str">
        <f t="shared" si="18"/>
        <v>-</v>
      </c>
      <c r="I99" s="719">
        <f>SUMIFS(JA!Z:Z,JA!X:X,Parkki!X99,JA!AF:AF,"OK",JA!AE:AE,"OK")</f>
        <v>0</v>
      </c>
      <c r="J99" s="720" t="str">
        <f t="shared" si="19"/>
        <v>-</v>
      </c>
      <c r="X99" s="616" t="s">
        <v>1220</v>
      </c>
      <c r="Z99">
        <f>SUMIFS(AS!$W:$W,AS!$BO:$BO,$W$7,AS!$AB:$AB,AS!$AA$1,AS!$AH:$AH,$X$8,AS!$AT:$AT,$Y99,AS!$AV:$AV,$X$5,AS!$AW:$AW,$X$32,AS!$X:$X,$Y$5,AS!$AT:$AT,Parkki!$Y$13,AS!$K:$K,$X$31,AS!$F:$F,$V$29,AS!$L:$L,$V$30,AS!$AG:$AG,Parkki!$Y$9)</f>
        <v>0</v>
      </c>
      <c r="AA99">
        <f>SUMIFS(AS!$W:$W,AS!$BO:$BO,$W$7,AS!$AB:$AB,AS!$AA$1,AS!$AH:$AH,$X$8,AS!$AT:$AT,$Y99,AS!$AV:$AV,$X$5,AS!$AW:$AW,$X$32,AS!$X:$X,$Y$5,AS!$I:$I,$X$7,AS!$AT:$AT,Parkki!$Y$13,AS!$K:$K,$X$31,AS!$F:$F,$V$29,AS!$L:$L,$V$30,AS!$AG:$AG,Parkki!$Y$9)</f>
        <v>0</v>
      </c>
      <c r="AB99">
        <f>SUMIFS(AS!$W:$W,AS!$BO:$BO,$W$7,AS!$AB:$AB,AS!$AA$1,AS!$AH:$AH,$X$8,AS!$AT:$AT,$Y99,AS!$AV:$AV,$X$5,AS!$AW:$AW,$X$32,AS!$X:$X,$Y$5,AS!$I:$I,$Y$7,AS!$AT:$AT,Parkki!$Y$13,AS!$K:$K,$X$31,AS!$F:$F,$V$29,AS!$L:$L,$V$30,AS!$AG:$AG,Parkki!$Y$9)</f>
        <v>0</v>
      </c>
      <c r="AE99" t="s">
        <v>1250</v>
      </c>
      <c r="AG99" s="607" t="s">
        <v>67</v>
      </c>
      <c r="AH99" s="1" t="s">
        <v>1246</v>
      </c>
      <c r="AI99" s="690" t="s">
        <v>1247</v>
      </c>
      <c r="AJ99" s="450" t="s">
        <v>1250</v>
      </c>
      <c r="AK99" s="692" t="s">
        <v>1251</v>
      </c>
      <c r="AL99" s="692" t="s">
        <v>1252</v>
      </c>
      <c r="AM99" s="146" t="s">
        <v>1220</v>
      </c>
    </row>
    <row r="100" spans="1:39" x14ac:dyDescent="0.25">
      <c r="A100" s="778"/>
      <c r="B100" s="518" t="s">
        <v>73</v>
      </c>
      <c r="C100" s="520">
        <f>SUMIFS(AS!$W:$W,AS!$BO:$BO,$W$7,AS!$AB:$AB,AS!$AA$1,AS!$AH:$AH,$X$8,AS!$AT:$AT,$X100,AS!$AV:$AV,$X$5,AS!$AW:$AW,$X$32,AS!$X:$X,$Y$5,AS!$AT:$AT,Parkki!$Y$13,AS!$K:$K,$X$31,AS!$F:$F,$V$29,AS!$L:$L,$V$30,AS!$AG:$AG,Parkki!$Y$9)+Z100</f>
        <v>0</v>
      </c>
      <c r="D100" s="552" t="str">
        <f t="shared" si="17"/>
        <v>-</v>
      </c>
      <c r="E100" s="520">
        <f>SUMIFS(AS!$W:$W,AS!$BO:$BO,$W$7,AS!$AB:$AB,AS!$AA$1,AS!$AH:$AH,$X$8,AS!$AT:$AT,$X100,AS!$AV:$AV,$X$5,AS!$AW:$AW,$X$32,AS!$X:$X,$Y$5,AS!$I:$I,$X$7,AS!$AT:$AT,Parkki!$Y$13,AS!$K:$K,$X$31,AS!$F:$F,$V$29,AS!$L:$L,$V$30,AS!$AG:$AG,Parkki!$Y$9)+AA100</f>
        <v>0</v>
      </c>
      <c r="F100" s="520">
        <f>SUMIFS(AS!$W:$W,AS!$BO:$BO,$W$7,AS!$AB:$AB,AS!$AA$1,AS!$AH:$AH,$X$8,AS!$AT:$AT,$X100,AS!$AV:$AV,$X$5,AS!$AW:$AW,$X$32,AS!$X:$X,$Y$5,AS!$I:$I,$Y$7,AS!$AT:$AT,Parkki!$Y$13,AS!$K:$K,$X$31,AS!$F:$F,$V$29,AS!$L:$L,$V$30,AS!$AG:$AG,Parkki!$Y$9)+AB100</f>
        <v>0</v>
      </c>
      <c r="G100" s="719">
        <f>SUMIFS(AS!$W:$W,AS!$BO:$BO,$W$7,AS!$AB:$AB,AS!$AA$1,AS!$AH:$AH,$X$8,AS!$AT:$AT,$X100,AS!$AV:$AV,$X$2,AS!$AW:$AW,$X$32,AS!$X:$X,$Y$5,AS!$AT:$AT,Parkki!$Y$13,AS!$K:$K,$X$31,AS!$F:$F,$V$29,AS!$L:$L,$V$30,AS!$AG:$AG,Parkki!$Y$9)</f>
        <v>0</v>
      </c>
      <c r="H100" s="720" t="str">
        <f t="shared" si="18"/>
        <v>-</v>
      </c>
      <c r="I100" s="719">
        <f>SUMIFS(JA!Z:Z,JA!X:X,Parkki!X100,JA!AF:AF,"OK",JA!AE:AE,"OK")</f>
        <v>0</v>
      </c>
      <c r="J100" s="720" t="str">
        <f t="shared" si="19"/>
        <v>-</v>
      </c>
      <c r="X100" s="35" t="s">
        <v>247</v>
      </c>
      <c r="Z100">
        <f>SUMIFS(AS!$W:$W,AS!$BO:$BO,$W$7,AS!$AB:$AB,AS!$AA$1,AS!$AH:$AH,$X$8,AS!$AT:$AT,$Y100,AS!$AV:$AV,$X$5,AS!$AW:$AW,$X$32,AS!$X:$X,$Y$5,AS!$AT:$AT,Parkki!$Y$13,AS!$K:$K,$X$31,AS!$F:$F,$V$29,AS!$L:$L,$V$30,AS!$AG:$AG,Parkki!$Y$9)</f>
        <v>0</v>
      </c>
      <c r="AA100">
        <f>SUMIFS(AS!$W:$W,AS!$BO:$BO,$W$7,AS!$AB:$AB,AS!$AA$1,AS!$AH:$AH,$X$8,AS!$AT:$AT,$Y100,AS!$AV:$AV,$X$5,AS!$AW:$AW,$X$32,AS!$X:$X,$Y$5,AS!$I:$I,$X$7,AS!$AT:$AT,Parkki!$Y$13,AS!$K:$K,$X$31,AS!$F:$F,$V$29,AS!$L:$L,$V$30,AS!$AG:$AG,Parkki!$Y$9)</f>
        <v>0</v>
      </c>
      <c r="AB100">
        <f>SUMIFS(AS!$W:$W,AS!$BO:$BO,$W$7,AS!$AB:$AB,AS!$AA$1,AS!$AH:$AH,$X$8,AS!$AT:$AT,$Y100,AS!$AV:$AV,$X$5,AS!$AW:$AW,$X$32,AS!$X:$X,$Y$5,AS!$I:$I,$Y$7,AS!$AT:$AT,Parkki!$Y$13,AS!$K:$K,$X$31,AS!$F:$F,$V$29,AS!$L:$L,$V$30,AS!$AG:$AG,Parkki!$Y$9)</f>
        <v>0</v>
      </c>
      <c r="AE100" t="s">
        <v>792</v>
      </c>
      <c r="AG100" s="607" t="s">
        <v>67</v>
      </c>
      <c r="AH100" s="1" t="s">
        <v>1246</v>
      </c>
      <c r="AI100" s="690" t="s">
        <v>1247</v>
      </c>
      <c r="AJ100" s="450" t="s">
        <v>792</v>
      </c>
      <c r="AK100" s="450" t="s">
        <v>1253</v>
      </c>
      <c r="AL100" s="691" t="s">
        <v>1254</v>
      </c>
      <c r="AM100" s="146" t="s">
        <v>247</v>
      </c>
    </row>
    <row r="101" spans="1:39" x14ac:dyDescent="0.25">
      <c r="A101" s="778"/>
      <c r="B101" s="518" t="s">
        <v>1061</v>
      </c>
      <c r="C101" s="520">
        <f>SUMIFS(AS!$W:$W,AS!$BO:$BO,$W$7,AS!$AB:$AB,AS!$AA$1,AS!$AH:$AH,$X$8,AS!$AT:$AT,$X101,AS!$AV:$AV,$X$5,AS!$AW:$AW,$X$32,AS!$X:$X,$Y$5,AS!$AT:$AT,Parkki!$Y$13,AS!$K:$K,$X$31,AS!$F:$F,$V$29,AS!$L:$L,$V$30,AS!$AG:$AG,Parkki!$Y$9)+Z101</f>
        <v>0</v>
      </c>
      <c r="D101" s="552" t="str">
        <f t="shared" si="17"/>
        <v>-</v>
      </c>
      <c r="E101" s="520">
        <f>SUMIFS(AS!$W:$W,AS!$BO:$BO,$W$7,AS!$AB:$AB,AS!$AA$1,AS!$AH:$AH,$X$8,AS!$AT:$AT,$X101,AS!$AV:$AV,$X$5,AS!$AW:$AW,$X$32,AS!$X:$X,$Y$5,AS!$I:$I,$X$7,AS!$AT:$AT,Parkki!$Y$13,AS!$K:$K,$X$31,AS!$F:$F,$V$29,AS!$L:$L,$V$30,AS!$AG:$AG,Parkki!$Y$9)+AA101</f>
        <v>0</v>
      </c>
      <c r="F101" s="520">
        <f>SUMIFS(AS!$W:$W,AS!$BO:$BO,$W$7,AS!$AB:$AB,AS!$AA$1,AS!$AH:$AH,$X$8,AS!$AT:$AT,$X101,AS!$AV:$AV,$X$5,AS!$AW:$AW,$X$32,AS!$X:$X,$Y$5,AS!$I:$I,$Y$7,AS!$AT:$AT,Parkki!$Y$13,AS!$K:$K,$X$31,AS!$F:$F,$V$29,AS!$L:$L,$V$30,AS!$AG:$AG,Parkki!$Y$9)+AB101</f>
        <v>0</v>
      </c>
      <c r="G101" s="719">
        <f>SUMIFS(AS!$W:$W,AS!$BO:$BO,$W$7,AS!$AB:$AB,AS!$AA$1,AS!$AH:$AH,$X$8,AS!$AT:$AT,$X101,AS!$AV:$AV,$X$2,AS!$AW:$AW,$X$32,AS!$X:$X,$Y$5,AS!$AT:$AT,Parkki!$Y$13,AS!$K:$K,$X$31,AS!$F:$F,$V$29,AS!$L:$L,$V$30,AS!$AG:$AG,Parkki!$Y$9)</f>
        <v>0</v>
      </c>
      <c r="H101" s="720" t="str">
        <f t="shared" si="18"/>
        <v>-</v>
      </c>
      <c r="I101" s="719">
        <f>SUMIFS(JA!Z:Z,JA!X:X,Parkki!X101,JA!AF:AF,"OK",JA!AE:AE,"OK")</f>
        <v>0</v>
      </c>
      <c r="J101" s="720" t="str">
        <f t="shared" si="19"/>
        <v>-</v>
      </c>
      <c r="X101" s="514" t="s">
        <v>1041</v>
      </c>
      <c r="Y101" s="513" t="s">
        <v>219</v>
      </c>
      <c r="Z101">
        <f>SUMIFS(AS!$W:$W,AS!$BO:$BO,$W$7,AS!$AB:$AB,AS!$AA$1,AS!$AH:$AH,$X$8,AS!$AT:$AT,$Y101,AS!$AV:$AV,$X$5,AS!$AW:$AW,$X$32,AS!$X:$X,$Y$5,AS!$AT:$AT,Parkki!$Y$13,AS!$K:$K,$X$31,AS!$F:$F,$V$29,AS!$L:$L,$V$30,AS!$AG:$AG,Parkki!$Y$9)</f>
        <v>0</v>
      </c>
      <c r="AA101">
        <f>SUMIFS(AS!$W:$W,AS!$BO:$BO,$W$7,AS!$AB:$AB,AS!$AA$1,AS!$AH:$AH,$X$8,AS!$AT:$AT,$Y101,AS!$AV:$AV,$X$5,AS!$AW:$AW,$X$32,AS!$X:$X,$Y$5,AS!$I:$I,$X$7,AS!$AT:$AT,Parkki!$Y$13,AS!$K:$K,$X$31,AS!$F:$F,$V$29,AS!$L:$L,$V$30,AS!$AG:$AG,Parkki!$Y$9)</f>
        <v>0</v>
      </c>
      <c r="AB101">
        <f>SUMIFS(AS!$W:$W,AS!$BO:$BO,$W$7,AS!$AB:$AB,AS!$AA$1,AS!$AH:$AH,$X$8,AS!$AT:$AT,$Y101,AS!$AV:$AV,$X$5,AS!$AW:$AW,$X$32,AS!$X:$X,$Y$5,AS!$I:$I,$Y$7,AS!$AT:$AT,Parkki!$Y$13,AS!$K:$K,$X$31,AS!$F:$F,$V$29,AS!$L:$L,$V$30,AS!$AG:$AG,Parkki!$Y$9)</f>
        <v>0</v>
      </c>
      <c r="AE101" t="s">
        <v>1065</v>
      </c>
      <c r="AG101" s="607" t="s">
        <v>67</v>
      </c>
      <c r="AH101" s="1" t="s">
        <v>1246</v>
      </c>
      <c r="AI101" s="690" t="s">
        <v>1247</v>
      </c>
      <c r="AJ101" s="450" t="s">
        <v>1065</v>
      </c>
      <c r="AK101" s="450" t="s">
        <v>1255</v>
      </c>
      <c r="AL101" s="691" t="s">
        <v>1256</v>
      </c>
      <c r="AM101" s="146" t="s">
        <v>1041</v>
      </c>
    </row>
    <row r="102" spans="1:39" x14ac:dyDescent="0.25">
      <c r="A102" s="778"/>
      <c r="B102" s="62" t="s">
        <v>1606</v>
      </c>
      <c r="C102" s="520">
        <f>SUMIFS(AS!$W:$W,AS!$BO:$BO,$W$7,AS!$AB:$AB,AS!$AA$1,AS!$AH:$AH,$X$8,AS!$AT:$AT,$X102,AS!$AV:$AV,$X$5,AS!$AW:$AW,$X$32,AS!$X:$X,$Y$5,AS!$AT:$AT,Parkki!$Y$13,AS!$K:$K,$X$31,AS!$F:$F,$V$29,AS!$L:$L,$V$30,AS!$AG:$AG,Parkki!$Y$9)+Z102</f>
        <v>0</v>
      </c>
      <c r="D102" s="552" t="str">
        <f t="shared" si="17"/>
        <v>-</v>
      </c>
      <c r="E102" s="520">
        <f>SUMIFS(AS!$W:$W,AS!$BO:$BO,$W$7,AS!$AB:$AB,AS!$AA$1,AS!$AH:$AH,$X$8,AS!$AT:$AT,$X102,AS!$AV:$AV,$X$5,AS!$AW:$AW,$X$32,AS!$X:$X,$Y$5,AS!$I:$I,$X$7,AS!$AT:$AT,Parkki!$Y$13,AS!$K:$K,$X$31,AS!$F:$F,$V$29,AS!$L:$L,$V$30,AS!$AG:$AG,Parkki!$Y$9)+AA102</f>
        <v>0</v>
      </c>
      <c r="F102" s="520">
        <f>SUMIFS(AS!$W:$W,AS!$BO:$BO,$W$7,AS!$AB:$AB,AS!$AA$1,AS!$AH:$AH,$X$8,AS!$AT:$AT,$X102,AS!$AV:$AV,$X$5,AS!$AW:$AW,$X$32,AS!$X:$X,$Y$5,AS!$I:$I,$Y$7,AS!$AT:$AT,Parkki!$Y$13,AS!$K:$K,$X$31,AS!$F:$F,$V$29,AS!$L:$L,$V$30,AS!$AG:$AG,Parkki!$Y$9)+AB102</f>
        <v>0</v>
      </c>
      <c r="G102" s="719">
        <f>SUMIFS(AS!$W:$W,AS!$BO:$BO,$W$7,AS!$AB:$AB,AS!$AA$1,AS!$AH:$AH,$X$8,AS!$AT:$AT,$X102,AS!$AV:$AV,$X$2,AS!$AW:$AW,$X$32,AS!$X:$X,$Y$5,AS!$AT:$AT,Parkki!$Y$13,AS!$K:$K,$X$31,AS!$F:$F,$V$29,AS!$L:$L,$V$30,AS!$AG:$AG,Parkki!$Y$9)</f>
        <v>0</v>
      </c>
      <c r="H102" s="720" t="str">
        <f t="shared" si="18"/>
        <v>-</v>
      </c>
      <c r="I102" s="719">
        <f>SUMIFS(JA!Z:Z,JA!X:X,Parkki!X102,JA!AF:AF,"OK",JA!AE:AE,"OK")</f>
        <v>0</v>
      </c>
      <c r="J102" s="720" t="str">
        <f t="shared" si="19"/>
        <v>-</v>
      </c>
      <c r="X102" s="514" t="s">
        <v>1607</v>
      </c>
      <c r="Y102" s="763"/>
      <c r="Z102">
        <f>SUMIFS(AS!$W:$W,AS!$BO:$BO,$W$7,AS!$AB:$AB,AS!$AA$1,AS!$AH:$AH,$X$8,AS!$AT:$AT,$Y102,AS!$AV:$AV,$X$5,AS!$AW:$AW,$X$32,AS!$X:$X,$Y$5,AS!$AT:$AT,Parkki!$Y$13,AS!$K:$K,$X$31,AS!$F:$F,$V$29,AS!$L:$L,$V$30,AS!$AG:$AG,Parkki!$Y$9)</f>
        <v>0</v>
      </c>
      <c r="AA102">
        <f>SUMIFS(AS!$W:$W,AS!$BO:$BO,$W$7,AS!$AB:$AB,AS!$AA$1,AS!$AH:$AH,$X$8,AS!$AT:$AT,$Y102,AS!$AV:$AV,$X$5,AS!$AW:$AW,$X$32,AS!$X:$X,$Y$5,AS!$I:$I,$X$7,AS!$AT:$AT,Parkki!$Y$13,AS!$K:$K,$X$31,AS!$F:$F,$V$29,AS!$L:$L,$V$30,AS!$AG:$AG,Parkki!$Y$9)</f>
        <v>0</v>
      </c>
      <c r="AB102">
        <f>SUMIFS(AS!$W:$W,AS!$BO:$BO,$W$7,AS!$AB:$AB,AS!$AA$1,AS!$AH:$AH,$X$8,AS!$AT:$AT,$Y102,AS!$AV:$AV,$X$5,AS!$AW:$AW,$X$32,AS!$X:$X,$Y$5,AS!$I:$I,$Y$7,AS!$AT:$AT,Parkki!$Y$13,AS!$K:$K,$X$31,AS!$F:$F,$V$29,AS!$L:$L,$V$30,AS!$AG:$AG,Parkki!$Y$9)</f>
        <v>0</v>
      </c>
      <c r="AG102" s="607"/>
      <c r="AH102" s="1"/>
      <c r="AI102" s="690"/>
      <c r="AJ102" s="450"/>
      <c r="AK102" s="450"/>
      <c r="AL102" s="691"/>
      <c r="AM102" s="146"/>
    </row>
    <row r="103" spans="1:39" x14ac:dyDescent="0.25">
      <c r="A103" s="778"/>
      <c r="B103" s="518" t="s">
        <v>1345</v>
      </c>
      <c r="C103" s="520">
        <f>SUMIFS(AS!$W:$W,AS!$BO:$BO,$W$7,AS!$AB:$AB,AS!$AA$1,AS!$AH:$AH,$X$8,AS!$AT:$AT,$X103,AS!$AV:$AV,$X$5,AS!$AW:$AW,$X$32,AS!$X:$X,$Y$5,AS!$AT:$AT,Parkki!$Y$13,AS!$K:$K,$X$31,AS!$F:$F,$V$29,AS!$L:$L,$V$30,AS!$AG:$AG,Parkki!$Y$9)+Z103</f>
        <v>0</v>
      </c>
      <c r="D103" s="552" t="str">
        <f t="shared" si="17"/>
        <v>-</v>
      </c>
      <c r="E103" s="520">
        <f>SUMIFS(AS!$W:$W,AS!$BO:$BO,$W$7,AS!$AB:$AB,AS!$AA$1,AS!$AH:$AH,$X$8,AS!$AT:$AT,$X103,AS!$AV:$AV,$X$5,AS!$AW:$AW,$X$32,AS!$X:$X,$Y$5,AS!$I:$I,$X$7,AS!$AT:$AT,Parkki!$Y$13,AS!$K:$K,$X$31,AS!$F:$F,$V$29,AS!$L:$L,$V$30,AS!$AG:$AG,Parkki!$Y$9)+AA103</f>
        <v>0</v>
      </c>
      <c r="F103" s="520">
        <f>SUMIFS(AS!$W:$W,AS!$BO:$BO,$W$7,AS!$AB:$AB,AS!$AA$1,AS!$AH:$AH,$X$8,AS!$AT:$AT,$X103,AS!$AV:$AV,$X$5,AS!$AW:$AW,$X$32,AS!$X:$X,$Y$5,AS!$I:$I,$Y$7,AS!$AT:$AT,Parkki!$Y$13,AS!$K:$K,$X$31,AS!$F:$F,$V$29,AS!$L:$L,$V$30,AS!$AG:$AG,Parkki!$Y$9)+AB103</f>
        <v>0</v>
      </c>
      <c r="G103" s="719">
        <f>SUMIFS(AS!$W:$W,AS!$BO:$BO,$W$7,AS!$AB:$AB,AS!$AA$1,AS!$AH:$AH,$X$8,AS!$AT:$AT,$X103,AS!$AV:$AV,$X$2,AS!$AW:$AW,$X$32,AS!$X:$X,$Y$5,AS!$AT:$AT,Parkki!$Y$13,AS!$K:$K,$X$31,AS!$F:$F,$V$29,AS!$L:$L,$V$30,AS!$AG:$AG,Parkki!$Y$9)</f>
        <v>0</v>
      </c>
      <c r="H103" s="720" t="str">
        <f t="shared" si="18"/>
        <v>-</v>
      </c>
      <c r="I103" s="719">
        <f>SUMIFS(JA!Z:Z,JA!X:X,Parkki!X103,JA!AF:AF,"OK",JA!AE:AE,"OK")</f>
        <v>0</v>
      </c>
      <c r="J103" s="720" t="str">
        <f t="shared" si="19"/>
        <v>-</v>
      </c>
      <c r="X103" s="514" t="s">
        <v>1039</v>
      </c>
      <c r="Z103">
        <f>SUMIFS(AS!$W:$W,AS!$BO:$BO,$W$7,AS!$AB:$AB,AS!$AA$1,AS!$AH:$AH,$X$8,AS!$AT:$AT,$Y103,AS!$AV:$AV,$X$5,AS!$AW:$AW,$X$32,AS!$X:$X,$Y$5,AS!$AT:$AT,Parkki!$Y$13,AS!$K:$K,$X$31,AS!$F:$F,$V$29,AS!$L:$L,$V$30,AS!$AG:$AG,Parkki!$Y$9)</f>
        <v>0</v>
      </c>
      <c r="AA103">
        <f>SUMIFS(AS!$W:$W,AS!$BO:$BO,$W$7,AS!$AB:$AB,AS!$AA$1,AS!$AH:$AH,$X$8,AS!$AT:$AT,$Y103,AS!$AV:$AV,$X$5,AS!$AW:$AW,$X$32,AS!$X:$X,$Y$5,AS!$I:$I,$X$7,AS!$AT:$AT,Parkki!$Y$13,AS!$K:$K,$X$31,AS!$F:$F,$V$29,AS!$L:$L,$V$30,AS!$AG:$AG,Parkki!$Y$9)</f>
        <v>0</v>
      </c>
      <c r="AB103">
        <f>SUMIFS(AS!$W:$W,AS!$BO:$BO,$W$7,AS!$AB:$AB,AS!$AA$1,AS!$AH:$AH,$X$8,AS!$AT:$AT,$Y103,AS!$AV:$AV,$X$5,AS!$AW:$AW,$X$32,AS!$X:$X,$Y$5,AS!$I:$I,$Y$7,AS!$AT:$AT,Parkki!$Y$13,AS!$K:$K,$X$31,AS!$F:$F,$V$29,AS!$L:$L,$V$30,AS!$AG:$AG,Parkki!$Y$9)</f>
        <v>0</v>
      </c>
      <c r="AE103" t="s">
        <v>1066</v>
      </c>
      <c r="AG103" s="607" t="s">
        <v>67</v>
      </c>
      <c r="AH103" s="1" t="s">
        <v>1246</v>
      </c>
      <c r="AI103" s="690" t="s">
        <v>1247</v>
      </c>
      <c r="AJ103" s="450" t="s">
        <v>1066</v>
      </c>
      <c r="AK103" s="450" t="s">
        <v>1257</v>
      </c>
      <c r="AL103" s="450" t="s">
        <v>1258</v>
      </c>
      <c r="AM103" s="146" t="s">
        <v>1039</v>
      </c>
    </row>
    <row r="104" spans="1:39" x14ac:dyDescent="0.25">
      <c r="A104" s="778"/>
      <c r="B104" s="518" t="s">
        <v>1346</v>
      </c>
      <c r="C104" s="520">
        <f>SUMIFS(AS!$W:$W,AS!$BO:$BO,$W$7,AS!$AB:$AB,AS!$AA$1,AS!$AH:$AH,$X$8,AS!$AT:$AT,$X104,AS!$AV:$AV,$X$5,AS!$AW:$AW,$X$32,AS!$X:$X,$Y$5,AS!$AT:$AT,Parkki!$Y$13,AS!$K:$K,$X$31,AS!$F:$F,$V$29,AS!$L:$L,$V$30,AS!$AG:$AG,Parkki!$Y$9)+Z104</f>
        <v>0</v>
      </c>
      <c r="D104" s="552" t="str">
        <f t="shared" si="17"/>
        <v>-</v>
      </c>
      <c r="E104" s="520">
        <f>SUMIFS(AS!$W:$W,AS!$BO:$BO,$W$7,AS!$AB:$AB,AS!$AA$1,AS!$AH:$AH,$X$8,AS!$AT:$AT,$X104,AS!$AV:$AV,$X$5,AS!$AW:$AW,$X$32,AS!$X:$X,$Y$5,AS!$I:$I,$X$7,AS!$AT:$AT,Parkki!$Y$13,AS!$K:$K,$X$31,AS!$F:$F,$V$29,AS!$L:$L,$V$30,AS!$AG:$AG,Parkki!$Y$9)+AA104</f>
        <v>0</v>
      </c>
      <c r="F104" s="520">
        <f>SUMIFS(AS!$W:$W,AS!$BO:$BO,$W$7,AS!$AB:$AB,AS!$AA$1,AS!$AH:$AH,$X$8,AS!$AT:$AT,$X104,AS!$AV:$AV,$X$5,AS!$AW:$AW,$X$32,AS!$X:$X,$Y$5,AS!$I:$I,$Y$7,AS!$AT:$AT,Parkki!$Y$13,AS!$K:$K,$X$31,AS!$F:$F,$V$29,AS!$L:$L,$V$30,AS!$AG:$AG,Parkki!$Y$9)+AB104</f>
        <v>0</v>
      </c>
      <c r="G104" s="719">
        <f>SUMIFS(AS!$W:$W,AS!$BO:$BO,$W$7,AS!$AB:$AB,AS!$AA$1,AS!$AH:$AH,$X$8,AS!$AT:$AT,$X104,AS!$AV:$AV,$X$2,AS!$AW:$AW,$X$32,AS!$X:$X,$Y$5,AS!$AT:$AT,Parkki!$Y$13,AS!$K:$K,$X$31,AS!$F:$F,$V$29,AS!$L:$L,$V$30,AS!$AG:$AG,Parkki!$Y$9)</f>
        <v>0</v>
      </c>
      <c r="H104" s="720" t="str">
        <f t="shared" si="18"/>
        <v>-</v>
      </c>
      <c r="I104" s="719">
        <f>SUMIFS(JA!Z:Z,JA!X:X,Parkki!X104,JA!AF:AF,"OK",JA!AE:AE,"OK")</f>
        <v>0</v>
      </c>
      <c r="J104" s="720" t="str">
        <f t="shared" si="19"/>
        <v>-</v>
      </c>
      <c r="X104" s="514" t="s">
        <v>1040</v>
      </c>
      <c r="Z104">
        <f>SUMIFS(AS!$W:$W,AS!$BO:$BO,$W$7,AS!$AB:$AB,AS!$AA$1,AS!$AH:$AH,$X$8,AS!$AT:$AT,$Y104,AS!$AV:$AV,$X$5,AS!$AW:$AW,$X$32,AS!$X:$X,$Y$5,AS!$AT:$AT,Parkki!$Y$13,AS!$K:$K,$X$31,AS!$F:$F,$V$29,AS!$L:$L,$V$30,AS!$AG:$AG,Parkki!$Y$9)</f>
        <v>0</v>
      </c>
      <c r="AA104">
        <f>SUMIFS(AS!$W:$W,AS!$BO:$BO,$W$7,AS!$AB:$AB,AS!$AA$1,AS!$AH:$AH,$X$8,AS!$AT:$AT,$Y104,AS!$AV:$AV,$X$5,AS!$AW:$AW,$X$32,AS!$X:$X,$Y$5,AS!$I:$I,$X$7,AS!$AT:$AT,Parkki!$Y$13,AS!$K:$K,$X$31,AS!$F:$F,$V$29,AS!$L:$L,$V$30,AS!$AG:$AG,Parkki!$Y$9)</f>
        <v>0</v>
      </c>
      <c r="AB104">
        <f>SUMIFS(AS!$W:$W,AS!$BO:$BO,$W$7,AS!$AB:$AB,AS!$AA$1,AS!$AH:$AH,$X$8,AS!$AT:$AT,$Y104,AS!$AV:$AV,$X$5,AS!$AW:$AW,$X$32,AS!$X:$X,$Y$5,AS!$I:$I,$Y$7,AS!$AT:$AT,Parkki!$Y$13,AS!$K:$K,$X$31,AS!$F:$F,$V$29,AS!$L:$L,$V$30,AS!$AG:$AG,Parkki!$Y$9)</f>
        <v>0</v>
      </c>
      <c r="AE104" t="s">
        <v>1067</v>
      </c>
      <c r="AG104" s="607" t="s">
        <v>67</v>
      </c>
      <c r="AH104" s="1" t="s">
        <v>1246</v>
      </c>
      <c r="AI104" s="690" t="s">
        <v>1247</v>
      </c>
      <c r="AJ104" s="450" t="s">
        <v>1067</v>
      </c>
      <c r="AK104" s="450" t="s">
        <v>1259</v>
      </c>
      <c r="AL104" s="450" t="s">
        <v>1260</v>
      </c>
      <c r="AM104" s="146" t="s">
        <v>1040</v>
      </c>
    </row>
    <row r="105" spans="1:39" x14ac:dyDescent="0.25">
      <c r="A105" s="778"/>
      <c r="B105" s="518" t="s">
        <v>141</v>
      </c>
      <c r="C105" s="520">
        <f>SUMIFS(AS!$W:$W,AS!$BO:$BO,$W$7,AS!$AB:$AB,AS!$AA$1,AS!$AH:$AH,$X$8,AS!$AT:$AT,$X105,AS!$AV:$AV,$X$5,AS!$AW:$AW,$X$32,AS!$X:$X,$Y$5,AS!$AT:$AT,Parkki!$Y$13,AS!$K:$K,$X$31,AS!$F:$F,$V$29,AS!$L:$L,$V$30,AS!$AG:$AG,Parkki!$Y$9)+Z105</f>
        <v>0</v>
      </c>
      <c r="D105" s="552" t="str">
        <f t="shared" si="17"/>
        <v>-</v>
      </c>
      <c r="E105" s="520">
        <f>SUMIFS(AS!$W:$W,AS!$BO:$BO,$W$7,AS!$AB:$AB,AS!$AA$1,AS!$AH:$AH,$X$8,AS!$AT:$AT,$X105,AS!$AV:$AV,$X$5,AS!$AW:$AW,$X$32,AS!$X:$X,$Y$5,AS!$I:$I,$X$7,AS!$AT:$AT,Parkki!$Y$13,AS!$K:$K,$X$31,AS!$F:$F,$V$29,AS!$L:$L,$V$30,AS!$AG:$AG,Parkki!$Y$9)+AA105</f>
        <v>0</v>
      </c>
      <c r="F105" s="520">
        <f>SUMIFS(AS!$W:$W,AS!$BO:$BO,$W$7,AS!$AB:$AB,AS!$AA$1,AS!$AH:$AH,$X$8,AS!$AT:$AT,$X105,AS!$AV:$AV,$X$5,AS!$AW:$AW,$X$32,AS!$X:$X,$Y$5,AS!$I:$I,$Y$7,AS!$AT:$AT,Parkki!$Y$13,AS!$K:$K,$X$31,AS!$F:$F,$V$29,AS!$L:$L,$V$30,AS!$AG:$AG,Parkki!$Y$9)+AB105</f>
        <v>0</v>
      </c>
      <c r="G105" s="719">
        <f>SUMIFS(AS!$W:$W,AS!$BO:$BO,$W$7,AS!$AB:$AB,AS!$AA$1,AS!$AH:$AH,$X$8,AS!$AT:$AT,$X105,AS!$AV:$AV,$X$2,AS!$AW:$AW,$X$32,AS!$X:$X,$Y$5,AS!$AT:$AT,Parkki!$Y$13,AS!$K:$K,$X$31,AS!$F:$F,$V$29,AS!$L:$L,$V$30,AS!$AG:$AG,Parkki!$Y$9)</f>
        <v>0</v>
      </c>
      <c r="H105" s="720" t="str">
        <f t="shared" si="18"/>
        <v>-</v>
      </c>
      <c r="I105" s="719">
        <f>SUMIFS(JA!Z:Z,JA!X:X,Parkki!X105,JA!AF:AF,"OK",JA!AE:AE,"OK")</f>
        <v>0</v>
      </c>
      <c r="J105" s="720" t="str">
        <f t="shared" si="19"/>
        <v>-</v>
      </c>
      <c r="X105" s="35" t="s">
        <v>217</v>
      </c>
      <c r="Z105">
        <f>SUMIFS(AS!$W:$W,AS!$BO:$BO,$W$7,AS!$AB:$AB,AS!$AA$1,AS!$AH:$AH,$X$8,AS!$AT:$AT,$Y105,AS!$AV:$AV,$X$5,AS!$AW:$AW,$X$32,AS!$X:$X,$Y$5,AS!$AT:$AT,Parkki!$Y$13,AS!$K:$K,$X$31,AS!$F:$F,$V$29,AS!$L:$L,$V$30,AS!$AG:$AG,Parkki!$Y$9)</f>
        <v>0</v>
      </c>
      <c r="AA105">
        <f>SUMIFS(AS!$W:$W,AS!$BO:$BO,$W$7,AS!$AB:$AB,AS!$AA$1,AS!$AH:$AH,$X$8,AS!$AT:$AT,$Y105,AS!$AV:$AV,$X$5,AS!$AW:$AW,$X$32,AS!$X:$X,$Y$5,AS!$I:$I,$X$7,AS!$AT:$AT,Parkki!$Y$13,AS!$K:$K,$X$31,AS!$F:$F,$V$29,AS!$L:$L,$V$30,AS!$AG:$AG,Parkki!$Y$9)</f>
        <v>0</v>
      </c>
      <c r="AB105">
        <f>SUMIFS(AS!$W:$W,AS!$BO:$BO,$W$7,AS!$AB:$AB,AS!$AA$1,AS!$AH:$AH,$X$8,AS!$AT:$AT,$Y105,AS!$AV:$AV,$X$5,AS!$AW:$AW,$X$32,AS!$X:$X,$Y$5,AS!$I:$I,$Y$7,AS!$AT:$AT,Parkki!$Y$13,AS!$K:$K,$X$31,AS!$F:$F,$V$29,AS!$L:$L,$V$30,AS!$AG:$AG,Parkki!$Y$9)</f>
        <v>0</v>
      </c>
      <c r="AE105" t="s">
        <v>793</v>
      </c>
      <c r="AG105" s="607" t="s">
        <v>67</v>
      </c>
      <c r="AH105" s="1" t="s">
        <v>1246</v>
      </c>
      <c r="AI105" s="690" t="s">
        <v>1247</v>
      </c>
      <c r="AJ105" s="450" t="s">
        <v>793</v>
      </c>
      <c r="AK105" s="450" t="s">
        <v>1261</v>
      </c>
      <c r="AL105" s="691" t="s">
        <v>1262</v>
      </c>
      <c r="AM105" s="146" t="s">
        <v>217</v>
      </c>
    </row>
    <row r="106" spans="1:39" x14ac:dyDescent="0.25">
      <c r="A106" s="779"/>
      <c r="B106" s="62" t="s">
        <v>1610</v>
      </c>
      <c r="C106" s="520">
        <f>SUMIFS(AS!$W:$W,AS!$BO:$BO,$W$7,AS!$AB:$AB,AS!$AA$1,AS!$AH:$AH,$X$8,AS!$AT:$AT,$X106,AS!$AV:$AV,$X$5,AS!$AW:$AW,$X$32,AS!$X:$X,$Y$5,AS!$AT:$AT,Parkki!$Y$13,AS!$K:$K,$X$31,AS!$F:$F,$V$29,AS!$L:$L,$V$30,AS!$AG:$AG,Parkki!$Y$9)+Z106</f>
        <v>0</v>
      </c>
      <c r="D106" s="552" t="str">
        <f t="shared" si="17"/>
        <v>-</v>
      </c>
      <c r="E106" s="520">
        <f>SUMIFS(AS!$W:$W,AS!$BO:$BO,$W$7,AS!$AB:$AB,AS!$AA$1,AS!$AH:$AH,$X$8,AS!$AT:$AT,$X106,AS!$AV:$AV,$X$5,AS!$AW:$AW,$X$32,AS!$X:$X,$Y$5,AS!$I:$I,$X$7,AS!$AT:$AT,Parkki!$Y$13,AS!$K:$K,$X$31,AS!$F:$F,$V$29,AS!$L:$L,$V$30,AS!$AG:$AG,Parkki!$Y$9)+AA106</f>
        <v>0</v>
      </c>
      <c r="F106" s="520">
        <f>SUMIFS(AS!$W:$W,AS!$BO:$BO,$W$7,AS!$AB:$AB,AS!$AA$1,AS!$AH:$AH,$X$8,AS!$AT:$AT,$X106,AS!$AV:$AV,$X$5,AS!$AW:$AW,$X$32,AS!$X:$X,$Y$5,AS!$I:$I,$Y$7,AS!$AT:$AT,Parkki!$Y$13,AS!$K:$K,$X$31,AS!$F:$F,$V$29,AS!$L:$L,$V$30,AS!$AG:$AG,Parkki!$Y$9)+AB106</f>
        <v>0</v>
      </c>
      <c r="G106" s="719">
        <f>SUMIFS(AS!$W:$W,AS!$BO:$BO,$W$7,AS!$AB:$AB,AS!$AA$1,AS!$AH:$AH,$X$8,AS!$AT:$AT,$X106,AS!$AV:$AV,$X$2,AS!$AW:$AW,$X$32,AS!$X:$X,$Y$5,AS!$AT:$AT,Parkki!$Y$13,AS!$K:$K,$X$31,AS!$F:$F,$V$29,AS!$L:$L,$V$30,AS!$AG:$AG,Parkki!$Y$9)</f>
        <v>0</v>
      </c>
      <c r="H106" s="720" t="str">
        <f t="shared" si="18"/>
        <v>-</v>
      </c>
      <c r="I106" s="719">
        <f>SUMIFS(JA!Z:Z,JA!X:X,Parkki!X106,JA!AF:AF,"OK",JA!AE:AE,"OK")</f>
        <v>0</v>
      </c>
      <c r="J106" s="720" t="str">
        <f t="shared" si="19"/>
        <v>-</v>
      </c>
      <c r="X106" s="35" t="s">
        <v>1609</v>
      </c>
      <c r="Z106">
        <f>SUMIFS(AS!$W:$W,AS!$BO:$BO,$W$7,AS!$AB:$AB,AS!$AA$1,AS!$AH:$AH,$X$8,AS!$AT:$AT,$Y106,AS!$AV:$AV,$X$5,AS!$AW:$AW,$X$32,AS!$X:$X,$Y$5,AS!$AT:$AT,Parkki!$Y$13,AS!$K:$K,$X$31,AS!$F:$F,$V$29,AS!$L:$L,$V$30,AS!$AG:$AG,Parkki!$Y$9)</f>
        <v>0</v>
      </c>
      <c r="AA106">
        <f>SUMIFS(AS!$W:$W,AS!$BO:$BO,$W$7,AS!$AB:$AB,AS!$AA$1,AS!$AH:$AH,$X$8,AS!$AT:$AT,$Y106,AS!$AV:$AV,$X$5,AS!$AW:$AW,$X$32,AS!$X:$X,$Y$5,AS!$I:$I,$X$7,AS!$AT:$AT,Parkki!$Y$13,AS!$K:$K,$X$31,AS!$F:$F,$V$29,AS!$L:$L,$V$30,AS!$AG:$AG,Parkki!$Y$9)</f>
        <v>0</v>
      </c>
      <c r="AB106">
        <f>SUMIFS(AS!$W:$W,AS!$BO:$BO,$W$7,AS!$AB:$AB,AS!$AA$1,AS!$AH:$AH,$X$8,AS!$AT:$AT,$Y106,AS!$AV:$AV,$X$5,AS!$AW:$AW,$X$32,AS!$X:$X,$Y$5,AS!$I:$I,$Y$7,AS!$AT:$AT,Parkki!$Y$13,AS!$K:$K,$X$31,AS!$F:$F,$V$29,AS!$L:$L,$V$30,AS!$AG:$AG,Parkki!$Y$9)</f>
        <v>0</v>
      </c>
      <c r="AG106" s="607"/>
      <c r="AH106" s="1"/>
      <c r="AI106" s="690"/>
      <c r="AJ106" s="450"/>
      <c r="AK106" s="450"/>
      <c r="AL106" s="691"/>
      <c r="AM106" s="146"/>
    </row>
    <row r="107" spans="1:39" ht="15" customHeight="1" x14ac:dyDescent="0.25">
      <c r="A107" s="828" t="s">
        <v>1608</v>
      </c>
      <c r="B107" s="518" t="s">
        <v>1347</v>
      </c>
      <c r="C107" s="520">
        <f>SUMIFS(AS!$W:$W,AS!$BO:$BO,$W$7,AS!$AB:$AB,AS!$AA$1,AS!$AH:$AH,$X$8,AS!$AT:$AT,$X107,AS!$AV:$AV,$X$5,AS!$AW:$AW,$X$32,AS!$X:$X,$Y$5,AS!$AT:$AT,Parkki!$Y$13,AS!$K:$K,$X$31,AS!$F:$F,$V$29,AS!$L:$L,$V$30,AS!$AG:$AG,Parkki!$Y$9)+Z107</f>
        <v>0</v>
      </c>
      <c r="D107" s="552" t="str">
        <f t="shared" si="17"/>
        <v>-</v>
      </c>
      <c r="E107" s="520">
        <f>SUMIFS(AS!$W:$W,AS!$BO:$BO,$W$7,AS!$AB:$AB,AS!$AA$1,AS!$AH:$AH,$X$8,AS!$AT:$AT,$X107,AS!$AV:$AV,$X$5,AS!$AW:$AW,$X$32,AS!$X:$X,$Y$5,AS!$I:$I,$X$7,AS!$AT:$AT,Parkki!$Y$13,AS!$K:$K,$X$31,AS!$F:$F,$V$29,AS!$L:$L,$V$30,AS!$AG:$AG,Parkki!$Y$9)+AA107</f>
        <v>0</v>
      </c>
      <c r="F107" s="520">
        <f>SUMIFS(AS!$W:$W,AS!$BO:$BO,$W$7,AS!$AB:$AB,AS!$AA$1,AS!$AH:$AH,$X$8,AS!$AT:$AT,$X107,AS!$AV:$AV,$X$5,AS!$AW:$AW,$X$32,AS!$X:$X,$Y$5,AS!$I:$I,$Y$7,AS!$AT:$AT,Parkki!$Y$13,AS!$K:$K,$X$31,AS!$F:$F,$V$29,AS!$L:$L,$V$30,AS!$AG:$AG,Parkki!$Y$9)+AB107</f>
        <v>0</v>
      </c>
      <c r="G107" s="719">
        <f>SUMIFS(AS!$W:$W,AS!$BO:$BO,$W$7,AS!$AB:$AB,AS!$AA$1,AS!$AH:$AH,$X$8,AS!$AT:$AT,$X107,AS!$AV:$AV,$X$2,AS!$AW:$AW,$X$32,AS!$X:$X,$Y$5,AS!$AT:$AT,Parkki!$Y$13,AS!$K:$K,$X$31,AS!$F:$F,$V$29,AS!$L:$L,$V$30,AS!$AG:$AG,Parkki!$Y$9)</f>
        <v>0</v>
      </c>
      <c r="H107" s="720" t="str">
        <f t="shared" si="18"/>
        <v>-</v>
      </c>
      <c r="I107" s="719">
        <f>SUMIFS(JA!Z:Z,JA!X:X,Parkki!X107,JA!AF:AF,"OK",JA!AE:AE,"OK")</f>
        <v>0</v>
      </c>
      <c r="J107" s="720" t="str">
        <f t="shared" si="19"/>
        <v>-</v>
      </c>
      <c r="X107" s="514" t="s">
        <v>1043</v>
      </c>
      <c r="Z107">
        <f>SUMIFS(AS!$W:$W,AS!$BO:$BO,$W$7,AS!$AB:$AB,AS!$AA$1,AS!$AH:$AH,$X$8,AS!$AT:$AT,$Y107,AS!$AV:$AV,$X$5,AS!$AW:$AW,$X$32,AS!$X:$X,$Y$5,AS!$AT:$AT,Parkki!$Y$13,AS!$K:$K,$X$31,AS!$F:$F,$V$29,AS!$L:$L,$V$30,AS!$AG:$AG,Parkki!$Y$9)</f>
        <v>0</v>
      </c>
      <c r="AA107">
        <f>SUMIFS(AS!$W:$W,AS!$BO:$BO,$W$7,AS!$AB:$AB,AS!$AA$1,AS!$AH:$AH,$X$8,AS!$AT:$AT,$Y107,AS!$AV:$AV,$X$5,AS!$AW:$AW,$X$32,AS!$X:$X,$Y$5,AS!$I:$I,$X$7,AS!$AT:$AT,Parkki!$Y$13,AS!$K:$K,$X$31,AS!$F:$F,$V$29,AS!$L:$L,$V$30,AS!$AG:$AG,Parkki!$Y$9)</f>
        <v>0</v>
      </c>
      <c r="AB107">
        <f>SUMIFS(AS!$W:$W,AS!$BO:$BO,$W$7,AS!$AB:$AB,AS!$AA$1,AS!$AH:$AH,$X$8,AS!$AT:$AT,$Y107,AS!$AV:$AV,$X$5,AS!$AW:$AW,$X$32,AS!$X:$X,$Y$5,AS!$I:$I,$Y$7,AS!$AT:$AT,Parkki!$Y$13,AS!$K:$K,$X$31,AS!$F:$F,$V$29,AS!$L:$L,$V$30,AS!$AG:$AG,Parkki!$Y$9)</f>
        <v>0</v>
      </c>
      <c r="AE107" t="s">
        <v>1068</v>
      </c>
      <c r="AG107" s="1" t="s">
        <v>1263</v>
      </c>
      <c r="AH107" s="603" t="s">
        <v>1264</v>
      </c>
      <c r="AI107" s="689" t="s">
        <v>1265</v>
      </c>
      <c r="AJ107" s="450" t="s">
        <v>1068</v>
      </c>
      <c r="AK107" s="450" t="s">
        <v>1268</v>
      </c>
      <c r="AL107" s="693" t="s">
        <v>1269</v>
      </c>
      <c r="AM107" s="146" t="s">
        <v>1043</v>
      </c>
    </row>
    <row r="108" spans="1:39" ht="15" customHeight="1" x14ac:dyDescent="0.25">
      <c r="A108" s="829"/>
      <c r="B108" s="518" t="s">
        <v>1348</v>
      </c>
      <c r="C108" s="520">
        <f>SUMIFS(AS!$W:$W,AS!$BO:$BO,$W$7,AS!$AB:$AB,AS!$AA$1,AS!$AH:$AH,$X$8,AS!$AT:$AT,$X108,AS!$AV:$AV,$X$5,AS!$AW:$AW,$X$32,AS!$X:$X,$Y$5,AS!$AT:$AT,Parkki!$Y$13,AS!$K:$K,$X$31,AS!$F:$F,$V$29,AS!$L:$L,$V$30,AS!$AG:$AG,Parkki!$Y$9)+Z108</f>
        <v>0</v>
      </c>
      <c r="D108" s="552" t="str">
        <f t="shared" si="17"/>
        <v>-</v>
      </c>
      <c r="E108" s="520">
        <f>SUMIFS(AS!$W:$W,AS!$BO:$BO,$W$7,AS!$AB:$AB,AS!$AA$1,AS!$AH:$AH,$X$8,AS!$AT:$AT,$X108,AS!$AV:$AV,$X$5,AS!$AW:$AW,$X$32,AS!$X:$X,$Y$5,AS!$I:$I,$X$7,AS!$AT:$AT,Parkki!$Y$13,AS!$K:$K,$X$31,AS!$F:$F,$V$29,AS!$L:$L,$V$30,AS!$AG:$AG,Parkki!$Y$9)+AA108</f>
        <v>0</v>
      </c>
      <c r="F108" s="520">
        <f>SUMIFS(AS!$W:$W,AS!$BO:$BO,$W$7,AS!$AB:$AB,AS!$AA$1,AS!$AH:$AH,$X$8,AS!$AT:$AT,$X108,AS!$AV:$AV,$X$5,AS!$AW:$AW,$X$32,AS!$X:$X,$Y$5,AS!$I:$I,$Y$7,AS!$AT:$AT,Parkki!$Y$13,AS!$K:$K,$X$31,AS!$F:$F,$V$29,AS!$L:$L,$V$30,AS!$AG:$AG,Parkki!$Y$9)+AB108</f>
        <v>0</v>
      </c>
      <c r="G108" s="719">
        <f>SUMIFS(AS!$W:$W,AS!$BO:$BO,$W$7,AS!$AB:$AB,AS!$AA$1,AS!$AH:$AH,$X$8,AS!$AT:$AT,$X108,AS!$AV:$AV,$X$2,AS!$AW:$AW,$X$32,AS!$X:$X,$Y$5,AS!$AT:$AT,Parkki!$Y$13,AS!$K:$K,$X$31,AS!$F:$F,$V$29,AS!$L:$L,$V$30,AS!$AG:$AG,Parkki!$Y$9)</f>
        <v>0</v>
      </c>
      <c r="H108" s="720" t="str">
        <f t="shared" si="18"/>
        <v>-</v>
      </c>
      <c r="I108" s="719">
        <f>SUMIFS(JA!Z:Z,JA!X:X,Parkki!X108,JA!AF:AF,"OK",JA!AE:AE,"OK")</f>
        <v>0</v>
      </c>
      <c r="J108" s="720" t="str">
        <f t="shared" si="19"/>
        <v>-</v>
      </c>
      <c r="X108" s="514" t="s">
        <v>1044</v>
      </c>
      <c r="Z108">
        <f>SUMIFS(AS!$W:$W,AS!$BO:$BO,$W$7,AS!$AB:$AB,AS!$AA$1,AS!$AH:$AH,$X$8,AS!$AT:$AT,$Y108,AS!$AV:$AV,$X$5,AS!$AW:$AW,$X$32,AS!$X:$X,$Y$5,AS!$AT:$AT,Parkki!$Y$13,AS!$K:$K,$X$31,AS!$F:$F,$V$29,AS!$L:$L,$V$30,AS!$AG:$AG,Parkki!$Y$9)</f>
        <v>0</v>
      </c>
      <c r="AA108">
        <f>SUMIFS(AS!$W:$W,AS!$BO:$BO,$W$7,AS!$AB:$AB,AS!$AA$1,AS!$AH:$AH,$X$8,AS!$AT:$AT,$Y108,AS!$AV:$AV,$X$5,AS!$AW:$AW,$X$32,AS!$X:$X,$Y$5,AS!$I:$I,$X$7,AS!$AT:$AT,Parkki!$Y$13,AS!$K:$K,$X$31,AS!$F:$F,$V$29,AS!$L:$L,$V$30,AS!$AG:$AG,Parkki!$Y$9)</f>
        <v>0</v>
      </c>
      <c r="AB108">
        <f>SUMIFS(AS!$W:$W,AS!$BO:$BO,$W$7,AS!$AB:$AB,AS!$AA$1,AS!$AH:$AH,$X$8,AS!$AT:$AT,$Y108,AS!$AV:$AV,$X$5,AS!$AW:$AW,$X$32,AS!$X:$X,$Y$5,AS!$I:$I,$Y$7,AS!$AT:$AT,Parkki!$Y$13,AS!$K:$K,$X$31,AS!$F:$F,$V$29,AS!$L:$L,$V$30,AS!$AG:$AG,Parkki!$Y$9)</f>
        <v>0</v>
      </c>
      <c r="AE108" t="s">
        <v>1069</v>
      </c>
      <c r="AG108" s="1" t="s">
        <v>1263</v>
      </c>
      <c r="AH108" s="603" t="s">
        <v>1264</v>
      </c>
      <c r="AI108" s="689" t="s">
        <v>1265</v>
      </c>
      <c r="AJ108" s="450" t="s">
        <v>1069</v>
      </c>
      <c r="AK108" s="450" t="s">
        <v>1270</v>
      </c>
      <c r="AL108" s="693" t="s">
        <v>1271</v>
      </c>
      <c r="AM108" s="146" t="s">
        <v>1044</v>
      </c>
    </row>
    <row r="109" spans="1:39" ht="15" customHeight="1" x14ac:dyDescent="0.25">
      <c r="A109" s="829"/>
      <c r="B109" s="518" t="s">
        <v>1349</v>
      </c>
      <c r="C109" s="520">
        <f>SUMIFS(AS!$W:$W,AS!$BO:$BO,$W$7,AS!$AB:$AB,AS!$AA$1,AS!$AH:$AH,$X$8,AS!$AT:$AT,$X109,AS!$AV:$AV,$X$5,AS!$AW:$AW,$X$32,AS!$X:$X,$Y$5,AS!$AT:$AT,Parkki!$Y$13,AS!$K:$K,$X$31,AS!$F:$F,$V$29,AS!$L:$L,$V$30,AS!$AG:$AG,Parkki!$Y$9)+Z109</f>
        <v>0</v>
      </c>
      <c r="D109" s="552" t="str">
        <f t="shared" si="17"/>
        <v>-</v>
      </c>
      <c r="E109" s="520">
        <f>SUMIFS(AS!$W:$W,AS!$BO:$BO,$W$7,AS!$AB:$AB,AS!$AA$1,AS!$AH:$AH,$X$8,AS!$AT:$AT,$X109,AS!$AV:$AV,$X$5,AS!$AW:$AW,$X$32,AS!$X:$X,$Y$5,AS!$I:$I,$X$7,AS!$AT:$AT,Parkki!$Y$13,AS!$K:$K,$X$31,AS!$F:$F,$V$29,AS!$L:$L,$V$30,AS!$AG:$AG,Parkki!$Y$9)+AA109</f>
        <v>0</v>
      </c>
      <c r="F109" s="520">
        <f>SUMIFS(AS!$W:$W,AS!$BO:$BO,$W$7,AS!$AB:$AB,AS!$AA$1,AS!$AH:$AH,$X$8,AS!$AT:$AT,$X109,AS!$AV:$AV,$X$5,AS!$AW:$AW,$X$32,AS!$X:$X,$Y$5,AS!$I:$I,$Y$7,AS!$AT:$AT,Parkki!$Y$13,AS!$K:$K,$X$31,AS!$F:$F,$V$29,AS!$L:$L,$V$30,AS!$AG:$AG,Parkki!$Y$9)+AB109</f>
        <v>0</v>
      </c>
      <c r="G109" s="719">
        <f>SUMIFS(AS!$W:$W,AS!$BO:$BO,$W$7,AS!$AB:$AB,AS!$AA$1,AS!$AH:$AH,$X$8,AS!$AT:$AT,$X109,AS!$AV:$AV,$X$2,AS!$AW:$AW,$X$32,AS!$X:$X,$Y$5,AS!$AT:$AT,Parkki!$Y$13,AS!$K:$K,$X$31,AS!$F:$F,$V$29,AS!$L:$L,$V$30,AS!$AG:$AG,Parkki!$Y$9)</f>
        <v>0</v>
      </c>
      <c r="H109" s="720" t="str">
        <f t="shared" si="18"/>
        <v>-</v>
      </c>
      <c r="I109" s="719">
        <f>SUMIFS(JA!Z:Z,JA!X:X,Parkki!X109,JA!AF:AF,"OK",JA!AE:AE,"OK")</f>
        <v>0</v>
      </c>
      <c r="J109" s="720" t="str">
        <f t="shared" si="19"/>
        <v>-</v>
      </c>
      <c r="X109" s="514" t="s">
        <v>1045</v>
      </c>
      <c r="Y109" s="617" t="s">
        <v>226</v>
      </c>
      <c r="Z109">
        <f>SUMIFS(AS!$W:$W,AS!$BO:$BO,$W$7,AS!$AB:$AB,AS!$AA$1,AS!$AH:$AH,$X$8,AS!$AT:$AT,$Y109,AS!$AV:$AV,$X$5,AS!$AW:$AW,$X$32,AS!$X:$X,$Y$5,AS!$AT:$AT,Parkki!$Y$13,AS!$K:$K,$X$31,AS!$F:$F,$V$29,AS!$L:$L,$V$30,AS!$AG:$AG,Parkki!$Y$9)</f>
        <v>0</v>
      </c>
      <c r="AA109">
        <f>SUMIFS(AS!$W:$W,AS!$BO:$BO,$W$7,AS!$AB:$AB,AS!$AA$1,AS!$AH:$AH,$X$8,AS!$AT:$AT,$Y109,AS!$AV:$AV,$X$5,AS!$AW:$AW,$X$32,AS!$X:$X,$Y$5,AS!$I:$I,$X$7,AS!$AT:$AT,Parkki!$Y$13,AS!$K:$K,$X$31,AS!$F:$F,$V$29,AS!$L:$L,$V$30,AS!$AG:$AG,Parkki!$Y$9)</f>
        <v>0</v>
      </c>
      <c r="AB109">
        <f>SUMIFS(AS!$W:$W,AS!$BO:$BO,$W$7,AS!$AB:$AB,AS!$AA$1,AS!$AH:$AH,$X$8,AS!$AT:$AT,$Y109,AS!$AV:$AV,$X$5,AS!$AW:$AW,$X$32,AS!$X:$X,$Y$5,AS!$I:$I,$Y$7,AS!$AT:$AT,Parkki!$Y$13,AS!$K:$K,$X$31,AS!$F:$F,$V$29,AS!$L:$L,$V$30,AS!$AG:$AG,Parkki!$Y$9)</f>
        <v>0</v>
      </c>
      <c r="AE109" t="s">
        <v>1070</v>
      </c>
      <c r="AG109" s="1" t="s">
        <v>1263</v>
      </c>
      <c r="AH109" s="603" t="s">
        <v>1264</v>
      </c>
      <c r="AI109" s="689" t="s">
        <v>1265</v>
      </c>
      <c r="AJ109" s="450" t="s">
        <v>1070</v>
      </c>
      <c r="AK109" s="450" t="s">
        <v>1272</v>
      </c>
      <c r="AL109" s="693" t="s">
        <v>1273</v>
      </c>
      <c r="AM109" s="146" t="s">
        <v>1045</v>
      </c>
    </row>
    <row r="110" spans="1:39" x14ac:dyDescent="0.25">
      <c r="A110" s="829"/>
      <c r="B110" s="518" t="s">
        <v>1354</v>
      </c>
      <c r="C110" s="520">
        <f>SUMIFS(AS!$W:$W,AS!$BO:$BO,$W$7,AS!$AB:$AB,AS!$AA$1,AS!$AH:$AH,$X$8,AS!$AT:$AT,$X110,AS!$AV:$AV,$X$5,AS!$AW:$AW,$X$32,AS!$X:$X,$Y$5,AS!$AT:$AT,Parkki!$Y$13,AS!$K:$K,$X$31,AS!$F:$F,$V$29,AS!$L:$L,$V$30,AS!$AG:$AG,Parkki!$Y$9)+Z110</f>
        <v>0</v>
      </c>
      <c r="D110" s="552" t="str">
        <f t="shared" si="17"/>
        <v>-</v>
      </c>
      <c r="E110" s="520">
        <f>SUMIFS(AS!$W:$W,AS!$BO:$BO,$W$7,AS!$AB:$AB,AS!$AA$1,AS!$AH:$AH,$X$8,AS!$AT:$AT,$X110,AS!$AV:$AV,$X$5,AS!$AW:$AW,$X$32,AS!$X:$X,$Y$5,AS!$I:$I,$X$7,AS!$AT:$AT,Parkki!$Y$13,AS!$K:$K,$X$31,AS!$F:$F,$V$29,AS!$L:$L,$V$30,AS!$AG:$AG,Parkki!$Y$9)+AA110</f>
        <v>0</v>
      </c>
      <c r="F110" s="520">
        <f>SUMIFS(AS!$W:$W,AS!$BO:$BO,$W$7,AS!$AB:$AB,AS!$AA$1,AS!$AH:$AH,$X$8,AS!$AT:$AT,$X110,AS!$AV:$AV,$X$5,AS!$AW:$AW,$X$32,AS!$X:$X,$Y$5,AS!$I:$I,$Y$7,AS!$AT:$AT,Parkki!$Y$13,AS!$K:$K,$X$31,AS!$F:$F,$V$29,AS!$L:$L,$V$30,AS!$AG:$AG,Parkki!$Y$9)+AB110</f>
        <v>0</v>
      </c>
      <c r="G110" s="719">
        <f>SUMIFS(AS!$W:$W,AS!$BO:$BO,$W$7,AS!$AB:$AB,AS!$AA$1,AS!$AH:$AH,$X$8,AS!$AT:$AT,$X110,AS!$AV:$AV,$X$2,AS!$AW:$AW,$X$32,AS!$X:$X,$Y$5,AS!$AT:$AT,Parkki!$Y$13,AS!$K:$K,$X$31,AS!$F:$F,$V$29,AS!$L:$L,$V$30,AS!$AG:$AG,Parkki!$Y$9)</f>
        <v>0</v>
      </c>
      <c r="H110" s="720" t="str">
        <f t="shared" si="18"/>
        <v>-</v>
      </c>
      <c r="I110" s="719">
        <f>SUMIFS(JA!Z:Z,JA!X:X,Parkki!X110,JA!AF:AF,"OK",JA!AE:AE,"OK")</f>
        <v>0</v>
      </c>
      <c r="J110" s="720" t="str">
        <f t="shared" si="19"/>
        <v>-</v>
      </c>
      <c r="X110" s="143" t="s">
        <v>1245</v>
      </c>
      <c r="Y110" s="144" t="s">
        <v>221</v>
      </c>
      <c r="Z110">
        <f>SUMIFS(AS!$W:$W,AS!$BO:$BO,$W$7,AS!$AB:$AB,AS!$AA$1,AS!$AH:$AH,$X$8,AS!$AT:$AT,$Y110,AS!$AV:$AV,$X$5,AS!$AW:$AW,$X$32,AS!$X:$X,$Y$5,AS!$AT:$AT,Parkki!$Y$13,AS!$K:$K,$X$31,AS!$F:$F,$V$29,AS!$L:$L,$V$30,AS!$AG:$AG,Parkki!$Y$9)</f>
        <v>0</v>
      </c>
      <c r="AA110">
        <f>SUMIFS(AS!$W:$W,AS!$BO:$BO,$W$7,AS!$AB:$AB,AS!$AA$1,AS!$AH:$AH,$X$8,AS!$AT:$AT,$Y110,AS!$AV:$AV,$X$5,AS!$AW:$AW,$X$32,AS!$X:$X,$Y$5,AS!$I:$I,$X$7,AS!$AT:$AT,Parkki!$Y$13,AS!$K:$K,$X$31,AS!$F:$F,$V$29,AS!$L:$L,$V$30,AS!$AG:$AG,Parkki!$Y$9)</f>
        <v>0</v>
      </c>
      <c r="AB110">
        <f>SUMIFS(AS!$W:$W,AS!$BO:$BO,$W$7,AS!$AB:$AB,AS!$AA$1,AS!$AH:$AH,$X$8,AS!$AT:$AT,$Y110,AS!$AV:$AV,$X$5,AS!$AW:$AW,$X$32,AS!$X:$X,$Y$5,AS!$I:$I,$Y$7,AS!$AT:$AT,Parkki!$Y$13,AS!$K:$K,$X$31,AS!$F:$F,$V$29,AS!$L:$L,$V$30,AS!$AG:$AG,Parkki!$Y$9)</f>
        <v>0</v>
      </c>
      <c r="AE110" t="s">
        <v>1274</v>
      </c>
      <c r="AG110" s="1" t="s">
        <v>1263</v>
      </c>
      <c r="AH110" s="603" t="s">
        <v>1264</v>
      </c>
      <c r="AI110" s="689" t="s">
        <v>1265</v>
      </c>
      <c r="AJ110" s="450" t="s">
        <v>1274</v>
      </c>
      <c r="AK110" s="694" t="s">
        <v>1275</v>
      </c>
      <c r="AL110" s="695" t="s">
        <v>1276</v>
      </c>
      <c r="AM110" s="146" t="s">
        <v>1245</v>
      </c>
    </row>
    <row r="111" spans="1:39" x14ac:dyDescent="0.25">
      <c r="A111" s="829"/>
      <c r="B111" s="518" t="s">
        <v>1355</v>
      </c>
      <c r="C111" s="520">
        <f>SUMIFS(AS!$W:$W,AS!$BO:$BO,$W$7,AS!$AB:$AB,AS!$AA$1,AS!$AH:$AH,$X$8,AS!$AT:$AT,$X111,AS!$AV:$AV,$X$5,AS!$AW:$AW,$X$32,AS!$X:$X,$Y$5,AS!$AT:$AT,Parkki!$Y$13,AS!$K:$K,$X$31,AS!$F:$F,$V$29,AS!$L:$L,$V$30,AS!$AG:$AG,Parkki!$Y$9)+Z111</f>
        <v>0</v>
      </c>
      <c r="D111" s="552" t="str">
        <f t="shared" si="17"/>
        <v>-</v>
      </c>
      <c r="E111" s="520">
        <f>SUMIFS(AS!$W:$W,AS!$BO:$BO,$W$7,AS!$AB:$AB,AS!$AA$1,AS!$AH:$AH,$X$8,AS!$AT:$AT,$X111,AS!$AV:$AV,$X$5,AS!$AW:$AW,$X$32,AS!$X:$X,$Y$5,AS!$I:$I,$X$7,AS!$AT:$AT,Parkki!$Y$13,AS!$K:$K,$X$31,AS!$F:$F,$V$29,AS!$L:$L,$V$30,AS!$AG:$AG,Parkki!$Y$9)+AA111</f>
        <v>0</v>
      </c>
      <c r="F111" s="520">
        <f>SUMIFS(AS!$W:$W,AS!$BO:$BO,$W$7,AS!$AB:$AB,AS!$AA$1,AS!$AH:$AH,$X$8,AS!$AT:$AT,$X111,AS!$AV:$AV,$X$5,AS!$AW:$AW,$X$32,AS!$X:$X,$Y$5,AS!$I:$I,$Y$7,AS!$AT:$AT,Parkki!$Y$13,AS!$K:$K,$X$31,AS!$F:$F,$V$29,AS!$L:$L,$V$30,AS!$AG:$AG,Parkki!$Y$9)+AB111</f>
        <v>0</v>
      </c>
      <c r="G111" s="719">
        <f>SUMIFS(AS!$W:$W,AS!$BO:$BO,$W$7,AS!$AB:$AB,AS!$AA$1,AS!$AH:$AH,$X$8,AS!$AT:$AT,$X111,AS!$AV:$AV,$X$2,AS!$AW:$AW,$X$32,AS!$X:$X,$Y$5,AS!$AT:$AT,Parkki!$Y$13,AS!$K:$K,$X$31,AS!$F:$F,$V$29,AS!$L:$L,$V$30,AS!$AG:$AG,Parkki!$Y$9)</f>
        <v>0</v>
      </c>
      <c r="H111" s="720" t="str">
        <f t="shared" si="18"/>
        <v>-</v>
      </c>
      <c r="I111" s="719">
        <f>SUMIFS(JA!Z:Z,JA!X:X,Parkki!X111,JA!AF:AF,"OK",JA!AE:AE,"OK")</f>
        <v>0</v>
      </c>
      <c r="J111" s="720" t="str">
        <f t="shared" si="19"/>
        <v>-</v>
      </c>
      <c r="W111" s="15" t="s">
        <v>1366</v>
      </c>
      <c r="X111" s="143" t="s">
        <v>1219</v>
      </c>
      <c r="Y111" s="144" t="s">
        <v>508</v>
      </c>
      <c r="Z111">
        <f>SUMIFS(AS!$W:$W,AS!$BO:$BO,$W$7,AS!$AB:$AB,AS!$AA$1,AS!$AH:$AH,$X$8,AS!$AT:$AT,$Y111,AS!$AV:$AV,$X$5,AS!$AW:$AW,$X$32,AS!$X:$X,$Y$5,AS!$AT:$AT,Parkki!$Y$13,AS!$K:$K,$X$31,AS!$F:$F,$V$29,AS!$L:$L,$V$30,AS!$AG:$AG,Parkki!$Y$9)</f>
        <v>0</v>
      </c>
      <c r="AA111">
        <f>SUMIFS(AS!$W:$W,AS!$BO:$BO,$W$7,AS!$AB:$AB,AS!$AA$1,AS!$AH:$AH,$X$8,AS!$AT:$AT,$Y111,AS!$AV:$AV,$X$5,AS!$AW:$AW,$X$32,AS!$X:$X,$Y$5,AS!$I:$I,$X$7,AS!$AT:$AT,Parkki!$Y$13,AS!$K:$K,$X$31,AS!$F:$F,$V$29,AS!$L:$L,$V$30,AS!$AG:$AG,Parkki!$Y$9)</f>
        <v>0</v>
      </c>
      <c r="AB111">
        <f>SUMIFS(AS!$W:$W,AS!$BO:$BO,$W$7,AS!$AB:$AB,AS!$AA$1,AS!$AH:$AH,$X$8,AS!$AT:$AT,$Y111,AS!$AV:$AV,$X$5,AS!$AW:$AW,$X$32,AS!$X:$X,$Y$5,AS!$I:$I,$Y$7,AS!$AT:$AT,Parkki!$Y$13,AS!$K:$K,$X$31,AS!$F:$F,$V$29,AS!$L:$L,$V$30,AS!$AG:$AG,Parkki!$Y$9)</f>
        <v>0</v>
      </c>
      <c r="AE111" t="s">
        <v>1342</v>
      </c>
      <c r="AG111" s="1" t="s">
        <v>1263</v>
      </c>
      <c r="AH111" s="603" t="s">
        <v>1264</v>
      </c>
      <c r="AI111" s="689" t="s">
        <v>1265</v>
      </c>
      <c r="AJ111" s="450" t="s">
        <v>1342</v>
      </c>
      <c r="AK111" s="694" t="s">
        <v>1277</v>
      </c>
      <c r="AL111" s="695" t="s">
        <v>1278</v>
      </c>
      <c r="AM111" s="146" t="s">
        <v>1219</v>
      </c>
    </row>
    <row r="112" spans="1:39" x14ac:dyDescent="0.25">
      <c r="A112" s="830"/>
      <c r="B112" s="518" t="s">
        <v>1356</v>
      </c>
      <c r="C112" s="520">
        <f>SUMIFS(AS!$W:$W,AS!$BO:$BO,$W$7,AS!$AB:$AB,AS!$AA$1,AS!$AH:$AH,$X$8,AS!$AT:$AT,$X112,AS!$AV:$AV,$X$5,AS!$AW:$AW,$X$32,AS!$X:$X,$Y$5,AS!$AT:$AT,Parkki!$Y$13,AS!$K:$K,$X$31,AS!$F:$F,$V$29,AS!$L:$L,$V$30,AS!$AG:$AG,Parkki!$Y$9)+Z112</f>
        <v>0</v>
      </c>
      <c r="D112" s="552" t="str">
        <f t="shared" si="17"/>
        <v>-</v>
      </c>
      <c r="E112" s="520">
        <f>SUMIFS(AS!$W:$W,AS!$BO:$BO,$W$7,AS!$AB:$AB,AS!$AA$1,AS!$AH:$AH,$X$8,AS!$AT:$AT,$X112,AS!$AV:$AV,$X$5,AS!$AW:$AW,$X$32,AS!$X:$X,$Y$5,AS!$I:$I,$X$7,AS!$AT:$AT,Parkki!$Y$13,AS!$K:$K,$X$31,AS!$F:$F,$V$29,AS!$L:$L,$V$30,AS!$AG:$AG,Parkki!$Y$9)+AA112</f>
        <v>0</v>
      </c>
      <c r="F112" s="520">
        <f>SUMIFS(AS!$W:$W,AS!$BO:$BO,$W$7,AS!$AB:$AB,AS!$AA$1,AS!$AH:$AH,$X$8,AS!$AT:$AT,$X112,AS!$AV:$AV,$X$5,AS!$AW:$AW,$X$32,AS!$X:$X,$Y$5,AS!$I:$I,$Y$7,AS!$AT:$AT,Parkki!$Y$13,AS!$K:$K,$X$31,AS!$F:$F,$V$29,AS!$L:$L,$V$30,AS!$AG:$AG,Parkki!$Y$9)+AB112</f>
        <v>0</v>
      </c>
      <c r="G112" s="719">
        <f>SUMIFS(AS!$W:$W,AS!$BO:$BO,$W$7,AS!$AB:$AB,AS!$AA$1,AS!$AH:$AH,$X$8,AS!$AT:$AT,$X112,AS!$AV:$AV,$X$2,AS!$AW:$AW,$X$32,AS!$X:$X,$Y$5,AS!$AT:$AT,Parkki!$Y$13,AS!$K:$K,$X$31,AS!$F:$F,$V$29,AS!$L:$L,$V$30,AS!$AG:$AG,Parkki!$Y$9)</f>
        <v>0</v>
      </c>
      <c r="H112" s="720" t="str">
        <f t="shared" si="18"/>
        <v>-</v>
      </c>
      <c r="I112" s="719">
        <f>SUMIFS(JA!Z:Z,JA!X:X,Parkki!X112,JA!AF:AF,"OK",JA!AE:AE,"OK")</f>
        <v>0</v>
      </c>
      <c r="J112" s="720" t="str">
        <f t="shared" si="19"/>
        <v>-</v>
      </c>
      <c r="X112" s="143" t="s">
        <v>1222</v>
      </c>
      <c r="Y112" s="144" t="s">
        <v>1046</v>
      </c>
      <c r="Z112">
        <f>SUMIFS(AS!$W:$W,AS!$BO:$BO,$W$7,AS!$AB:$AB,AS!$AA$1,AS!$AH:$AH,$X$8,AS!$AT:$AT,$Y112,AS!$AV:$AV,$X$5,AS!$AW:$AW,$X$32,AS!$X:$X,$Y$5,AS!$AT:$AT,Parkki!$Y$13,AS!$K:$K,$X$31,AS!$F:$F,$V$29,AS!$L:$L,$V$30,AS!$AG:$AG,Parkki!$Y$9)</f>
        <v>0</v>
      </c>
      <c r="AA112">
        <f>SUMIFS(AS!$W:$W,AS!$BO:$BO,$W$7,AS!$AB:$AB,AS!$AA$1,AS!$AH:$AH,$X$8,AS!$AT:$AT,$Y112,AS!$AV:$AV,$X$5,AS!$AW:$AW,$X$32,AS!$X:$X,$Y$5,AS!$I:$I,$X$7,AS!$AT:$AT,Parkki!$Y$13,AS!$K:$K,$X$31,AS!$F:$F,$V$29,AS!$L:$L,$V$30,AS!$AG:$AG,Parkki!$Y$9)</f>
        <v>0</v>
      </c>
      <c r="AB112">
        <f>SUMIFS(AS!$W:$W,AS!$BO:$BO,$W$7,AS!$AB:$AB,AS!$AA$1,AS!$AH:$AH,$X$8,AS!$AT:$AT,$Y112,AS!$AV:$AV,$X$5,AS!$AW:$AW,$X$32,AS!$X:$X,$Y$5,AS!$I:$I,$Y$7,AS!$AT:$AT,Parkki!$Y$13,AS!$K:$K,$X$31,AS!$F:$F,$V$29,AS!$L:$L,$V$30,AS!$AG:$AG,Parkki!$Y$9)</f>
        <v>0</v>
      </c>
      <c r="AE112" t="s">
        <v>1279</v>
      </c>
      <c r="AG112" s="1" t="s">
        <v>1263</v>
      </c>
      <c r="AH112" s="603" t="s">
        <v>1264</v>
      </c>
      <c r="AI112" s="689" t="s">
        <v>1265</v>
      </c>
      <c r="AJ112" s="450" t="s">
        <v>1279</v>
      </c>
      <c r="AK112" s="694" t="s">
        <v>1280</v>
      </c>
      <c r="AL112" s="695" t="s">
        <v>1281</v>
      </c>
      <c r="AM112" s="146" t="s">
        <v>1222</v>
      </c>
    </row>
    <row r="113" spans="1:39" x14ac:dyDescent="0.25">
      <c r="A113" s="777" t="s">
        <v>81</v>
      </c>
      <c r="B113" s="518" t="s">
        <v>1062</v>
      </c>
      <c r="C113" s="520">
        <f>SUMIFS(AS!$W:$W,AS!$BO:$BO,$W$7,AS!$AB:$AB,AS!$AA$1,AS!$AH:$AH,$X$8,AS!$AT:$AT,$X113,AS!$AV:$AV,$X$5,AS!$AW:$AW,$X$32,AS!$X:$X,$Y$5,AS!$AT:$AT,Parkki!$Y$13,AS!$K:$K,$X$31,AS!$F:$F,$V$29,AS!$L:$L,$V$30,AS!$AG:$AG,Parkki!$Y$9)+Z113</f>
        <v>0</v>
      </c>
      <c r="D113" s="552" t="str">
        <f t="shared" si="17"/>
        <v>-</v>
      </c>
      <c r="E113" s="520">
        <f>SUMIFS(AS!$W:$W,AS!$BO:$BO,$W$7,AS!$AB:$AB,AS!$AA$1,AS!$AH:$AH,$X$8,AS!$AT:$AT,$X113,AS!$AV:$AV,$X$5,AS!$AW:$AW,$X$32,AS!$X:$X,$Y$5,AS!$I:$I,$X$7,AS!$AT:$AT,Parkki!$Y$13,AS!$K:$K,$X$31,AS!$F:$F,$V$29,AS!$L:$L,$V$30,AS!$AG:$AG,Parkki!$Y$9)+AA113</f>
        <v>0</v>
      </c>
      <c r="F113" s="520">
        <f>SUMIFS(AS!$W:$W,AS!$BO:$BO,$W$7,AS!$AB:$AB,AS!$AA$1,AS!$AH:$AH,$X$8,AS!$AT:$AT,$X113,AS!$AV:$AV,$X$5,AS!$AW:$AW,$X$32,AS!$X:$X,$Y$5,AS!$I:$I,$Y$7,AS!$AT:$AT,Parkki!$Y$13,AS!$K:$K,$X$31,AS!$F:$F,$V$29,AS!$L:$L,$V$30,AS!$AG:$AG,Parkki!$Y$9)+AB113</f>
        <v>0</v>
      </c>
      <c r="G113" s="719">
        <f>SUMIFS(AS!$W:$W,AS!$BO:$BO,$W$7,AS!$AB:$AB,AS!$AA$1,AS!$AH:$AH,$X$8,AS!$AT:$AT,$X113,AS!$AV:$AV,$X$2,AS!$AW:$AW,$X$32,AS!$X:$X,$Y$5,AS!$AT:$AT,Parkki!$Y$13,AS!$K:$K,$X$31,AS!$F:$F,$V$29,AS!$L:$L,$V$30,AS!$AG:$AG,Parkki!$Y$9)</f>
        <v>0</v>
      </c>
      <c r="H113" s="720" t="str">
        <f t="shared" si="18"/>
        <v>-</v>
      </c>
      <c r="I113" s="719">
        <f>SUMIFS(JA!Z:Z,JA!X:X,Parkki!X113,JA!AF:AF,"OK",JA!AE:AE,"OK")</f>
        <v>0</v>
      </c>
      <c r="J113" s="720" t="str">
        <f t="shared" si="19"/>
        <v>-</v>
      </c>
      <c r="X113" s="514" t="s">
        <v>1047</v>
      </c>
      <c r="Y113" s="513" t="s">
        <v>250</v>
      </c>
      <c r="Z113">
        <f>SUMIFS(AS!$W:$W,AS!$BO:$BO,$W$7,AS!$AB:$AB,AS!$AA$1,AS!$AH:$AH,$X$8,AS!$AT:$AT,$Y113,AS!$AV:$AV,$X$5,AS!$AW:$AW,$X$32,AS!$X:$X,$Y$5,AS!$AT:$AT,Parkki!$Y$13,AS!$K:$K,$X$31,AS!$F:$F,$V$29,AS!$L:$L,$V$30,AS!$AG:$AG,Parkki!$Y$9)</f>
        <v>0</v>
      </c>
      <c r="AA113">
        <f>SUMIFS(AS!$W:$W,AS!$BO:$BO,$W$7,AS!$AB:$AB,AS!$AA$1,AS!$AH:$AH,$X$8,AS!$AT:$AT,$Y113,AS!$AV:$AV,$X$5,AS!$AW:$AW,$X$32,AS!$X:$X,$Y$5,AS!$I:$I,$X$7,AS!$AT:$AT,Parkki!$Y$13,AS!$K:$K,$X$31,AS!$F:$F,$V$29,AS!$L:$L,$V$30,AS!$AG:$AG,Parkki!$Y$9)</f>
        <v>0</v>
      </c>
      <c r="AB113">
        <f>SUMIFS(AS!$W:$W,AS!$BO:$BO,$W$7,AS!$AB:$AB,AS!$AA$1,AS!$AH:$AH,$X$8,AS!$AT:$AT,$Y113,AS!$AV:$AV,$X$5,AS!$AW:$AW,$X$32,AS!$X:$X,$Y$5,AS!$I:$I,$Y$7,AS!$AT:$AT,Parkki!$Y$13,AS!$K:$K,$X$31,AS!$F:$F,$V$29,AS!$L:$L,$V$30,AS!$AG:$AG,Parkki!$Y$9)</f>
        <v>0</v>
      </c>
      <c r="AE113" t="s">
        <v>1071</v>
      </c>
      <c r="AG113" s="607" t="s">
        <v>81</v>
      </c>
      <c r="AH113" s="1" t="s">
        <v>1282</v>
      </c>
      <c r="AI113" s="690" t="s">
        <v>1283</v>
      </c>
      <c r="AJ113" s="450" t="s">
        <v>1071</v>
      </c>
      <c r="AK113" s="450" t="s">
        <v>1284</v>
      </c>
      <c r="AL113" s="693" t="s">
        <v>1285</v>
      </c>
      <c r="AM113" s="146" t="s">
        <v>1047</v>
      </c>
    </row>
    <row r="114" spans="1:39" x14ac:dyDescent="0.25">
      <c r="A114" s="778"/>
      <c r="B114" s="518" t="s">
        <v>140</v>
      </c>
      <c r="C114" s="520">
        <f>SUMIFS(AS!$W:$W,AS!$BO:$BO,$W$7,AS!$AB:$AB,AS!$AA$1,AS!$AH:$AH,$X$8,AS!$AT:$AT,$X114,AS!$AV:$AV,$X$5,AS!$AW:$AW,$X$32,AS!$X:$X,$Y$5,AS!$AT:$AT,Parkki!$Y$13,AS!$K:$K,$X$31,AS!$F:$F,$V$29,AS!$L:$L,$V$30,AS!$AG:$AG,Parkki!$Y$9)+Z114</f>
        <v>0</v>
      </c>
      <c r="D114" s="552" t="str">
        <f t="shared" si="17"/>
        <v>-</v>
      </c>
      <c r="E114" s="520">
        <f>SUMIFS(AS!$W:$W,AS!$BO:$BO,$W$7,AS!$AB:$AB,AS!$AA$1,AS!$AH:$AH,$X$8,AS!$AT:$AT,$X114,AS!$AV:$AV,$X$5,AS!$AW:$AW,$X$32,AS!$X:$X,$Y$5,AS!$I:$I,$X$7,AS!$AT:$AT,Parkki!$Y$13,AS!$K:$K,$X$31,AS!$F:$F,$V$29,AS!$L:$L,$V$30,AS!$AG:$AG,Parkki!$Y$9)+AA114</f>
        <v>0</v>
      </c>
      <c r="F114" s="520">
        <f>SUMIFS(AS!$W:$W,AS!$BO:$BO,$W$7,AS!$AB:$AB,AS!$AA$1,AS!$AH:$AH,$X$8,AS!$AT:$AT,$X114,AS!$AV:$AV,$X$5,AS!$AW:$AW,$X$32,AS!$X:$X,$Y$5,AS!$I:$I,$Y$7,AS!$AT:$AT,Parkki!$Y$13,AS!$K:$K,$X$31,AS!$F:$F,$V$29,AS!$L:$L,$V$30,AS!$AG:$AG,Parkki!$Y$9)+AB114</f>
        <v>0</v>
      </c>
      <c r="G114" s="719">
        <f>SUMIFS(AS!$W:$W,AS!$BO:$BO,$W$7,AS!$AB:$AB,AS!$AA$1,AS!$AH:$AH,$X$8,AS!$AT:$AT,$X114,AS!$AV:$AV,$X$2,AS!$AW:$AW,$X$32,AS!$X:$X,$Y$5,AS!$AT:$AT,Parkki!$Y$13,AS!$K:$K,$X$31,AS!$F:$F,$V$29,AS!$L:$L,$V$30,AS!$AG:$AG,Parkki!$Y$9)</f>
        <v>0</v>
      </c>
      <c r="H114" s="720" t="str">
        <f t="shared" si="18"/>
        <v>-</v>
      </c>
      <c r="I114" s="719">
        <f>SUMIFS(JA!Z:Z,JA!X:X,Parkki!X114,JA!AF:AF,"OK",JA!AE:AE,"OK")</f>
        <v>0</v>
      </c>
      <c r="J114" s="720" t="str">
        <f t="shared" si="19"/>
        <v>-</v>
      </c>
      <c r="X114" s="35" t="s">
        <v>229</v>
      </c>
      <c r="Z114">
        <f>SUMIFS(AS!$W:$W,AS!$BO:$BO,$W$7,AS!$AB:$AB,AS!$AA$1,AS!$AH:$AH,$X$8,AS!$AT:$AT,$Y114,AS!$AV:$AV,$X$5,AS!$AW:$AW,$X$32,AS!$X:$X,$Y$5,AS!$AT:$AT,Parkki!$Y$13,AS!$K:$K,$X$31,AS!$F:$F,$V$29,AS!$L:$L,$V$30,AS!$AG:$AG,Parkki!$Y$9)</f>
        <v>0</v>
      </c>
      <c r="AA114">
        <f>SUMIFS(AS!$W:$W,AS!$BO:$BO,$W$7,AS!$AB:$AB,AS!$AA$1,AS!$AH:$AH,$X$8,AS!$AT:$AT,$Y114,AS!$AV:$AV,$X$5,AS!$AW:$AW,$X$32,AS!$X:$X,$Y$5,AS!$I:$I,$X$7,AS!$AT:$AT,Parkki!$Y$13,AS!$K:$K,$X$31,AS!$F:$F,$V$29,AS!$L:$L,$V$30,AS!$AG:$AG,Parkki!$Y$9)</f>
        <v>0</v>
      </c>
      <c r="AB114">
        <f>SUMIFS(AS!$W:$W,AS!$BO:$BO,$W$7,AS!$AB:$AB,AS!$AA$1,AS!$AH:$AH,$X$8,AS!$AT:$AT,$Y114,AS!$AV:$AV,$X$5,AS!$AW:$AW,$X$32,AS!$X:$X,$Y$5,AS!$I:$I,$Y$7,AS!$AT:$AT,Parkki!$Y$13,AS!$K:$K,$X$31,AS!$F:$F,$V$29,AS!$L:$L,$V$30,AS!$AG:$AG,Parkki!$Y$9)</f>
        <v>0</v>
      </c>
      <c r="AE114" t="s">
        <v>795</v>
      </c>
      <c r="AG114" s="607" t="s">
        <v>81</v>
      </c>
      <c r="AH114" s="1" t="s">
        <v>1282</v>
      </c>
      <c r="AI114" s="690" t="s">
        <v>1283</v>
      </c>
      <c r="AJ114" s="450" t="s">
        <v>795</v>
      </c>
      <c r="AK114" s="450" t="s">
        <v>1286</v>
      </c>
      <c r="AL114" s="146" t="s">
        <v>1287</v>
      </c>
      <c r="AM114" s="146" t="s">
        <v>229</v>
      </c>
    </row>
    <row r="115" spans="1:39" x14ac:dyDescent="0.25">
      <c r="A115" s="778"/>
      <c r="B115" s="518" t="s">
        <v>1063</v>
      </c>
      <c r="C115" s="520">
        <f>SUMIFS(AS!$W:$W,AS!$BO:$BO,$W$7,AS!$AB:$AB,AS!$AA$1,AS!$AH:$AH,$X$8,AS!$AT:$AT,$X115,AS!$AV:$AV,$X$5,AS!$AW:$AW,$X$32,AS!$X:$X,$Y$5,AS!$AT:$AT,Parkki!$Y$13,AS!$K:$K,$X$31,AS!$F:$F,$V$29,AS!$L:$L,$V$30,AS!$AG:$AG,Parkki!$Y$9)+Z115</f>
        <v>0</v>
      </c>
      <c r="D115" s="552" t="str">
        <f t="shared" si="17"/>
        <v>-</v>
      </c>
      <c r="E115" s="520">
        <f>SUMIFS(AS!$W:$W,AS!$BO:$BO,$W$7,AS!$AB:$AB,AS!$AA$1,AS!$AH:$AH,$X$8,AS!$AT:$AT,$X115,AS!$AV:$AV,$X$5,AS!$AW:$AW,$X$32,AS!$X:$X,$Y$5,AS!$I:$I,$X$7,AS!$AT:$AT,Parkki!$Y$13,AS!$K:$K,$X$31,AS!$F:$F,$V$29,AS!$L:$L,$V$30,AS!$AG:$AG,Parkki!$Y$9)+AA115</f>
        <v>0</v>
      </c>
      <c r="F115" s="520">
        <f>SUMIFS(AS!$W:$W,AS!$BO:$BO,$W$7,AS!$AB:$AB,AS!$AA$1,AS!$AH:$AH,$X$8,AS!$AT:$AT,$X115,AS!$AV:$AV,$X$5,AS!$AW:$AW,$X$32,AS!$X:$X,$Y$5,AS!$I:$I,$Y$7,AS!$AT:$AT,Parkki!$Y$13,AS!$K:$K,$X$31,AS!$F:$F,$V$29,AS!$L:$L,$V$30,AS!$AG:$AG,Parkki!$Y$9)+AB115</f>
        <v>0</v>
      </c>
      <c r="G115" s="719">
        <f>SUMIFS(AS!$W:$W,AS!$BO:$BO,$W$7,AS!$AB:$AB,AS!$AA$1,AS!$AH:$AH,$X$8,AS!$AT:$AT,$X115,AS!$AV:$AV,$X$2,AS!$AW:$AW,$X$32,AS!$X:$X,$Y$5,AS!$AT:$AT,Parkki!$Y$13,AS!$K:$K,$X$31,AS!$F:$F,$V$29,AS!$L:$L,$V$30,AS!$AG:$AG,Parkki!$Y$9)</f>
        <v>0</v>
      </c>
      <c r="H115" s="720" t="str">
        <f t="shared" si="18"/>
        <v>-</v>
      </c>
      <c r="I115" s="719">
        <f>SUMIFS(JA!Z:Z,JA!X:X,Parkki!X115,JA!AF:AF,"OK",JA!AE:AE,"OK")</f>
        <v>0</v>
      </c>
      <c r="J115" s="720" t="str">
        <f t="shared" si="19"/>
        <v>-</v>
      </c>
      <c r="X115" s="514" t="s">
        <v>1048</v>
      </c>
      <c r="Y115" s="513" t="s">
        <v>216</v>
      </c>
      <c r="Z115">
        <f>SUMIFS(AS!$W:$W,AS!$BO:$BO,$W$7,AS!$AB:$AB,AS!$AA$1,AS!$AH:$AH,$X$8,AS!$AT:$AT,$Y115,AS!$AV:$AV,$X$5,AS!$AW:$AW,$X$32,AS!$X:$X,$Y$5,AS!$AT:$AT,Parkki!$Y$13,AS!$K:$K,$X$31,AS!$F:$F,$V$29,AS!$L:$L,$V$30,AS!$AG:$AG,Parkki!$Y$9)</f>
        <v>0</v>
      </c>
      <c r="AA115">
        <f>SUMIFS(AS!$W:$W,AS!$BO:$BO,$W$7,AS!$AB:$AB,AS!$AA$1,AS!$AH:$AH,$X$8,AS!$AT:$AT,$Y115,AS!$AV:$AV,$X$5,AS!$AW:$AW,$X$32,AS!$X:$X,$Y$5,AS!$I:$I,$X$7,AS!$AT:$AT,Parkki!$Y$13,AS!$K:$K,$X$31,AS!$F:$F,$V$29,AS!$L:$L,$V$30,AS!$AG:$AG,Parkki!$Y$9)</f>
        <v>0</v>
      </c>
      <c r="AB115">
        <f>SUMIFS(AS!$W:$W,AS!$BO:$BO,$W$7,AS!$AB:$AB,AS!$AA$1,AS!$AH:$AH,$X$8,AS!$AT:$AT,$Y115,AS!$AV:$AV,$X$5,AS!$AW:$AW,$X$32,AS!$X:$X,$Y$5,AS!$I:$I,$Y$7,AS!$AT:$AT,Parkki!$Y$13,AS!$K:$K,$X$31,AS!$F:$F,$V$29,AS!$L:$L,$V$30,AS!$AG:$AG,Parkki!$Y$9)</f>
        <v>0</v>
      </c>
      <c r="AE115" t="s">
        <v>1072</v>
      </c>
      <c r="AG115" s="607" t="s">
        <v>81</v>
      </c>
      <c r="AH115" s="1" t="s">
        <v>1282</v>
      </c>
      <c r="AI115" s="690" t="s">
        <v>1283</v>
      </c>
      <c r="AJ115" s="450" t="s">
        <v>1072</v>
      </c>
      <c r="AK115" s="450" t="s">
        <v>1288</v>
      </c>
      <c r="AL115" s="450" t="s">
        <v>1289</v>
      </c>
      <c r="AM115" s="146" t="s">
        <v>1048</v>
      </c>
    </row>
    <row r="116" spans="1:39" x14ac:dyDescent="0.25">
      <c r="A116" s="779"/>
      <c r="B116" s="518" t="s">
        <v>139</v>
      </c>
      <c r="C116" s="520">
        <f>SUMIFS(AS!$W:$W,AS!$BO:$BO,$W$7,AS!$AB:$AB,AS!$AA$1,AS!$AH:$AH,$X$8,AS!$AT:$AT,$X116,AS!$AV:$AV,$X$5,AS!$AW:$AW,$X$32,AS!$X:$X,$Y$5,AS!$AT:$AT,Parkki!$Y$13,AS!$K:$K,$X$31,AS!$F:$F,$V$29,AS!$L:$L,$V$30,AS!$AG:$AG,Parkki!$Y$9)+Z116</f>
        <v>0</v>
      </c>
      <c r="D116" s="552" t="str">
        <f t="shared" si="17"/>
        <v>-</v>
      </c>
      <c r="E116" s="520">
        <f>SUMIFS(AS!$W:$W,AS!$BO:$BO,$W$7,AS!$AB:$AB,AS!$AA$1,AS!$AH:$AH,$X$8,AS!$AT:$AT,$X116,AS!$AV:$AV,$X$5,AS!$AW:$AW,$X$32,AS!$X:$X,$Y$5,AS!$I:$I,$X$7,AS!$AT:$AT,Parkki!$Y$13,AS!$K:$K,$X$31,AS!$F:$F,$V$29,AS!$L:$L,$V$30,AS!$AG:$AG,Parkki!$Y$9)+AA116</f>
        <v>0</v>
      </c>
      <c r="F116" s="520">
        <f>SUMIFS(AS!$W:$W,AS!$BO:$BO,$W$7,AS!$AB:$AB,AS!$AA$1,AS!$AH:$AH,$X$8,AS!$AT:$AT,$X116,AS!$AV:$AV,$X$5,AS!$AW:$AW,$X$32,AS!$X:$X,$Y$5,AS!$I:$I,$Y$7,AS!$AT:$AT,Parkki!$Y$13,AS!$K:$K,$X$31,AS!$F:$F,$V$29,AS!$L:$L,$V$30,AS!$AG:$AG,Parkki!$Y$9)+AB116</f>
        <v>0</v>
      </c>
      <c r="G116" s="719">
        <f>SUMIFS(AS!$W:$W,AS!$BO:$BO,$W$7,AS!$AB:$AB,AS!$AA$1,AS!$AH:$AH,$X$8,AS!$AT:$AT,$X116,AS!$AV:$AV,$X$2,AS!$AW:$AW,$X$32,AS!$X:$X,$Y$5,AS!$AT:$AT,Parkki!$Y$13,AS!$K:$K,$X$31,AS!$F:$F,$V$29,AS!$L:$L,$V$30,AS!$AG:$AG,Parkki!$Y$9)</f>
        <v>0</v>
      </c>
      <c r="H116" s="720" t="str">
        <f t="shared" si="18"/>
        <v>-</v>
      </c>
      <c r="I116" s="719">
        <f>SUMIFS(JA!Z:Z,JA!X:X,Parkki!X116,JA!AF:AF,"OK",JA!AE:AE,"OK")</f>
        <v>0</v>
      </c>
      <c r="J116" s="720" t="str">
        <f t="shared" si="19"/>
        <v>-</v>
      </c>
      <c r="X116" s="35" t="s">
        <v>227</v>
      </c>
      <c r="Z116">
        <f>SUMIFS(AS!$W:$W,AS!$BO:$BO,$W$7,AS!$AB:$AB,AS!$AA$1,AS!$AH:$AH,$X$8,AS!$AT:$AT,$Y116,AS!$AV:$AV,$X$5,AS!$AW:$AW,$X$32,AS!$X:$X,$Y$5,AS!$AT:$AT,Parkki!$Y$13,AS!$K:$K,$X$31,AS!$F:$F,$V$29,AS!$L:$L,$V$30,AS!$AG:$AG,Parkki!$Y$9)</f>
        <v>0</v>
      </c>
      <c r="AA116">
        <f>SUMIFS(AS!$W:$W,AS!$BO:$BO,$W$7,AS!$AB:$AB,AS!$AA$1,AS!$AH:$AH,$X$8,AS!$AT:$AT,$Y116,AS!$AV:$AV,$X$5,AS!$AW:$AW,$X$32,AS!$X:$X,$Y$5,AS!$I:$I,$X$7,AS!$AT:$AT,Parkki!$Y$13,AS!$K:$K,$X$31,AS!$F:$F,$V$29,AS!$L:$L,$V$30,AS!$AG:$AG,Parkki!$Y$9)</f>
        <v>0</v>
      </c>
      <c r="AB116">
        <f>SUMIFS(AS!$W:$W,AS!$BO:$BO,$W$7,AS!$AB:$AB,AS!$AA$1,AS!$AH:$AH,$X$8,AS!$AT:$AT,$Y116,AS!$AV:$AV,$X$5,AS!$AW:$AW,$X$32,AS!$X:$X,$Y$5,AS!$I:$I,$Y$7,AS!$AT:$AT,Parkki!$Y$13,AS!$K:$K,$X$31,AS!$F:$F,$V$29,AS!$L:$L,$V$30,AS!$AG:$AG,Parkki!$Y$9)</f>
        <v>0</v>
      </c>
      <c r="AE116" t="s">
        <v>796</v>
      </c>
      <c r="AG116" s="607" t="s">
        <v>81</v>
      </c>
      <c r="AH116" s="1" t="s">
        <v>1282</v>
      </c>
      <c r="AI116" s="690" t="s">
        <v>1283</v>
      </c>
      <c r="AJ116" s="450" t="s">
        <v>796</v>
      </c>
      <c r="AK116" s="450" t="s">
        <v>1290</v>
      </c>
      <c r="AL116" s="146" t="s">
        <v>1291</v>
      </c>
      <c r="AM116" s="146" t="s">
        <v>227</v>
      </c>
    </row>
    <row r="117" spans="1:39" ht="15" customHeight="1" x14ac:dyDescent="0.25">
      <c r="A117" s="774" t="s">
        <v>1051</v>
      </c>
      <c r="B117" s="518" t="s">
        <v>138</v>
      </c>
      <c r="C117" s="520">
        <f>SUMIFS(AS!$W:$W,AS!$BO:$BO,$W$7,AS!$AB:$AB,AS!$AA$1,AS!$AH:$AH,$X$8,AS!$AT:$AT,$X117,AS!$AV:$AV,$X$5,AS!$AW:$AW,$X$32,AS!$X:$X,$Y$5,AS!$AT:$AT,Parkki!$Y$13,AS!$K:$K,$X$31,AS!$F:$F,$V$29,AS!$L:$L,$V$30,AS!$AG:$AG,Parkki!$Y$9)+Z117</f>
        <v>0</v>
      </c>
      <c r="D117" s="552" t="str">
        <f t="shared" si="17"/>
        <v>-</v>
      </c>
      <c r="E117" s="520">
        <f>SUMIFS(AS!$W:$W,AS!$BO:$BO,$W$7,AS!$AB:$AB,AS!$AA$1,AS!$AH:$AH,$X$8,AS!$AT:$AT,$X117,AS!$AV:$AV,$X$5,AS!$AW:$AW,$X$32,AS!$X:$X,$Y$5,AS!$I:$I,$X$7,AS!$AT:$AT,Parkki!$Y$13,AS!$K:$K,$X$31,AS!$F:$F,$V$29,AS!$L:$L,$V$30,AS!$AG:$AG,Parkki!$Y$9)+AA117</f>
        <v>0</v>
      </c>
      <c r="F117" s="520">
        <f>SUMIFS(AS!$W:$W,AS!$BO:$BO,$W$7,AS!$AB:$AB,AS!$AA$1,AS!$AH:$AH,$X$8,AS!$AT:$AT,$X117,AS!$AV:$AV,$X$5,AS!$AW:$AW,$X$32,AS!$X:$X,$Y$5,AS!$I:$I,$Y$7,AS!$AT:$AT,Parkki!$Y$13,AS!$K:$K,$X$31,AS!$F:$F,$V$29,AS!$L:$L,$V$30,AS!$AG:$AG,Parkki!$Y$9)+AB117</f>
        <v>0</v>
      </c>
      <c r="G117" s="719">
        <f>SUMIFS(AS!$W:$W,AS!$BO:$BO,$W$7,AS!$AB:$AB,AS!$AA$1,AS!$AH:$AH,$X$8,AS!$AT:$AT,$X117,AS!$AV:$AV,$X$2,AS!$AW:$AW,$X$32,AS!$X:$X,$Y$5,AS!$AT:$AT,Parkki!$Y$13,AS!$K:$K,$X$31,AS!$F:$F,$V$29,AS!$L:$L,$V$30,AS!$AG:$AG,Parkki!$Y$9)</f>
        <v>0</v>
      </c>
      <c r="H117" s="720" t="str">
        <f t="shared" si="18"/>
        <v>-</v>
      </c>
      <c r="I117" s="719">
        <f>SUMIFS(JA!Z:Z,JA!X:X,Parkki!X117,JA!AF:AF,"OK",JA!AE:AE,"OK")</f>
        <v>0</v>
      </c>
      <c r="J117" s="720" t="str">
        <f t="shared" si="19"/>
        <v>-</v>
      </c>
      <c r="W117" t="s">
        <v>511</v>
      </c>
      <c r="X117" s="514" t="s">
        <v>511</v>
      </c>
      <c r="Y117" s="513"/>
      <c r="Z117">
        <f>SUMIFS(AS!$W:$W,AS!$BO:$BO,$W$7,AS!$AB:$AB,AS!$AA$1,AS!$AH:$AH,$X$8,AS!$AT:$AT,$Y117,AS!$AV:$AV,$X$5,AS!$AW:$AW,$X$32,AS!$X:$X,$Y$5,AS!$AT:$AT,Parkki!$Y$13,AS!$K:$K,$X$31,AS!$F:$F,$V$29,AS!$L:$L,$V$30,AS!$AG:$AG,Parkki!$Y$9)</f>
        <v>0</v>
      </c>
      <c r="AA117">
        <f>SUMIFS(AS!$W:$W,AS!$BO:$BO,$W$7,AS!$AB:$AB,AS!$AA$1,AS!$AH:$AH,$X$8,AS!$AT:$AT,$Y117,AS!$AV:$AV,$X$5,AS!$AW:$AW,$X$32,AS!$X:$X,$Y$5,AS!$I:$I,$X$7,AS!$AT:$AT,Parkki!$Y$13,AS!$K:$K,$X$31,AS!$F:$F,$V$29,AS!$L:$L,$V$30,AS!$AG:$AG,Parkki!$Y$9)</f>
        <v>0</v>
      </c>
      <c r="AB117">
        <f>SUMIFS(AS!$W:$W,AS!$BO:$BO,$W$7,AS!$AB:$AB,AS!$AA$1,AS!$AH:$AH,$X$8,AS!$AT:$AT,$Y117,AS!$AV:$AV,$X$5,AS!$AW:$AW,$X$32,AS!$X:$X,$Y$5,AS!$I:$I,$Y$7,AS!$AT:$AT,Parkki!$Y$13,AS!$K:$K,$X$31,AS!$F:$F,$V$29,AS!$L:$L,$V$30,AS!$AG:$AG,Parkki!$Y$9)</f>
        <v>0</v>
      </c>
      <c r="AE117" t="s">
        <v>1052</v>
      </c>
      <c r="AG117" s="606" t="s">
        <v>1051</v>
      </c>
      <c r="AH117" s="605" t="s">
        <v>1292</v>
      </c>
      <c r="AI117" s="696" t="s">
        <v>1293</v>
      </c>
      <c r="AJ117" s="450" t="s">
        <v>1052</v>
      </c>
      <c r="AK117" s="450" t="s">
        <v>1294</v>
      </c>
      <c r="AL117" s="450" t="s">
        <v>1295</v>
      </c>
      <c r="AM117" s="146" t="s">
        <v>1053</v>
      </c>
    </row>
    <row r="118" spans="1:39" x14ac:dyDescent="0.25">
      <c r="A118" s="775"/>
      <c r="B118" s="62" t="s">
        <v>1611</v>
      </c>
      <c r="C118" s="520">
        <f>SUMIFS(AS!$W:$W,AS!$BO:$BO,$W$7,AS!$AB:$AB,AS!$AA$1,AS!$AH:$AH,$X$8,AS!$AT:$AT,$X118,AS!$AV:$AV,$X$5,AS!$AW:$AW,$X$32,AS!$X:$X,$Y$5,AS!$AT:$AT,Parkki!$Y$13,AS!$K:$K,$X$31,AS!$F:$F,$V$29,AS!$L:$L,$V$30,AS!$AG:$AG,Parkki!$Y$9)+Z118</f>
        <v>0</v>
      </c>
      <c r="D118" s="552" t="str">
        <f t="shared" si="17"/>
        <v>-</v>
      </c>
      <c r="E118" s="520">
        <f>SUMIFS(AS!$W:$W,AS!$BO:$BO,$W$7,AS!$AB:$AB,AS!$AA$1,AS!$AH:$AH,$X$8,AS!$AT:$AT,$X118,AS!$AV:$AV,$X$5,AS!$AW:$AW,$X$32,AS!$X:$X,$Y$5,AS!$I:$I,$X$7,AS!$AT:$AT,Parkki!$Y$13,AS!$K:$K,$X$31,AS!$F:$F,$V$29,AS!$L:$L,$V$30,AS!$AG:$AG,Parkki!$Y$9)+AA118</f>
        <v>0</v>
      </c>
      <c r="F118" s="520">
        <f>SUMIFS(AS!$W:$W,AS!$BO:$BO,$W$7,AS!$AB:$AB,AS!$AA$1,AS!$AH:$AH,$X$8,AS!$AT:$AT,$X118,AS!$AV:$AV,$X$5,AS!$AW:$AW,$X$32,AS!$X:$X,$Y$5,AS!$I:$I,$Y$7,AS!$AT:$AT,Parkki!$Y$13,AS!$K:$K,$X$31,AS!$F:$F,$V$29,AS!$L:$L,$V$30,AS!$AG:$AG,Parkki!$Y$9)+AB118</f>
        <v>0</v>
      </c>
      <c r="G118" s="719">
        <f>SUMIFS(AS!$W:$W,AS!$BO:$BO,$W$7,AS!$AB:$AB,AS!$AA$1,AS!$AH:$AH,$X$8,AS!$AT:$AT,$X118,AS!$AV:$AV,$X$2,AS!$AW:$AW,$X$32,AS!$X:$X,$Y$5,AS!$AT:$AT,Parkki!$Y$13,AS!$K:$K,$X$31,AS!$F:$F,$V$29,AS!$L:$L,$V$30,AS!$AG:$AG,Parkki!$Y$9)</f>
        <v>0</v>
      </c>
      <c r="H118" s="720" t="str">
        <f t="shared" si="18"/>
        <v>-</v>
      </c>
      <c r="I118" s="719">
        <f>SUMIFS(JA!Z:Z,JA!X:X,Parkki!X118,JA!AF:AF,"OK",JA!AE:AE,"OK")</f>
        <v>0</v>
      </c>
      <c r="J118" s="720" t="str">
        <f t="shared" si="19"/>
        <v>-</v>
      </c>
      <c r="X118" t="s">
        <v>1658</v>
      </c>
      <c r="Y118" s="35" t="s">
        <v>330</v>
      </c>
      <c r="Z118">
        <f>SUMIFS(AS!$W:$W,AS!$BO:$BO,$W$7,AS!$AB:$AB,AS!$AA$1,AS!$AH:$AH,$X$8,AS!$AT:$AT,$Y118,AS!$AV:$AV,$X$5,AS!$AW:$AW,$X$32,AS!$X:$X,$Y$5,AS!$AT:$AT,Parkki!$Y$13,AS!$K:$K,$X$31,AS!$F:$F,$V$29,AS!$L:$L,$V$30,AS!$AG:$AG,Parkki!$Y$9)</f>
        <v>0</v>
      </c>
      <c r="AA118">
        <f>SUMIFS(AS!$W:$W,AS!$BO:$BO,$W$7,AS!$AB:$AB,AS!$AA$1,AS!$AH:$AH,$X$8,AS!$AT:$AT,$Y118,AS!$AV:$AV,$X$5,AS!$AW:$AW,$X$32,AS!$X:$X,$Y$5,AS!$I:$I,$X$7,AS!$AT:$AT,Parkki!$Y$13,AS!$K:$K,$X$31,AS!$F:$F,$V$29,AS!$L:$L,$V$30,AS!$AG:$AG,Parkki!$Y$9)</f>
        <v>0</v>
      </c>
      <c r="AB118">
        <f>SUMIFS(AS!$W:$W,AS!$BO:$BO,$W$7,AS!$AB:$AB,AS!$AA$1,AS!$AH:$AH,$X$8,AS!$AT:$AT,$Y118,AS!$AV:$AV,$X$5,AS!$AW:$AW,$X$32,AS!$X:$X,$Y$5,AS!$I:$I,$Y$7,AS!$AT:$AT,Parkki!$Y$13,AS!$K:$K,$X$31,AS!$F:$F,$V$29,AS!$L:$L,$V$30,AS!$AG:$AG,Parkki!$Y$9)</f>
        <v>0</v>
      </c>
      <c r="AE118" t="s">
        <v>801</v>
      </c>
      <c r="AG118" s="606" t="s">
        <v>1051</v>
      </c>
      <c r="AH118" s="605" t="s">
        <v>1292</v>
      </c>
      <c r="AI118" s="696" t="s">
        <v>1293</v>
      </c>
      <c r="AJ118" s="450" t="s">
        <v>801</v>
      </c>
      <c r="AK118" s="450" t="s">
        <v>1296</v>
      </c>
      <c r="AL118" s="146" t="s">
        <v>1297</v>
      </c>
      <c r="AM118" s="146" t="s">
        <v>330</v>
      </c>
    </row>
    <row r="119" spans="1:39" x14ac:dyDescent="0.25">
      <c r="A119" s="775"/>
      <c r="B119" s="62" t="s">
        <v>1051</v>
      </c>
      <c r="C119" s="520">
        <f>SUMIFS(AS!$W:$W,AS!$BO:$BO,$W$7,AS!$AB:$AB,AS!$AA$1,AS!$AH:$AH,$X$8,AS!$AT:$AT,$X119,AS!$AV:$AV,$X$5,AS!$AW:$AW,$X$32,AS!$X:$X,$Y$5,AS!$AT:$AT,Parkki!$Y$13,AS!$K:$K,$X$31,AS!$F:$F,$V$29,AS!$L:$L,$V$30,AS!$AG:$AG,Parkki!$Y$9)+Z119</f>
        <v>0</v>
      </c>
      <c r="D119" s="552" t="str">
        <f t="shared" si="17"/>
        <v>-</v>
      </c>
      <c r="E119" s="520">
        <f>SUMIFS(AS!$W:$W,AS!$BO:$BO,$W$7,AS!$AB:$AB,AS!$AA$1,AS!$AH:$AH,$X$8,AS!$AT:$AT,$X119,AS!$AV:$AV,$X$5,AS!$AW:$AW,$X$32,AS!$X:$X,$Y$5,AS!$I:$I,$X$7,AS!$AT:$AT,Parkki!$Y$13,AS!$K:$K,$X$31,AS!$F:$F,$V$29,AS!$L:$L,$V$30,AS!$AG:$AG,Parkki!$Y$9)+AA119</f>
        <v>0</v>
      </c>
      <c r="F119" s="520">
        <f>SUMIFS(AS!$W:$W,AS!$BO:$BO,$W$7,AS!$AB:$AB,AS!$AA$1,AS!$AH:$AH,$X$8,AS!$AT:$AT,$X119,AS!$AV:$AV,$X$5,AS!$AW:$AW,$X$32,AS!$X:$X,$Y$5,AS!$I:$I,$Y$7,AS!$AT:$AT,Parkki!$Y$13,AS!$K:$K,$X$31,AS!$F:$F,$V$29,AS!$L:$L,$V$30,AS!$AG:$AG,Parkki!$Y$9)+AB119</f>
        <v>0</v>
      </c>
      <c r="G119" s="719">
        <f>SUMIFS(AS!$W:$W,AS!$BO:$BO,$W$7,AS!$AB:$AB,AS!$AA$1,AS!$AH:$AH,$X$8,AS!$AT:$AT,$Y119,AS!$AV:$AV,$X$2,AS!$AW:$AW,$X$32,AS!$X:$X,$Y$5,AS!$AT:$AT,Parkki!$Y$13,AS!$K:$K,$X$31,AS!$F:$F,$V$29,AS!$L:$L,$V$30,AS!$AG:$AG,Parkki!$Y$9)+SUMIFS(AS!$W:$W,AS!$BO:$BO,$W$7,AS!$AB:$AB,AS!$AA$1,AS!$AH:$AH,$X$8,AS!$AT:$AT,$X119,AS!$AV:$AV,$X$2,AS!$AW:$AW,$X$32,AS!$X:$X,$Y$5,AS!$AT:$AT,Parkki!$Y$13,AS!$K:$K,$X$31,AS!$F:$F,$V$29,AS!$L:$L,$V$30,AS!$AG:$AG,Parkki!$Y$9)</f>
        <v>0</v>
      </c>
      <c r="H119" s="720" t="str">
        <f t="shared" si="18"/>
        <v>-</v>
      </c>
      <c r="I119" s="719">
        <f>SUMIFS(JA!Z:Z,JA!X:X,Parkki!X119,JA!AF:AF,"OK",JA!AE:AE,"OK")</f>
        <v>0</v>
      </c>
      <c r="J119" s="720" t="str">
        <f t="shared" si="19"/>
        <v>-</v>
      </c>
      <c r="W119" t="s">
        <v>752</v>
      </c>
      <c r="X119" t="s">
        <v>1659</v>
      </c>
      <c r="Y119" s="514" t="s">
        <v>1049</v>
      </c>
      <c r="Z119">
        <f>SUMIFS(AS!$W:$W,AS!$BO:$BO,$W$7,AS!$AB:$AB,AS!$AA$1,AS!$AH:$AH,$X$8,AS!$AT:$AT,$Y119,AS!$AV:$AV,$X$5,AS!$AW:$AW,$X$32,AS!$X:$X,$Y$5,AS!$AT:$AT,Parkki!$Y$13,AS!$K:$K,$X$31,AS!$F:$F,$V$29,AS!$L:$L,$V$30,AS!$AG:$AG,Parkki!$Y$9)</f>
        <v>0</v>
      </c>
      <c r="AA119">
        <f>SUMIFS(AS!$W:$W,AS!$BO:$BO,$W$7,AS!$AB:$AB,AS!$AA$1,AS!$AH:$AH,$X$8,AS!$AT:$AT,$Y119,AS!$AV:$AV,$X$5,AS!$AW:$AW,$X$32,AS!$X:$X,$Y$5,AS!$I:$I,$X$7,AS!$AT:$AT,Parkki!$Y$13,AS!$K:$K,$X$31,AS!$F:$F,$V$29,AS!$L:$L,$V$30,AS!$AG:$AG,Parkki!$Y$9)</f>
        <v>0</v>
      </c>
      <c r="AB119">
        <f>SUMIFS(AS!$W:$W,AS!$BO:$BO,$W$7,AS!$AB:$AB,AS!$AA$1,AS!$AH:$AH,$X$8,AS!$AT:$AT,$Y119,AS!$AV:$AV,$X$5,AS!$AW:$AW,$X$32,AS!$X:$X,$Y$5,AS!$I:$I,$Y$7,AS!$AT:$AT,Parkki!$Y$13,AS!$K:$K,$X$31,AS!$F:$F,$V$29,AS!$L:$L,$V$30,AS!$AG:$AG,Parkki!$Y$9)</f>
        <v>0</v>
      </c>
      <c r="AE119" t="s">
        <v>1073</v>
      </c>
      <c r="AG119" s="606" t="s">
        <v>1051</v>
      </c>
      <c r="AH119" s="605" t="s">
        <v>1292</v>
      </c>
      <c r="AI119" s="696" t="s">
        <v>1293</v>
      </c>
      <c r="AJ119" s="450" t="s">
        <v>1073</v>
      </c>
      <c r="AK119" s="450" t="s">
        <v>1298</v>
      </c>
      <c r="AL119" s="693" t="s">
        <v>1299</v>
      </c>
      <c r="AM119" s="146" t="s">
        <v>1049</v>
      </c>
    </row>
    <row r="120" spans="1:39" x14ac:dyDescent="0.25">
      <c r="A120" s="775"/>
      <c r="B120" s="518" t="s">
        <v>1612</v>
      </c>
      <c r="C120" s="520">
        <f>SUMIFS(AS!$W:$W,AS!$BO:$BO,$W$7,AS!$AB:$AB,AS!$AA$1,AS!$AH:$AH,$X$8,AS!$AT:$AT,$X120,AS!$AV:$AV,$X$5,AS!$AW:$AW,$X$32,AS!$X:$X,$Y$5,AS!$AT:$AT,Parkki!$Y$13,AS!$K:$K,$X$31,AS!$F:$F,$V$29,AS!$L:$L,$V$30,AS!$AG:$AG,Parkki!$Y$9)+Z120</f>
        <v>0</v>
      </c>
      <c r="D120" s="552" t="str">
        <f t="shared" si="17"/>
        <v>-</v>
      </c>
      <c r="E120" s="520">
        <f>SUMIFS(AS!$W:$W,AS!$BO:$BO,$W$7,AS!$AB:$AB,AS!$AA$1,AS!$AH:$AH,$X$8,AS!$AT:$AT,$X120,AS!$AV:$AV,$X$5,AS!$AW:$AW,$X$32,AS!$X:$X,$Y$5,AS!$I:$I,$X$7,AS!$AT:$AT,Parkki!$Y$13,AS!$K:$K,$X$31,AS!$F:$F,$V$29,AS!$L:$L,$V$30,AS!$AG:$AG,Parkki!$Y$9)+AA120</f>
        <v>0</v>
      </c>
      <c r="F120" s="520">
        <f>SUMIFS(AS!$W:$W,AS!$BO:$BO,$W$7,AS!$AB:$AB,AS!$AA$1,AS!$AH:$AH,$X$8,AS!$AT:$AT,$X120,AS!$AV:$AV,$X$5,AS!$AW:$AW,$X$32,AS!$X:$X,$Y$5,AS!$I:$I,$Y$7,AS!$AT:$AT,Parkki!$Y$13,AS!$K:$K,$X$31,AS!$F:$F,$V$29,AS!$L:$L,$V$30,AS!$AG:$AG,Parkki!$Y$9)+AB120</f>
        <v>0</v>
      </c>
      <c r="G120" s="719">
        <f>SUMIFS(AS!$W:$W,AS!$BO:$BO,$W$7,AS!$AB:$AB,AS!$AA$1,AS!$AH:$AH,$X$8,AS!$AT:$AT,$X120,AS!$AV:$AV,$X$2,AS!$AW:$AW,$X$32,AS!$X:$X,$Y$5,AS!$AT:$AT,Parkki!$Y$13,AS!$K:$K,$X$31,AS!$F:$F,$V$29,AS!$L:$L,$V$30,AS!$AG:$AG,Parkki!$Y$9)</f>
        <v>0</v>
      </c>
      <c r="H120" s="720" t="str">
        <f t="shared" si="18"/>
        <v>-</v>
      </c>
      <c r="I120" s="719">
        <f>SUMIFS(JA!Z:Z,JA!X:X,Parkki!X120,JA!AF:AF,"OK",JA!AE:AE,"OK")</f>
        <v>0</v>
      </c>
      <c r="J120" s="720" t="str">
        <f t="shared" si="19"/>
        <v>-</v>
      </c>
      <c r="X120" s="35" t="s">
        <v>1053</v>
      </c>
      <c r="Y120" s="618" t="s">
        <v>509</v>
      </c>
      <c r="Z120">
        <f>SUMIFS(AS!$W:$W,AS!$BO:$BO,$W$7,AS!$AB:$AB,AS!$AA$1,AS!$AH:$AH,$X$8,AS!$AT:$AT,$Y120,AS!$AV:$AV,$X$5,AS!$AW:$AW,$X$32,AS!$X:$X,$Y$5,AS!$AT:$AT,Parkki!$Y$13,AS!$K:$K,$X$31,AS!$F:$F,$V$29,AS!$L:$L,$V$30,AS!$AG:$AG,Parkki!$Y$9)</f>
        <v>0</v>
      </c>
      <c r="AA120">
        <f>SUMIFS(AS!$W:$W,AS!$BO:$BO,$W$7,AS!$AB:$AB,AS!$AA$1,AS!$AH:$AH,$X$8,AS!$AT:$AT,$Y120,AS!$AV:$AV,$X$5,AS!$AW:$AW,$X$32,AS!$X:$X,$Y$5,AS!$I:$I,$X$7,AS!$AT:$AT,Parkki!$Y$13,AS!$K:$K,$X$31,AS!$F:$F,$V$29,AS!$L:$L,$V$30,AS!$AG:$AG,Parkki!$Y$9)</f>
        <v>0</v>
      </c>
      <c r="AB120">
        <f>SUMIFS(AS!$W:$W,AS!$BO:$BO,$W$7,AS!$AB:$AB,AS!$AA$1,AS!$AH:$AH,$X$8,AS!$AT:$AT,$Y120,AS!$AV:$AV,$X$5,AS!$AW:$AW,$X$32,AS!$X:$X,$Y$5,AS!$I:$I,$Y$7,AS!$AT:$AT,Parkki!$Y$13,AS!$K:$K,$X$31,AS!$F:$F,$V$29,AS!$L:$L,$V$30,AS!$AG:$AG,Parkki!$Y$9)</f>
        <v>0</v>
      </c>
      <c r="AG120" s="606"/>
      <c r="AH120" s="605"/>
      <c r="AI120" s="696"/>
      <c r="AJ120" s="450"/>
      <c r="AK120" s="450"/>
      <c r="AL120" s="693"/>
      <c r="AM120" s="146"/>
    </row>
    <row r="121" spans="1:39" x14ac:dyDescent="0.25">
      <c r="A121" s="776"/>
      <c r="B121" s="518" t="s">
        <v>1613</v>
      </c>
      <c r="C121" s="520">
        <f>SUMIFS(AS!$W:$W,AS!$BO:$BO,$W$7,AS!$AB:$AB,AS!$AA$1,AS!$AH:$AH,$X$8,AS!$AT:$AT,$X121,AS!$AV:$AV,$X$5,AS!$AW:$AW,$X$32,AS!$X:$X,$Y$5,AS!$AT:$AT,Parkki!$Y$13,AS!$K:$K,$X$31,AS!$F:$F,$V$29,AS!$L:$L,$V$30,AS!$AG:$AG,Parkki!$Y$9)+Z121</f>
        <v>0</v>
      </c>
      <c r="D121" s="552" t="str">
        <f t="shared" si="17"/>
        <v>-</v>
      </c>
      <c r="E121" s="520">
        <f>SUMIFS(AS!$W:$W,AS!$BO:$BO,$W$7,AS!$AB:$AB,AS!$AA$1,AS!$AH:$AH,$X$8,AS!$AT:$AT,$X121,AS!$AV:$AV,$X$5,AS!$AW:$AW,$X$32,AS!$X:$X,$Y$5,AS!$I:$I,$X$7,AS!$AT:$AT,Parkki!$Y$13,AS!$K:$K,$X$31,AS!$F:$F,$V$29,AS!$L:$L,$V$30,AS!$AG:$AG,Parkki!$Y$9)+AA121</f>
        <v>0</v>
      </c>
      <c r="F121" s="520">
        <f>SUMIFS(AS!$W:$W,AS!$BO:$BO,$W$7,AS!$AB:$AB,AS!$AA$1,AS!$AH:$AH,$X$8,AS!$AT:$AT,$X121,AS!$AV:$AV,$X$5,AS!$AW:$AW,$X$32,AS!$X:$X,$Y$5,AS!$I:$I,$Y$7,AS!$AT:$AT,Parkki!$Y$13,AS!$K:$K,$X$31,AS!$F:$F,$V$29,AS!$L:$L,$V$30,AS!$AG:$AG,Parkki!$Y$9)+AB121</f>
        <v>0</v>
      </c>
      <c r="G121" s="719">
        <f>SUMIFS(AS!$W:$W,AS!$BO:$BO,$W$7,AS!$AB:$AB,AS!$AA$1,AS!$AH:$AH,$X$8,AS!$AT:$AT,$X121,AS!$AV:$AV,$X$2,AS!$AW:$AW,$X$32,AS!$X:$X,$Y$5,AS!$AT:$AT,Parkki!$Y$13,AS!$K:$K,$X$31,AS!$F:$F,$V$29,AS!$L:$L,$V$30,AS!$AG:$AG,Parkki!$Y$9)</f>
        <v>0</v>
      </c>
      <c r="H121" s="720" t="str">
        <f t="shared" si="18"/>
        <v>-</v>
      </c>
      <c r="I121" s="719">
        <f>SUMIFS(JA!Z:Z,JA!X:X,Parkki!X121,JA!AF:AF,"OK",JA!AE:AE,"OK")</f>
        <v>0</v>
      </c>
      <c r="J121" s="720" t="str">
        <f t="shared" si="19"/>
        <v>-</v>
      </c>
      <c r="X121" s="514" t="s">
        <v>1050</v>
      </c>
      <c r="Z121">
        <f>SUMIFS(AS!$W:$W,AS!$BO:$BO,$W$7,AS!$AB:$AB,AS!$AA$1,AS!$AH:$AH,$X$8,AS!$AT:$AT,$Y121,AS!$AV:$AV,$X$5,AS!$AW:$AW,$X$32,AS!$X:$X,$Y$5,AS!$AT:$AT,Parkki!$Y$13,AS!$K:$K,$X$31,AS!$F:$F,$V$29,AS!$L:$L,$V$30,AS!$AG:$AG,Parkki!$Y$9)</f>
        <v>0</v>
      </c>
      <c r="AA121">
        <f>SUMIFS(AS!$W:$W,AS!$BO:$BO,$W$7,AS!$AB:$AB,AS!$AA$1,AS!$AH:$AH,$X$8,AS!$AT:$AT,$Y121,AS!$AV:$AV,$X$5,AS!$AW:$AW,$X$32,AS!$X:$X,$Y$5,AS!$I:$I,$X$7,AS!$AT:$AT,Parkki!$Y$13,AS!$K:$K,$X$31,AS!$F:$F,$V$29,AS!$L:$L,$V$30,AS!$AG:$AG,Parkki!$Y$9)</f>
        <v>0</v>
      </c>
      <c r="AB121">
        <f>SUMIFS(AS!$W:$W,AS!$BO:$BO,$W$7,AS!$AB:$AB,AS!$AA$1,AS!$AH:$AH,$X$8,AS!$AT:$AT,$Y121,AS!$AV:$AV,$X$5,AS!$AW:$AW,$X$32,AS!$X:$X,$Y$5,AS!$I:$I,$Y$7,AS!$AT:$AT,Parkki!$Y$13,AS!$K:$K,$X$31,AS!$F:$F,$V$29,AS!$L:$L,$V$30,AS!$AG:$AG,Parkki!$Y$9)</f>
        <v>0</v>
      </c>
      <c r="AE121" t="s">
        <v>1074</v>
      </c>
      <c r="AG121" s="606" t="s">
        <v>1051</v>
      </c>
      <c r="AH121" s="605" t="s">
        <v>1292</v>
      </c>
      <c r="AI121" s="696" t="s">
        <v>1293</v>
      </c>
      <c r="AJ121" s="450" t="s">
        <v>1074</v>
      </c>
      <c r="AK121" s="450" t="s">
        <v>1300</v>
      </c>
      <c r="AL121" s="693" t="s">
        <v>1301</v>
      </c>
      <c r="AM121" s="146" t="s">
        <v>1050</v>
      </c>
    </row>
    <row r="122" spans="1:39" x14ac:dyDescent="0.25">
      <c r="A122" s="777" t="s">
        <v>797</v>
      </c>
      <c r="B122" s="518" t="s">
        <v>32</v>
      </c>
      <c r="C122" s="520">
        <f>SUMIFS(AS!$W:$W,AS!$BO:$BO,$W$7,AS!$AB:$AB,AS!$AA$1,AS!$AH:$AH,$X$8,AS!$AT:$AT,$X122,AS!$AV:$AV,$X$5,AS!$AW:$AW,$X$32,AS!$X:$X,$Y$5,AS!$AT:$AT,Parkki!$Y$13,AS!$K:$K,$X$31,AS!$F:$F,$V$29,AS!$L:$L,$V$30,AS!$AG:$AG,Parkki!$Y$9)+Z122</f>
        <v>0</v>
      </c>
      <c r="D122" s="552" t="str">
        <f t="shared" si="17"/>
        <v>-</v>
      </c>
      <c r="E122" s="520">
        <f>SUMIFS(AS!$W:$W,AS!$BO:$BO,$W$7,AS!$AB:$AB,AS!$AA$1,AS!$AH:$AH,$X$8,AS!$AT:$AT,$X122,AS!$AV:$AV,$X$5,AS!$AW:$AW,$X$32,AS!$X:$X,$Y$5,AS!$I:$I,$X$7,AS!$AT:$AT,Parkki!$Y$13,AS!$K:$K,$X$31,AS!$F:$F,$V$29,AS!$L:$L,$V$30,AS!$AG:$AG,Parkki!$Y$9)+AA122</f>
        <v>0</v>
      </c>
      <c r="F122" s="520">
        <f>SUMIFS(AS!$W:$W,AS!$BO:$BO,$W$7,AS!$AB:$AB,AS!$AA$1,AS!$AH:$AH,$X$8,AS!$AT:$AT,$X122,AS!$AV:$AV,$X$5,AS!$AW:$AW,$X$32,AS!$X:$X,$Y$5,AS!$I:$I,$Y$7,AS!$AT:$AT,Parkki!$Y$13,AS!$K:$K,$X$31,AS!$F:$F,$V$29,AS!$L:$L,$V$30,AS!$AG:$AG,Parkki!$Y$9)+AB122</f>
        <v>0</v>
      </c>
      <c r="G122" s="719">
        <f>SUMIFS(AS!$W:$W,AS!$BO:$BO,$W$7,AS!$AB:$AB,AS!$AA$1,AS!$AH:$AH,$X$8,AS!$AT:$AT,$X122,AS!$AV:$AV,$X$2,AS!$AW:$AW,$X$32,AS!$X:$X,$Y$5,AS!$AT:$AT,Parkki!$Y$13,AS!$K:$K,$X$31,AS!$F:$F,$V$29,AS!$L:$L,$V$30,AS!$AG:$AG,Parkki!$Y$9)</f>
        <v>0</v>
      </c>
      <c r="H122" s="720" t="str">
        <f t="shared" si="18"/>
        <v>-</v>
      </c>
      <c r="I122" s="719">
        <f>SUMIFS(JA!Z:Z,JA!X:X,Parkki!X122,JA!AF:AF,"OK",JA!AE:AE,"OK")</f>
        <v>0</v>
      </c>
      <c r="J122" s="720" t="str">
        <f t="shared" si="19"/>
        <v>-</v>
      </c>
      <c r="X122" s="35" t="s">
        <v>510</v>
      </c>
      <c r="Z122">
        <f>SUMIFS(AS!$W:$W,AS!$BO:$BO,$W$7,AS!$AB:$AB,AS!$AA$1,AS!$AH:$AH,$X$8,AS!$AT:$AT,$Y122,AS!$AV:$AV,$X$5,AS!$AW:$AW,$X$32,AS!$X:$X,$Y$5,AS!$AT:$AT,Parkki!$Y$13,AS!$K:$K,$X$31,AS!$F:$F,$V$29,AS!$L:$L,$V$30,AS!$AG:$AG,Parkki!$Y$9)</f>
        <v>0</v>
      </c>
      <c r="AA122">
        <f>SUMIFS(AS!$W:$W,AS!$BO:$BO,$W$7,AS!$AB:$AB,AS!$AA$1,AS!$AH:$AH,$X$8,AS!$AT:$AT,$Y122,AS!$AV:$AV,$X$5,AS!$AW:$AW,$X$32,AS!$X:$X,$Y$5,AS!$I:$I,$X$7,AS!$AT:$AT,Parkki!$Y$13,AS!$K:$K,$X$31,AS!$F:$F,$V$29,AS!$L:$L,$V$30,AS!$AG:$AG,Parkki!$Y$9)</f>
        <v>0</v>
      </c>
      <c r="AB122">
        <f>SUMIFS(AS!$W:$W,AS!$BO:$BO,$W$7,AS!$AB:$AB,AS!$AA$1,AS!$AH:$AH,$X$8,AS!$AT:$AT,$Y122,AS!$AV:$AV,$X$5,AS!$AW:$AW,$X$32,AS!$X:$X,$Y$5,AS!$I:$I,$Y$7,AS!$AT:$AT,Parkki!$Y$13,AS!$K:$K,$X$31,AS!$F:$F,$V$29,AS!$L:$L,$V$30,AS!$AG:$AG,Parkki!$Y$9)</f>
        <v>0</v>
      </c>
      <c r="AE122" t="s">
        <v>32</v>
      </c>
      <c r="AG122" s="606" t="s">
        <v>797</v>
      </c>
      <c r="AH122" s="613" t="s">
        <v>1302</v>
      </c>
      <c r="AI122" s="697" t="s">
        <v>1303</v>
      </c>
      <c r="AJ122" s="450" t="s">
        <v>32</v>
      </c>
      <c r="AK122" s="450" t="s">
        <v>1304</v>
      </c>
      <c r="AL122" s="450" t="s">
        <v>32</v>
      </c>
      <c r="AM122" s="146" t="s">
        <v>510</v>
      </c>
    </row>
    <row r="123" spans="1:39" x14ac:dyDescent="0.25">
      <c r="A123" s="778"/>
      <c r="B123" s="518" t="s">
        <v>1614</v>
      </c>
      <c r="C123" s="520">
        <f>SUMIFS(AS!$W:$W,AS!$BO:$BO,$W$7,AS!$AB:$AB,AS!$AA$1,AS!$AH:$AH,$X$8,AS!$AT:$AT,$X123,AS!$AV:$AV,$X$5,AS!$AW:$AW,$X$32,AS!$X:$X,$Y$5,AS!$AT:$AT,Parkki!$Y$13,AS!$K:$K,$X$31,AS!$F:$F,$V$29,AS!$L:$L,$V$30,AS!$AG:$AG,Parkki!$Y$9)+Z123</f>
        <v>0</v>
      </c>
      <c r="D123" s="552" t="str">
        <f t="shared" si="17"/>
        <v>-</v>
      </c>
      <c r="E123" s="520">
        <f>SUMIFS(AS!$W:$W,AS!$BO:$BO,$W$7,AS!$AB:$AB,AS!$AA$1,AS!$AH:$AH,$X$8,AS!$AT:$AT,$X123,AS!$AV:$AV,$X$5,AS!$AW:$AW,$X$32,AS!$X:$X,$Y$5,AS!$I:$I,$X$7,AS!$AT:$AT,Parkki!$Y$13,AS!$K:$K,$X$31,AS!$F:$F,$V$29,AS!$L:$L,$V$30,AS!$AG:$AG,Parkki!$Y$9)+AA123</f>
        <v>0</v>
      </c>
      <c r="F123" s="520">
        <f>SUMIFS(AS!$W:$W,AS!$BO:$BO,$W$7,AS!$AB:$AB,AS!$AA$1,AS!$AH:$AH,$X$8,AS!$AT:$AT,$X123,AS!$AV:$AV,$X$5,AS!$AW:$AW,$X$32,AS!$X:$X,$Y$5,AS!$I:$I,$Y$7,AS!$AT:$AT,Parkki!$Y$13,AS!$K:$K,$X$31,AS!$F:$F,$V$29,AS!$L:$L,$V$30,AS!$AG:$AG,Parkki!$Y$9)+AB123</f>
        <v>0</v>
      </c>
      <c r="G123" s="719">
        <f>SUMIFS(AS!$W:$W,AS!$BO:$BO,$W$7,AS!$AB:$AB,AS!$AA$1,AS!$AH:$AH,$X$8,AS!$AT:$AT,$X123,AS!$AV:$AV,$X$2,AS!$AW:$AW,$X$32,AS!$X:$X,$Y$5,AS!$AT:$AT,Parkki!$Y$13,AS!$K:$K,$X$31,AS!$F:$F,$V$29,AS!$L:$L,$V$30,AS!$AG:$AG,Parkki!$Y$9)</f>
        <v>0</v>
      </c>
      <c r="H123" s="720" t="str">
        <f t="shared" si="18"/>
        <v>-</v>
      </c>
      <c r="I123" s="719">
        <f>SUMIFS(JA!Z:Z,JA!X:X,Parkki!X123,JA!AF:AF,"OK",JA!AE:AE,"OK")</f>
        <v>0</v>
      </c>
      <c r="J123" s="720" t="str">
        <f t="shared" si="19"/>
        <v>-</v>
      </c>
      <c r="X123" s="616" t="s">
        <v>1615</v>
      </c>
      <c r="Z123">
        <f>SUMIFS(AS!$W:$W,AS!$BO:$BO,$W$7,AS!$AB:$AB,AS!$AA$1,AS!$AH:$AH,$X$8,AS!$AT:$AT,$Y123,AS!$AV:$AV,$X$5,AS!$AW:$AW,$X$32,AS!$X:$X,$Y$5,AS!$AT:$AT,Parkki!$Y$13,AS!$K:$K,$X$31,AS!$F:$F,$V$29,AS!$L:$L,$V$30,AS!$AG:$AG,Parkki!$Y$9)</f>
        <v>0</v>
      </c>
      <c r="AA123">
        <f>SUMIFS(AS!$W:$W,AS!$BO:$BO,$W$7,AS!$AB:$AB,AS!$AA$1,AS!$AH:$AH,$X$8,AS!$AT:$AT,$Y123,AS!$AV:$AV,$X$5,AS!$AW:$AW,$X$32,AS!$X:$X,$Y$5,AS!$I:$I,$X$7,AS!$AT:$AT,Parkki!$Y$13,AS!$K:$K,$X$31,AS!$F:$F,$V$29,AS!$L:$L,$V$30,AS!$AG:$AG,Parkki!$Y$9)</f>
        <v>0</v>
      </c>
      <c r="AB123">
        <f>SUMIFS(AS!$W:$W,AS!$BO:$BO,$W$7,AS!$AB:$AB,AS!$AA$1,AS!$AH:$AH,$X$8,AS!$AT:$AT,$Y123,AS!$AV:$AV,$X$5,AS!$AW:$AW,$X$32,AS!$X:$X,$Y$5,AS!$I:$I,$Y$7,AS!$AT:$AT,Parkki!$Y$13,AS!$K:$K,$X$31,AS!$F:$F,$V$29,AS!$L:$L,$V$30,AS!$AG:$AG,Parkki!$Y$9)</f>
        <v>0</v>
      </c>
      <c r="AE123" t="s">
        <v>1305</v>
      </c>
      <c r="AG123" s="606" t="s">
        <v>797</v>
      </c>
      <c r="AH123" s="613" t="s">
        <v>1302</v>
      </c>
      <c r="AI123" s="697" t="s">
        <v>1303</v>
      </c>
      <c r="AJ123" s="450" t="s">
        <v>1305</v>
      </c>
      <c r="AK123" s="694" t="s">
        <v>1306</v>
      </c>
      <c r="AL123" s="694" t="s">
        <v>1307</v>
      </c>
      <c r="AM123" s="146" t="s">
        <v>1340</v>
      </c>
    </row>
    <row r="124" spans="1:39" x14ac:dyDescent="0.25">
      <c r="A124" s="778"/>
      <c r="B124" s="518" t="s">
        <v>1351</v>
      </c>
      <c r="C124" s="520">
        <f>SUMIFS(AS!$W:$W,AS!$BO:$BO,$W$7,AS!$AB:$AB,AS!$AA$1,AS!$AH:$AH,$X$8,AS!$AT:$AT,$X124,AS!$AV:$AV,$X$5,AS!$AW:$AW,$X$32,AS!$X:$X,$Y$5,AS!$AT:$AT,Parkki!$Y$13,AS!$K:$K,$X$31,AS!$F:$F,$V$29,AS!$L:$L,$V$30,AS!$AG:$AG,Parkki!$Y$9)+Z124</f>
        <v>0</v>
      </c>
      <c r="D124" s="552" t="str">
        <f t="shared" ref="D124:D138" si="20">IFERROR(C124/$C$139,"-")</f>
        <v>-</v>
      </c>
      <c r="E124" s="520">
        <f>SUMIFS(AS!$W:$W,AS!$BO:$BO,$W$7,AS!$AB:$AB,AS!$AA$1,AS!$AH:$AH,$X$8,AS!$AT:$AT,$X124,AS!$AV:$AV,$X$5,AS!$AW:$AW,$X$32,AS!$X:$X,$Y$5,AS!$I:$I,$X$7,AS!$AT:$AT,Parkki!$Y$13,AS!$K:$K,$X$31,AS!$F:$F,$V$29,AS!$L:$L,$V$30,AS!$AG:$AG,Parkki!$Y$9)+AA124</f>
        <v>0</v>
      </c>
      <c r="F124" s="520">
        <f>SUMIFS(AS!$W:$W,AS!$BO:$BO,$W$7,AS!$AB:$AB,AS!$AA$1,AS!$AH:$AH,$X$8,AS!$AT:$AT,$X124,AS!$AV:$AV,$X$5,AS!$AW:$AW,$X$32,AS!$X:$X,$Y$5,AS!$I:$I,$Y$7,AS!$AT:$AT,Parkki!$Y$13,AS!$K:$K,$X$31,AS!$F:$F,$V$29,AS!$L:$L,$V$30,AS!$AG:$AG,Parkki!$Y$9)+AB124</f>
        <v>0</v>
      </c>
      <c r="G124" s="719">
        <f>SUMIFS(AS!$W:$W,AS!$BO:$BO,$W$7,AS!$AB:$AB,AS!$AA$1,AS!$AH:$AH,$X$8,AS!$AT:$AT,$X124,AS!$AV:$AV,$X$2,AS!$AW:$AW,$X$32,AS!$X:$X,$Y$5,AS!$AT:$AT,Parkki!$Y$13,AS!$K:$K,$X$31,AS!$F:$F,$V$29,AS!$L:$L,$V$30,AS!$AG:$AG,Parkki!$Y$9)</f>
        <v>0</v>
      </c>
      <c r="H124" s="720" t="str">
        <f t="shared" si="18"/>
        <v>-</v>
      </c>
      <c r="I124" s="719">
        <f>SUMIFS(JA!Z:Z,JA!X:X,Parkki!X124,JA!AF:AF,"OK",JA!AE:AE,"OK")</f>
        <v>0</v>
      </c>
      <c r="J124" s="720" t="str">
        <f t="shared" si="19"/>
        <v>-</v>
      </c>
      <c r="X124" s="514" t="s">
        <v>1056</v>
      </c>
      <c r="Y124" s="15"/>
      <c r="Z124">
        <f>SUMIFS(AS!$W:$W,AS!$BO:$BO,$W$7,AS!$AB:$AB,AS!$AA$1,AS!$AH:$AH,$X$8,AS!$AT:$AT,$Y124,AS!$AV:$AV,$X$5,AS!$AW:$AW,$X$32,AS!$X:$X,$Y$5,AS!$AT:$AT,Parkki!$Y$13,AS!$K:$K,$X$31,AS!$F:$F,$V$29,AS!$L:$L,$V$30,AS!$AG:$AG,Parkki!$Y$9)</f>
        <v>0</v>
      </c>
      <c r="AA124">
        <f>SUMIFS(AS!$W:$W,AS!$BO:$BO,$W$7,AS!$AB:$AB,AS!$AA$1,AS!$AH:$AH,$X$8,AS!$AT:$AT,$Y124,AS!$AV:$AV,$X$5,AS!$AW:$AW,$X$32,AS!$X:$X,$Y$5,AS!$I:$I,$X$7,AS!$AT:$AT,Parkki!$Y$13,AS!$K:$K,$X$31,AS!$F:$F,$V$29,AS!$L:$L,$V$30,AS!$AG:$AG,Parkki!$Y$9)</f>
        <v>0</v>
      </c>
      <c r="AB124">
        <f>SUMIFS(AS!$W:$W,AS!$BO:$BO,$W$7,AS!$AB:$AB,AS!$AA$1,AS!$AH:$AH,$X$8,AS!$AT:$AT,$Y124,AS!$AV:$AV,$X$5,AS!$AW:$AW,$X$32,AS!$X:$X,$Y$5,AS!$I:$I,$Y$7,AS!$AT:$AT,Parkki!$Y$13,AS!$K:$K,$X$31,AS!$F:$F,$V$29,AS!$L:$L,$V$30,AS!$AG:$AG,Parkki!$Y$9)</f>
        <v>0</v>
      </c>
      <c r="AE124" t="s">
        <v>1075</v>
      </c>
      <c r="AG124" s="606" t="s">
        <v>797</v>
      </c>
      <c r="AH124" s="613" t="s">
        <v>1302</v>
      </c>
      <c r="AI124" s="697" t="s">
        <v>1303</v>
      </c>
      <c r="AJ124" s="450" t="s">
        <v>1075</v>
      </c>
      <c r="AK124" s="450" t="s">
        <v>1308</v>
      </c>
      <c r="AL124" s="693" t="s">
        <v>1309</v>
      </c>
      <c r="AM124" s="146" t="s">
        <v>1056</v>
      </c>
    </row>
    <row r="125" spans="1:39" x14ac:dyDescent="0.25">
      <c r="A125" s="778"/>
      <c r="B125" s="518" t="s">
        <v>573</v>
      </c>
      <c r="C125" s="520">
        <f>SUMIFS(AS!$W:$W,AS!$BO:$BO,$W$7,AS!$AB:$AB,AS!$AA$1,AS!$AH:$AH,$X$8,AS!$AT:$AT,$X125,AS!$AV:$AV,$X$5,AS!$AW:$AW,$X$32,AS!$X:$X,$Y$5,AS!$AT:$AT,Parkki!$Y$13,AS!$K:$K,$X$31,AS!$F:$F,$V$29,AS!$L:$L,$V$30,AS!$AG:$AG,Parkki!$Y$9)+Z125</f>
        <v>0</v>
      </c>
      <c r="D125" s="552" t="str">
        <f t="shared" si="20"/>
        <v>-</v>
      </c>
      <c r="E125" s="520">
        <f>SUMIFS(AS!$W:$W,AS!$BO:$BO,$W$7,AS!$AB:$AB,AS!$AA$1,AS!$AH:$AH,$X$8,AS!$AT:$AT,$X125,AS!$AV:$AV,$X$5,AS!$AW:$AW,$X$32,AS!$X:$X,$Y$5,AS!$I:$I,$X$7,AS!$AT:$AT,Parkki!$Y$13,AS!$K:$K,$X$31,AS!$F:$F,$V$29,AS!$L:$L,$V$30,AS!$AG:$AG,Parkki!$Y$9)+AA125</f>
        <v>0</v>
      </c>
      <c r="F125" s="520">
        <f>SUMIFS(AS!$W:$W,AS!$BO:$BO,$W$7,AS!$AB:$AB,AS!$AA$1,AS!$AH:$AH,$X$8,AS!$AT:$AT,$X125,AS!$AV:$AV,$X$5,AS!$AW:$AW,$X$32,AS!$X:$X,$Y$5,AS!$I:$I,$Y$7,AS!$AT:$AT,Parkki!$Y$13,AS!$K:$K,$X$31,AS!$F:$F,$V$29,AS!$L:$L,$V$30,AS!$AG:$AG,Parkki!$Y$9)+AB125</f>
        <v>0</v>
      </c>
      <c r="G125" s="719">
        <f>SUMIFS(AS!$W:$W,AS!$BO:$BO,$W$7,AS!$AB:$AB,AS!$AA$1,AS!$AH:$AH,$X$8,AS!$AT:$AT,$X125,AS!$AV:$AV,$X$2,AS!$AW:$AW,$X$32,AS!$X:$X,$Y$5,AS!$AT:$AT,Parkki!$Y$13,AS!$K:$K,$X$31,AS!$F:$F,$V$29,AS!$L:$L,$V$30,AS!$AG:$AG,Parkki!$Y$9)</f>
        <v>0</v>
      </c>
      <c r="H125" s="720" t="str">
        <f t="shared" si="18"/>
        <v>-</v>
      </c>
      <c r="I125" s="719">
        <f>SUMIFS(JA!Z:Z,JA!X:X,Parkki!X125,JA!AF:AF,"OK",JA!AE:AE,"OK")</f>
        <v>0</v>
      </c>
      <c r="J125" s="720" t="str">
        <f t="shared" si="19"/>
        <v>-</v>
      </c>
      <c r="X125" s="515" t="s">
        <v>837</v>
      </c>
      <c r="Y125" s="513" t="s">
        <v>512</v>
      </c>
      <c r="Z125">
        <f>SUMIFS(AS!$W:$W,AS!$BO:$BO,$W$7,AS!$AB:$AB,AS!$AA$1,AS!$AH:$AH,$X$8,AS!$AT:$AT,$Y125,AS!$AV:$AV,$X$5,AS!$AW:$AW,$X$32,AS!$X:$X,$Y$5,AS!$AT:$AT,Parkki!$Y$13,AS!$K:$K,$X$31,AS!$F:$F,$V$29,AS!$L:$L,$V$30,AS!$AG:$AG,Parkki!$Y$9)</f>
        <v>0</v>
      </c>
      <c r="AA125">
        <f>SUMIFS(AS!$W:$W,AS!$BO:$BO,$W$7,AS!$AB:$AB,AS!$AA$1,AS!$AH:$AH,$X$8,AS!$AT:$AT,$Y125,AS!$AV:$AV,$X$5,AS!$AW:$AW,$X$32,AS!$X:$X,$Y$5,AS!$I:$I,$X$7,AS!$AT:$AT,Parkki!$Y$13,AS!$K:$K,$X$31,AS!$F:$F,$V$29,AS!$L:$L,$V$30,AS!$AG:$AG,Parkki!$Y$9)</f>
        <v>0</v>
      </c>
      <c r="AB125">
        <f>SUMIFS(AS!$W:$W,AS!$BO:$BO,$W$7,AS!$AB:$AB,AS!$AA$1,AS!$AH:$AH,$X$8,AS!$AT:$AT,$Y125,AS!$AV:$AV,$X$5,AS!$AW:$AW,$X$32,AS!$X:$X,$Y$5,AS!$I:$I,$Y$7,AS!$AT:$AT,Parkki!$Y$13,AS!$K:$K,$X$31,AS!$F:$F,$V$29,AS!$L:$L,$V$30,AS!$AG:$AG,Parkki!$Y$9)</f>
        <v>0</v>
      </c>
      <c r="AE125" t="s">
        <v>1076</v>
      </c>
      <c r="AG125" s="606" t="s">
        <v>797</v>
      </c>
      <c r="AH125" s="613" t="s">
        <v>1302</v>
      </c>
      <c r="AI125" s="697" t="s">
        <v>1303</v>
      </c>
      <c r="AJ125" s="450" t="s">
        <v>1076</v>
      </c>
      <c r="AK125" s="450" t="s">
        <v>1310</v>
      </c>
      <c r="AL125" s="146" t="s">
        <v>1311</v>
      </c>
      <c r="AM125" s="146" t="s">
        <v>837</v>
      </c>
    </row>
    <row r="126" spans="1:39" x14ac:dyDescent="0.25">
      <c r="A126" s="778"/>
      <c r="B126" s="518" t="s">
        <v>574</v>
      </c>
      <c r="C126" s="520">
        <f>SUMIFS(AS!$W:$W,AS!$BO:$BO,$W$7,AS!$AB:$AB,AS!$AA$1,AS!$AH:$AH,$X$8,AS!$AT:$AT,$X126,AS!$AV:$AV,$X$5,AS!$AW:$AW,$X$32,AS!$X:$X,$Y$5,AS!$AT:$AT,Parkki!$Y$13,AS!$K:$K,$X$31,AS!$F:$F,$V$29,AS!$L:$L,$V$30,AS!$AG:$AG,Parkki!$Y$9)+Z126</f>
        <v>0</v>
      </c>
      <c r="D126" s="552" t="str">
        <f t="shared" si="20"/>
        <v>-</v>
      </c>
      <c r="E126" s="520">
        <f>SUMIFS(AS!$W:$W,AS!$BO:$BO,$W$7,AS!$AB:$AB,AS!$AA$1,AS!$AH:$AH,$X$8,AS!$AT:$AT,$X126,AS!$AV:$AV,$X$5,AS!$AW:$AW,$X$32,AS!$X:$X,$Y$5,AS!$I:$I,$X$7,AS!$AT:$AT,Parkki!$Y$13,AS!$K:$K,$X$31,AS!$F:$F,$V$29,AS!$L:$L,$V$30,AS!$AG:$AG,Parkki!$Y$9)+AA126</f>
        <v>0</v>
      </c>
      <c r="F126" s="520">
        <f>SUMIFS(AS!$W:$W,AS!$BO:$BO,$W$7,AS!$AB:$AB,AS!$AA$1,AS!$AH:$AH,$X$8,AS!$AT:$AT,$X126,AS!$AV:$AV,$X$5,AS!$AW:$AW,$X$32,AS!$X:$X,$Y$5,AS!$I:$I,$Y$7,AS!$AT:$AT,Parkki!$Y$13,AS!$K:$K,$X$31,AS!$F:$F,$V$29,AS!$L:$L,$V$30,AS!$AG:$AG,Parkki!$Y$9)+AB126</f>
        <v>0</v>
      </c>
      <c r="G126" s="719">
        <f>SUMIFS(AS!$W:$W,AS!$BO:$BO,$W$7,AS!$AB:$AB,AS!$AA$1,AS!$AH:$AH,$X$8,AS!$AT:$AT,$X126,AS!$AV:$AV,$X$2,AS!$AW:$AW,$X$32,AS!$X:$X,$Y$5,AS!$AT:$AT,Parkki!$Y$13,AS!$K:$K,$X$31,AS!$F:$F,$V$29,AS!$L:$L,$V$30,AS!$AG:$AG,Parkki!$Y$9)</f>
        <v>0</v>
      </c>
      <c r="H126" s="720" t="str">
        <f t="shared" si="18"/>
        <v>-</v>
      </c>
      <c r="I126" s="719">
        <f>SUMIFS(JA!Z:Z,JA!X:X,Parkki!X126,JA!AF:AF,"OK",JA!AE:AE,"OK")</f>
        <v>0</v>
      </c>
      <c r="J126" s="720" t="str">
        <f t="shared" si="19"/>
        <v>-</v>
      </c>
      <c r="X126" s="515" t="s">
        <v>838</v>
      </c>
      <c r="Y126" s="513" t="s">
        <v>209</v>
      </c>
      <c r="Z126">
        <f>SUMIFS(AS!$W:$W,AS!$BO:$BO,$W$7,AS!$AB:$AB,AS!$AA$1,AS!$AH:$AH,$X$8,AS!$AT:$AT,$Y126,AS!$AV:$AV,$X$5,AS!$AW:$AW,$X$32,AS!$X:$X,$Y$5,AS!$AT:$AT,Parkki!$Y$13,AS!$K:$K,$X$31,AS!$F:$F,$V$29,AS!$L:$L,$V$30,AS!$AG:$AG,Parkki!$Y$9)</f>
        <v>0</v>
      </c>
      <c r="AA126">
        <f>SUMIFS(AS!$W:$W,AS!$BO:$BO,$W$7,AS!$AB:$AB,AS!$AA$1,AS!$AH:$AH,$X$8,AS!$AT:$AT,$Y126,AS!$AV:$AV,$X$5,AS!$AW:$AW,$X$32,AS!$X:$X,$Y$5,AS!$I:$I,$X$7,AS!$AT:$AT,Parkki!$Y$13,AS!$K:$K,$X$31,AS!$F:$F,$V$29,AS!$L:$L,$V$30,AS!$AG:$AG,Parkki!$Y$9)</f>
        <v>0</v>
      </c>
      <c r="AB126">
        <f>SUMIFS(AS!$W:$W,AS!$BO:$BO,$W$7,AS!$AB:$AB,AS!$AA$1,AS!$AH:$AH,$X$8,AS!$AT:$AT,$Y126,AS!$AV:$AV,$X$5,AS!$AW:$AW,$X$32,AS!$X:$X,$Y$5,AS!$I:$I,$Y$7,AS!$AT:$AT,Parkki!$Y$13,AS!$K:$K,$X$31,AS!$F:$F,$V$29,AS!$L:$L,$V$30,AS!$AG:$AG,Parkki!$Y$9)</f>
        <v>0</v>
      </c>
      <c r="AE126" t="s">
        <v>1077</v>
      </c>
      <c r="AG126" s="606" t="s">
        <v>797</v>
      </c>
      <c r="AH126" s="613" t="s">
        <v>1302</v>
      </c>
      <c r="AI126" s="697" t="s">
        <v>1303</v>
      </c>
      <c r="AJ126" s="450" t="s">
        <v>1077</v>
      </c>
      <c r="AK126" s="450" t="s">
        <v>1312</v>
      </c>
      <c r="AL126" s="146" t="s">
        <v>1313</v>
      </c>
      <c r="AM126" s="146" t="s">
        <v>838</v>
      </c>
    </row>
    <row r="127" spans="1:39" x14ac:dyDescent="0.25">
      <c r="A127" s="778"/>
      <c r="B127" s="518" t="s">
        <v>575</v>
      </c>
      <c r="C127" s="520">
        <f>SUMIFS(AS!$W:$W,AS!$BO:$BO,$W$7,AS!$AB:$AB,AS!$AA$1,AS!$AH:$AH,$X$8,AS!$AT:$AT,$X127,AS!$AV:$AV,$X$5,AS!$AW:$AW,$X$32,AS!$X:$X,$Y$5,AS!$AT:$AT,Parkki!$Y$13,AS!$K:$K,$X$31,AS!$F:$F,$V$29,AS!$L:$L,$V$30,AS!$AG:$AG,Parkki!$Y$9)+Z127</f>
        <v>0</v>
      </c>
      <c r="D127" s="552" t="str">
        <f t="shared" si="20"/>
        <v>-</v>
      </c>
      <c r="E127" s="520">
        <f>SUMIFS(AS!$W:$W,AS!$BO:$BO,$W$7,AS!$AB:$AB,AS!$AA$1,AS!$AH:$AH,$X$8,AS!$AT:$AT,$X127,AS!$AV:$AV,$X$5,AS!$AW:$AW,$X$32,AS!$X:$X,$Y$5,AS!$I:$I,$X$7,AS!$AT:$AT,Parkki!$Y$13,AS!$K:$K,$X$31,AS!$F:$F,$V$29,AS!$L:$L,$V$30,AS!$AG:$AG,Parkki!$Y$9)+AA127</f>
        <v>0</v>
      </c>
      <c r="F127" s="520">
        <f>SUMIFS(AS!$W:$W,AS!$BO:$BO,$W$7,AS!$AB:$AB,AS!$AA$1,AS!$AH:$AH,$X$8,AS!$AT:$AT,$X127,AS!$AV:$AV,$X$5,AS!$AW:$AW,$X$32,AS!$X:$X,$Y$5,AS!$I:$I,$Y$7,AS!$AT:$AT,Parkki!$Y$13,AS!$K:$K,$X$31,AS!$F:$F,$V$29,AS!$L:$L,$V$30,AS!$AG:$AG,Parkki!$Y$9)+AB127</f>
        <v>0</v>
      </c>
      <c r="G127" s="719">
        <f>SUMIFS(AS!$W:$W,AS!$BO:$BO,$W$7,AS!$AB:$AB,AS!$AA$1,AS!$AH:$AH,$X$8,AS!$AT:$AT,$X127,AS!$AV:$AV,$X$2,AS!$AW:$AW,$X$32,AS!$X:$X,$Y$5,AS!$AT:$AT,Parkki!$Y$13,AS!$K:$K,$X$31,AS!$F:$F,$V$29,AS!$L:$L,$V$30,AS!$AG:$AG,Parkki!$Y$9)</f>
        <v>0</v>
      </c>
      <c r="H127" s="720" t="str">
        <f t="shared" si="18"/>
        <v>-</v>
      </c>
      <c r="I127" s="719">
        <f>SUMIFS(JA!Z:Z,JA!X:X,Parkki!X127,JA!AF:AF,"OK",JA!AE:AE,"OK")</f>
        <v>0</v>
      </c>
      <c r="J127" s="720" t="str">
        <f t="shared" si="19"/>
        <v>-</v>
      </c>
      <c r="X127" s="515" t="s">
        <v>839</v>
      </c>
      <c r="Y127" s="513" t="s">
        <v>513</v>
      </c>
      <c r="Z127">
        <f>SUMIFS(AS!$W:$W,AS!$BO:$BO,$W$7,AS!$AB:$AB,AS!$AA$1,AS!$AH:$AH,$X$8,AS!$AT:$AT,$Y127,AS!$AV:$AV,$X$5,AS!$AW:$AW,$X$32,AS!$X:$X,$Y$5,AS!$AT:$AT,Parkki!$Y$13,AS!$K:$K,$X$31,AS!$F:$F,$V$29,AS!$L:$L,$V$30,AS!$AG:$AG,Parkki!$Y$9)</f>
        <v>0</v>
      </c>
      <c r="AA127">
        <f>SUMIFS(AS!$W:$W,AS!$BO:$BO,$W$7,AS!$AB:$AB,AS!$AA$1,AS!$AH:$AH,$X$8,AS!$AT:$AT,$Y127,AS!$AV:$AV,$X$5,AS!$AW:$AW,$X$32,AS!$X:$X,$Y$5,AS!$I:$I,$X$7,AS!$AT:$AT,Parkki!$Y$13,AS!$K:$K,$X$31,AS!$F:$F,$V$29,AS!$L:$L,$V$30,AS!$AG:$AG,Parkki!$Y$9)</f>
        <v>0</v>
      </c>
      <c r="AB127">
        <f>SUMIFS(AS!$W:$W,AS!$BO:$BO,$W$7,AS!$AB:$AB,AS!$AA$1,AS!$AH:$AH,$X$8,AS!$AT:$AT,$Y127,AS!$AV:$AV,$X$5,AS!$AW:$AW,$X$32,AS!$X:$X,$Y$5,AS!$I:$I,$Y$7,AS!$AT:$AT,Parkki!$Y$13,AS!$K:$K,$X$31,AS!$F:$F,$V$29,AS!$L:$L,$V$30,AS!$AG:$AG,Parkki!$Y$9)</f>
        <v>0</v>
      </c>
      <c r="AE127" t="s">
        <v>1078</v>
      </c>
      <c r="AG127" s="606" t="s">
        <v>797</v>
      </c>
      <c r="AH127" s="613" t="s">
        <v>1302</v>
      </c>
      <c r="AI127" s="697" t="s">
        <v>1303</v>
      </c>
      <c r="AJ127" s="450" t="s">
        <v>1078</v>
      </c>
      <c r="AK127" s="450" t="s">
        <v>1314</v>
      </c>
      <c r="AL127" s="146" t="s">
        <v>1315</v>
      </c>
      <c r="AM127" s="146" t="s">
        <v>839</v>
      </c>
    </row>
    <row r="128" spans="1:39" x14ac:dyDescent="0.25">
      <c r="A128" s="779"/>
      <c r="B128" s="518" t="s">
        <v>1352</v>
      </c>
      <c r="C128" s="520">
        <f>SUMIFS(AS!$W:$W,AS!$BO:$BO,$W$7,AS!$AB:$AB,AS!$AA$1,AS!$AH:$AH,$X$8,AS!$AT:$AT,$X128,AS!$AV:$AV,$X$5,AS!$AW:$AW,$X$32,AS!$X:$X,$Y$5,AS!$AT:$AT,Parkki!$Y$13,AS!$K:$K,$X$31,AS!$F:$F,$V$29,AS!$L:$L,$V$30,AS!$AG:$AG,Parkki!$Y$9)+Z128</f>
        <v>0</v>
      </c>
      <c r="D128" s="552" t="str">
        <f t="shared" si="20"/>
        <v>-</v>
      </c>
      <c r="E128" s="520">
        <f>SUMIFS(AS!$W:$W,AS!$BO:$BO,$W$7,AS!$AB:$AB,AS!$AA$1,AS!$AH:$AH,$X$8,AS!$AT:$AT,$X128,AS!$AV:$AV,$X$5,AS!$AW:$AW,$X$32,AS!$X:$X,$Y$5,AS!$I:$I,$X$7,AS!$AT:$AT,Parkki!$Y$13,AS!$K:$K,$X$31,AS!$F:$F,$V$29,AS!$L:$L,$V$30,AS!$AG:$AG,Parkki!$Y$9)+AA128</f>
        <v>0</v>
      </c>
      <c r="F128" s="520">
        <f>SUMIFS(AS!$W:$W,AS!$BO:$BO,$W$7,AS!$AB:$AB,AS!$AA$1,AS!$AH:$AH,$X$8,AS!$AT:$AT,$X128,AS!$AV:$AV,$X$5,AS!$AW:$AW,$X$32,AS!$X:$X,$Y$5,AS!$I:$I,$Y$7,AS!$AT:$AT,Parkki!$Y$13,AS!$K:$K,$X$31,AS!$F:$F,$V$29,AS!$L:$L,$V$30,AS!$AG:$AG,Parkki!$Y$9)+AB128</f>
        <v>0</v>
      </c>
      <c r="G128" s="719">
        <f>SUMIFS(AS!$W:$W,AS!$BO:$BO,$W$7,AS!$AB:$AB,AS!$AA$1,AS!$AH:$AH,$X$8,AS!$AT:$AT,$X128,AS!$AV:$AV,$X$2,AS!$AW:$AW,$X$32,AS!$X:$X,$Y$5,AS!$AT:$AT,Parkki!$Y$13,AS!$K:$K,$X$31,AS!$F:$F,$V$29,AS!$L:$L,$V$30,AS!$AG:$AG,Parkki!$Y$9)</f>
        <v>0</v>
      </c>
      <c r="H128" s="720" t="str">
        <f t="shared" si="18"/>
        <v>-</v>
      </c>
      <c r="I128" s="719">
        <f>SUMIFS(JA!Z:Z,JA!X:X,Parkki!X128,JA!AF:AF,"OK",JA!AE:AE,"OK")</f>
        <v>0</v>
      </c>
      <c r="J128" s="720" t="str">
        <f t="shared" si="19"/>
        <v>-</v>
      </c>
      <c r="V128" s="716" t="str">
        <f>A98</f>
        <v>Oppilaitos</v>
      </c>
      <c r="W128" s="717">
        <f>SUM(D98:D105)</f>
        <v>0</v>
      </c>
      <c r="X128" s="515" t="s">
        <v>1057</v>
      </c>
      <c r="Y128" s="15"/>
      <c r="Z128">
        <f>SUMIFS(AS!$W:$W,AS!$BO:$BO,$W$7,AS!$AB:$AB,AS!$AA$1,AS!$AH:$AH,$X$8,AS!$AT:$AT,$Y128,AS!$AV:$AV,$X$5,AS!$AW:$AW,$X$32,AS!$X:$X,$Y$5,AS!$AT:$AT,Parkki!$Y$13,AS!$K:$K,$X$31,AS!$F:$F,$V$29,AS!$L:$L,$V$30,AS!$AG:$AG,Parkki!$Y$9)</f>
        <v>0</v>
      </c>
      <c r="AA128">
        <f>SUMIFS(AS!$W:$W,AS!$BO:$BO,$W$7,AS!$AB:$AB,AS!$AA$1,AS!$AH:$AH,$X$8,AS!$AT:$AT,$Y128,AS!$AV:$AV,$X$5,AS!$AW:$AW,$X$32,AS!$X:$X,$Y$5,AS!$I:$I,$X$7,AS!$AT:$AT,Parkki!$Y$13,AS!$K:$K,$X$31,AS!$F:$F,$V$29,AS!$L:$L,$V$30,AS!$AG:$AG,Parkki!$Y$9)</f>
        <v>0</v>
      </c>
      <c r="AB128">
        <f>SUMIFS(AS!$W:$W,AS!$BO:$BO,$W$7,AS!$AB:$AB,AS!$AA$1,AS!$AH:$AH,$X$8,AS!$AT:$AT,$Y128,AS!$AV:$AV,$X$5,AS!$AW:$AW,$X$32,AS!$X:$X,$Y$5,AS!$I:$I,$Y$7,AS!$AT:$AT,Parkki!$Y$13,AS!$K:$K,$X$31,AS!$F:$F,$V$29,AS!$L:$L,$V$30,AS!$AG:$AG,Parkki!$Y$9)</f>
        <v>0</v>
      </c>
      <c r="AE128" t="s">
        <v>1079</v>
      </c>
      <c r="AG128" s="606" t="s">
        <v>797</v>
      </c>
      <c r="AH128" s="613" t="s">
        <v>1302</v>
      </c>
      <c r="AI128" s="697" t="s">
        <v>1303</v>
      </c>
      <c r="AJ128" s="622" t="s">
        <v>1079</v>
      </c>
      <c r="AK128" s="450" t="s">
        <v>1316</v>
      </c>
      <c r="AL128" s="693" t="s">
        <v>1317</v>
      </c>
      <c r="AM128" s="146" t="s">
        <v>1057</v>
      </c>
    </row>
    <row r="129" spans="1:39" ht="14.45" customHeight="1" x14ac:dyDescent="0.25">
      <c r="A129" s="825" t="s">
        <v>1054</v>
      </c>
      <c r="B129" s="518" t="s">
        <v>1064</v>
      </c>
      <c r="C129" s="520">
        <f>SUMIFS(AS!$W:$W,AS!$BO:$BO,$W$7,AS!$AB:$AB,AS!$AA$1,AS!$AH:$AH,$X$8,AS!$AT:$AT,$X129,AS!$AV:$AV,$X$5,AS!$AW:$AW,$X$32,AS!$X:$X,$Y$5,AS!$AT:$AT,Parkki!$Y$13,AS!$K:$K,$X$31,AS!$F:$F,$V$29,AS!$L:$L,$V$30,AS!$AG:$AG,Parkki!$Y$9)+Z129</f>
        <v>0</v>
      </c>
      <c r="D129" s="552" t="str">
        <f t="shared" si="20"/>
        <v>-</v>
      </c>
      <c r="E129" s="520">
        <f>SUMIFS(AS!$W:$W,AS!$BO:$BO,$W$7,AS!$AB:$AB,AS!$AA$1,AS!$AH:$AH,$X$8,AS!$AT:$AT,$X129,AS!$AV:$AV,$X$5,AS!$AW:$AW,$X$32,AS!$X:$X,$Y$5,AS!$I:$I,$X$7,AS!$AT:$AT,Parkki!$Y$13,AS!$K:$K,$X$31,AS!$F:$F,$V$29,AS!$L:$L,$V$30,AS!$AG:$AG,Parkki!$Y$9)+AA129</f>
        <v>0</v>
      </c>
      <c r="F129" s="520">
        <f>SUMIFS(AS!$W:$W,AS!$BO:$BO,$W$7,AS!$AB:$AB,AS!$AA$1,AS!$AH:$AH,$X$8,AS!$AT:$AT,$X129,AS!$AV:$AV,$X$5,AS!$AW:$AW,$X$32,AS!$X:$X,$Y$5,AS!$I:$I,$Y$7,AS!$AT:$AT,Parkki!$Y$13,AS!$K:$K,$X$31,AS!$F:$F,$V$29,AS!$L:$L,$V$30,AS!$AG:$AG,Parkki!$Y$9)+AB129</f>
        <v>0</v>
      </c>
      <c r="G129" s="719">
        <f>SUMIFS(AS!$W:$W,AS!$BO:$BO,$W$7,AS!$AB:$AB,AS!$AA$1,AS!$AH:$AH,$X$8,AS!$AT:$AT,$X129,AS!$AV:$AV,$X$2,AS!$AW:$AW,$X$32,AS!$X:$X,$Y$5,AS!$AT:$AT,Parkki!$Y$13,AS!$K:$K,$X$31,AS!$F:$F,$V$29,AS!$L:$L,$V$30,AS!$AG:$AG,Parkki!$Y$9)</f>
        <v>0</v>
      </c>
      <c r="H129" s="720" t="str">
        <f t="shared" si="18"/>
        <v>-</v>
      </c>
      <c r="I129" s="719">
        <f>SUMIFS(JA!Z:Z,JA!X:X,Parkki!X129,JA!AF:AF,"OK",JA!AE:AE,"OK")</f>
        <v>0</v>
      </c>
      <c r="J129" s="720" t="str">
        <f t="shared" si="19"/>
        <v>-</v>
      </c>
      <c r="V129" s="716" t="str">
        <f>A107</f>
        <v>Sosiaali- ja terveyspalvelut ja kuntoutus</v>
      </c>
      <c r="W129" s="717">
        <f>SUM(D107:D112)</f>
        <v>0</v>
      </c>
      <c r="X129" s="35" t="s">
        <v>225</v>
      </c>
      <c r="Z129">
        <f>SUMIFS(AS!$W:$W,AS!$BO:$BO,$W$7,AS!$AB:$AB,AS!$AA$1,AS!$AH:$AH,$X$8,AS!$AT:$AT,$Y129,AS!$AV:$AV,$X$5,AS!$AW:$AW,$X$32,AS!$X:$X,$Y$5,AS!$AT:$AT,Parkki!$Y$13,AS!$K:$K,$X$31,AS!$F:$F,$V$29,AS!$L:$L,$V$30,AS!$AG:$AG,Parkki!$Y$9)</f>
        <v>0</v>
      </c>
      <c r="AA129">
        <f>SUMIFS(AS!$W:$W,AS!$BO:$BO,$W$7,AS!$AB:$AB,AS!$AA$1,AS!$AH:$AH,$X$8,AS!$AT:$AT,$Y129,AS!$AV:$AV,$X$5,AS!$AW:$AW,$X$32,AS!$X:$X,$Y$5,AS!$I:$I,$X$7,AS!$AT:$AT,Parkki!$Y$13,AS!$K:$K,$X$31,AS!$F:$F,$V$29,AS!$L:$L,$V$30,AS!$AG:$AG,Parkki!$Y$9)</f>
        <v>0</v>
      </c>
      <c r="AB129">
        <f>SUMIFS(AS!$W:$W,AS!$BO:$BO,$W$7,AS!$AB:$AB,AS!$AA$1,AS!$AH:$AH,$X$8,AS!$AT:$AT,$Y129,AS!$AV:$AV,$X$5,AS!$AW:$AW,$X$32,AS!$X:$X,$Y$5,AS!$I:$I,$Y$7,AS!$AT:$AT,Parkki!$Y$13,AS!$K:$K,$X$31,AS!$F:$F,$V$29,AS!$L:$L,$V$30,AS!$AG:$AG,Parkki!$Y$9)</f>
        <v>0</v>
      </c>
      <c r="AE129" t="s">
        <v>1082</v>
      </c>
      <c r="AG129" s="607" t="s">
        <v>1054</v>
      </c>
      <c r="AH129" s="608" t="s">
        <v>1318</v>
      </c>
      <c r="AI129" s="690" t="s">
        <v>1319</v>
      </c>
      <c r="AJ129" s="450" t="s">
        <v>1082</v>
      </c>
      <c r="AK129" s="450" t="s">
        <v>1320</v>
      </c>
      <c r="AL129" s="146" t="s">
        <v>1321</v>
      </c>
      <c r="AM129" s="146" t="s">
        <v>225</v>
      </c>
    </row>
    <row r="130" spans="1:39" x14ac:dyDescent="0.25">
      <c r="A130" s="826"/>
      <c r="B130" s="62" t="s">
        <v>1616</v>
      </c>
      <c r="C130" s="520">
        <f>SUMIFS(AS!$W:$W,AS!$BO:$BO,$W$7,AS!$AB:$AB,AS!$AA$1,AS!$AH:$AH,$X$8,AS!$AT:$AT,$X130,AS!$AV:$AV,$X$5,AS!$AW:$AW,$X$32,AS!$X:$X,$Y$5,AS!$AT:$AT,Parkki!$Y$13,AS!$K:$K,$X$31,AS!$F:$F,$V$29,AS!$L:$L,$V$30,AS!$AG:$AG,Parkki!$Y$9)+Z130</f>
        <v>0</v>
      </c>
      <c r="D130" s="552" t="str">
        <f t="shared" si="20"/>
        <v>-</v>
      </c>
      <c r="E130" s="520">
        <f>SUMIFS(AS!$W:$W,AS!$BO:$BO,$W$7,AS!$AB:$AB,AS!$AA$1,AS!$AH:$AH,$X$8,AS!$AT:$AT,$X130,AS!$AV:$AV,$X$5,AS!$AW:$AW,$X$32,AS!$X:$X,$Y$5,AS!$I:$I,$X$7,AS!$AT:$AT,Parkki!$Y$13,AS!$K:$K,$X$31,AS!$F:$F,$V$29,AS!$L:$L,$V$30,AS!$AG:$AG,Parkki!$Y$9)+AA130</f>
        <v>0</v>
      </c>
      <c r="F130" s="520">
        <f>SUMIFS(AS!$W:$W,AS!$BO:$BO,$W$7,AS!$AB:$AB,AS!$AA$1,AS!$AH:$AH,$X$8,AS!$AT:$AT,$X130,AS!$AV:$AV,$X$5,AS!$AW:$AW,$X$32,AS!$X:$X,$Y$5,AS!$I:$I,$Y$7,AS!$AT:$AT,Parkki!$Y$13,AS!$K:$K,$X$31,AS!$F:$F,$V$29,AS!$L:$L,$V$30,AS!$AG:$AG,Parkki!$Y$9)+AB130</f>
        <v>0</v>
      </c>
      <c r="G130" s="719">
        <f>SUMIFS(AS!$W:$W,AS!$BO:$BO,$W$7,AS!$AB:$AB,AS!$AA$1,AS!$AH:$AH,$X$8,AS!$AT:$AT,$X130,AS!$AV:$AV,$X$2,AS!$AW:$AW,$X$32,AS!$X:$X,$Y$5,AS!$AT:$AT,Parkki!$Y$13,AS!$K:$K,$X$31,AS!$F:$F,$V$29,AS!$L:$L,$V$30,AS!$AG:$AG,Parkki!$Y$9)</f>
        <v>0</v>
      </c>
      <c r="H130" s="720" t="str">
        <f t="shared" si="18"/>
        <v>-</v>
      </c>
      <c r="I130" s="719">
        <f>SUMIFS(JA!Z:Z,JA!X:X,Parkki!X130,JA!AF:AF,"OK",JA!AE:AE,"OK")</f>
        <v>0</v>
      </c>
      <c r="J130" s="720" t="str">
        <f t="shared" si="19"/>
        <v>-</v>
      </c>
      <c r="V130" s="716" t="str">
        <f>A113</f>
        <v>Nuorisotyö</v>
      </c>
      <c r="W130" s="717">
        <f>SUM(D113:D116)</f>
        <v>0</v>
      </c>
      <c r="X130" s="35" t="s">
        <v>1619</v>
      </c>
      <c r="Y130" t="s">
        <v>228</v>
      </c>
      <c r="Z130">
        <f>SUMIFS(AS!$W:$W,AS!$BO:$BO,$W$7,AS!$AB:$AB,AS!$AA$1,AS!$AH:$AH,$X$8,AS!$AT:$AT,$Y130,AS!$AV:$AV,$X$5,AS!$AW:$AW,$X$32,AS!$X:$X,$Y$5,AS!$AT:$AT,Parkki!$Y$13,AS!$K:$K,$X$31,AS!$F:$F,$V$29,AS!$L:$L,$V$30,AS!$AG:$AG,Parkki!$Y$9)</f>
        <v>0</v>
      </c>
      <c r="AA130">
        <f>SUMIFS(AS!$W:$W,AS!$BO:$BO,$W$7,AS!$AB:$AB,AS!$AA$1,AS!$AH:$AH,$X$8,AS!$AT:$AT,$Y130,AS!$AV:$AV,$X$5,AS!$AW:$AW,$X$32,AS!$X:$X,$Y$5,AS!$I:$I,$X$7,AS!$AT:$AT,Parkki!$Y$13,AS!$K:$K,$X$31,AS!$F:$F,$V$29,AS!$L:$L,$V$30,AS!$AG:$AG,Parkki!$Y$9)</f>
        <v>0</v>
      </c>
      <c r="AB130">
        <f>SUMIFS(AS!$W:$W,AS!$BO:$BO,$W$7,AS!$AB:$AB,AS!$AA$1,AS!$AH:$AH,$X$8,AS!$AT:$AT,$Y130,AS!$AV:$AV,$X$5,AS!$AW:$AW,$X$32,AS!$X:$X,$Y$5,AS!$I:$I,$Y$7,AS!$AT:$AT,Parkki!$Y$13,AS!$K:$K,$X$31,AS!$F:$F,$V$29,AS!$L:$L,$V$30,AS!$AG:$AG,Parkki!$Y$9)</f>
        <v>0</v>
      </c>
      <c r="AE130" t="s">
        <v>1081</v>
      </c>
      <c r="AG130" s="607" t="s">
        <v>1054</v>
      </c>
      <c r="AH130" s="608" t="s">
        <v>1318</v>
      </c>
      <c r="AI130" s="690" t="s">
        <v>1319</v>
      </c>
      <c r="AJ130" s="622" t="s">
        <v>1081</v>
      </c>
      <c r="AK130" s="450" t="s">
        <v>1322</v>
      </c>
      <c r="AL130" s="146" t="s">
        <v>1323</v>
      </c>
      <c r="AM130" s="146" t="s">
        <v>228</v>
      </c>
    </row>
    <row r="131" spans="1:39" x14ac:dyDescent="0.25">
      <c r="A131" s="826"/>
      <c r="B131" s="518" t="s">
        <v>136</v>
      </c>
      <c r="C131" s="520">
        <f>SUMIFS(AS!$W:$W,AS!$BO:$BO,$W$7,AS!$AB:$AB,AS!$AA$1,AS!$AH:$AH,$X$8,AS!$AT:$AT,$X131,AS!$AV:$AV,$X$5,AS!$AW:$AW,$X$32,AS!$X:$X,$Y$5,AS!$AT:$AT,Parkki!$Y$13,AS!$K:$K,$X$31,AS!$F:$F,$V$29,AS!$L:$L,$V$30,AS!$AG:$AG,Parkki!$Y$9)+Z131</f>
        <v>0</v>
      </c>
      <c r="D131" s="552" t="str">
        <f t="shared" si="20"/>
        <v>-</v>
      </c>
      <c r="E131" s="520">
        <f>SUMIFS(AS!$W:$W,AS!$BO:$BO,$W$7,AS!$AB:$AB,AS!$AA$1,AS!$AH:$AH,$X$8,AS!$AT:$AT,$X131,AS!$AV:$AV,$X$5,AS!$AW:$AW,$X$32,AS!$X:$X,$Y$5,AS!$I:$I,$X$7,AS!$AT:$AT,Parkki!$Y$13,AS!$K:$K,$X$31,AS!$F:$F,$V$29,AS!$L:$L,$V$30,AS!$AG:$AG,Parkki!$Y$9)+AA131</f>
        <v>0</v>
      </c>
      <c r="F131" s="520">
        <f>SUMIFS(AS!$W:$W,AS!$BO:$BO,$W$7,AS!$AB:$AB,AS!$AA$1,AS!$AH:$AH,$X$8,AS!$AT:$AT,$X131,AS!$AV:$AV,$X$5,AS!$AW:$AW,$X$32,AS!$X:$X,$Y$5,AS!$I:$I,$Y$7,AS!$AT:$AT,Parkki!$Y$13,AS!$K:$K,$X$31,AS!$F:$F,$V$29,AS!$L:$L,$V$30,AS!$AG:$AG,Parkki!$Y$9)+AB131</f>
        <v>0</v>
      </c>
      <c r="G131" s="719">
        <f>SUMIFS(AS!$W:$W,AS!$BO:$BO,$W$7,AS!$AB:$AB,AS!$AA$1,AS!$AH:$AH,$X$8,AS!$AT:$AT,$X131,AS!$AV:$AV,$X$2,AS!$AW:$AW,$X$32,AS!$X:$X,$Y$5,AS!$AT:$AT,Parkki!$Y$13,AS!$K:$K,$X$31,AS!$F:$F,$V$29,AS!$L:$L,$V$30,AS!$AG:$AG,Parkki!$Y$9)</f>
        <v>0</v>
      </c>
      <c r="H131" s="720" t="str">
        <f t="shared" si="18"/>
        <v>-</v>
      </c>
      <c r="I131" s="719">
        <f>SUMIFS(JA!Z:Z,JA!X:X,Parkki!X131,JA!AF:AF,"OK",JA!AE:AE,"OK")</f>
        <v>0</v>
      </c>
      <c r="J131" s="720" t="str">
        <f t="shared" si="19"/>
        <v>-</v>
      </c>
      <c r="V131" s="716" t="str">
        <f>A117</f>
        <v>Työllisyyspalvelut</v>
      </c>
      <c r="W131" s="717">
        <f>SUM(D117:D121)</f>
        <v>0</v>
      </c>
      <c r="X131" s="35" t="s">
        <v>236</v>
      </c>
      <c r="Z131">
        <f>SUMIFS(AS!$W:$W,AS!$BO:$BO,$W$7,AS!$AB:$AB,AS!$AA$1,AS!$AH:$AH,$X$8,AS!$AT:$AT,$Y131,AS!$AV:$AV,$X$5,AS!$AW:$AW,$X$32,AS!$X:$X,$Y$5,AS!$AT:$AT,Parkki!$Y$13,AS!$K:$K,$X$31,AS!$F:$F,$V$29,AS!$L:$L,$V$30,AS!$AG:$AG,Parkki!$Y$9)</f>
        <v>0</v>
      </c>
      <c r="AA131">
        <f>SUMIFS(AS!$W:$W,AS!$BO:$BO,$W$7,AS!$AB:$AB,AS!$AA$1,AS!$AH:$AH,$X$8,AS!$AT:$AT,$Y131,AS!$AV:$AV,$X$5,AS!$AW:$AW,$X$32,AS!$X:$X,$Y$5,AS!$I:$I,$X$7,AS!$AT:$AT,Parkki!$Y$13,AS!$K:$K,$X$31,AS!$F:$F,$V$29,AS!$L:$L,$V$30,AS!$AG:$AG,Parkki!$Y$9)</f>
        <v>0</v>
      </c>
      <c r="AB131">
        <f>SUMIFS(AS!$W:$W,AS!$BO:$BO,$W$7,AS!$AB:$AB,AS!$AA$1,AS!$AH:$AH,$X$8,AS!$AT:$AT,$Y131,AS!$AV:$AV,$X$5,AS!$AW:$AW,$X$32,AS!$X:$X,$Y$5,AS!$I:$I,$Y$7,AS!$AT:$AT,Parkki!$Y$13,AS!$K:$K,$X$31,AS!$F:$F,$V$29,AS!$L:$L,$V$30,AS!$AG:$AG,Parkki!$Y$9)</f>
        <v>0</v>
      </c>
      <c r="AE131" t="s">
        <v>798</v>
      </c>
      <c r="AG131" s="607" t="s">
        <v>1054</v>
      </c>
      <c r="AH131" s="608" t="s">
        <v>1318</v>
      </c>
      <c r="AI131" s="690" t="s">
        <v>1319</v>
      </c>
      <c r="AJ131" s="450" t="s">
        <v>798</v>
      </c>
      <c r="AK131" s="450" t="s">
        <v>1324</v>
      </c>
      <c r="AL131" s="146" t="s">
        <v>1325</v>
      </c>
      <c r="AM131" s="146" t="s">
        <v>236</v>
      </c>
    </row>
    <row r="132" spans="1:39" x14ac:dyDescent="0.25">
      <c r="A132" s="827"/>
      <c r="B132" s="518" t="s">
        <v>137</v>
      </c>
      <c r="C132" s="520">
        <f>SUMIFS(AS!$W:$W,AS!$BO:$BO,$W$7,AS!$AB:$AB,AS!$AA$1,AS!$AH:$AH,$X$8,AS!$AT:$AT,$X132,AS!$AV:$AV,$X$5,AS!$AW:$AW,$X$32,AS!$X:$X,$Y$5,AS!$AT:$AT,Parkki!$Y$13,AS!$K:$K,$X$31,AS!$F:$F,$V$29,AS!$L:$L,$V$30,AS!$AG:$AG,Parkki!$Y$9)+Z132</f>
        <v>0</v>
      </c>
      <c r="D132" s="552" t="str">
        <f t="shared" si="20"/>
        <v>-</v>
      </c>
      <c r="E132" s="520">
        <f>SUMIFS(AS!$W:$W,AS!$BO:$BO,$W$7,AS!$AB:$AB,AS!$AA$1,AS!$AH:$AH,$X$8,AS!$AT:$AT,$X132,AS!$AV:$AV,$X$5,AS!$AW:$AW,$X$32,AS!$X:$X,$Y$5,AS!$I:$I,$X$7,AS!$AT:$AT,Parkki!$Y$13,AS!$K:$K,$X$31,AS!$F:$F,$V$29,AS!$L:$L,$V$30,AS!$AG:$AG,Parkki!$Y$9)+AA132</f>
        <v>0</v>
      </c>
      <c r="F132" s="520">
        <f>SUMIFS(AS!$W:$W,AS!$BO:$BO,$W$7,AS!$AB:$AB,AS!$AA$1,AS!$AH:$AH,$X$8,AS!$AT:$AT,$X132,AS!$AV:$AV,$X$5,AS!$AW:$AW,$X$32,AS!$X:$X,$Y$5,AS!$I:$I,$Y$7,AS!$AT:$AT,Parkki!$Y$13,AS!$K:$K,$X$31,AS!$F:$F,$V$29,AS!$L:$L,$V$30,AS!$AG:$AG,Parkki!$Y$9)+AB132</f>
        <v>0</v>
      </c>
      <c r="G132" s="719">
        <f>SUMIFS(AS!$W:$W,AS!$BO:$BO,$W$7,AS!$AB:$AB,AS!$AA$1,AS!$AH:$AH,$X$8,AS!$AT:$AT,$X132,AS!$AV:$AV,$X$2,AS!$AW:$AW,$X$32,AS!$X:$X,$Y$5,AS!$AT:$AT,Parkki!$Y$13,AS!$K:$K,$X$31,AS!$F:$F,$V$29,AS!$L:$L,$V$30,AS!$AG:$AG,Parkki!$Y$9)</f>
        <v>0</v>
      </c>
      <c r="H132" s="720" t="str">
        <f t="shared" si="18"/>
        <v>-</v>
      </c>
      <c r="I132" s="719">
        <f>SUMIFS(JA!Z:Z,JA!X:X,Parkki!X132,JA!AF:AF,"OK",JA!AE:AE,"OK")</f>
        <v>0</v>
      </c>
      <c r="J132" s="720" t="str">
        <f t="shared" si="19"/>
        <v>-</v>
      </c>
      <c r="V132" s="716" t="str">
        <f>A122</f>
        <v>Virallinen toimiala</v>
      </c>
      <c r="W132" s="717">
        <f>SUM(D122:D128)</f>
        <v>0</v>
      </c>
      <c r="X132" s="35" t="s">
        <v>231</v>
      </c>
      <c r="Z132">
        <f>SUMIFS(AS!$W:$W,AS!$BO:$BO,$W$7,AS!$AB:$AB,AS!$AA$1,AS!$AH:$AH,$X$8,AS!$AT:$AT,$Y132,AS!$AV:$AV,$X$5,AS!$AW:$AW,$X$32,AS!$X:$X,$Y$5,AS!$AT:$AT,Parkki!$Y$13,AS!$K:$K,$X$31,AS!$F:$F,$V$29,AS!$L:$L,$V$30,AS!$AG:$AG,Parkki!$Y$9)</f>
        <v>0</v>
      </c>
      <c r="AA132">
        <f>SUMIFS(AS!$W:$W,AS!$BO:$BO,$W$7,AS!$AB:$AB,AS!$AA$1,AS!$AH:$AH,$X$8,AS!$AT:$AT,$Y132,AS!$AV:$AV,$X$5,AS!$AW:$AW,$X$32,AS!$X:$X,$Y$5,AS!$I:$I,$X$7,AS!$AT:$AT,Parkki!$Y$13,AS!$K:$K,$X$31,AS!$F:$F,$V$29,AS!$L:$L,$V$30,AS!$AG:$AG,Parkki!$Y$9)</f>
        <v>0</v>
      </c>
      <c r="AB132">
        <f>SUMIFS(AS!$W:$W,AS!$BO:$BO,$W$7,AS!$AB:$AB,AS!$AA$1,AS!$AH:$AH,$X$8,AS!$AT:$AT,$Y132,AS!$AV:$AV,$X$5,AS!$AW:$AW,$X$32,AS!$X:$X,$Y$5,AS!$I:$I,$Y$7,AS!$AT:$AT,Parkki!$Y$13,AS!$K:$K,$X$31,AS!$F:$F,$V$29,AS!$L:$L,$V$30,AS!$AG:$AG,Parkki!$Y$9)</f>
        <v>0</v>
      </c>
      <c r="AE132" t="s">
        <v>1080</v>
      </c>
      <c r="AG132" s="607" t="s">
        <v>1054</v>
      </c>
      <c r="AH132" s="608" t="s">
        <v>1318</v>
      </c>
      <c r="AI132" s="690" t="s">
        <v>1319</v>
      </c>
      <c r="AJ132" s="450" t="s">
        <v>1080</v>
      </c>
      <c r="AK132" s="450" t="s">
        <v>1326</v>
      </c>
      <c r="AL132" s="146" t="s">
        <v>1327</v>
      </c>
      <c r="AM132" s="146" t="s">
        <v>231</v>
      </c>
    </row>
    <row r="133" spans="1:39" x14ac:dyDescent="0.25">
      <c r="A133" s="828" t="s">
        <v>92</v>
      </c>
      <c r="B133" s="518" t="s">
        <v>1055</v>
      </c>
      <c r="C133" s="520">
        <f>SUMIFS(AS!$W:$W,AS!$BO:$BO,$W$7,AS!$AB:$AB,AS!$AA$1,AS!$AH:$AH,$X$8,AS!$AT:$AT,$X133,AS!$AV:$AV,$X$5,AS!$AW:$AW,$X$32,AS!$X:$X,$Y$5,AS!$AT:$AT,Parkki!$Y$13,AS!$K:$K,$X$31,AS!$F:$F,$V$29,AS!$L:$L,$V$30,AS!$AG:$AG,Parkki!$Y$9)+Z133</f>
        <v>0</v>
      </c>
      <c r="D133" s="552" t="str">
        <f t="shared" si="20"/>
        <v>-</v>
      </c>
      <c r="E133" s="520">
        <f>SUMIFS(AS!$W:$W,AS!$BO:$BO,$W$7,AS!$AB:$AB,AS!$AA$1,AS!$AH:$AH,$X$8,AS!$AT:$AT,$X133,AS!$AV:$AV,$X$5,AS!$AW:$AW,$X$32,AS!$X:$X,$Y$5,AS!$I:$I,$X$7,AS!$AT:$AT,Parkki!$Y$13,AS!$K:$K,$X$31,AS!$F:$F,$V$29,AS!$L:$L,$V$30,AS!$AG:$AG,Parkki!$Y$9)+AA133</f>
        <v>0</v>
      </c>
      <c r="F133" s="520">
        <f>SUMIFS(AS!$W:$W,AS!$BO:$BO,$W$7,AS!$AB:$AB,AS!$AA$1,AS!$AH:$AH,$X$8,AS!$AT:$AT,$X133,AS!$AV:$AV,$X$5,AS!$AW:$AW,$X$32,AS!$X:$X,$Y$5,AS!$I:$I,$Y$7,AS!$AT:$AT,Parkki!$Y$13,AS!$K:$K,$X$31,AS!$F:$F,$V$29,AS!$L:$L,$V$30,AS!$AG:$AG,Parkki!$Y$9)+AB133</f>
        <v>0</v>
      </c>
      <c r="G133" s="719">
        <f>SUMIFS(AS!$W:$W,AS!$BO:$BO,$W$7,AS!$AB:$AB,AS!$AA$1,AS!$AH:$AH,$X$8,AS!$AT:$AT,$X133,AS!$AV:$AV,$X$2,AS!$AW:$AW,$X$32,AS!$X:$X,$Y$5,AS!$AT:$AT,Parkki!$Y$13,AS!$K:$K,$X$31,AS!$F:$F,$V$29,AS!$L:$L,$V$30,AS!$AG:$AG,Parkki!$Y$9)</f>
        <v>0</v>
      </c>
      <c r="H133" s="720" t="str">
        <f t="shared" si="18"/>
        <v>-</v>
      </c>
      <c r="I133" s="719">
        <f>SUMIFS(JA!Z:Z,JA!X:X,Parkki!X133,JA!AF:AF,"OK",JA!AE:AE,"OK")</f>
        <v>0</v>
      </c>
      <c r="J133" s="720" t="str">
        <f t="shared" si="19"/>
        <v>-</v>
      </c>
      <c r="V133" s="716" t="str">
        <f>A129</f>
        <v>Suoraan / kavereiden- tai sukulaisen yhteydenotto</v>
      </c>
      <c r="W133" s="717">
        <f>SUM(D129:D132)</f>
        <v>0</v>
      </c>
      <c r="X133" s="515" t="s">
        <v>1058</v>
      </c>
      <c r="Y133" s="513" t="s">
        <v>514</v>
      </c>
      <c r="Z133">
        <f>SUMIFS(AS!$W:$W,AS!$BO:$BO,$W$7,AS!$AB:$AB,AS!$AA$1,AS!$AH:$AH,$X$8,AS!$AT:$AT,$Y133,AS!$AV:$AV,$X$5,AS!$AW:$AW,$X$32,AS!$X:$X,$Y$5,AS!$AT:$AT,Parkki!$Y$13,AS!$K:$K,$X$31,AS!$F:$F,$V$29,AS!$L:$L,$V$30,AS!$AG:$AG,Parkki!$Y$9)</f>
        <v>0</v>
      </c>
      <c r="AA133">
        <f>SUMIFS(AS!$W:$W,AS!$BO:$BO,$W$7,AS!$AB:$AB,AS!$AA$1,AS!$AH:$AH,$X$8,AS!$AT:$AT,$Y133,AS!$AV:$AV,$X$5,AS!$AW:$AW,$X$32,AS!$X:$X,$Y$5,AS!$I:$I,$X$7,AS!$AT:$AT,Parkki!$Y$13,AS!$K:$K,$X$31,AS!$F:$F,$V$29,AS!$L:$L,$V$30,AS!$AG:$AG,Parkki!$Y$9)</f>
        <v>0</v>
      </c>
      <c r="AB133">
        <f>SUMIFS(AS!$W:$W,AS!$BO:$BO,$W$7,AS!$AB:$AB,AS!$AA$1,AS!$AH:$AH,$X$8,AS!$AT:$AT,$Y133,AS!$AV:$AV,$X$5,AS!$AW:$AW,$X$32,AS!$X:$X,$Y$5,AS!$I:$I,$Y$7,AS!$AT:$AT,Parkki!$Y$13,AS!$K:$K,$X$31,AS!$F:$F,$V$29,AS!$L:$L,$V$30,AS!$AG:$AG,Parkki!$Y$9)</f>
        <v>0</v>
      </c>
      <c r="AE133" t="s">
        <v>1055</v>
      </c>
      <c r="AG133" s="607" t="s">
        <v>92</v>
      </c>
      <c r="AH133" s="607" t="s">
        <v>1339</v>
      </c>
      <c r="AI133" s="698" t="s">
        <v>1328</v>
      </c>
      <c r="AJ133" s="450" t="s">
        <v>1055</v>
      </c>
      <c r="AK133" s="450" t="s">
        <v>1329</v>
      </c>
      <c r="AL133" s="146" t="s">
        <v>1330</v>
      </c>
      <c r="AM133" s="146" t="s">
        <v>1058</v>
      </c>
    </row>
    <row r="134" spans="1:39" x14ac:dyDescent="0.25">
      <c r="A134" s="829"/>
      <c r="B134" s="518" t="s">
        <v>1617</v>
      </c>
      <c r="C134" s="520">
        <f>SUMIFS(AS!$W:$W,AS!$BO:$BO,$W$7,AS!$AB:$AB,AS!$AA$1,AS!$AH:$AH,$X$8,AS!$AT:$AT,$X134,AS!$AV:$AV,$X$5,AS!$AW:$AW,$X$32,AS!$X:$X,$Y$5,AS!$AT:$AT,Parkki!$Y$13,AS!$K:$K,$X$31,AS!$F:$F,$V$29,AS!$L:$L,$V$30,AS!$AG:$AG,Parkki!$Y$9)+Z134</f>
        <v>0</v>
      </c>
      <c r="D134" s="552" t="str">
        <f t="shared" si="20"/>
        <v>-</v>
      </c>
      <c r="E134" s="520">
        <f>SUMIFS(AS!$W:$W,AS!$BO:$BO,$W$7,AS!$AB:$AB,AS!$AA$1,AS!$AH:$AH,$X$8,AS!$AT:$AT,$X134,AS!$AV:$AV,$X$5,AS!$AW:$AW,$X$32,AS!$X:$X,$Y$5,AS!$I:$I,$X$7,AS!$AT:$AT,Parkki!$Y$13,AS!$K:$K,$X$31,AS!$F:$F,$V$29,AS!$L:$L,$V$30,AS!$AG:$AG,Parkki!$Y$9)+AA134</f>
        <v>0</v>
      </c>
      <c r="F134" s="520">
        <f>SUMIFS(AS!$W:$W,AS!$BO:$BO,$W$7,AS!$AB:$AB,AS!$AA$1,AS!$AH:$AH,$X$8,AS!$AT:$AT,$X134,AS!$AV:$AV,$X$5,AS!$AW:$AW,$X$32,AS!$X:$X,$Y$5,AS!$I:$I,$Y$7,AS!$AT:$AT,Parkki!$Y$13,AS!$K:$K,$X$31,AS!$F:$F,$V$29,AS!$L:$L,$V$30,AS!$AG:$AG,Parkki!$Y$9)+AB134</f>
        <v>0</v>
      </c>
      <c r="G134" s="719">
        <f>SUMIFS(AS!$W:$W,AS!$BO:$BO,$W$7,AS!$AB:$AB,AS!$AA$1,AS!$AH:$AH,$X$8,AS!$AT:$AT,$X134,AS!$AV:$AV,$X$2,AS!$AW:$AW,$X$32,AS!$X:$X,$Y$5,AS!$AT:$AT,Parkki!$Y$13,AS!$K:$K,$X$31,AS!$F:$F,$V$29,AS!$L:$L,$V$30,AS!$AG:$AG,Parkki!$Y$9)</f>
        <v>0</v>
      </c>
      <c r="H134" s="720" t="str">
        <f t="shared" si="18"/>
        <v>-</v>
      </c>
      <c r="I134" s="719">
        <f>SUMIFS(JA!Z:Z,JA!X:X,Parkki!X134,JA!AF:AF,"OK",JA!AE:AE,"OK")</f>
        <v>0</v>
      </c>
      <c r="J134" s="720" t="str">
        <f t="shared" si="19"/>
        <v>-</v>
      </c>
      <c r="V134" s="716" t="str">
        <f>A133</f>
        <v>Muut</v>
      </c>
      <c r="W134" s="717">
        <f>SUM(D133:D136)</f>
        <v>0</v>
      </c>
      <c r="X134" s="515" t="s">
        <v>1618</v>
      </c>
      <c r="Y134" t="s">
        <v>1059</v>
      </c>
      <c r="Z134">
        <f>SUMIFS(AS!$W:$W,AS!$BO:$BO,$W$7,AS!$AB:$AB,AS!$AA$1,AS!$AH:$AH,$X$8,AS!$AT:$AT,$Y134,AS!$AV:$AV,$X$5,AS!$AW:$AW,$X$32,AS!$X:$X,$Y$5,AS!$AT:$AT,Parkki!$Y$13,AS!$K:$K,$X$31,AS!$F:$F,$V$29,AS!$L:$L,$V$30,AS!$AG:$AG,Parkki!$Y$9)</f>
        <v>0</v>
      </c>
      <c r="AA134">
        <f>SUMIFS(AS!$W:$W,AS!$BO:$BO,$W$7,AS!$AB:$AB,AS!$AA$1,AS!$AH:$AH,$X$8,AS!$AT:$AT,$Y134,AS!$AV:$AV,$X$5,AS!$AW:$AW,$X$32,AS!$X:$X,$Y$5,AS!$I:$I,$X$7,AS!$AT:$AT,Parkki!$Y$13,AS!$K:$K,$X$31,AS!$F:$F,$V$29,AS!$L:$L,$V$30,AS!$AG:$AG,Parkki!$Y$9)</f>
        <v>0</v>
      </c>
      <c r="AB134">
        <f>SUMIFS(AS!$W:$W,AS!$BO:$BO,$W$7,AS!$AB:$AB,AS!$AA$1,AS!$AH:$AH,$X$8,AS!$AT:$AT,$Y134,AS!$AV:$AV,$X$5,AS!$AW:$AW,$X$32,AS!$X:$X,$Y$5,AS!$I:$I,$Y$7,AS!$AT:$AT,Parkki!$Y$13,AS!$K:$K,$X$31,AS!$F:$F,$V$29,AS!$L:$L,$V$30,AS!$AG:$AG,Parkki!$Y$9)</f>
        <v>0</v>
      </c>
      <c r="AE134" t="s">
        <v>1083</v>
      </c>
      <c r="AG134" s="607" t="s">
        <v>92</v>
      </c>
      <c r="AH134" s="607" t="s">
        <v>1339</v>
      </c>
      <c r="AI134" s="698" t="s">
        <v>1328</v>
      </c>
      <c r="AJ134" s="450" t="s">
        <v>1083</v>
      </c>
      <c r="AK134" s="450" t="s">
        <v>1331</v>
      </c>
      <c r="AL134" s="693" t="s">
        <v>1332</v>
      </c>
      <c r="AM134" s="146" t="s">
        <v>1059</v>
      </c>
    </row>
    <row r="135" spans="1:39" x14ac:dyDescent="0.25">
      <c r="A135" s="829"/>
      <c r="B135" s="518" t="s">
        <v>1353</v>
      </c>
      <c r="C135" s="520">
        <f>SUMIFS(AS!$W:$W,AS!$BO:$BO,$W$7,AS!$AB:$AB,AS!$AA$1,AS!$AH:$AH,$X$8,AS!$AT:$AT,$X135,AS!$AV:$AV,$X$5,AS!$AW:$AW,$X$32,AS!$X:$X,$Y$5,AS!$AT:$AT,Parkki!$Y$13,AS!$K:$K,$X$31,AS!$F:$F,$V$29,AS!$L:$L,$V$30,AS!$AG:$AG,Parkki!$Y$9)+Z135</f>
        <v>0</v>
      </c>
      <c r="D135" s="552" t="str">
        <f t="shared" si="20"/>
        <v>-</v>
      </c>
      <c r="E135" s="520">
        <f>SUMIFS(AS!$W:$W,AS!$BO:$BO,$W$7,AS!$AB:$AB,AS!$AA$1,AS!$AH:$AH,$X$8,AS!$AT:$AT,$X135,AS!$AV:$AV,$X$5,AS!$AW:$AW,$X$32,AS!$X:$X,$Y$5,AS!$I:$I,$X$7,AS!$AT:$AT,Parkki!$Y$13,AS!$K:$K,$X$31,AS!$F:$F,$V$29,AS!$L:$L,$V$30,AS!$AG:$AG,Parkki!$Y$9)+AA135</f>
        <v>0</v>
      </c>
      <c r="F135" s="520">
        <f>SUMIFS(AS!$W:$W,AS!$BO:$BO,$W$7,AS!$AB:$AB,AS!$AA$1,AS!$AH:$AH,$X$8,AS!$AT:$AT,$X135,AS!$AV:$AV,$X$5,AS!$AW:$AW,$X$32,AS!$X:$X,$Y$5,AS!$I:$I,$Y$7,AS!$AT:$AT,Parkki!$Y$13,AS!$K:$K,$X$31,AS!$F:$F,$V$29,AS!$L:$L,$V$30,AS!$AG:$AG,Parkki!$Y$9)+AB135</f>
        <v>0</v>
      </c>
      <c r="G135" s="719">
        <f>SUMIFS(AS!$W:$W,AS!$BO:$BO,$W$7,AS!$AB:$AB,AS!$AA$1,AS!$AH:$AH,$X$8,AS!$AT:$AT,$X135,AS!$AV:$AV,$X$2,AS!$AW:$AW,$X$32,AS!$X:$X,$Y$5,AS!$AT:$AT,Parkki!$Y$13,AS!$K:$K,$X$31,AS!$F:$F,$V$29,AS!$L:$L,$V$30,AS!$AG:$AG,Parkki!$Y$9)</f>
        <v>0</v>
      </c>
      <c r="H135" s="720" t="str">
        <f t="shared" si="18"/>
        <v>-</v>
      </c>
      <c r="I135" s="719">
        <f>SUMIFS(JA!Z:Z,JA!X:X,Parkki!X135,JA!AF:AF,"OK",JA!AE:AE,"OK")</f>
        <v>0</v>
      </c>
      <c r="J135" s="720" t="str">
        <f t="shared" si="19"/>
        <v>-</v>
      </c>
      <c r="V135" s="716" t="str">
        <f>A137</f>
        <v>Ei tietoa</v>
      </c>
      <c r="W135" s="717">
        <f>SUM(D137:D138)</f>
        <v>0</v>
      </c>
      <c r="X135" s="515" t="s">
        <v>1060</v>
      </c>
      <c r="Z135">
        <f>SUMIFS(AS!$W:$W,AS!$BO:$BO,$W$7,AS!$AB:$AB,AS!$AA$1,AS!$AH:$AH,$X$8,AS!$AT:$AT,$Y135,AS!$AV:$AV,$X$5,AS!$AW:$AW,$X$32,AS!$X:$X,$Y$5,AS!$AT:$AT,Parkki!$Y$13,AS!$K:$K,$X$31,AS!$F:$F,$V$29,AS!$L:$L,$V$30,AS!$AG:$AG,Parkki!$Y$9)</f>
        <v>0</v>
      </c>
      <c r="AA135">
        <f>SUMIFS(AS!$W:$W,AS!$BO:$BO,$W$7,AS!$AB:$AB,AS!$AA$1,AS!$AH:$AH,$X$8,AS!$AT:$AT,$Y135,AS!$AV:$AV,$X$5,AS!$AW:$AW,$X$32,AS!$X:$X,$Y$5,AS!$I:$I,$X$7,AS!$AT:$AT,Parkki!$Y$13,AS!$K:$K,$X$31,AS!$F:$F,$V$29,AS!$L:$L,$V$30,AS!$AG:$AG,Parkki!$Y$9)</f>
        <v>0</v>
      </c>
      <c r="AB135">
        <f>SUMIFS(AS!$W:$W,AS!$BO:$BO,$W$7,AS!$AB:$AB,AS!$AA$1,AS!$AH:$AH,$X$8,AS!$AT:$AT,$Y135,AS!$AV:$AV,$X$5,AS!$AW:$AW,$X$32,AS!$X:$X,$Y$5,AS!$I:$I,$Y$7,AS!$AT:$AT,Parkki!$Y$13,AS!$K:$K,$X$31,AS!$F:$F,$V$29,AS!$L:$L,$V$30,AS!$AG:$AG,Parkki!$Y$9)</f>
        <v>0</v>
      </c>
      <c r="AE135" t="s">
        <v>1084</v>
      </c>
      <c r="AG135" s="607" t="s">
        <v>92</v>
      </c>
      <c r="AH135" s="607" t="s">
        <v>1339</v>
      </c>
      <c r="AI135" s="698" t="s">
        <v>1328</v>
      </c>
      <c r="AJ135" s="450" t="s">
        <v>1084</v>
      </c>
      <c r="AK135" s="450" t="s">
        <v>1333</v>
      </c>
      <c r="AL135" s="693" t="s">
        <v>1334</v>
      </c>
      <c r="AM135" s="146" t="s">
        <v>1060</v>
      </c>
    </row>
    <row r="136" spans="1:39" x14ac:dyDescent="0.25">
      <c r="A136" s="830"/>
      <c r="B136" s="518" t="s">
        <v>135</v>
      </c>
      <c r="C136" s="520">
        <f>SUMIFS(AS!$W:$W,AS!$BO:$BO,$W$7,AS!$AB:$AB,AS!$AA$1,AS!$AH:$AH,$X$8,AS!$AT:$AT,$X136,AS!$AV:$AV,$X$5,AS!$AW:$AW,$X$32,AS!$X:$X,$Y$5,AS!$AT:$AT,Parkki!$Y$13,AS!$K:$K,$X$31,AS!$F:$F,$V$29,AS!$L:$L,$V$30,AS!$AG:$AG,Parkki!$Y$9)+Z136</f>
        <v>0</v>
      </c>
      <c r="D136" s="552" t="str">
        <f t="shared" si="20"/>
        <v>-</v>
      </c>
      <c r="E136" s="520">
        <f>SUMIFS(AS!$W:$W,AS!$BO:$BO,$W$7,AS!$AB:$AB,AS!$AA$1,AS!$AH:$AH,$X$8,AS!$AT:$AT,$X136,AS!$AV:$AV,$X$5,AS!$AW:$AW,$X$32,AS!$X:$X,$Y$5,AS!$I:$I,$X$7,AS!$AT:$AT,Parkki!$Y$13,AS!$K:$K,$X$31,AS!$F:$F,$V$29,AS!$L:$L,$V$30,AS!$AG:$AG,Parkki!$Y$9)+AA136</f>
        <v>0</v>
      </c>
      <c r="F136" s="520">
        <f>SUMIFS(AS!$W:$W,AS!$BO:$BO,$W$7,AS!$AB:$AB,AS!$AA$1,AS!$AH:$AH,$X$8,AS!$AT:$AT,$X136,AS!$AV:$AV,$X$5,AS!$AW:$AW,$X$32,AS!$X:$X,$Y$5,AS!$I:$I,$Y$7,AS!$AT:$AT,Parkki!$Y$13,AS!$K:$K,$X$31,AS!$F:$F,$V$29,AS!$L:$L,$V$30,AS!$AG:$AG,Parkki!$Y$9)+AB136</f>
        <v>0</v>
      </c>
      <c r="G136" s="719">
        <f>SUMIFS(AS!$W:$W,AS!$BO:$BO,$W$7,AS!$AB:$AB,AS!$AA$1,AS!$AH:$AH,$X$8,AS!$AT:$AT,$X136,AS!$AV:$AV,$X$2,AS!$AW:$AW,$X$32,AS!$X:$X,$Y$5,AS!$AT:$AT,Parkki!$Y$13,AS!$K:$K,$X$31,AS!$F:$F,$V$29,AS!$L:$L,$V$30,AS!$AG:$AG,Parkki!$Y$9)</f>
        <v>0</v>
      </c>
      <c r="H136" s="720" t="str">
        <f t="shared" si="18"/>
        <v>-</v>
      </c>
      <c r="I136" s="719">
        <f>SUMIFS(JA!Z:Z,JA!X:X,Parkki!X136,JA!AF:AF,"OK",JA!AE:AE,"OK")</f>
        <v>0</v>
      </c>
      <c r="J136" s="720" t="str">
        <f t="shared" si="19"/>
        <v>-</v>
      </c>
      <c r="X136" s="35" t="s">
        <v>234</v>
      </c>
      <c r="Z136">
        <f>SUMIFS(AS!$W:$W,AS!$BO:$BO,$W$7,AS!$AB:$AB,AS!$AA$1,AS!$AH:$AH,$X$8,AS!$AT:$AT,$Y136,AS!$AV:$AV,$X$5,AS!$AW:$AW,$X$32,AS!$X:$X,$Y$5,AS!$AT:$AT,Parkki!$Y$13,AS!$K:$K,$X$31,AS!$F:$F,$V$29,AS!$L:$L,$V$30,AS!$AG:$AG,Parkki!$Y$9)</f>
        <v>0</v>
      </c>
      <c r="AA136">
        <f>SUMIFS(AS!$W:$W,AS!$BO:$BO,$W$7,AS!$AB:$AB,AS!$AA$1,AS!$AH:$AH,$X$8,AS!$AT:$AT,$Y136,AS!$AV:$AV,$X$5,AS!$AW:$AW,$X$32,AS!$X:$X,$Y$5,AS!$I:$I,$X$7,AS!$AT:$AT,Parkki!$Y$13,AS!$K:$K,$X$31,AS!$F:$F,$V$29,AS!$L:$L,$V$30,AS!$AG:$AG,Parkki!$Y$9)</f>
        <v>0</v>
      </c>
      <c r="AB136">
        <f>SUMIFS(AS!$W:$W,AS!$BO:$BO,$W$7,AS!$AB:$AB,AS!$AA$1,AS!$AH:$AH,$X$8,AS!$AT:$AT,$Y136,AS!$AV:$AV,$X$5,AS!$AW:$AW,$X$32,AS!$X:$X,$Y$5,AS!$I:$I,$Y$7,AS!$AT:$AT,Parkki!$Y$13,AS!$K:$K,$X$31,AS!$F:$F,$V$29,AS!$L:$L,$V$30,AS!$AG:$AG,Parkki!$Y$9)</f>
        <v>0</v>
      </c>
      <c r="AE136" t="s">
        <v>802</v>
      </c>
      <c r="AG136" s="607" t="s">
        <v>92</v>
      </c>
      <c r="AH136" s="607" t="s">
        <v>1339</v>
      </c>
      <c r="AI136" s="698" t="s">
        <v>1328</v>
      </c>
      <c r="AJ136" s="450" t="s">
        <v>802</v>
      </c>
      <c r="AK136" s="450" t="s">
        <v>1335</v>
      </c>
      <c r="AL136" s="146" t="s">
        <v>1336</v>
      </c>
      <c r="AM136" s="146" t="s">
        <v>234</v>
      </c>
    </row>
    <row r="137" spans="1:39" x14ac:dyDescent="0.25">
      <c r="A137" s="828" t="s">
        <v>97</v>
      </c>
      <c r="B137" s="518" t="s">
        <v>97</v>
      </c>
      <c r="C137" s="520">
        <f>SUMIFS(AS!$W:$W,AS!$BO:$BO,$W$7,AS!$AB:$AB,AS!$AA$1,AS!$AH:$AH,$X$8,AS!$AT:$AT,$X137,AS!$AV:$AV,$X$5,AS!$AW:$AW,$X$32,AS!$X:$X,$Y$5,AS!$AT:$AT,Parkki!$Y$13,AS!$K:$K,$X$31,AS!$F:$F,$V$29,AS!$L:$L,$V$30,AS!$AG:$AG,Parkki!$Y$9)+Z137</f>
        <v>0</v>
      </c>
      <c r="D137" s="552" t="str">
        <f t="shared" si="20"/>
        <v>-</v>
      </c>
      <c r="E137" s="520">
        <f>SUMIFS(AS!$W:$W,AS!$BO:$BO,$W$7,AS!$AB:$AB,AS!$AA$1,AS!$AH:$AH,$X$8,AS!$AT:$AT,$X137,AS!$AV:$AV,$X$5,AS!$AW:$AW,$X$32,AS!$X:$X,$Y$5,AS!$I:$I,$X$7,AS!$AT:$AT,Parkki!$Y$13,AS!$K:$K,$X$31,AS!$F:$F,$V$29,AS!$L:$L,$V$30,AS!$AG:$AG,Parkki!$Y$9)+AA137</f>
        <v>0</v>
      </c>
      <c r="F137" s="520">
        <f>SUMIFS(AS!$W:$W,AS!$BO:$BO,$W$7,AS!$AB:$AB,AS!$AA$1,AS!$AH:$AH,$X$8,AS!$AT:$AT,$X137,AS!$AV:$AV,$X$5,AS!$AW:$AW,$X$32,AS!$X:$X,$Y$5,AS!$I:$I,$Y$7,AS!$AT:$AT,Parkki!$Y$13,AS!$K:$K,$X$31,AS!$F:$F,$V$29,AS!$L:$L,$V$30,AS!$AG:$AG,Parkki!$Y$9)+AB137</f>
        <v>0</v>
      </c>
      <c r="G137" s="719">
        <f>SUMIFS(AS!$W:$W,AS!$BO:$BO,$W$7,AS!$AB:$AB,AS!$AA$1,AS!$AH:$AH,$X$8,AS!$AT:$AT,$X137,AS!$AV:$AV,$X$2,AS!$AW:$AW,$X$32,AS!$X:$X,$Y$5,AS!$AT:$AT,Parkki!$Y$13,AS!$K:$K,$X$31,AS!$F:$F,$V$29,AS!$L:$L,$V$30,AS!$AG:$AG,Parkki!$Y$9)</f>
        <v>0</v>
      </c>
      <c r="H137" s="720" t="str">
        <f t="shared" si="18"/>
        <v>-</v>
      </c>
      <c r="I137" s="719">
        <f>SUMIFS(JA!Z:Z,JA!X:X,Parkki!X137,JA!AF:AF,"OK",JA!AE:AE,"OK")</f>
        <v>0</v>
      </c>
      <c r="J137" s="720" t="str">
        <f t="shared" si="19"/>
        <v>-</v>
      </c>
      <c r="X137" s="35" t="s">
        <v>244</v>
      </c>
      <c r="Z137">
        <f>SUMIFS(AS!$W:$W,AS!$BO:$BO,$W$7,AS!$AB:$AB,AS!$AA$1,AS!$AH:$AH,$X$8,AS!$AT:$AT,$Y137,AS!$AV:$AV,$X$5,AS!$AW:$AW,$X$32,AS!$X:$X,$Y$5,AS!$AT:$AT,Parkki!$Y$13,AS!$K:$K,$X$31,AS!$F:$F,$V$29,AS!$L:$L,$V$30,AS!$AG:$AG,Parkki!$Y$9)</f>
        <v>0</v>
      </c>
      <c r="AA137">
        <f>SUMIFS(AS!$W:$W,AS!$BO:$BO,$W$7,AS!$AB:$AB,AS!$AA$1,AS!$AH:$AH,$X$8,AS!$AT:$AT,$Y137,AS!$AV:$AV,$X$5,AS!$AW:$AW,$X$32,AS!$X:$X,$Y$5,AS!$I:$I,$X$7,AS!$AT:$AT,Parkki!$Y$13,AS!$K:$K,$X$31,AS!$F:$F,$V$29,AS!$L:$L,$V$30,AS!$AG:$AG,Parkki!$Y$9)</f>
        <v>0</v>
      </c>
      <c r="AB137">
        <f>SUMIFS(AS!$W:$W,AS!$BO:$BO,$W$7,AS!$AB:$AB,AS!$AA$1,AS!$AH:$AH,$X$8,AS!$AT:$AT,$Y137,AS!$AV:$AV,$X$5,AS!$AW:$AW,$X$32,AS!$X:$X,$Y$5,AS!$I:$I,$Y$7,AS!$AT:$AT,Parkki!$Y$13,AS!$K:$K,$X$31,AS!$F:$F,$V$29,AS!$L:$L,$V$30,AS!$AG:$AG,Parkki!$Y$9)</f>
        <v>0</v>
      </c>
      <c r="AG137" s="607" t="s">
        <v>92</v>
      </c>
      <c r="AH137" s="607" t="s">
        <v>1339</v>
      </c>
      <c r="AI137" s="698" t="s">
        <v>1328</v>
      </c>
      <c r="AJ137" s="450" t="s">
        <v>2</v>
      </c>
      <c r="AK137" s="450" t="s">
        <v>1337</v>
      </c>
      <c r="AL137" s="450" t="s">
        <v>1338</v>
      </c>
      <c r="AM137" s="146" t="s">
        <v>244</v>
      </c>
    </row>
    <row r="138" spans="1:39" x14ac:dyDescent="0.25">
      <c r="A138" s="830"/>
      <c r="B138" s="518" t="s">
        <v>548</v>
      </c>
      <c r="C138" s="520">
        <f>SUMIFS(AS!$W:$W,AS!$BO:$BO,$W$7,AS!$AB:$AB,AS!$AA$1,AS!$AH:$AH,$X$8,AS!$AT:$AT,"",AS!$AV:$AV,$X$5,AS!$AW:$AW,$X$32,AS!$X:$X,$Y$5,AS!$AT:$AT,Parkki!$Y$13,AS!$K:$K,$X$31,AS!$F:$F,$V$29,AS!$L:$L,$V$30,AS!$AG:$AG,Parkki!$Y$9)</f>
        <v>0</v>
      </c>
      <c r="D138" s="552" t="str">
        <f t="shared" si="20"/>
        <v>-</v>
      </c>
      <c r="E138" s="520">
        <f>SUMIFS(AS!$W:$W,AS!$BO:$BO,$W$7,AS!$AB:$AB,AS!$AA$1,AS!$AH:$AH,$X$8,AS!$AT:$AT,"",AS!$AV:$AV,$X$5,AS!$AW:$AW,$X$32,AS!$X:$X,$Y$5,AS!$I:$I,$X$7,AS!$AT:$AT,Parkki!$Y$13,AS!$K:$K,$X$31,AS!$F:$F,$V$29,AS!$L:$L,$V$30,AS!$AG:$AG,Parkki!$Y$9)</f>
        <v>0</v>
      </c>
      <c r="F138" s="520">
        <f>SUMIFS(AS!$W:$W,AS!$BO:$BO,$W$7,AS!$AB:$AB,AS!$AA$1,AS!$AH:$AH,$X$8,AS!$AT:$AT,"",AS!$AV:$AV,$X$5,AS!$AW:$AW,$X$32,AS!$X:$X,$Y$5,AS!$I:$I,$Y$7,AS!$AT:$AT,Parkki!$Y$13,AS!$K:$K,$X$31,AS!$F:$F,$V$29,AS!$L:$L,$V$30,AS!$AG:$AG,Parkki!$Y$9)</f>
        <v>0</v>
      </c>
      <c r="G138" s="719">
        <f>SUMIFS(AS!$W:$W,AS!$BO:$BO,$W$7,AS!$AB:$AB,AS!$AA$1,AS!$AH:$AH,$X$8,AS!$AT:$AT,"",AS!$AV:$AV,$X$2,AS!$AW:$AW,$X$32,AS!$X:$X,$Y$5,AS!$AT:$AT,Parkki!$Y$13,AS!$K:$K,$X$31,AS!$F:$F,$V$29,AS!$L:$L,$V$30,AS!$AG:$AG,Parkki!$Y$9)</f>
        <v>0</v>
      </c>
      <c r="H138" s="720" t="str">
        <f t="shared" si="18"/>
        <v>-</v>
      </c>
      <c r="I138" s="719">
        <f>SUMIFS(JA!Z:Z,JA!X:X,"",JA!AF:AF,"OK",JA!AE:AE,"OK")</f>
        <v>0</v>
      </c>
      <c r="J138" s="720" t="str">
        <f t="shared" si="19"/>
        <v>-</v>
      </c>
    </row>
    <row r="139" spans="1:39" x14ac:dyDescent="0.25">
      <c r="A139" s="794" t="s">
        <v>788</v>
      </c>
      <c r="B139" s="795"/>
      <c r="C139" s="619">
        <f t="shared" ref="C139:J139" si="21">SUM(C98:C138)</f>
        <v>0</v>
      </c>
      <c r="D139" s="559">
        <f t="shared" si="21"/>
        <v>0</v>
      </c>
      <c r="E139" s="519">
        <f t="shared" si="21"/>
        <v>0</v>
      </c>
      <c r="F139" s="519">
        <f t="shared" si="21"/>
        <v>0</v>
      </c>
      <c r="G139" s="619">
        <f t="shared" si="21"/>
        <v>0</v>
      </c>
      <c r="H139" s="559">
        <f t="shared" si="21"/>
        <v>0</v>
      </c>
      <c r="I139" s="619">
        <f t="shared" si="21"/>
        <v>0</v>
      </c>
      <c r="J139" s="559">
        <f t="shared" si="21"/>
        <v>0</v>
      </c>
      <c r="K139" s="388">
        <f>SUM(E146:E174,E176)</f>
        <v>0</v>
      </c>
      <c r="L139" s="388">
        <f>SUM(F146:F174,F176)</f>
        <v>0</v>
      </c>
    </row>
    <row r="140" spans="1:39" x14ac:dyDescent="0.25">
      <c r="A140" s="529"/>
      <c r="F140" s="423"/>
      <c r="I140" s="387"/>
      <c r="J140" s="387"/>
      <c r="K140" s="387"/>
      <c r="L140" s="387"/>
    </row>
    <row r="141" spans="1:39" x14ac:dyDescent="0.25">
      <c r="A141" s="553" t="str">
        <f>"*miehistä muun sukupuolisia (N: "&amp;$W$21&amp;")"</f>
        <v>*miehistä muun sukupuolisia (N: 0)</v>
      </c>
      <c r="F141" s="423"/>
      <c r="I141" s="387"/>
      <c r="J141" s="387"/>
      <c r="K141" s="387"/>
      <c r="L141" s="387"/>
    </row>
    <row r="142" spans="1:39" x14ac:dyDescent="0.25">
      <c r="A142" s="379"/>
      <c r="F142" s="423"/>
      <c r="I142" s="387"/>
      <c r="J142" s="387"/>
      <c r="K142" s="387"/>
      <c r="L142" s="387"/>
      <c r="X142" s="177" t="s">
        <v>1042</v>
      </c>
    </row>
    <row r="143" spans="1:39" ht="32.25" customHeight="1" x14ac:dyDescent="0.25">
      <c r="A143" s="786" t="str">
        <f>"Sijoittuminen ja yhteistyön päättymisen syy TAVOITETTUJEN nuorten osalta  "&amp;Y12&amp;X10&amp;U8&amp;X15&amp;" (N:"&amp;C91&amp;")"</f>
        <v>Sijoittuminen ja yhteistyön päättymisen syy TAVOITETTUJEN nuorten osalta  - KAIKKI: 01.01.2025-30.04.2025 (Kaikki yksiköt / perustiedoista, Kaikki kunnat / perustiedoista, Ikäluokka: Kaikki) (N:0)</v>
      </c>
      <c r="B143" s="786"/>
      <c r="C143" s="786"/>
      <c r="D143" s="786"/>
      <c r="E143" s="786"/>
      <c r="F143" s="786"/>
      <c r="I143" s="387"/>
      <c r="J143" s="387"/>
      <c r="K143" s="387"/>
      <c r="L143" s="387"/>
      <c r="V143" s="15" t="s">
        <v>1591</v>
      </c>
      <c r="X143" s="15" t="s">
        <v>1093</v>
      </c>
    </row>
    <row r="144" spans="1:39" ht="25.5" x14ac:dyDescent="0.25">
      <c r="A144" s="810" t="s">
        <v>1100</v>
      </c>
      <c r="B144" s="810"/>
      <c r="C144" s="805" t="s">
        <v>114</v>
      </c>
      <c r="D144" s="805"/>
      <c r="E144" s="521" t="s">
        <v>132</v>
      </c>
      <c r="F144" s="522" t="s">
        <v>1162</v>
      </c>
      <c r="I144" s="387"/>
      <c r="J144" s="387"/>
      <c r="K144" s="387"/>
      <c r="L144" s="387"/>
      <c r="V144" s="386" t="s">
        <v>789</v>
      </c>
      <c r="X144" s="385"/>
      <c r="Y144" s="512" t="s">
        <v>593</v>
      </c>
      <c r="Z144" s="521" t="s">
        <v>114</v>
      </c>
      <c r="AA144" s="521" t="s">
        <v>132</v>
      </c>
      <c r="AB144" s="522" t="s">
        <v>133</v>
      </c>
      <c r="AD144" s="521" t="s">
        <v>114</v>
      </c>
      <c r="AE144" s="521" t="s">
        <v>132</v>
      </c>
      <c r="AF144" s="522" t="s">
        <v>133</v>
      </c>
    </row>
    <row r="145" spans="1:36" x14ac:dyDescent="0.25">
      <c r="A145" s="810"/>
      <c r="B145" s="810"/>
      <c r="C145" s="521" t="s">
        <v>106</v>
      </c>
      <c r="D145" s="521" t="s">
        <v>176</v>
      </c>
      <c r="E145" s="521" t="s">
        <v>106</v>
      </c>
      <c r="F145" s="521" t="s">
        <v>106</v>
      </c>
      <c r="I145" s="387"/>
      <c r="J145" s="387"/>
      <c r="K145" s="387"/>
      <c r="L145" s="387"/>
      <c r="V145" s="533"/>
      <c r="X145" s="385"/>
      <c r="Y145" s="512"/>
      <c r="Z145" s="531"/>
      <c r="AA145" s="531"/>
      <c r="AB145" s="532"/>
    </row>
    <row r="146" spans="1:36" x14ac:dyDescent="0.25">
      <c r="A146" s="796" t="s">
        <v>79</v>
      </c>
      <c r="B146" s="518" t="s">
        <v>1250</v>
      </c>
      <c r="C146" s="148">
        <f>SUMIFS(AS!$W:$W,AS!$BO:$BO,$W$7,AS!$AB:$AB,AS!$AA$1,AS!$AV:$AV,$X$5,AS!$AH:$AH,$X$8,AS!$BB:$BB,AS!$BA$1,AS!$AX:$AX,X146,AS!$AW:$AW,$X$32,AS!$X:$X,$Y$5,AS!$AT:$AT,Parkki!$Y$13,AS!$K:$K,$X$31,AS!$F:$F,$V$29,AS!$L:$L,$V$30,AS!$AG:$AG,Parkki!$Y$9)+Z146+AD146</f>
        <v>0</v>
      </c>
      <c r="D146" s="552" t="str">
        <f>IFERROR(C146/$C$177,"-")</f>
        <v>-</v>
      </c>
      <c r="E146" s="148">
        <f>SUMIFS(AS!$W:$W,AS!$BO:$BO,$W$7,AS!$AB:$AB,AS!$AA$1,AS!$AV:$AV,$X$5,AS!$I:$I,$X$7,AS!$AH:$AH,$X$8,AS!$BB:$BB,AS!$BA$1,AS!$AX:$AX,X146,AS!$AW:$AW,$X$32,AS!$X:$X,$Y$5,AS!$AT:$AT,Parkki!$Y$13,AS!$K:$K,$X$31,AS!$F:$F,$V$29,AS!$L:$L,$V$30,AS!$AG:$AG,Parkki!$Y$9)+AA146+AE146</f>
        <v>0</v>
      </c>
      <c r="F146" s="148">
        <f>SUMIFS(AS!$W:$W,AS!$BO:$BO,$W$7,AS!$AB:$AB,AS!$AA$1,AS!$AV:$AV,$X$5,AS!$I:$I,$Y$7,AS!$AH:$AH,$X$8,AS!$BB:$BB,AS!$BA$1,AS!$AX:$AX,X146,AS!$AW:$AW,$X$32,AS!$X:$X,$Y$5,AS!$AT:$AT,Parkki!$Y$13,AS!$K:$K,$X$31,AS!$F:$F,$V$29,AS!$L:$L,$V$30,AS!$AG:$AG,Parkki!$Y$9)+AB146+AF146</f>
        <v>0</v>
      </c>
      <c r="I146" s="387"/>
      <c r="J146" s="387"/>
      <c r="K146" s="387"/>
      <c r="L146" s="387"/>
      <c r="V146" s="148">
        <f>SUMIFS(AS!$W:$W,AS!$BO:$BO,$W$7,AS!$AB:$AB,AS!$AA$1,AS!$AV:$AV,$X$5,AS!$AH:$AH,$Y$8,AS!$BB:$BB,AS!$BA$1,AS!$AX:$AX,X146,AS!$AW:$AW,$Y$6,AS!$X:$X,$Y$5)</f>
        <v>0</v>
      </c>
      <c r="X146" s="630" t="s">
        <v>1375</v>
      </c>
      <c r="Z146">
        <f>SUMIFS(AS!$W:$W,AS!$BO:$BO,$W$7,AS!$AB:$AB,AS!$AA$1,AS!$AV:$AV,$X$5,AS!$AH:$AH,$X$8,AS!$BB:$BB,AS!$BA$1,AS!$AX:$AX,Y146,AS!$AW:$AW,$X$32,AS!$X:$X,$Y$5,AS!$AT:$AT,Parkki!$Y$13,AS!$K:$K,$X$31,AS!$F:$F,$V$29,AS!$L:$L,$V$30,AS!$AG:$AG,Parkki!$Y$9)</f>
        <v>0</v>
      </c>
      <c r="AA146">
        <f>SUMIFS(AS!$W:$W,AS!$BO:$BO,$W$7,AS!$AB:$AB,AS!$AA$1,AS!$AV:$AV,$X$5,AS!$I:$I,$X$7,AS!$AH:$AH,$X$8,AS!$BB:$BB,AS!$BA$1,AS!$AX:$AX,Y146,AS!$AW:$AW,$X$32,AS!$X:$X,$Y$5,AS!$AT:$AT,Parkki!$Y$13,AS!$K:$K,$X$31,AS!$F:$F,$V$29,AS!$L:$L,$V$30,AS!$AG:$AG,Parkki!$Y$9)</f>
        <v>0</v>
      </c>
      <c r="AB146">
        <f>SUMIFS(AS!$W:$W,AS!$BO:$BO,$W$7,AS!$AB:$AB,AS!$AA$1,AS!$AV:$AV,$X$5,AS!$I:$I,$Y$7,AS!$AH:$AH,$X$8,AS!$BB:$BB,AS!$BA$1,AS!$AX:$AX,Y146,AS!$AW:$AW,$X$32,AS!$X:$X,$Y$5,AS!$AT:$AT,Parkki!$Y$13,AS!$K:$K,$X$31,AS!$F:$F,$V$29,AS!$L:$L,$V$30,AS!$AG:$AG,Parkki!$Y$9)</f>
        <v>0</v>
      </c>
      <c r="AD146">
        <f>SUMIFS(AS!$W:$W,AS!$BO:$BO,$W$7,AS!$AB:$AB,AS!$AA$1,AS!$AV:$AV,$X$5,AS!$AH:$AH,$X$8,AS!$BB:$BB,AS!$BA$1,AS!$AX:$AX,AC146,AS!$AW:$AW,$X$32,AS!$X:$X,$Y$5,AS!$AT:$AT,Parkki!$Y$13,AS!$K:$K,$X$31,AS!$F:$F,$V$29,AS!$L:$L,$V$30,AS!$AG:$AG,Parkki!$Y$9)</f>
        <v>0</v>
      </c>
      <c r="AE146">
        <f>SUMIFS(AS!$W:$W,AS!$BO:$BO,$W$7,AS!$AB:$AB,AS!$AA$1,AS!$AV:$AV,$X$5,AS!$I:$I,$X$7,AS!$AH:$AH,$X$8,AS!$BB:$BB,AS!$BA$1,AS!$AX:$AX,AC146,AS!$AW:$AW,$X$32,AS!$X:$X,$Y$5,AS!$AT:$AT,Parkki!$Y$13,AS!$K:$K,$X$31,AS!$F:$F,$V$29,AS!$L:$L,$V$30,AS!$AG:$AG,Parkki!$Y$9)</f>
        <v>0</v>
      </c>
      <c r="AF146">
        <f>SUMIFS(AS!$W:$W,AS!$BO:$BO,$W$7,AS!$AB:$AB,AS!$AA$1,AS!$AV:$AV,$X$5,AS!$I:$I,$Y$7,AS!$AH:$AH,$X$8,AS!$BB:$BB,AS!$BA$1,AS!$AX:$AX,AC146,AS!$AW:$AW,$X$32,AS!$X:$X,$Y$5,AS!$AT:$AT,Parkki!$Y$13,AS!$K:$K,$X$31,AS!$F:$F,$V$29,AS!$L:$L,$V$30,AS!$AG:$AG,Parkki!$Y$9)</f>
        <v>0</v>
      </c>
    </row>
    <row r="147" spans="1:36" x14ac:dyDescent="0.25">
      <c r="A147" s="797"/>
      <c r="B147" s="518" t="s">
        <v>1383</v>
      </c>
      <c r="C147" s="148">
        <f>SUMIFS(AS!$W:$W,AS!$BO:$BO,$W$7,AS!$AB:$AB,AS!$AA$1,AS!$AV:$AV,$X$5,AS!$AH:$AH,$X$8,AS!$BB:$BB,AS!$BA$1,AS!$AX:$AX,X147,AS!$AW:$AW,$X$32,AS!$X:$X,$Y$5,AS!$AT:$AT,Parkki!$Y$13,AS!$K:$K,$X$31,AS!$F:$F,$V$29,AS!$L:$L,$V$30,AS!$AG:$AG,Parkki!$Y$9)+Z147+AD147</f>
        <v>0</v>
      </c>
      <c r="D147" s="552" t="str">
        <f>IFERROR(C147/$C$177,"-")</f>
        <v>-</v>
      </c>
      <c r="E147" s="148">
        <f>SUMIFS(AS!$W:$W,AS!$BO:$BO,$W$7,AS!$AB:$AB,AS!$AA$1,AS!$AV:$AV,$X$5,AS!$I:$I,$X$7,AS!$AH:$AH,$X$8,AS!$BB:$BB,AS!$BA$1,AS!$AX:$AX,X147,AS!$AW:$AW,$X$32,AS!$X:$X,$Y$5,AS!$AT:$AT,Parkki!$Y$13,AS!$K:$K,$X$31,AS!$F:$F,$V$29,AS!$L:$L,$V$30,AS!$AG:$AG,Parkki!$Y$9)+AA147+AE147</f>
        <v>0</v>
      </c>
      <c r="F147" s="148">
        <f>SUMIFS(AS!$W:$W,AS!$BO:$BO,$W$7,AS!$AB:$AB,AS!$AA$1,AS!$AV:$AV,$X$5,AS!$I:$I,$Y$7,AS!$AH:$AH,$X$8,AS!$BB:$BB,AS!$BA$1,AS!$AX:$AX,X147,AS!$AW:$AW,$X$32,AS!$X:$X,$Y$5,AS!$AT:$AT,Parkki!$Y$13,AS!$K:$K,$X$31,AS!$F:$F,$V$29,AS!$L:$L,$V$30,AS!$AG:$AG,Parkki!$Y$9)+AB147+AF147</f>
        <v>0</v>
      </c>
      <c r="I147" s="387"/>
      <c r="J147" s="387"/>
      <c r="K147" s="387"/>
      <c r="L147" s="387"/>
      <c r="V147" s="148">
        <f>SUMIFS(AS!$W:$W,AS!$BO:$BO,$W$7,AS!$AB:$AB,AS!$AA$1,AS!$AV:$AV,$X$5,AS!$AH:$AH,$Y$8,AS!$BB:$BB,AS!$BA$1,AS!$AX:$AX,X147,AS!$AW:$AW,$Y$6,AS!$X:$X,$Y$5)</f>
        <v>0</v>
      </c>
      <c r="X147" s="630" t="s">
        <v>1376</v>
      </c>
      <c r="Y147" s="627" t="s">
        <v>238</v>
      </c>
      <c r="Z147">
        <f>SUMIFS(AS!$W:$W,AS!$BO:$BO,$W$7,AS!$AB:$AB,AS!$AA$1,AS!$AV:$AV,$X$5,AS!$AH:$AH,$X$8,AS!$BB:$BB,AS!$BA$1,AS!$AX:$AX,Y147,AS!$AW:$AW,$X$32,AS!$X:$X,$Y$5,AS!$AT:$AT,Parkki!$Y$13,AS!$K:$K,$X$31,AS!$F:$F,$V$29,AS!$L:$L,$V$30,AS!$AG:$AG,Parkki!$Y$9)</f>
        <v>0</v>
      </c>
      <c r="AA147">
        <f>SUMIFS(AS!$W:$W,AS!$BO:$BO,$W$7,AS!$AB:$AB,AS!$AA$1,AS!$AV:$AV,$X$5,AS!$I:$I,$X$7,AS!$AH:$AH,$X$8,AS!$BB:$BB,AS!$BA$1,AS!$AX:$AX,Y147,AS!$AW:$AW,$X$32,AS!$X:$X,$Y$5,AS!$AT:$AT,Parkki!$Y$13,AS!$K:$K,$X$31,AS!$F:$F,$V$29,AS!$L:$L,$V$30,AS!$AG:$AG,Parkki!$Y$9)</f>
        <v>0</v>
      </c>
      <c r="AB147">
        <f>SUMIFS(AS!$W:$W,AS!$BO:$BO,$W$7,AS!$AB:$AB,AS!$AA$1,AS!$AV:$AV,$X$5,AS!$I:$I,$Y$7,AS!$AH:$AH,$X$8,AS!$BB:$BB,AS!$BA$1,AS!$AX:$AX,Y147,AS!$AW:$AW,$X$32,AS!$X:$X,$Y$5,AS!$AT:$AT,Parkki!$Y$13,AS!$K:$K,$X$31,AS!$F:$F,$V$29,AS!$L:$L,$V$30,AS!$AG:$AG,Parkki!$Y$9)</f>
        <v>0</v>
      </c>
      <c r="AC147" s="513" t="s">
        <v>239</v>
      </c>
      <c r="AD147">
        <f>SUMIFS(AS!$W:$W,AS!$BO:$BO,$W$7,AS!$AB:$AB,AS!$AA$1,AS!$AV:$AV,$X$5,AS!$AH:$AH,$X$8,AS!$BB:$BB,AS!$BA$1,AS!$AX:$AX,AC147,AS!$AW:$AW,$X$32,AS!$X:$X,$Y$5,AS!$AT:$AT,Parkki!$Y$13,AS!$K:$K,$X$31,AS!$F:$F,$V$29,AS!$L:$L,$V$30,AS!$AG:$AG,Parkki!$Y$9)</f>
        <v>0</v>
      </c>
      <c r="AE147">
        <f>SUMIFS(AS!$W:$W,AS!$BO:$BO,$W$7,AS!$AB:$AB,AS!$AA$1,AS!$AV:$AV,$X$5,AS!$I:$I,$X$7,AS!$AH:$AH,$X$8,AS!$BB:$BB,AS!$BA$1,AS!$AX:$AX,AC147,AS!$AW:$AW,$X$32,AS!$X:$X,$Y$5,AS!$AT:$AT,Parkki!$Y$13,AS!$K:$K,$X$31,AS!$F:$F,$V$29,AS!$L:$L,$V$30,AS!$AG:$AG,Parkki!$Y$9)</f>
        <v>0</v>
      </c>
      <c r="AF147">
        <f>SUMIFS(AS!$W:$W,AS!$BO:$BO,$W$7,AS!$AB:$AB,AS!$AA$1,AS!$AV:$AV,$X$5,AS!$I:$I,$Y$7,AS!$AH:$AH,$X$8,AS!$BB:$BB,AS!$BA$1,AS!$AX:$AX,AC147,AS!$AW:$AW,$X$32,AS!$X:$X,$Y$5,AS!$AT:$AT,Parkki!$Y$13,AS!$K:$K,$X$31,AS!$F:$F,$V$29,AS!$L:$L,$V$30,AS!$AG:$AG,Parkki!$Y$9)</f>
        <v>0</v>
      </c>
    </row>
    <row r="148" spans="1:36" x14ac:dyDescent="0.25">
      <c r="A148" s="797"/>
      <c r="B148" s="518" t="s">
        <v>1384</v>
      </c>
      <c r="C148" s="148">
        <f>SUMIFS(AS!$W:$W,AS!$BO:$BO,$W$7,AS!$AB:$AB,AS!$AA$1,AS!$AV:$AV,$X$5,AS!$AH:$AH,$X$8,AS!$BB:$BB,AS!$BA$1,AS!$AX:$AX,X148,AS!$AW:$AW,$X$32,AS!$X:$X,$Y$5,AS!$AT:$AT,Parkki!$Y$13,AS!$K:$K,$X$31,AS!$F:$F,$V$29,AS!$L:$L,$V$30,AS!$AG:$AG,Parkki!$Y$9)+Z148+AD148</f>
        <v>0</v>
      </c>
      <c r="D148" s="552" t="str">
        <f>IFERROR(C148/$C$177,"-")</f>
        <v>-</v>
      </c>
      <c r="E148" s="148">
        <f>SUMIFS(AS!$W:$W,AS!$BO:$BO,$W$7,AS!$AB:$AB,AS!$AA$1,AS!$AV:$AV,$X$5,AS!$I:$I,$X$7,AS!$AH:$AH,$X$8,AS!$BB:$BB,AS!$BA$1,AS!$AX:$AX,X148,AS!$AW:$AW,$X$32,AS!$X:$X,$Y$5,AS!$AT:$AT,Parkki!$Y$13,AS!$K:$K,$X$31,AS!$F:$F,$V$29,AS!$L:$L,$V$30,AS!$AG:$AG,Parkki!$Y$9)+AA148+AE148</f>
        <v>0</v>
      </c>
      <c r="F148" s="148">
        <f>SUMIFS(AS!$W:$W,AS!$BO:$BO,$W$7,AS!$AB:$AB,AS!$AA$1,AS!$AV:$AV,$X$5,AS!$I:$I,$Y$7,AS!$AH:$AH,$X$8,AS!$BB:$BB,AS!$BA$1,AS!$AX:$AX,X148,AS!$AW:$AW,$X$32,AS!$X:$X,$Y$5,AS!$AT:$AT,Parkki!$Y$13,AS!$K:$K,$X$31,AS!$F:$F,$V$29,AS!$L:$L,$V$30,AS!$AG:$AG,Parkki!$Y$9)+AB148+AF148</f>
        <v>0</v>
      </c>
      <c r="I148" s="387"/>
      <c r="J148" s="387"/>
      <c r="K148" s="387"/>
      <c r="L148" s="387"/>
      <c r="V148" s="148">
        <f>SUMIFS(AS!$W:$W,AS!$BO:$BO,$W$7,AS!$AB:$AB,AS!$AA$1,AS!$AV:$AV,$X$5,AS!$AH:$AH,$Y$8,AS!$BB:$BB,AS!$BA$1,AS!$AX:$AX,X148,AS!$AW:$AW,$Y$6,AS!$X:$X,$Y$5)</f>
        <v>0</v>
      </c>
      <c r="X148" s="630" t="s">
        <v>1377</v>
      </c>
      <c r="Y148" s="636"/>
      <c r="Z148">
        <f>SUMIFS(AS!$W:$W,AS!$BO:$BO,$W$7,AS!$AB:$AB,AS!$AA$1,AS!$AV:$AV,$X$5,AS!$AH:$AH,$X$8,AS!$BB:$BB,AS!$BA$1,AS!$AX:$AX,Y148,AS!$AW:$AW,$X$32,AS!$X:$X,$Y$5,AS!$AT:$AT,Parkki!$Y$13,AS!$K:$K,$X$31,AS!$F:$F,$V$29,AS!$L:$L,$V$30,AS!$AG:$AG,Parkki!$Y$9)</f>
        <v>0</v>
      </c>
      <c r="AA148">
        <f>SUMIFS(AS!$W:$W,AS!$BO:$BO,$W$7,AS!$AB:$AB,AS!$AA$1,AS!$AV:$AV,$X$5,AS!$I:$I,$X$7,AS!$AH:$AH,$X$8,AS!$BB:$BB,AS!$BA$1,AS!$AX:$AX,Y148,AS!$AW:$AW,$X$32,AS!$X:$X,$Y$5,AS!$AT:$AT,Parkki!$Y$13,AS!$K:$K,$X$31,AS!$F:$F,$V$29,AS!$L:$L,$V$30,AS!$AG:$AG,Parkki!$Y$9)</f>
        <v>0</v>
      </c>
      <c r="AB148">
        <f>SUMIFS(AS!$W:$W,AS!$BO:$BO,$W$7,AS!$AB:$AB,AS!$AA$1,AS!$AV:$AV,$X$5,AS!$I:$I,$Y$7,AS!$AH:$AH,$X$8,AS!$BB:$BB,AS!$BA$1,AS!$AX:$AX,Y148,AS!$AW:$AW,$X$32,AS!$X:$X,$Y$5,AS!$AT:$AT,Parkki!$Y$13,AS!$K:$K,$X$31,AS!$F:$F,$V$29,AS!$L:$L,$V$30,AS!$AG:$AG,Parkki!$Y$9)</f>
        <v>0</v>
      </c>
      <c r="AC148" s="636"/>
      <c r="AD148">
        <f>SUMIFS(AS!$W:$W,AS!$BO:$BO,$W$7,AS!$AB:$AB,AS!$AA$1,AS!$AV:$AV,$X$5,AS!$AH:$AH,$X$8,AS!$BB:$BB,AS!$BA$1,AS!$AX:$AX,AC148,AS!$AW:$AW,$X$32,AS!$X:$X,$Y$5,AS!$AT:$AT,Parkki!$Y$13,AS!$K:$K,$X$31,AS!$F:$F,$V$29,AS!$L:$L,$V$30,AS!$AG:$AG,Parkki!$Y$9)</f>
        <v>0</v>
      </c>
      <c r="AE148">
        <f>SUMIFS(AS!$W:$W,AS!$BO:$BO,$W$7,AS!$AB:$AB,AS!$AA$1,AS!$AV:$AV,$X$5,AS!$I:$I,$X$7,AS!$AH:$AH,$X$8,AS!$BB:$BB,AS!$BA$1,AS!$AX:$AX,AC148,AS!$AW:$AW,$X$32,AS!$X:$X,$Y$5,AS!$AT:$AT,Parkki!$Y$13,AS!$K:$K,$X$31,AS!$F:$F,$V$29,AS!$L:$L,$V$30,AS!$AG:$AG,Parkki!$Y$9)</f>
        <v>0</v>
      </c>
      <c r="AF148">
        <f>SUMIFS(AS!$W:$W,AS!$BO:$BO,$W$7,AS!$AB:$AB,AS!$AA$1,AS!$AV:$AV,$X$5,AS!$I:$I,$Y$7,AS!$AH:$AH,$X$8,AS!$BB:$BB,AS!$BA$1,AS!$AX:$AX,AC148,AS!$AW:$AW,$X$32,AS!$X:$X,$Y$5,AS!$AT:$AT,Parkki!$Y$13,AS!$K:$K,$X$31,AS!$F:$F,$V$29,AS!$L:$L,$V$30,AS!$AG:$AG,Parkki!$Y$9)</f>
        <v>0</v>
      </c>
    </row>
    <row r="149" spans="1:36" x14ac:dyDescent="0.25">
      <c r="A149" s="798"/>
      <c r="B149" s="518" t="s">
        <v>95</v>
      </c>
      <c r="C149" s="148">
        <f>SUMIFS(AS!$W:$W,AS!$BO:$BO,$W$7,AS!$AB:$AB,AS!$AA$1,AS!$AV:$AV,$X$5,AS!$AH:$AH,$X$8,AS!$BB:$BB,AS!$BA$1,AS!$AX:$AX,X149,AS!$AW:$AW,$X$32,AS!$X:$X,$Y$5,AS!$AT:$AT,Parkki!$Y$13,AS!$K:$K,$X$31,AS!$F:$F,$V$29,AS!$L:$L,$V$30,AS!$AG:$AG,Parkki!$Y$9)+Z149+AD149</f>
        <v>0</v>
      </c>
      <c r="D149" s="552" t="str">
        <f t="shared" ref="D149:D154" si="22">IFERROR(C149/$C$177,"-")</f>
        <v>-</v>
      </c>
      <c r="E149" s="148">
        <f>SUMIFS(AS!$W:$W,AS!$BO:$BO,$W$7,AS!$AB:$AB,AS!$AA$1,AS!$AV:$AV,$X$5,AS!$I:$I,$X$7,AS!$AH:$AH,$X$8,AS!$BB:$BB,AS!$BA$1,AS!$AX:$AX,X149,AS!$AW:$AW,$X$32,AS!$X:$X,$Y$5,AS!$AT:$AT,Parkki!$Y$13,AS!$K:$K,$X$31,AS!$F:$F,$V$29,AS!$L:$L,$V$30,AS!$AG:$AG,Parkki!$Y$9)+AA149+AE149</f>
        <v>0</v>
      </c>
      <c r="F149" s="148">
        <f>SUMIFS(AS!$W:$W,AS!$BO:$BO,$W$7,AS!$AB:$AB,AS!$AA$1,AS!$AV:$AV,$X$5,AS!$I:$I,$Y$7,AS!$AH:$AH,$X$8,AS!$BB:$BB,AS!$BA$1,AS!$AX:$AX,X149,AS!$AW:$AW,$X$32,AS!$X:$X,$Y$5,AS!$AT:$AT,Parkki!$Y$13,AS!$K:$K,$X$31,AS!$F:$F,$V$29,AS!$L:$L,$V$30,AS!$AG:$AG,Parkki!$Y$9)+AB149+AF149</f>
        <v>0</v>
      </c>
      <c r="I149" s="387"/>
      <c r="J149" s="387"/>
      <c r="K149" s="387"/>
      <c r="L149" s="387"/>
      <c r="V149" s="148">
        <f>SUMIFS(AS!$W:$W,AS!$BO:$BO,$W$7,AS!$AB:$AB,AS!$AA$1,AS!$AV:$AV,$X$5,AS!$AH:$AH,$Y$8,AS!$BB:$BB,AS!$BA$1,AS!$AX:$AX,X149,AS!$AW:$AW,$Y$6,AS!$X:$X,$Y$5)</f>
        <v>0</v>
      </c>
      <c r="X149" s="629" t="s">
        <v>533</v>
      </c>
      <c r="Z149">
        <f>SUMIFS(AS!$W:$W,AS!$BO:$BO,$W$7,AS!$AB:$AB,AS!$AA$1,AS!$AV:$AV,$X$5,AS!$AH:$AH,$X$8,AS!$BB:$BB,AS!$BA$1,AS!$AX:$AX,Y149,AS!$AW:$AW,$X$32,AS!$X:$X,$Y$5,AS!$AT:$AT,Parkki!$Y$13,AS!$K:$K,$X$31,AS!$F:$F,$V$29,AS!$L:$L,$V$30,AS!$AG:$AG,Parkki!$Y$9)</f>
        <v>0</v>
      </c>
      <c r="AA149">
        <f>SUMIFS(AS!$W:$W,AS!$BO:$BO,$W$7,AS!$AB:$AB,AS!$AA$1,AS!$AV:$AV,$X$5,AS!$I:$I,$X$7,AS!$AH:$AH,$X$8,AS!$BB:$BB,AS!$BA$1,AS!$AX:$AX,Y149,AS!$AW:$AW,$X$32,AS!$X:$X,$Y$5,AS!$AT:$AT,Parkki!$Y$13,AS!$K:$K,$X$31,AS!$F:$F,$V$29,AS!$L:$L,$V$30,AS!$AG:$AG,Parkki!$Y$9)</f>
        <v>0</v>
      </c>
      <c r="AB149">
        <f>SUMIFS(AS!$W:$W,AS!$BO:$BO,$W$7,AS!$AB:$AB,AS!$AA$1,AS!$AV:$AV,$X$5,AS!$I:$I,$Y$7,AS!$AH:$AH,$X$8,AS!$BB:$BB,AS!$BA$1,AS!$AX:$AX,Y149,AS!$AW:$AW,$X$32,AS!$X:$X,$Y$5,AS!$AT:$AT,Parkki!$Y$13,AS!$K:$K,$X$31,AS!$F:$F,$V$29,AS!$L:$L,$V$30,AS!$AG:$AG,Parkki!$Y$9)</f>
        <v>0</v>
      </c>
      <c r="AD149">
        <f>SUMIFS(AS!$W:$W,AS!$BO:$BO,$W$7,AS!$AB:$AB,AS!$AA$1,AS!$AV:$AV,$X$5,AS!$AH:$AH,$X$8,AS!$BB:$BB,AS!$BA$1,AS!$AX:$AX,AC149,AS!$AW:$AW,$X$32,AS!$X:$X,$Y$5,AS!$AT:$AT,Parkki!$Y$13,AS!$K:$K,$X$31,AS!$F:$F,$V$29,AS!$L:$L,$V$30,AS!$AG:$AG,Parkki!$Y$9)</f>
        <v>0</v>
      </c>
      <c r="AE149">
        <f>SUMIFS(AS!$W:$W,AS!$BO:$BO,$W$7,AS!$AB:$AB,AS!$AA$1,AS!$AV:$AV,$X$5,AS!$I:$I,$X$7,AS!$AH:$AH,$X$8,AS!$BB:$BB,AS!$BA$1,AS!$AX:$AX,AC149,AS!$AW:$AW,$X$32,AS!$X:$X,$Y$5,AS!$AT:$AT,Parkki!$Y$13,AS!$K:$K,$X$31,AS!$F:$F,$V$29,AS!$L:$L,$V$30,AS!$AG:$AG,Parkki!$Y$9)</f>
        <v>0</v>
      </c>
      <c r="AF149">
        <f>SUMIFS(AS!$W:$W,AS!$BO:$BO,$W$7,AS!$AB:$AB,AS!$AA$1,AS!$AV:$AV,$X$5,AS!$I:$I,$Y$7,AS!$AH:$AH,$X$8,AS!$BB:$BB,AS!$BA$1,AS!$AX:$AX,AC149,AS!$AW:$AW,$X$32,AS!$X:$X,$Y$5,AS!$AT:$AT,Parkki!$Y$13,AS!$K:$K,$X$31,AS!$F:$F,$V$29,AS!$L:$L,$V$30,AS!$AG:$AG,Parkki!$Y$9)</f>
        <v>0</v>
      </c>
    </row>
    <row r="150" spans="1:36" ht="14.45" customHeight="1" x14ac:dyDescent="0.25">
      <c r="A150" s="796" t="s">
        <v>1368</v>
      </c>
      <c r="B150" s="518" t="s">
        <v>1392</v>
      </c>
      <c r="C150" s="148">
        <f>SUMIFS(AS!$W:$W,AS!$BO:$BO,$W$7,AS!$AB:$AB,AS!$AA$1,AS!$AV:$AV,$X$5,AS!$AH:$AH,$X$8,AS!$BB:$BB,AS!$BA$1,AS!$AX:$AX,X150,AS!$AW:$AW,$X$32,AS!$X:$X,$Y$5,AS!$AT:$AT,Parkki!$Y$13,AS!$K:$K,$X$31,AS!$F:$F,$V$29,AS!$L:$L,$V$30,AS!$AG:$AG,Parkki!$Y$9)+Z150+AD150</f>
        <v>0</v>
      </c>
      <c r="D150" s="552" t="str">
        <f t="shared" si="22"/>
        <v>-</v>
      </c>
      <c r="E150" s="148">
        <f>SUMIFS(AS!$W:$W,AS!$BO:$BO,$W$7,AS!$AB:$AB,AS!$AA$1,AS!$AV:$AV,$X$5,AS!$I:$I,$X$7,AS!$AH:$AH,$X$8,AS!$BB:$BB,AS!$BA$1,AS!$AX:$AX,X150,AS!$AW:$AW,$X$32,AS!$X:$X,$Y$5,AS!$AT:$AT,Parkki!$Y$13,AS!$K:$K,$X$31,AS!$F:$F,$V$29,AS!$L:$L,$V$30,AS!$AG:$AG,Parkki!$Y$9)+AA150+AE150</f>
        <v>0</v>
      </c>
      <c r="F150" s="148">
        <f>SUMIFS(AS!$W:$W,AS!$BO:$BO,$W$7,AS!$AB:$AB,AS!$AA$1,AS!$AV:$AV,$X$5,AS!$I:$I,$Y$7,AS!$AH:$AH,$X$8,AS!$BB:$BB,AS!$BA$1,AS!$AX:$AX,X150,AS!$AW:$AW,$X$32,AS!$X:$X,$Y$5,AS!$AT:$AT,Parkki!$Y$13,AS!$K:$K,$X$31,AS!$F:$F,$V$29,AS!$L:$L,$V$30,AS!$AG:$AG,Parkki!$Y$9)+AB150+AF150</f>
        <v>0</v>
      </c>
      <c r="I150" s="387"/>
      <c r="J150" s="387"/>
      <c r="K150" s="387"/>
      <c r="L150" s="387"/>
      <c r="V150" s="148">
        <f>SUMIFS(AS!$W:$W,AS!$BO:$BO,$W$7,AS!$AB:$AB,AS!$AA$1,AS!$AV:$AV,$X$5,AS!$AH:$AH,$Y$8,AS!$BB:$BB,AS!$BA$1,AS!$AX:$AX,X150,AS!$AW:$AW,$Y$6,AS!$X:$X,$Y$5)</f>
        <v>0</v>
      </c>
      <c r="X150" s="630" t="s">
        <v>1378</v>
      </c>
      <c r="Y150" s="627" t="s">
        <v>923</v>
      </c>
      <c r="Z150">
        <f>SUMIFS(AS!$W:$W,AS!$BO:$BO,$W$7,AS!$AB:$AB,AS!$AA$1,AS!$AV:$AV,$X$5,AS!$AH:$AH,$X$8,AS!$BB:$BB,AS!$BA$1,AS!$AX:$AX,Y150,AS!$AW:$AW,$X$32,AS!$X:$X,$Y$5,AS!$AT:$AT,Parkki!$Y$13,AS!$K:$K,$X$31,AS!$F:$F,$V$29,AS!$L:$L,$V$30,AS!$AG:$AG,Parkki!$Y$9)</f>
        <v>0</v>
      </c>
      <c r="AA150">
        <f>SUMIFS(AS!$W:$W,AS!$BO:$BO,$W$7,AS!$AB:$AB,AS!$AA$1,AS!$AV:$AV,$X$5,AS!$I:$I,$X$7,AS!$AH:$AH,$X$8,AS!$BB:$BB,AS!$BA$1,AS!$AX:$AX,Y150,AS!$AW:$AW,$X$32,AS!$X:$X,$Y$5,AS!$AT:$AT,Parkki!$Y$13,AS!$K:$K,$X$31,AS!$F:$F,$V$29,AS!$L:$L,$V$30,AS!$AG:$AG,Parkki!$Y$9)</f>
        <v>0</v>
      </c>
      <c r="AB150">
        <f>SUMIFS(AS!$W:$W,AS!$BO:$BO,$W$7,AS!$AB:$AB,AS!$AA$1,AS!$AV:$AV,$X$5,AS!$I:$I,$Y$7,AS!$AH:$AH,$X$8,AS!$BB:$BB,AS!$BA$1,AS!$AX:$AX,Y150,AS!$AW:$AW,$X$32,AS!$X:$X,$Y$5,AS!$AT:$AT,Parkki!$Y$13,AS!$K:$K,$X$31,AS!$F:$F,$V$29,AS!$L:$L,$V$30,AS!$AG:$AG,Parkki!$Y$9)</f>
        <v>0</v>
      </c>
      <c r="AD150">
        <f>SUMIFS(AS!$W:$W,AS!$BO:$BO,$W$7,AS!$AB:$AB,AS!$AA$1,AS!$AV:$AV,$X$5,AS!$AH:$AH,$X$8,AS!$BB:$BB,AS!$BA$1,AS!$AX:$AX,AC150,AS!$AW:$AW,$X$32,AS!$X:$X,$Y$5,AS!$AT:$AT,Parkki!$Y$13,AS!$K:$K,$X$31,AS!$F:$F,$V$29,AS!$L:$L,$V$30,AS!$AG:$AG,Parkki!$Y$9)</f>
        <v>0</v>
      </c>
      <c r="AE150">
        <f>SUMIFS(AS!$W:$W,AS!$BO:$BO,$W$7,AS!$AB:$AB,AS!$AA$1,AS!$AV:$AV,$X$5,AS!$I:$I,$X$7,AS!$AH:$AH,$X$8,AS!$BB:$BB,AS!$BA$1,AS!$AX:$AX,AC150,AS!$AW:$AW,$X$32,AS!$X:$X,$Y$5,AS!$AT:$AT,Parkki!$Y$13,AS!$K:$K,$X$31,AS!$F:$F,$V$29,AS!$L:$L,$V$30,AS!$AG:$AG,Parkki!$Y$9)</f>
        <v>0</v>
      </c>
      <c r="AF150">
        <f>SUMIFS(AS!$W:$W,AS!$BO:$BO,$W$7,AS!$AB:$AB,AS!$AA$1,AS!$AV:$AV,$X$5,AS!$I:$I,$Y$7,AS!$AH:$AH,$X$8,AS!$BB:$BB,AS!$BA$1,AS!$AX:$AX,AC150,AS!$AW:$AW,$X$32,AS!$X:$X,$Y$5,AS!$AT:$AT,Parkki!$Y$13,AS!$K:$K,$X$31,AS!$F:$F,$V$29,AS!$L:$L,$V$30,AS!$AG:$AG,Parkki!$Y$9)</f>
        <v>0</v>
      </c>
    </row>
    <row r="151" spans="1:36" x14ac:dyDescent="0.25">
      <c r="A151" s="797"/>
      <c r="B151" s="518" t="s">
        <v>1356</v>
      </c>
      <c r="C151" s="148">
        <f>SUMIFS(AS!$W:$W,AS!$BO:$BO,$W$7,AS!$AB:$AB,AS!$AA$1,AS!$AV:$AV,$X$5,AS!$AH:$AH,$X$8,AS!$BB:$BB,AS!$BA$1,AS!$AX:$AX,X151,AS!$AW:$AW,$X$32,AS!$X:$X,$Y$5,AS!$AT:$AT,Parkki!$Y$13,AS!$K:$K,$X$31,AS!$F:$F,$V$29,AS!$L:$L,$V$30,AS!$AG:$AG,Parkki!$Y$9)+Z151+AD151</f>
        <v>0</v>
      </c>
      <c r="D151" s="552" t="str">
        <f t="shared" si="22"/>
        <v>-</v>
      </c>
      <c r="E151" s="148">
        <f>SUMIFS(AS!$W:$W,AS!$BO:$BO,$W$7,AS!$AB:$AB,AS!$AA$1,AS!$AV:$AV,$X$5,AS!$I:$I,$X$7,AS!$AH:$AH,$X$8,AS!$BB:$BB,AS!$BA$1,AS!$AX:$AX,X151,AS!$AW:$AW,$X$32,AS!$X:$X,$Y$5,AS!$AT:$AT,Parkki!$Y$13,AS!$K:$K,$X$31,AS!$F:$F,$V$29,AS!$L:$L,$V$30,AS!$AG:$AG,Parkki!$Y$9)+AA151+AE151</f>
        <v>0</v>
      </c>
      <c r="F151" s="148">
        <f>SUMIFS(AS!$W:$W,AS!$BO:$BO,$W$7,AS!$AB:$AB,AS!$AA$1,AS!$AV:$AV,$X$5,AS!$I:$I,$Y$7,AS!$AH:$AH,$X$8,AS!$BB:$BB,AS!$BA$1,AS!$AX:$AX,X151,AS!$AW:$AW,$X$32,AS!$X:$X,$Y$5,AS!$AT:$AT,Parkki!$Y$13,AS!$K:$K,$X$31,AS!$F:$F,$V$29,AS!$L:$L,$V$30,AS!$AG:$AG,Parkki!$Y$9)+AB151+AF151</f>
        <v>0</v>
      </c>
      <c r="I151" s="387"/>
      <c r="J151" s="387"/>
      <c r="K151" s="387"/>
      <c r="L151" s="387"/>
      <c r="V151" s="148">
        <f>SUMIFS(AS!$W:$W,AS!$BO:$BO,$W$7,AS!$AB:$AB,AS!$AA$1,AS!$AV:$AV,$X$5,AS!$AH:$AH,$Y$8,AS!$BB:$BB,AS!$BA$1,AS!$AX:$AX,X151,AS!$AW:$AW,$Y$6,AS!$X:$X,$Y$5)</f>
        <v>0</v>
      </c>
      <c r="X151" s="630" t="s">
        <v>1379</v>
      </c>
      <c r="Y151" s="513" t="s">
        <v>525</v>
      </c>
      <c r="Z151">
        <f>SUMIFS(AS!$W:$W,AS!$BO:$BO,$W$7,AS!$AB:$AB,AS!$AA$1,AS!$AV:$AV,$X$5,AS!$AH:$AH,$X$8,AS!$BB:$BB,AS!$BA$1,AS!$AX:$AX,Y151,AS!$AW:$AW,$X$32,AS!$X:$X,$Y$5,AS!$AT:$AT,Parkki!$Y$13,AS!$K:$K,$X$31,AS!$F:$F,$V$29,AS!$L:$L,$V$30,AS!$AG:$AG,Parkki!$Y$9)</f>
        <v>0</v>
      </c>
      <c r="AA151">
        <f>SUMIFS(AS!$W:$W,AS!$BO:$BO,$W$7,AS!$AB:$AB,AS!$AA$1,AS!$AV:$AV,$X$5,AS!$I:$I,$X$7,AS!$AH:$AH,$X$8,AS!$BB:$BB,AS!$BA$1,AS!$AX:$AX,Y151,AS!$AW:$AW,$X$32,AS!$X:$X,$Y$5,AS!$AT:$AT,Parkki!$Y$13,AS!$K:$K,$X$31,AS!$F:$F,$V$29,AS!$L:$L,$V$30,AS!$AG:$AG,Parkki!$Y$9)</f>
        <v>0</v>
      </c>
      <c r="AB151">
        <f>SUMIFS(AS!$W:$W,AS!$BO:$BO,$W$7,AS!$AB:$AB,AS!$AA$1,AS!$AV:$AV,$X$5,AS!$I:$I,$Y$7,AS!$AH:$AH,$X$8,AS!$BB:$BB,AS!$BA$1,AS!$AX:$AX,Y151,AS!$AW:$AW,$X$32,AS!$X:$X,$Y$5,AS!$AT:$AT,Parkki!$Y$13,AS!$K:$K,$X$31,AS!$F:$F,$V$29,AS!$L:$L,$V$30,AS!$AG:$AG,Parkki!$Y$9)</f>
        <v>0</v>
      </c>
      <c r="AC151" s="511" t="s">
        <v>1092</v>
      </c>
      <c r="AD151">
        <f>SUMIFS(AS!$W:$W,AS!$BO:$BO,$W$7,AS!$AB:$AB,AS!$AA$1,AS!$AV:$AV,$X$5,AS!$AH:$AH,$X$8,AS!$BB:$BB,AS!$BA$1,AS!$AX:$AX,AC151,AS!$AW:$AW,$X$32,AS!$X:$X,$Y$5,AS!$AT:$AT,Parkki!$Y$13,AS!$K:$K,$X$31,AS!$F:$F,$V$29,AS!$L:$L,$V$30,AS!$AG:$AG,Parkki!$Y$9)</f>
        <v>0</v>
      </c>
      <c r="AE151">
        <f>SUMIFS(AS!$W:$W,AS!$BO:$BO,$W$7,AS!$AB:$AB,AS!$AA$1,AS!$AV:$AV,$X$5,AS!$I:$I,$X$7,AS!$AH:$AH,$X$8,AS!$BB:$BB,AS!$BA$1,AS!$AX:$AX,AC151,AS!$AW:$AW,$X$32,AS!$X:$X,$Y$5,AS!$AT:$AT,Parkki!$Y$13,AS!$K:$K,$X$31,AS!$F:$F,$V$29,AS!$L:$L,$V$30,AS!$AG:$AG,Parkki!$Y$9)</f>
        <v>0</v>
      </c>
      <c r="AF151">
        <f>SUMIFS(AS!$W:$W,AS!$BO:$BO,$W$7,AS!$AB:$AB,AS!$AA$1,AS!$AV:$AV,$X$5,AS!$I:$I,$Y$7,AS!$AH:$AH,$X$8,AS!$BB:$BB,AS!$BA$1,AS!$AX:$AX,AC151,AS!$AW:$AW,$X$32,AS!$X:$X,$Y$5,AS!$AT:$AT,Parkki!$Y$13,AS!$K:$K,$X$31,AS!$F:$F,$V$29,AS!$L:$L,$V$30,AS!$AG:$AG,Parkki!$Y$9)</f>
        <v>0</v>
      </c>
    </row>
    <row r="152" spans="1:36" x14ac:dyDescent="0.25">
      <c r="A152" s="797"/>
      <c r="B152" s="518" t="s">
        <v>685</v>
      </c>
      <c r="C152" s="148">
        <f>SUMIFS(AS!$W:$W,AS!$BO:$BO,$W$7,AS!$AB:$AB,AS!$AA$1,AS!$AV:$AV,$X$5,AS!$AH:$AH,$X$8,AS!$BB:$BB,AS!$BA$1,AS!$AX:$AX,X152,AS!$AW:$AW,$X$32,AS!$X:$X,$Y$5,AS!$AT:$AT,Parkki!$Y$13,AS!$K:$K,$X$31,AS!$F:$F,$V$29,AS!$L:$L,$V$30,AS!$AG:$AG,Parkki!$Y$9)+Z152+AD152</f>
        <v>0</v>
      </c>
      <c r="D152" s="552" t="str">
        <f t="shared" si="22"/>
        <v>-</v>
      </c>
      <c r="E152" s="148">
        <f>SUMIFS(AS!$W:$W,AS!$BO:$BO,$W$7,AS!$AB:$AB,AS!$AA$1,AS!$AV:$AV,$X$5,AS!$I:$I,$X$7,AS!$AH:$AH,$X$8,AS!$BB:$BB,AS!$BA$1,AS!$AX:$AX,X152,AS!$AW:$AW,$X$32,AS!$X:$X,$Y$5,AS!$AT:$AT,Parkki!$Y$13,AS!$K:$K,$X$31,AS!$F:$F,$V$29,AS!$L:$L,$V$30,AS!$AG:$AG,Parkki!$Y$9)+AA152+AE152</f>
        <v>0</v>
      </c>
      <c r="F152" s="148">
        <f>SUMIFS(AS!$W:$W,AS!$BO:$BO,$W$7,AS!$AB:$AB,AS!$AA$1,AS!$AV:$AV,$X$5,AS!$I:$I,$Y$7,AS!$AH:$AH,$X$8,AS!$BB:$BB,AS!$BA$1,AS!$AX:$AX,X152,AS!$AW:$AW,$X$32,AS!$X:$X,$Y$5,AS!$AT:$AT,Parkki!$Y$13,AS!$K:$K,$X$31,AS!$F:$F,$V$29,AS!$L:$L,$V$30,AS!$AG:$AG,Parkki!$Y$9)+AB152+AF152</f>
        <v>0</v>
      </c>
      <c r="I152" s="387"/>
      <c r="J152" s="387"/>
      <c r="K152" s="387"/>
      <c r="L152" s="387"/>
      <c r="V152" s="148">
        <f>SUMIFS(AS!$W:$W,AS!$BO:$BO,$W$7,AS!$AB:$AB,AS!$AA$1,AS!$AV:$AV,$X$5,AS!$AH:$AH,$Y$8,AS!$BB:$BB,AS!$BA$1,AS!$AX:$AX,X152,AS!$AW:$AW,$Y$6,AS!$X:$X,$Y$5)</f>
        <v>0</v>
      </c>
      <c r="X152" s="427" t="s">
        <v>924</v>
      </c>
      <c r="Z152">
        <f>SUMIFS(AS!$W:$W,AS!$BO:$BO,$W$7,AS!$AB:$AB,AS!$AA$1,AS!$AV:$AV,$X$5,AS!$AH:$AH,$X$8,AS!$BB:$BB,AS!$BA$1,AS!$AX:$AX,Y152,AS!$AW:$AW,$X$32,AS!$X:$X,$Y$5,AS!$AT:$AT,Parkki!$Y$13,AS!$K:$K,$X$31,AS!$F:$F,$V$29,AS!$L:$L,$V$30,AS!$AG:$AG,Parkki!$Y$9)</f>
        <v>0</v>
      </c>
      <c r="AA152">
        <f>SUMIFS(AS!$W:$W,AS!$BO:$BO,$W$7,AS!$AB:$AB,AS!$AA$1,AS!$AV:$AV,$X$5,AS!$I:$I,$X$7,AS!$AH:$AH,$X$8,AS!$BB:$BB,AS!$BA$1,AS!$AX:$AX,Y152,AS!$AW:$AW,$X$32,AS!$X:$X,$Y$5,AS!$AT:$AT,Parkki!$Y$13,AS!$K:$K,$X$31,AS!$F:$F,$V$29,AS!$L:$L,$V$30,AS!$AG:$AG,Parkki!$Y$9)</f>
        <v>0</v>
      </c>
      <c r="AB152">
        <f>SUMIFS(AS!$W:$W,AS!$BO:$BO,$W$7,AS!$AB:$AB,AS!$AA$1,AS!$AV:$AV,$X$5,AS!$I:$I,$Y$7,AS!$AH:$AH,$X$8,AS!$BB:$BB,AS!$BA$1,AS!$AX:$AX,Y152,AS!$AW:$AW,$X$32,AS!$X:$X,$Y$5,AS!$AT:$AT,Parkki!$Y$13,AS!$K:$K,$X$31,AS!$F:$F,$V$29,AS!$L:$L,$V$30,AS!$AG:$AG,Parkki!$Y$9)</f>
        <v>0</v>
      </c>
      <c r="AD152">
        <f>SUMIFS(AS!$W:$W,AS!$BO:$BO,$W$7,AS!$AB:$AB,AS!$AA$1,AS!$AV:$AV,$X$5,AS!$AH:$AH,$X$8,AS!$BB:$BB,AS!$BA$1,AS!$AX:$AX,AC152,AS!$AW:$AW,$X$32,AS!$X:$X,$Y$5,AS!$AT:$AT,Parkki!$Y$13,AS!$K:$K,$X$31,AS!$F:$F,$V$29,AS!$L:$L,$V$30,AS!$AG:$AG,Parkki!$Y$9)</f>
        <v>0</v>
      </c>
      <c r="AE152">
        <f>SUMIFS(AS!$W:$W,AS!$BO:$BO,$W$7,AS!$AB:$AB,AS!$AA$1,AS!$AV:$AV,$X$5,AS!$I:$I,$X$7,AS!$AH:$AH,$X$8,AS!$BB:$BB,AS!$BA$1,AS!$AX:$AX,AC152,AS!$AW:$AW,$X$32,AS!$X:$X,$Y$5,AS!$AT:$AT,Parkki!$Y$13,AS!$K:$K,$X$31,AS!$F:$F,$V$29,AS!$L:$L,$V$30,AS!$AG:$AG,Parkki!$Y$9)</f>
        <v>0</v>
      </c>
      <c r="AF152">
        <f>SUMIFS(AS!$W:$W,AS!$BO:$BO,$W$7,AS!$AB:$AB,AS!$AA$1,AS!$AV:$AV,$X$5,AS!$I:$I,$Y$7,AS!$AH:$AH,$X$8,AS!$BB:$BB,AS!$BA$1,AS!$AX:$AX,AC152,AS!$AW:$AW,$X$32,AS!$X:$X,$Y$5,AS!$AT:$AT,Parkki!$Y$13,AS!$K:$K,$X$31,AS!$F:$F,$V$29,AS!$L:$L,$V$30,AS!$AG:$AG,Parkki!$Y$9)</f>
        <v>0</v>
      </c>
    </row>
    <row r="153" spans="1:36" x14ac:dyDescent="0.25">
      <c r="A153" s="797"/>
      <c r="B153" s="518" t="s">
        <v>686</v>
      </c>
      <c r="C153" s="148">
        <f>SUMIFS(AS!$W:$W,AS!$BO:$BO,$W$7,AS!$AB:$AB,AS!$AA$1,AS!$AV:$AV,$X$5,AS!$AH:$AH,$X$8,AS!$BB:$BB,AS!$BA$1,AS!$AX:$AX,X153,AS!$AW:$AW,$X$32,AS!$X:$X,$Y$5,AS!$AT:$AT,Parkki!$Y$13,AS!$K:$K,$X$31,AS!$F:$F,$V$29,AS!$L:$L,$V$30,AS!$AG:$AG,Parkki!$Y$9)+Z153+AD153</f>
        <v>0</v>
      </c>
      <c r="D153" s="552" t="str">
        <f t="shared" si="22"/>
        <v>-</v>
      </c>
      <c r="E153" s="148">
        <f>SUMIFS(AS!$W:$W,AS!$BO:$BO,$W$7,AS!$AB:$AB,AS!$AA$1,AS!$AV:$AV,$X$5,AS!$I:$I,$X$7,AS!$AH:$AH,$X$8,AS!$BB:$BB,AS!$BA$1,AS!$AX:$AX,X153,AS!$AW:$AW,$X$32,AS!$X:$X,$Y$5,AS!$AT:$AT,Parkki!$Y$13,AS!$K:$K,$X$31,AS!$F:$F,$V$29,AS!$L:$L,$V$30,AS!$AG:$AG,Parkki!$Y$9)+AA153+AE153</f>
        <v>0</v>
      </c>
      <c r="F153" s="148">
        <f>SUMIFS(AS!$W:$W,AS!$BO:$BO,$W$7,AS!$AB:$AB,AS!$AA$1,AS!$AV:$AV,$X$5,AS!$I:$I,$Y$7,AS!$AH:$AH,$X$8,AS!$BB:$BB,AS!$BA$1,AS!$AX:$AX,X153,AS!$AW:$AW,$X$32,AS!$X:$X,$Y$5,AS!$AT:$AT,Parkki!$Y$13,AS!$K:$K,$X$31,AS!$F:$F,$V$29,AS!$L:$L,$V$30,AS!$AG:$AG,Parkki!$Y$9)+AB153+AF153</f>
        <v>0</v>
      </c>
      <c r="V153" s="148">
        <f>SUMIFS(AS!$W:$W,AS!$BO:$BO,$W$7,AS!$AB:$AB,AS!$AA$1,AS!$AV:$AV,$X$5,AS!$AH:$AH,$Y$8,AS!$BB:$BB,AS!$BA$1,AS!$AX:$AX,X153,AS!$AW:$AW,$Y$6,AS!$X:$X,$Y$5)</f>
        <v>0</v>
      </c>
      <c r="X153" s="385" t="s">
        <v>526</v>
      </c>
      <c r="Y153" s="385" t="s">
        <v>1508</v>
      </c>
      <c r="Z153">
        <f>SUMIFS(AS!$W:$W,AS!$BO:$BO,$W$7,AS!$AB:$AB,AS!$AA$1,AS!$AV:$AV,$X$5,AS!$AH:$AH,$X$8,AS!$BB:$BB,AS!$BA$1,AS!$AX:$AX,Y153,AS!$AW:$AW,$X$32,AS!$X:$X,$Y$5,AS!$AT:$AT,Parkki!$Y$13,AS!$K:$K,$X$31,AS!$F:$F,$V$29,AS!$L:$L,$V$30,AS!$AG:$AG,Parkki!$Y$9)</f>
        <v>0</v>
      </c>
      <c r="AA153">
        <f>SUMIFS(AS!$W:$W,AS!$BO:$BO,$W$7,AS!$AB:$AB,AS!$AA$1,AS!$AV:$AV,$X$5,AS!$I:$I,$X$7,AS!$AH:$AH,$X$8,AS!$BB:$BB,AS!$BA$1,AS!$AX:$AX,Y153,AS!$AW:$AW,$X$32,AS!$X:$X,$Y$5,AS!$AT:$AT,Parkki!$Y$13,AS!$K:$K,$X$31,AS!$F:$F,$V$29,AS!$L:$L,$V$30,AS!$AG:$AG,Parkki!$Y$9)</f>
        <v>0</v>
      </c>
      <c r="AB153">
        <f>SUMIFS(AS!$W:$W,AS!$BO:$BO,$W$7,AS!$AB:$AB,AS!$AA$1,AS!$AV:$AV,$X$5,AS!$I:$I,$Y$7,AS!$AH:$AH,$X$8,AS!$BB:$BB,AS!$BA$1,AS!$AX:$AX,Y153,AS!$AW:$AW,$X$32,AS!$X:$X,$Y$5,AS!$AT:$AT,Parkki!$Y$13,AS!$K:$K,$X$31,AS!$F:$F,$V$29,AS!$L:$L,$V$30,AS!$AG:$AG,Parkki!$Y$9)</f>
        <v>0</v>
      </c>
      <c r="AD153">
        <f>SUMIFS(AS!$W:$W,AS!$BO:$BO,$W$7,AS!$AB:$AB,AS!$AA$1,AS!$AV:$AV,$X$5,AS!$AH:$AH,$X$8,AS!$BB:$BB,AS!$BA$1,AS!$AX:$AX,AC153,AS!$AW:$AW,$X$32,AS!$X:$X,$Y$5,AS!$AT:$AT,Parkki!$Y$13,AS!$K:$K,$X$31,AS!$F:$F,$V$29,AS!$L:$L,$V$30,AS!$AG:$AG,Parkki!$Y$9)</f>
        <v>0</v>
      </c>
      <c r="AE153">
        <f>SUMIFS(AS!$W:$W,AS!$BO:$BO,$W$7,AS!$AB:$AB,AS!$AA$1,AS!$AV:$AV,$X$5,AS!$I:$I,$X$7,AS!$AH:$AH,$X$8,AS!$BB:$BB,AS!$BA$1,AS!$AX:$AX,AC153,AS!$AW:$AW,$X$32,AS!$X:$X,$Y$5,AS!$AT:$AT,Parkki!$Y$13,AS!$K:$K,$X$31,AS!$F:$F,$V$29,AS!$L:$L,$V$30,AS!$AG:$AG,Parkki!$Y$9)</f>
        <v>0</v>
      </c>
      <c r="AF153">
        <f>SUMIFS(AS!$W:$W,AS!$BO:$BO,$W$7,AS!$AB:$AB,AS!$AA$1,AS!$AV:$AV,$X$5,AS!$I:$I,$Y$7,AS!$AH:$AH,$X$8,AS!$BB:$BB,AS!$BA$1,AS!$AX:$AX,AC153,AS!$AW:$AW,$X$32,AS!$X:$X,$Y$5,AS!$AT:$AT,Parkki!$Y$13,AS!$K:$K,$X$31,AS!$F:$F,$V$29,AS!$L:$L,$V$30,AS!$AG:$AG,Parkki!$Y$9)</f>
        <v>0</v>
      </c>
    </row>
    <row r="154" spans="1:36" x14ac:dyDescent="0.25">
      <c r="A154" s="797"/>
      <c r="B154" s="518" t="s">
        <v>1305</v>
      </c>
      <c r="C154" s="148">
        <f>SUMIFS(AS!$W:$W,AS!$BO:$BO,$W$7,AS!$AB:$AB,AS!$AA$1,AS!$AV:$AV,$X$5,AS!$AH:$AH,$X$8,AS!$BB:$BB,AS!$BA$1,AS!$AX:$AX,X154,AS!$AW:$AW,$X$32,AS!$X:$X,$Y$5,AS!$AT:$AT,Parkki!$Y$13,AS!$K:$K,$X$31,AS!$F:$F,$V$29,AS!$L:$L,$V$30,AS!$AG:$AG,Parkki!$Y$9)+Z154+AD154</f>
        <v>0</v>
      </c>
      <c r="D154" s="552" t="str">
        <f t="shared" si="22"/>
        <v>-</v>
      </c>
      <c r="E154" s="148">
        <f>SUMIFS(AS!$W:$W,AS!$BO:$BO,$W$7,AS!$AB:$AB,AS!$AA$1,AS!$AV:$AV,$X$5,AS!$I:$I,$X$7,AS!$AH:$AH,$X$8,AS!$BB:$BB,AS!$BA$1,AS!$AX:$AX,X154,AS!$AW:$AW,$X$32,AS!$X:$X,$Y$5,AS!$AT:$AT,Parkki!$Y$13,AS!$K:$K,$X$31,AS!$F:$F,$V$29,AS!$L:$L,$V$30,AS!$AG:$AG,Parkki!$Y$9)+AA154+AE154</f>
        <v>0</v>
      </c>
      <c r="F154" s="148">
        <f>SUMIFS(AS!$W:$W,AS!$BO:$BO,$W$7,AS!$AB:$AB,AS!$AA$1,AS!$AV:$AV,$X$5,AS!$I:$I,$Y$7,AS!$AH:$AH,$X$8,AS!$BB:$BB,AS!$BA$1,AS!$AX:$AX,X154,AS!$AW:$AW,$X$32,AS!$X:$X,$Y$5,AS!$AT:$AT,Parkki!$Y$13,AS!$K:$K,$X$31,AS!$F:$F,$V$29,AS!$L:$L,$V$30,AS!$AG:$AG,Parkki!$Y$9)+AB154+AF154</f>
        <v>0</v>
      </c>
      <c r="V154" s="148">
        <f>SUMIFS(AS!$W:$W,AS!$BO:$BO,$W$7,AS!$AB:$AB,AS!$AA$1,AS!$AV:$AV,$X$5,AS!$AH:$AH,$Y$8,AS!$BB:$BB,AS!$BA$1,AS!$AX:$AX,X154,AS!$AW:$AW,$Y$6,AS!$X:$X,$Y$5)</f>
        <v>0</v>
      </c>
      <c r="X154" s="630" t="s">
        <v>1380</v>
      </c>
    </row>
    <row r="155" spans="1:36" x14ac:dyDescent="0.25">
      <c r="A155" s="798"/>
      <c r="B155" s="518" t="s">
        <v>1369</v>
      </c>
      <c r="C155" s="148">
        <f>SUMIFS(AS!$W:$W,AS!$BO:$BO,$W$7,AS!$AB:$AB,AS!$AA$1,AS!$AV:$AV,$X$5,AS!$AH:$AH,$X$8,AS!$BB:$BB,AS!$BA$1,AS!$AX:$AX,X155,AS!$AW:$AW,$X$32,AS!$X:$X,$Y$5,AS!$AT:$AT,Parkki!$Y$13,AS!$K:$K,$X$31,AS!$F:$F,$V$29,AS!$L:$L,$V$30,AS!$AG:$AG,Parkki!$Y$9)+Z155+AD155</f>
        <v>0</v>
      </c>
      <c r="D155" s="552" t="str">
        <f t="shared" ref="D155:D176" si="23">IFERROR(C155/$C$177,"-")</f>
        <v>-</v>
      </c>
      <c r="E155" s="148">
        <f>SUMIFS(AS!$W:$W,AS!$BO:$BO,$W$7,AS!$AB:$AB,AS!$AA$1,AS!$AV:$AV,$X$5,AS!$I:$I,$X$7,AS!$AH:$AH,$X$8,AS!$BB:$BB,AS!$BA$1,AS!$AX:$AX,X155,AS!$AW:$AW,$X$32,AS!$X:$X,$Y$5,AS!$AT:$AT,Parkki!$Y$13,AS!$K:$K,$X$31,AS!$F:$F,$V$29,AS!$L:$L,$V$30,AS!$AG:$AG,Parkki!$Y$9)+AA155+AE155</f>
        <v>0</v>
      </c>
      <c r="F155" s="148">
        <f>SUMIFS(AS!$W:$W,AS!$BO:$BO,$W$7,AS!$AB:$AB,AS!$AA$1,AS!$AV:$AV,$X$5,AS!$I:$I,$Y$7,AS!$AH:$AH,$X$8,AS!$BB:$BB,AS!$BA$1,AS!$AX:$AX,X155,AS!$AW:$AW,$X$32,AS!$X:$X,$Y$5,AS!$AT:$AT,Parkki!$Y$13,AS!$K:$K,$X$31,AS!$F:$F,$V$29,AS!$L:$L,$V$30,AS!$AG:$AG,Parkki!$Y$9)+AB155+AF155</f>
        <v>0</v>
      </c>
      <c r="I155" s="387"/>
      <c r="J155" s="387"/>
      <c r="K155" s="387"/>
      <c r="L155" s="387"/>
      <c r="V155" s="148">
        <f>SUMIFS(AS!$W:$W,AS!$BO:$BO,$W$7,AS!$AB:$AB,AS!$AA$1,AS!$AV:$AV,$X$5,AS!$AH:$AH,$Y$8,AS!$BB:$BB,AS!$BA$1,AS!$AX:$AX,X155,AS!$AW:$AW,$Y$6,AS!$X:$X,$Y$5)</f>
        <v>0</v>
      </c>
      <c r="X155" s="635" t="s">
        <v>1468</v>
      </c>
      <c r="Y155" s="627" t="s">
        <v>1094</v>
      </c>
      <c r="Z155">
        <f>SUMIFS(AS!$W:$W,AS!$BO:$BO,$W$7,AS!$AB:$AB,AS!$AA$1,AS!$AV:$AV,$X$5,AS!$AH:$AH,$X$8,AS!$BB:$BB,AS!$BA$1,AS!$AX:$AX,Y155,AS!$AW:$AW,$X$32,AS!$X:$X,$Y$5,AS!$AT:$AT,Parkki!$Y$13,AS!$K:$K,$X$31,AS!$F:$F,$V$29,AS!$L:$L,$V$30,AS!$AG:$AG,Parkki!$Y$9)</f>
        <v>0</v>
      </c>
      <c r="AA155">
        <f>SUMIFS(AS!$W:$W,AS!$BO:$BO,$W$7,AS!$AB:$AB,AS!$AA$1,AS!$AV:$AV,$X$5,AS!$I:$I,$X$7,AS!$AH:$AH,$X$8,AS!$BB:$BB,AS!$BA$1,AS!$AX:$AX,Y155,AS!$AW:$AW,$X$32,AS!$X:$X,$Y$5,AS!$AT:$AT,Parkki!$Y$13,AS!$K:$K,$X$31,AS!$F:$F,$V$29,AS!$L:$L,$V$30,AS!$AG:$AG,Parkki!$Y$9)</f>
        <v>0</v>
      </c>
      <c r="AB155">
        <f>SUMIFS(AS!$W:$W,AS!$BO:$BO,$W$7,AS!$AB:$AB,AS!$AA$1,AS!$AV:$AV,$X$5,AS!$I:$I,$Y$7,AS!$AH:$AH,$X$8,AS!$BB:$BB,AS!$BA$1,AS!$AX:$AX,Y155,AS!$AW:$AW,$X$32,AS!$X:$X,$Y$5,AS!$AT:$AT,Parkki!$Y$13,AS!$K:$K,$X$31,AS!$F:$F,$V$29,AS!$L:$L,$V$30,AS!$AG:$AG,Parkki!$Y$9)</f>
        <v>0</v>
      </c>
      <c r="AD155">
        <f>SUMIFS(AS!$W:$W,AS!$BO:$BO,$W$7,AS!$AB:$AB,AS!$AA$1,AS!$AV:$AV,$X$5,AS!$AH:$AH,$X$8,AS!$BB:$BB,AS!$BA$1,AS!$AX:$AX,AC155,AS!$AW:$AW,$X$32,AS!$X:$X,$Y$5,AS!$AT:$AT,Parkki!$Y$13,AS!$K:$K,$X$31,AS!$F:$F,$V$29,AS!$L:$L,$V$30,AS!$AG:$AG,Parkki!$Y$9)</f>
        <v>0</v>
      </c>
      <c r="AE155">
        <f>SUMIFS(AS!$W:$W,AS!$BO:$BO,$W$7,AS!$AB:$AB,AS!$AA$1,AS!$AV:$AV,$X$5,AS!$I:$I,$X$7,AS!$AH:$AH,$X$8,AS!$BB:$BB,AS!$BA$1,AS!$AX:$AX,AC155,AS!$AW:$AW,$X$32,AS!$X:$X,$Y$5,AS!$AT:$AT,Parkki!$Y$13,AS!$K:$K,$X$31,AS!$F:$F,$V$29,AS!$L:$L,$V$30,AS!$AG:$AG,Parkki!$Y$9)</f>
        <v>0</v>
      </c>
      <c r="AF155">
        <f>SUMIFS(AS!$W:$W,AS!$BO:$BO,$W$7,AS!$AB:$AB,AS!$AA$1,AS!$AV:$AV,$X$5,AS!$I:$I,$Y$7,AS!$AH:$AH,$X$8,AS!$BB:$BB,AS!$BA$1,AS!$AX:$AX,AC155,AS!$AW:$AW,$X$32,AS!$X:$X,$Y$5,AS!$AT:$AT,Parkki!$Y$13,AS!$K:$K,$X$31,AS!$F:$F,$V$29,AS!$L:$L,$V$30,AS!$AG:$AG,Parkki!$Y$9)</f>
        <v>0</v>
      </c>
    </row>
    <row r="156" spans="1:36" x14ac:dyDescent="0.25">
      <c r="A156" s="796" t="s">
        <v>1370</v>
      </c>
      <c r="B156" s="518" t="s">
        <v>687</v>
      </c>
      <c r="C156" s="148">
        <f>SUMIFS(AS!$W:$W,AS!$BO:$BO,$W$7,AS!$AB:$AB,AS!$AA$1,AS!$AV:$AV,$X$5,AS!$AH:$AH,$X$8,AS!$BB:$BB,AS!$BA$1,AS!$AX:$AX,X156,AS!$AW:$AW,$X$32,AS!$X:$X,$Y$5,AS!$AT:$AT,Parkki!$Y$13,AS!$K:$K,$X$31,AS!$F:$F,$V$29,AS!$L:$L,$V$30,AS!$AG:$AG,Parkki!$Y$9)+Z156+AD156</f>
        <v>0</v>
      </c>
      <c r="D156" s="552" t="str">
        <f t="shared" si="23"/>
        <v>-</v>
      </c>
      <c r="E156" s="148">
        <f>SUMIFS(AS!$W:$W,AS!$BO:$BO,$W$7,AS!$AB:$AB,AS!$AA$1,AS!$AV:$AV,$X$5,AS!$I:$I,$X$7,AS!$AH:$AH,$X$8,AS!$BB:$BB,AS!$BA$1,AS!$AX:$AX,X156,AS!$AW:$AW,$X$32,AS!$X:$X,$Y$5,AS!$AT:$AT,Parkki!$Y$13,AS!$K:$K,$X$31,AS!$F:$F,$V$29,AS!$L:$L,$V$30,AS!$AG:$AG,Parkki!$Y$9)+AA156+AE156</f>
        <v>0</v>
      </c>
      <c r="F156" s="148">
        <f>SUMIFS(AS!$W:$W,AS!$BO:$BO,$W$7,AS!$AB:$AB,AS!$AA$1,AS!$AV:$AV,$X$5,AS!$I:$I,$Y$7,AS!$AH:$AH,$X$8,AS!$BB:$BB,AS!$BA$1,AS!$AX:$AX,X156,AS!$AW:$AW,$X$32,AS!$X:$X,$Y$5,AS!$AT:$AT,Parkki!$Y$13,AS!$K:$K,$X$31,AS!$F:$F,$V$29,AS!$L:$L,$V$30,AS!$AG:$AG,Parkki!$Y$9)+AB156+AF156</f>
        <v>0</v>
      </c>
      <c r="I156" s="387"/>
      <c r="J156" s="387"/>
      <c r="K156" s="387"/>
      <c r="L156" s="387"/>
      <c r="V156" s="148">
        <f>SUMIFS(AS!$W:$W,AS!$BO:$BO,$W$7,AS!$AB:$AB,AS!$AA$1,AS!$AV:$AV,$X$5,AS!$AH:$AH,$Y$8,AS!$BB:$BB,AS!$BA$1,AS!$AX:$AX,X156,AS!$AW:$AW,$Y$6,AS!$X:$X,$Y$5)</f>
        <v>0</v>
      </c>
      <c r="X156" s="629" t="s">
        <v>529</v>
      </c>
      <c r="Y156" s="627" t="s">
        <v>535</v>
      </c>
      <c r="Z156">
        <f>SUMIFS(AS!$W:$W,AS!$BO:$BO,$W$7,AS!$AB:$AB,AS!$AA$1,AS!$AV:$AV,$X$5,AS!$AH:$AH,$X$8,AS!$BB:$BB,AS!$BA$1,AS!$AX:$AX,Y156,AS!$AW:$AW,$X$32,AS!$X:$X,$Y$5,AS!$AT:$AT,Parkki!$Y$13,AS!$K:$K,$X$31,AS!$F:$F,$V$29,AS!$L:$L,$V$30,AS!$AG:$AG,Parkki!$Y$9)</f>
        <v>0</v>
      </c>
      <c r="AA156">
        <f>SUMIFS(AS!$W:$W,AS!$BO:$BO,$W$7,AS!$AB:$AB,AS!$AA$1,AS!$AV:$AV,$X$5,AS!$I:$I,$X$7,AS!$AH:$AH,$X$8,AS!$BB:$BB,AS!$BA$1,AS!$AX:$AX,Y156,AS!$AW:$AW,$X$32,AS!$X:$X,$Y$5,AS!$AT:$AT,Parkki!$Y$13,AS!$K:$K,$X$31,AS!$F:$F,$V$29,AS!$L:$L,$V$30,AS!$AG:$AG,Parkki!$Y$9)</f>
        <v>0</v>
      </c>
      <c r="AB156">
        <f>SUMIFS(AS!$W:$W,AS!$BO:$BO,$W$7,AS!$AB:$AB,AS!$AA$1,AS!$AV:$AV,$X$5,AS!$I:$I,$Y$7,AS!$AH:$AH,$X$8,AS!$BB:$BB,AS!$BA$1,AS!$AX:$AX,Y156,AS!$AW:$AW,$X$32,AS!$X:$X,$Y$5,AS!$AT:$AT,Parkki!$Y$13,AS!$K:$K,$X$31,AS!$F:$F,$V$29,AS!$L:$L,$V$30,AS!$AG:$AG,Parkki!$Y$9)</f>
        <v>0</v>
      </c>
      <c r="AD156">
        <f>SUMIFS(AS!$W:$W,AS!$BO:$BO,$W$7,AS!$AB:$AB,AS!$AA$1,AS!$AV:$AV,$X$5,AS!$AH:$AH,$X$8,AS!$BB:$BB,AS!$BA$1,AS!$AX:$AX,AC156,AS!$AW:$AW,$X$32,AS!$X:$X,$Y$5,AS!$AT:$AT,Parkki!$Y$13,AS!$K:$K,$X$31,AS!$F:$F,$V$29,AS!$L:$L,$V$30,AS!$AG:$AG,Parkki!$Y$9)</f>
        <v>0</v>
      </c>
      <c r="AE156">
        <f>SUMIFS(AS!$W:$W,AS!$BO:$BO,$W$7,AS!$AB:$AB,AS!$AA$1,AS!$AV:$AV,$X$5,AS!$I:$I,$X$7,AS!$AH:$AH,$X$8,AS!$BB:$BB,AS!$BA$1,AS!$AX:$AX,AC156,AS!$AW:$AW,$X$32,AS!$X:$X,$Y$5,AS!$AT:$AT,Parkki!$Y$13,AS!$K:$K,$X$31,AS!$F:$F,$V$29,AS!$L:$L,$V$30,AS!$AG:$AG,Parkki!$Y$9)</f>
        <v>0</v>
      </c>
      <c r="AF156">
        <f>SUMIFS(AS!$W:$W,AS!$BO:$BO,$W$7,AS!$AB:$AB,AS!$AA$1,AS!$AV:$AV,$X$5,AS!$I:$I,$Y$7,AS!$AH:$AH,$X$8,AS!$BB:$BB,AS!$BA$1,AS!$AX:$AX,AC156,AS!$AW:$AW,$X$32,AS!$X:$X,$Y$5,AS!$AT:$AT,Parkki!$Y$13,AS!$K:$K,$X$31,AS!$F:$F,$V$29,AS!$L:$L,$V$30,AS!$AG:$AG,Parkki!$Y$9)</f>
        <v>0</v>
      </c>
    </row>
    <row r="157" spans="1:36" x14ac:dyDescent="0.25">
      <c r="A157" s="797"/>
      <c r="B157" s="528" t="s">
        <v>1386</v>
      </c>
      <c r="C157" s="148">
        <f>SUMIFS(AS!$W:$W,AS!$BO:$BO,$W$7,AS!$AB:$AB,AS!$AA$1,AS!$AV:$AV,$X$5,AS!$AH:$AH,$X$8,AS!$BB:$BB,AS!$BA$1,AS!$AX:$AX,X157,AS!$AW:$AW,$X$32,AS!$X:$X,$Y$5,AS!$AT:$AT,Parkki!$Y$13,AS!$K:$K,$X$31,AS!$F:$F,$V$29,AS!$L:$L,$V$30,AS!$AG:$AG,Parkki!$Y$9)+Z157+AD157</f>
        <v>0</v>
      </c>
      <c r="D157" s="552" t="str">
        <f t="shared" si="23"/>
        <v>-</v>
      </c>
      <c r="E157" s="148">
        <f>SUMIFS(AS!$W:$W,AS!$BO:$BO,$W$7,AS!$AB:$AB,AS!$AA$1,AS!$AV:$AV,$X$5,AS!$I:$I,$X$7,AS!$AH:$AH,$X$8,AS!$BB:$BB,AS!$BA$1,AS!$AX:$AX,X157,AS!$AW:$AW,$X$32,AS!$X:$X,$Y$5,AS!$AT:$AT,Parkki!$Y$13,AS!$K:$K,$X$31,AS!$F:$F,$V$29,AS!$L:$L,$V$30,AS!$AG:$AG,Parkki!$Y$9)+AA157+AE157</f>
        <v>0</v>
      </c>
      <c r="F157" s="148">
        <f>SUMIFS(AS!$W:$W,AS!$BO:$BO,$W$7,AS!$AB:$AB,AS!$AA$1,AS!$AV:$AV,$X$5,AS!$I:$I,$Y$7,AS!$AH:$AH,$X$8,AS!$BB:$BB,AS!$BA$1,AS!$AX:$AX,X157,AS!$AW:$AW,$X$32,AS!$X:$X,$Y$5,AS!$AT:$AT,Parkki!$Y$13,AS!$K:$K,$X$31,AS!$F:$F,$V$29,AS!$L:$L,$V$30,AS!$AG:$AG,Parkki!$Y$9)+AB157+AF157</f>
        <v>0</v>
      </c>
      <c r="I157" s="387"/>
      <c r="J157" s="387"/>
      <c r="K157" s="387"/>
      <c r="L157" s="387"/>
      <c r="V157" s="148">
        <f>SUMIFS(AS!$W:$W,AS!$BO:$BO,$W$7,AS!$AB:$AB,AS!$AA$1,AS!$AV:$AV,$X$5,AS!$AH:$AH,$Y$8,AS!$BB:$BB,AS!$BA$1,AS!$AX:$AX,X157,AS!$AW:$AW,$Y$6,AS!$X:$X,$Y$5)</f>
        <v>0</v>
      </c>
      <c r="X157" s="635" t="s">
        <v>1095</v>
      </c>
      <c r="Y157" s="627"/>
      <c r="Z157">
        <f>SUMIFS(AS!$W:$W,AS!$BO:$BO,$W$7,AS!$AB:$AB,AS!$AA$1,AS!$AV:$AV,$X$5,AS!$AH:$AH,$X$8,AS!$BB:$BB,AS!$BA$1,AS!$AX:$AX,Y157,AS!$AW:$AW,$X$32,AS!$X:$X,$Y$5,AS!$AT:$AT,Parkki!$Y$13,AS!$K:$K,$X$31,AS!$F:$F,$V$29,AS!$L:$L,$V$30,AS!$AG:$AG,Parkki!$Y$9)</f>
        <v>0</v>
      </c>
      <c r="AA157">
        <f>SUMIFS(AS!$W:$W,AS!$BO:$BO,$W$7,AS!$AB:$AB,AS!$AA$1,AS!$AV:$AV,$X$5,AS!$I:$I,$X$7,AS!$AH:$AH,$X$8,AS!$BB:$BB,AS!$BA$1,AS!$AX:$AX,Y157,AS!$AW:$AW,$X$32,AS!$X:$X,$Y$5,AS!$AT:$AT,Parkki!$Y$13,AS!$K:$K,$X$31,AS!$F:$F,$V$29,AS!$L:$L,$V$30,AS!$AG:$AG,Parkki!$Y$9)</f>
        <v>0</v>
      </c>
      <c r="AB157">
        <f>SUMIFS(AS!$W:$W,AS!$BO:$BO,$W$7,AS!$AB:$AB,AS!$AA$1,AS!$AV:$AV,$X$5,AS!$I:$I,$Y$7,AS!$AH:$AH,$X$8,AS!$BB:$BB,AS!$BA$1,AS!$AX:$AX,Y157,AS!$AW:$AW,$X$32,AS!$X:$X,$Y$5,AS!$AT:$AT,Parkki!$Y$13,AS!$K:$K,$X$31,AS!$F:$F,$V$29,AS!$L:$L,$V$30,AS!$AG:$AG,Parkki!$Y$9)</f>
        <v>0</v>
      </c>
      <c r="AD157">
        <f>SUMIFS(AS!$W:$W,AS!$BO:$BO,$W$7,AS!$AB:$AB,AS!$AA$1,AS!$AV:$AV,$X$5,AS!$AH:$AH,$X$8,AS!$BB:$BB,AS!$BA$1,AS!$AX:$AX,AC157,AS!$AW:$AW,$X$32,AS!$X:$X,$Y$5,AS!$AT:$AT,Parkki!$Y$13,AS!$K:$K,$X$31,AS!$F:$F,$V$29,AS!$L:$L,$V$30,AS!$AG:$AG,Parkki!$Y$9)</f>
        <v>0</v>
      </c>
      <c r="AE157">
        <f>SUMIFS(AS!$W:$W,AS!$BO:$BO,$W$7,AS!$AB:$AB,AS!$AA$1,AS!$AV:$AV,$X$5,AS!$I:$I,$X$7,AS!$AH:$AH,$X$8,AS!$BB:$BB,AS!$BA$1,AS!$AX:$AX,AC157,AS!$AW:$AW,$X$32,AS!$X:$X,$Y$5,AS!$AT:$AT,Parkki!$Y$13,AS!$K:$K,$X$31,AS!$F:$F,$V$29,AS!$L:$L,$V$30,AS!$AG:$AG,Parkki!$Y$9)</f>
        <v>0</v>
      </c>
      <c r="AF157">
        <f>SUMIFS(AS!$W:$W,AS!$BO:$BO,$W$7,AS!$AB:$AB,AS!$AA$1,AS!$AV:$AV,$X$5,AS!$I:$I,$Y$7,AS!$AH:$AH,$X$8,AS!$BB:$BB,AS!$BA$1,AS!$AX:$AX,AC157,AS!$AW:$AW,$X$32,AS!$X:$X,$Y$5,AS!$AT:$AT,Parkki!$Y$13,AS!$K:$K,$X$31,AS!$F:$F,$V$29,AS!$L:$L,$V$30,AS!$AG:$AG,Parkki!$Y$9)</f>
        <v>0</v>
      </c>
    </row>
    <row r="158" spans="1:36" x14ac:dyDescent="0.25">
      <c r="A158" s="797"/>
      <c r="B158" s="518" t="s">
        <v>1090</v>
      </c>
      <c r="C158" s="148">
        <f>SUMIFS(AS!$W:$W,AS!$BO:$BO,$W$7,AS!$AB:$AB,AS!$AA$1,AS!$AV:$AV,$X$5,AS!$AH:$AH,$X$8,AS!$BB:$BB,AS!$BA$1,AS!$AX:$AX,X158,AS!$AW:$AW,$X$32,AS!$X:$X,$Y$5,AS!$AT:$AT,Parkki!$Y$13,AS!$K:$K,$X$31,AS!$F:$F,$V$29,AS!$L:$L,$V$30,AS!$AG:$AG,Parkki!$Y$9)+Z158+AD158</f>
        <v>0</v>
      </c>
      <c r="D158" s="552" t="str">
        <f t="shared" si="23"/>
        <v>-</v>
      </c>
      <c r="E158" s="148">
        <f>SUMIFS(AS!$W:$W,AS!$BO:$BO,$W$7,AS!$AB:$AB,AS!$AA$1,AS!$AV:$AV,$X$5,AS!$I:$I,$X$7,AS!$AH:$AH,$X$8,AS!$BB:$BB,AS!$BA$1,AS!$AX:$AX,X158,AS!$AW:$AW,$X$32,AS!$X:$X,$Y$5,AS!$AT:$AT,Parkki!$Y$13,AS!$K:$K,$X$31,AS!$F:$F,$V$29,AS!$L:$L,$V$30,AS!$AG:$AG,Parkki!$Y$9)+AA158+AE158</f>
        <v>0</v>
      </c>
      <c r="F158" s="148">
        <f>SUMIFS(AS!$W:$W,AS!$BO:$BO,$W$7,AS!$AB:$AB,AS!$AA$1,AS!$AV:$AV,$X$5,AS!$I:$I,$Y$7,AS!$AH:$AH,$X$8,AS!$BB:$BB,AS!$BA$1,AS!$AX:$AX,X158,AS!$AW:$AW,$X$32,AS!$X:$X,$Y$5,AS!$AT:$AT,Parkki!$Y$13,AS!$K:$K,$X$31,AS!$F:$F,$V$29,AS!$L:$L,$V$30,AS!$AG:$AG,Parkki!$Y$9)+AB158+AF158</f>
        <v>0</v>
      </c>
      <c r="I158" s="387"/>
      <c r="J158" s="387"/>
      <c r="K158" s="387"/>
      <c r="L158" s="387"/>
      <c r="V158" s="148">
        <f>SUMIFS(AS!$W:$W,AS!$BO:$BO,$W$7,AS!$AB:$AB,AS!$AA$1,AS!$AV:$AV,$X$5,AS!$AH:$AH,$Y$8,AS!$BB:$BB,AS!$BA$1,AS!$AX:$AX,X158,AS!$AW:$AW,$Y$6,AS!$X:$X,$Y$5)</f>
        <v>0</v>
      </c>
      <c r="X158" s="635" t="s">
        <v>1096</v>
      </c>
      <c r="Y158" s="627" t="s">
        <v>925</v>
      </c>
      <c r="Z158">
        <f>SUMIFS(AS!$W:$W,AS!$BO:$BO,$W$7,AS!$AB:$AB,AS!$AA$1,AS!$AV:$AV,$X$5,AS!$AH:$AH,$X$8,AS!$BB:$BB,AS!$BA$1,AS!$AX:$AX,Y158,AS!$AW:$AW,$X$32,AS!$X:$X,$Y$5,AS!$AT:$AT,Parkki!$Y$13,AS!$K:$K,$X$31,AS!$F:$F,$V$29,AS!$L:$L,$V$30,AS!$AG:$AG,Parkki!$Y$9)</f>
        <v>0</v>
      </c>
      <c r="AA158">
        <f>SUMIFS(AS!$W:$W,AS!$BO:$BO,$W$7,AS!$AB:$AB,AS!$AA$1,AS!$AV:$AV,$X$5,AS!$I:$I,$X$7,AS!$AH:$AH,$X$8,AS!$BB:$BB,AS!$BA$1,AS!$AX:$AX,Y158,AS!$AW:$AW,$X$32,AS!$X:$X,$Y$5,AS!$AT:$AT,Parkki!$Y$13,AS!$K:$K,$X$31,AS!$F:$F,$V$29,AS!$L:$L,$V$30,AS!$AG:$AG,Parkki!$Y$9)</f>
        <v>0</v>
      </c>
      <c r="AB158">
        <f>SUMIFS(AS!$W:$W,AS!$BO:$BO,$W$7,AS!$AB:$AB,AS!$AA$1,AS!$AV:$AV,$X$5,AS!$I:$I,$Y$7,AS!$AH:$AH,$X$8,AS!$BB:$BB,AS!$BA$1,AS!$AX:$AX,Y158,AS!$AW:$AW,$X$32,AS!$X:$X,$Y$5,AS!$AT:$AT,Parkki!$Y$13,AS!$K:$K,$X$31,AS!$F:$F,$V$29,AS!$L:$L,$V$30,AS!$AG:$AG,Parkki!$Y$9)</f>
        <v>0</v>
      </c>
      <c r="AD158">
        <f>SUMIFS(AS!$W:$W,AS!$BO:$BO,$W$7,AS!$AB:$AB,AS!$AA$1,AS!$AV:$AV,$X$5,AS!$AH:$AH,$X$8,AS!$BB:$BB,AS!$BA$1,AS!$AX:$AX,AC158,AS!$AW:$AW,$X$32,AS!$X:$X,$Y$5,AS!$AT:$AT,Parkki!$Y$13,AS!$K:$K,$X$31,AS!$F:$F,$V$29,AS!$L:$L,$V$30,AS!$AG:$AG,Parkki!$Y$9)</f>
        <v>0</v>
      </c>
      <c r="AE158">
        <f>SUMIFS(AS!$W:$W,AS!$BO:$BO,$W$7,AS!$AB:$AB,AS!$AA$1,AS!$AV:$AV,$X$5,AS!$I:$I,$X$7,AS!$AH:$AH,$X$8,AS!$BB:$BB,AS!$BA$1,AS!$AX:$AX,AC158,AS!$AW:$AW,$X$32,AS!$X:$X,$Y$5,AS!$AT:$AT,Parkki!$Y$13,AS!$K:$K,$X$31,AS!$F:$F,$V$29,AS!$L:$L,$V$30,AS!$AG:$AG,Parkki!$Y$9)</f>
        <v>0</v>
      </c>
      <c r="AF158">
        <f>SUMIFS(AS!$W:$W,AS!$BO:$BO,$W$7,AS!$AB:$AB,AS!$AA$1,AS!$AV:$AV,$X$5,AS!$I:$I,$Y$7,AS!$AH:$AH,$X$8,AS!$BB:$BB,AS!$BA$1,AS!$AX:$AX,AC158,AS!$AW:$AW,$X$32,AS!$X:$X,$Y$5,AS!$AT:$AT,Parkki!$Y$13,AS!$K:$K,$X$31,AS!$F:$F,$V$29,AS!$L:$L,$V$30,AS!$AG:$AG,Parkki!$Y$9)</f>
        <v>0</v>
      </c>
    </row>
    <row r="159" spans="1:36" x14ac:dyDescent="0.25">
      <c r="A159" s="797"/>
      <c r="B159" s="518" t="s">
        <v>1459</v>
      </c>
      <c r="C159" s="148">
        <f>SUMIFS(AS!$W:$W,AS!$BO:$BO,$W$7,AS!$AB:$AB,AS!$AA$1,AS!$AV:$AV,$X$5,AS!$AH:$AH,$X$8,AS!$BB:$BB,AS!$BA$1,AS!$AX:$AX,X159,AS!$AW:$AW,$X$32,AS!$X:$X,$Y$5,AS!$AT:$AT,Parkki!$Y$13,AS!$K:$K,$X$31,AS!$F:$F,$V$29,AS!$L:$L,$V$30,AS!$AG:$AG,Parkki!$Y$9)+Z159+AD159+AH159</f>
        <v>0</v>
      </c>
      <c r="D159" s="552" t="str">
        <f t="shared" si="23"/>
        <v>-</v>
      </c>
      <c r="E159" s="148">
        <f>SUMIFS(AS!$W:$W,AS!$BO:$BO,$W$7,AS!$AB:$AB,AS!$AA$1,AS!$AV:$AV,$X$5,AS!$I:$I,$X$7,AS!$AH:$AH,$X$8,AS!$BB:$BB,AS!$BA$1,AS!$AX:$AX,X159,AS!$AW:$AW,$X$32,AS!$X:$X,$Y$5,AS!$AT:$AT,Parkki!$Y$13,AS!$K:$K,$X$31,AS!$F:$F,$V$29,AS!$L:$L,$V$30,AS!$AG:$AG,Parkki!$Y$9)+AA159+AE159+AI159</f>
        <v>0</v>
      </c>
      <c r="F159" s="148">
        <f>SUMIFS(AS!$W:$W,AS!$BO:$BO,$W$7,AS!$AB:$AB,AS!$AA$1,AS!$AV:$AV,$X$5,AS!$I:$I,$Y$7,AS!$AH:$AH,$X$8,AS!$BB:$BB,AS!$BA$1,AS!$AX:$AX,X159,AS!$AW:$AW,$X$32,AS!$X:$X,$Y$5,AS!$AT:$AT,Parkki!$Y$13,AS!$K:$K,$X$31,AS!$F:$F,$V$29,AS!$L:$L,$V$30,AS!$AG:$AG,Parkki!$Y$9)+AB159+AF159+AJ159</f>
        <v>0</v>
      </c>
      <c r="I159" s="387"/>
      <c r="J159" s="387"/>
      <c r="K159" s="387"/>
      <c r="L159" s="387"/>
      <c r="V159" s="148">
        <f>SUMIFS(AS!$W:$W,AS!$BO:$BO,$W$7,AS!$AB:$AB,AS!$AA$1,AS!$AV:$AV,$X$5,AS!$AH:$AH,$Y$8,AS!$BB:$BB,AS!$BA$1,AS!$AX:$AX,X159,AS!$AW:$AW,$Y$6,AS!$X:$X,$Y$5)</f>
        <v>0</v>
      </c>
      <c r="X159" s="634" t="s">
        <v>1466</v>
      </c>
      <c r="Y159" s="627" t="s">
        <v>528</v>
      </c>
      <c r="Z159">
        <f>SUMIFS(AS!$W:$W,AS!$BO:$BO,$W$7,AS!$AB:$AB,AS!$AA$1,AS!$AV:$AV,$X$5,AS!$AH:$AH,$X$8,AS!$BB:$BB,AS!$BA$1,AS!$AX:$AX,Y159,AS!$AW:$AW,$X$32,AS!$X:$X,$Y$5,AS!$AT:$AT,Parkki!$Y$13,AS!$K:$K,$X$31,AS!$F:$F,$V$29,AS!$L:$L,$V$30,AS!$AG:$AG,Parkki!$Y$9)</f>
        <v>0</v>
      </c>
      <c r="AA159">
        <f>SUMIFS(AS!$W:$W,AS!$BO:$BO,$W$7,AS!$AB:$AB,AS!$AA$1,AS!$AV:$AV,$X$5,AS!$I:$I,$X$7,AS!$AH:$AH,$X$8,AS!$BB:$BB,AS!$BA$1,AS!$AX:$AX,Y159,AS!$AW:$AW,$X$32,AS!$X:$X,$Y$5,AS!$AT:$AT,Parkki!$Y$13,AS!$K:$K,$X$31,AS!$F:$F,$V$29,AS!$L:$L,$V$30,AS!$AG:$AG,Parkki!$Y$9)</f>
        <v>0</v>
      </c>
      <c r="AB159">
        <f>SUMIFS(AS!$W:$W,AS!$BO:$BO,$W$7,AS!$AB:$AB,AS!$AA$1,AS!$AV:$AV,$X$5,AS!$I:$I,$Y$7,AS!$AH:$AH,$X$8,AS!$BB:$BB,AS!$BA$1,AS!$AX:$AX,Y159,AS!$AW:$AW,$X$32,AS!$X:$X,$Y$5,AS!$AT:$AT,Parkki!$Y$13,AS!$K:$K,$X$31,AS!$F:$F,$V$29,AS!$L:$L,$V$30,AS!$AG:$AG,Parkki!$Y$9)</f>
        <v>0</v>
      </c>
      <c r="AC159" s="627" t="s">
        <v>531</v>
      </c>
      <c r="AD159">
        <f>SUMIFS(AS!$W:$W,AS!$BO:$BO,$W$7,AS!$AB:$AB,AS!$AA$1,AS!$AV:$AV,$X$5,AS!$AH:$AH,$X$8,AS!$BB:$BB,AS!$BA$1,AS!$AX:$AX,AC159,AS!$AW:$AW,$X$32,AS!$X:$X,$Y$5,AS!$AT:$AT,Parkki!$Y$13,AS!$K:$K,$X$31,AS!$F:$F,$V$29,AS!$L:$L,$V$30,AS!$AG:$AG,Parkki!$Y$9)</f>
        <v>0</v>
      </c>
      <c r="AE159">
        <f>SUMIFS(AS!$W:$W,AS!$BO:$BO,$W$7,AS!$AB:$AB,AS!$AA$1,AS!$AV:$AV,$X$5,AS!$I:$I,$X$7,AS!$AH:$AH,$X$8,AS!$BB:$BB,AS!$BA$1,AS!$AX:$AX,AC159,AS!$AW:$AW,$X$32,AS!$X:$X,$Y$5,AS!$AT:$AT,Parkki!$Y$13,AS!$K:$K,$X$31,AS!$F:$F,$V$29,AS!$L:$L,$V$30,AS!$AG:$AG,Parkki!$Y$9)</f>
        <v>0</v>
      </c>
      <c r="AF159">
        <f>SUMIFS(AS!$W:$W,AS!$BO:$BO,$W$7,AS!$AB:$AB,AS!$AA$1,AS!$AV:$AV,$X$5,AS!$I:$I,$Y$7,AS!$AH:$AH,$X$8,AS!$BB:$BB,AS!$BA$1,AS!$AX:$AX,AC159,AS!$AW:$AW,$X$32,AS!$X:$X,$Y$5,AS!$AT:$AT,Parkki!$Y$13,AS!$K:$K,$X$31,AS!$F:$F,$V$29,AS!$L:$L,$V$30,AS!$AG:$AG,Parkki!$Y$9)</f>
        <v>0</v>
      </c>
      <c r="AG159" s="627" t="s">
        <v>1097</v>
      </c>
      <c r="AH159">
        <f>SUMIFS(AS!$W:$W,AS!$BO:$BO,$W$7,AS!$AB:$AB,AS!$AA$1,AS!$AV:$AV,$X$5,AS!$AH:$AH,$X$8,AS!$BB:$BB,AS!$BA$1,AS!$AX:$AX,AG159,AS!$AW:$AW,$X$32,AS!$X:$X,$Y$5,AS!$AT:$AT,Parkki!$Y$13,AS!$K:$K,$X$31,AS!$F:$F,$V$29,AS!$L:$L,$V$30,AS!$AG:$AG,Parkki!$Y$9)</f>
        <v>0</v>
      </c>
      <c r="AI159">
        <f>SUMIFS(AS!$W:$W,AS!$BO:$BO,$W$7,AS!$AB:$AB,AS!$AA$1,AS!$AV:$AV,$X$5,AS!$I:$I,$X$7,AS!$AH:$AH,$X$8,AS!$BB:$BB,AS!$BA$1,AS!$AX:$AX,AG159,AS!$AW:$AW,$X$32,AS!$X:$X,$Y$5,AS!$AT:$AT,Parkki!$Y$13,AS!$K:$K,$X$31,AS!$F:$F,$V$29,AS!$L:$L,$V$30,AS!$AG:$AG,Parkki!$Y$9)</f>
        <v>0</v>
      </c>
      <c r="AJ159">
        <f>SUMIFS(AS!$W:$W,AS!$BO:$BO,$W$7,AS!$AB:$AB,AS!$AA$1,AS!$AV:$AV,$X$5,AS!$I:$I,$Y$7,AS!$AH:$AH,$X$8,AS!$BB:$BB,AS!$BA$1,AS!$AX:$AX,AG159,AS!$AW:$AW,$X$32,AS!$X:$X,$Y$5,AS!$AT:$AT,Parkki!$Y$13,AS!$K:$K,$X$31,AS!$F:$F,$V$29,AS!$L:$L,$V$30,AS!$AG:$AG,Parkki!$Y$9)</f>
        <v>0</v>
      </c>
    </row>
    <row r="160" spans="1:36" x14ac:dyDescent="0.25">
      <c r="A160" s="798"/>
      <c r="B160" s="518" t="s">
        <v>688</v>
      </c>
      <c r="C160" s="148">
        <f>SUMIFS(AS!$W:$W,AS!$BO:$BO,$W$7,AS!$AB:$AB,AS!$AA$1,AS!$AV:$AV,$X$5,AS!$AH:$AH,$X$8,AS!$BB:$BB,AS!$BA$1,AS!$AX:$AX,X160,AS!$AW:$AW,$X$32,AS!$X:$X,$Y$5,AS!$AT:$AT,Parkki!$Y$13,AS!$K:$K,$X$31,AS!$F:$F,$V$29,AS!$L:$L,$V$30,AS!$AG:$AG,Parkki!$Y$9)+Z160+AD160</f>
        <v>0</v>
      </c>
      <c r="D160" s="552" t="str">
        <f t="shared" si="23"/>
        <v>-</v>
      </c>
      <c r="E160" s="148">
        <f>SUMIFS(AS!$W:$W,AS!$BO:$BO,$W$7,AS!$AB:$AB,AS!$AA$1,AS!$AV:$AV,$X$5,AS!$I:$I,$X$7,AS!$AH:$AH,$X$8,AS!$BB:$BB,AS!$BA$1,AS!$AX:$AX,X160,AS!$AW:$AW,$X$32,AS!$X:$X,$Y$5,AS!$AT:$AT,Parkki!$Y$13,AS!$K:$K,$X$31,AS!$F:$F,$V$29,AS!$L:$L,$V$30,AS!$AG:$AG,Parkki!$Y$9)+AA160+AE160</f>
        <v>0</v>
      </c>
      <c r="F160" s="148">
        <f>SUMIFS(AS!$W:$W,AS!$BO:$BO,$W$7,AS!$AB:$AB,AS!$AA$1,AS!$AV:$AV,$X$5,AS!$I:$I,$Y$7,AS!$AH:$AH,$X$8,AS!$BB:$BB,AS!$BA$1,AS!$AX:$AX,X160,AS!$AW:$AW,$X$32,AS!$X:$X,$Y$5,AS!$AT:$AT,Parkki!$Y$13,AS!$K:$K,$X$31,AS!$F:$F,$V$29,AS!$L:$L,$V$30,AS!$AG:$AG,Parkki!$Y$9)+AB160+AF160</f>
        <v>0</v>
      </c>
      <c r="I160" s="387"/>
      <c r="J160" s="387"/>
      <c r="K160" s="387"/>
      <c r="L160" s="387"/>
      <c r="V160" s="148">
        <f>SUMIFS(AS!$W:$W,AS!$BO:$BO,$W$7,AS!$AB:$AB,AS!$AA$1,AS!$AV:$AV,$X$5,AS!$AH:$AH,$Y$8,AS!$BB:$BB,AS!$BA$1,AS!$AX:$AX,X160,AS!$AW:$AW,$Y$6,AS!$X:$X,$Y$5)</f>
        <v>0</v>
      </c>
      <c r="X160" s="385" t="s">
        <v>530</v>
      </c>
      <c r="Z160">
        <f>SUMIFS(AS!$W:$W,AS!$BO:$BO,$W$7,AS!$AB:$AB,AS!$AA$1,AS!$AV:$AV,$X$5,AS!$AH:$AH,$X$8,AS!$BB:$BB,AS!$BA$1,AS!$AX:$AX,Y160,AS!$AW:$AW,$X$32,AS!$X:$X,$Y$5,AS!$AT:$AT,Parkki!$Y$13,AS!$K:$K,$X$31,AS!$F:$F,$V$29,AS!$L:$L,$V$30,AS!$AG:$AG,Parkki!$Y$9)</f>
        <v>0</v>
      </c>
      <c r="AA160">
        <f>SUMIFS(AS!$W:$W,AS!$BO:$BO,$W$7,AS!$AB:$AB,AS!$AA$1,AS!$AV:$AV,$X$5,AS!$I:$I,$X$7,AS!$AH:$AH,$X$8,AS!$BB:$BB,AS!$BA$1,AS!$AX:$AX,Y160,AS!$AW:$AW,$X$32,AS!$X:$X,$Y$5,AS!$AT:$AT,Parkki!$Y$13,AS!$K:$K,$X$31,AS!$F:$F,$V$29,AS!$L:$L,$V$30,AS!$AG:$AG,Parkki!$Y$9)</f>
        <v>0</v>
      </c>
      <c r="AB160">
        <f>SUMIFS(AS!$W:$W,AS!$BO:$BO,$W$7,AS!$AB:$AB,AS!$AA$1,AS!$AV:$AV,$X$5,AS!$I:$I,$Y$7,AS!$AH:$AH,$X$8,AS!$BB:$BB,AS!$BA$1,AS!$AX:$AX,Y160,AS!$AW:$AW,$X$32,AS!$X:$X,$Y$5,AS!$AT:$AT,Parkki!$Y$13,AS!$K:$K,$X$31,AS!$F:$F,$V$29,AS!$L:$L,$V$30,AS!$AG:$AG,Parkki!$Y$9)</f>
        <v>0</v>
      </c>
      <c r="AD160">
        <f>SUMIFS(AS!$W:$W,AS!$BO:$BO,$W$7,AS!$AB:$AB,AS!$AA$1,AS!$AV:$AV,$X$5,AS!$AH:$AH,$X$8,AS!$BB:$BB,AS!$BA$1,AS!$AX:$AX,AC160,AS!$AW:$AW,$X$32,AS!$X:$X,$Y$5,AS!$AT:$AT,Parkki!$Y$13,AS!$K:$K,$X$31,AS!$F:$F,$V$29,AS!$L:$L,$V$30,AS!$AG:$AG,Parkki!$Y$9)</f>
        <v>0</v>
      </c>
      <c r="AE160">
        <f>SUMIFS(AS!$W:$W,AS!$BO:$BO,$W$7,AS!$AB:$AB,AS!$AA$1,AS!$AV:$AV,$X$5,AS!$I:$I,$X$7,AS!$AH:$AH,$X$8,AS!$BB:$BB,AS!$BA$1,AS!$AX:$AX,AC160,AS!$AW:$AW,$X$32,AS!$X:$X,$Y$5,AS!$AT:$AT,Parkki!$Y$13,AS!$K:$K,$X$31,AS!$F:$F,$V$29,AS!$L:$L,$V$30,AS!$AG:$AG,Parkki!$Y$9)</f>
        <v>0</v>
      </c>
      <c r="AF160">
        <f>SUMIFS(AS!$W:$W,AS!$BO:$BO,$W$7,AS!$AB:$AB,AS!$AA$1,AS!$AV:$AV,$X$5,AS!$I:$I,$Y$7,AS!$AH:$AH,$X$8,AS!$BB:$BB,AS!$BA$1,AS!$AX:$AX,AC160,AS!$AW:$AW,$X$32,AS!$X:$X,$Y$5,AS!$AT:$AT,Parkki!$Y$13,AS!$K:$K,$X$31,AS!$F:$F,$V$29,AS!$L:$L,$V$30,AS!$AG:$AG,Parkki!$Y$9)</f>
        <v>0</v>
      </c>
    </row>
    <row r="161" spans="1:35" ht="14.45" customHeight="1" x14ac:dyDescent="0.25">
      <c r="A161" s="796" t="s">
        <v>608</v>
      </c>
      <c r="B161" s="518" t="s">
        <v>86</v>
      </c>
      <c r="C161" s="148">
        <f>SUMIFS(AS!$W:$W,AS!$BO:$BO,$W$7,AS!$AB:$AB,AS!$AA$1,AS!$AV:$AV,$X$5,AS!$AH:$AH,$X$8,AS!$BB:$BB,AS!$BA$1,AS!$AX:$AX,X161,AS!$AW:$AW,$X$32,AS!$X:$X,$Y$5,AS!$AT:$AT,Parkki!$Y$13,AS!$K:$K,$X$31,AS!$F:$F,$V$29,AS!$L:$L,$V$30,AS!$AG:$AG,Parkki!$Y$9)+Z161+AD161</f>
        <v>0</v>
      </c>
      <c r="D161" s="552" t="str">
        <f t="shared" si="23"/>
        <v>-</v>
      </c>
      <c r="E161" s="148">
        <f>SUMIFS(AS!$W:$W,AS!$BO:$BO,$W$7,AS!$AB:$AB,AS!$AA$1,AS!$AV:$AV,$X$5,AS!$I:$I,$X$7,AS!$AH:$AH,$X$8,AS!$BB:$BB,AS!$BA$1,AS!$AX:$AX,X161,AS!$AW:$AW,$X$32,AS!$X:$X,$Y$5,AS!$AT:$AT,Parkki!$Y$13,AS!$K:$K,$X$31,AS!$F:$F,$V$29,AS!$L:$L,$V$30,AS!$AG:$AG,Parkki!$Y$9)+AA161+AE161</f>
        <v>0</v>
      </c>
      <c r="F161" s="148">
        <f>SUMIFS(AS!$W:$W,AS!$BO:$BO,$W$7,AS!$AB:$AB,AS!$AA$1,AS!$AV:$AV,$X$5,AS!$I:$I,$Y$7,AS!$AH:$AH,$X$8,AS!$BB:$BB,AS!$BA$1,AS!$AX:$AX,X161,AS!$AW:$AW,$X$32,AS!$X:$X,$Y$5,AS!$AT:$AT,Parkki!$Y$13,AS!$K:$K,$X$31,AS!$F:$F,$V$29,AS!$L:$L,$V$30,AS!$AG:$AG,Parkki!$Y$9)+AB161+AF161</f>
        <v>0</v>
      </c>
      <c r="I161" s="387"/>
      <c r="J161" s="387"/>
      <c r="K161" s="387"/>
      <c r="L161" s="387"/>
      <c r="V161" s="148">
        <f>SUMIFS(AS!$W:$W,AS!$BO:$BO,$W$7,AS!$AB:$AB,AS!$AA$1,AS!$AV:$AV,$X$5,AS!$AH:$AH,$Y$8,AS!$BB:$BB,AS!$BA$1,AS!$AX:$AX,X161,AS!$AW:$AW,$Y$6,AS!$X:$X,$Y$5)</f>
        <v>0</v>
      </c>
      <c r="X161" s="385" t="s">
        <v>237</v>
      </c>
      <c r="Z161">
        <f>SUMIFS(AS!$W:$W,AS!$BO:$BO,$W$7,AS!$AB:$AB,AS!$AA$1,AS!$AV:$AV,$X$5,AS!$AH:$AH,$X$8,AS!$BB:$BB,AS!$BA$1,AS!$AX:$AX,Y161,AS!$AW:$AW,$X$32,AS!$X:$X,$Y$5,AS!$AT:$AT,Parkki!$Y$13,AS!$K:$K,$X$31,AS!$F:$F,$V$29,AS!$L:$L,$V$30,AS!$AG:$AG,Parkki!$Y$9)</f>
        <v>0</v>
      </c>
      <c r="AA161">
        <f>SUMIFS(AS!$W:$W,AS!$BO:$BO,$W$7,AS!$AB:$AB,AS!$AA$1,AS!$AV:$AV,$X$5,AS!$I:$I,$X$7,AS!$AH:$AH,$X$8,AS!$BB:$BB,AS!$BA$1,AS!$AX:$AX,Y161,AS!$AW:$AW,$X$32,AS!$X:$X,$Y$5,AS!$AT:$AT,Parkki!$Y$13,AS!$K:$K,$X$31,AS!$F:$F,$V$29,AS!$L:$L,$V$30,AS!$AG:$AG,Parkki!$Y$9)</f>
        <v>0</v>
      </c>
      <c r="AB161">
        <f>SUMIFS(AS!$W:$W,AS!$BO:$BO,$W$7,AS!$AB:$AB,AS!$AA$1,AS!$AV:$AV,$X$5,AS!$I:$I,$Y$7,AS!$AH:$AH,$X$8,AS!$BB:$BB,AS!$BA$1,AS!$AX:$AX,Y161,AS!$AW:$AW,$X$32,AS!$X:$X,$Y$5,AS!$AT:$AT,Parkki!$Y$13,AS!$K:$K,$X$31,AS!$F:$F,$V$29,AS!$L:$L,$V$30,AS!$AG:$AG,Parkki!$Y$9)</f>
        <v>0</v>
      </c>
      <c r="AD161">
        <f>SUMIFS(AS!$W:$W,AS!$BO:$BO,$W$7,AS!$AB:$AB,AS!$AA$1,AS!$AV:$AV,$X$5,AS!$AH:$AH,$X$8,AS!$BB:$BB,AS!$BA$1,AS!$AX:$AX,AC161,AS!$AW:$AW,$X$32,AS!$X:$X,$Y$5,AS!$AT:$AT,Parkki!$Y$13,AS!$K:$K,$X$31,AS!$F:$F,$V$29,AS!$L:$L,$V$30,AS!$AG:$AG,Parkki!$Y$9)</f>
        <v>0</v>
      </c>
      <c r="AE161">
        <f>SUMIFS(AS!$W:$W,AS!$BO:$BO,$W$7,AS!$AB:$AB,AS!$AA$1,AS!$AV:$AV,$X$5,AS!$I:$I,$X$7,AS!$AH:$AH,$X$8,AS!$BB:$BB,AS!$BA$1,AS!$AX:$AX,AC161,AS!$AW:$AW,$X$32,AS!$X:$X,$Y$5,AS!$AT:$AT,Parkki!$Y$13,AS!$K:$K,$X$31,AS!$F:$F,$V$29,AS!$L:$L,$V$30,AS!$AG:$AG,Parkki!$Y$9)</f>
        <v>0</v>
      </c>
      <c r="AF161">
        <f>SUMIFS(AS!$W:$W,AS!$BO:$BO,$W$7,AS!$AB:$AB,AS!$AA$1,AS!$AV:$AV,$X$5,AS!$I:$I,$Y$7,AS!$AH:$AH,$X$8,AS!$BB:$BB,AS!$BA$1,AS!$AX:$AX,AC161,AS!$AW:$AW,$X$32,AS!$X:$X,$Y$5,AS!$AT:$AT,Parkki!$Y$13,AS!$K:$K,$X$31,AS!$F:$F,$V$29,AS!$L:$L,$V$30,AS!$AG:$AG,Parkki!$Y$9)</f>
        <v>0</v>
      </c>
    </row>
    <row r="162" spans="1:35" x14ac:dyDescent="0.25">
      <c r="A162" s="797"/>
      <c r="B162" s="518" t="s">
        <v>1387</v>
      </c>
      <c r="C162" s="148">
        <f>SUMIFS(AS!$W:$W,AS!$BO:$BO,$W$7,AS!$AB:$AB,AS!$AA$1,AS!$AV:$AV,$X$5,AS!$AH:$AH,$X$8,AS!$BB:$BB,AS!$BA$1,AS!$AX:$AX,X162,AS!$AW:$AW,$X$32,AS!$X:$X,$Y$5,AS!$AT:$AT,Parkki!$Y$13,AS!$K:$K,$X$31,AS!$F:$F,$V$29,AS!$L:$L,$V$30,AS!$AG:$AG,Parkki!$Y$9)+Z162+AD162</f>
        <v>0</v>
      </c>
      <c r="D162" s="552" t="str">
        <f t="shared" si="23"/>
        <v>-</v>
      </c>
      <c r="E162" s="148">
        <f>SUMIFS(AS!$W:$W,AS!$BO:$BO,$W$7,AS!$AB:$AB,AS!$AA$1,AS!$AV:$AV,$X$5,AS!$I:$I,$X$7,AS!$AH:$AH,$X$8,AS!$BB:$BB,AS!$BA$1,AS!$AX:$AX,X162,AS!$AW:$AW,$X$32,AS!$X:$X,$Y$5,AS!$AT:$AT,Parkki!$Y$13,AS!$K:$K,$X$31,AS!$F:$F,$V$29,AS!$L:$L,$V$30,AS!$AG:$AG,Parkki!$Y$9)+AA162+AE162</f>
        <v>0</v>
      </c>
      <c r="F162" s="148">
        <f>SUMIFS(AS!$W:$W,AS!$BO:$BO,$W$7,AS!$AB:$AB,AS!$AA$1,AS!$AV:$AV,$X$5,AS!$I:$I,$Y$7,AS!$AH:$AH,$X$8,AS!$BB:$BB,AS!$BA$1,AS!$AX:$AX,X162,AS!$AW:$AW,$X$32,AS!$X:$X,$Y$5,AS!$AT:$AT,Parkki!$Y$13,AS!$K:$K,$X$31,AS!$F:$F,$V$29,AS!$L:$L,$V$30,AS!$AG:$AG,Parkki!$Y$9)+AB162+AF162</f>
        <v>0</v>
      </c>
      <c r="I162" s="387"/>
      <c r="J162" s="387"/>
      <c r="K162" s="387"/>
      <c r="L162" s="387"/>
      <c r="V162" s="148">
        <f>SUMIFS(AS!$W:$W,AS!$BO:$BO,$W$7,AS!$AB:$AB,AS!$AA$1,AS!$AV:$AV,$X$5,AS!$AH:$AH,$Y$8,AS!$BB:$BB,AS!$BA$1,AS!$AX:$AX,X162,AS!$AW:$AW,$Y$6,AS!$X:$X,$Y$5)</f>
        <v>0</v>
      </c>
      <c r="X162" s="515" t="s">
        <v>1098</v>
      </c>
      <c r="Z162">
        <f>SUMIFS(AS!$W:$W,AS!$BO:$BO,$W$7,AS!$AB:$AB,AS!$AA$1,AS!$AV:$AV,$X$5,AS!$AH:$AH,$X$8,AS!$BB:$BB,AS!$BA$1,AS!$AX:$AX,Y162,AS!$AW:$AW,$X$32,AS!$X:$X,$Y$5,AS!$AT:$AT,Parkki!$Y$13,AS!$K:$K,$X$31,AS!$F:$F,$V$29,AS!$L:$L,$V$30,AS!$AG:$AG,Parkki!$Y$9)</f>
        <v>0</v>
      </c>
      <c r="AA162">
        <f>SUMIFS(AS!$W:$W,AS!$BO:$BO,$W$7,AS!$AB:$AB,AS!$AA$1,AS!$AV:$AV,$X$5,AS!$I:$I,$X$7,AS!$AH:$AH,$X$8,AS!$BB:$BB,AS!$BA$1,AS!$AX:$AX,Y162,AS!$AW:$AW,$X$32,AS!$X:$X,$Y$5,AS!$AT:$AT,Parkki!$Y$13,AS!$K:$K,$X$31,AS!$F:$F,$V$29,AS!$L:$L,$V$30,AS!$AG:$AG,Parkki!$Y$9)</f>
        <v>0</v>
      </c>
      <c r="AB162">
        <f>SUMIFS(AS!$W:$W,AS!$BO:$BO,$W$7,AS!$AB:$AB,AS!$AA$1,AS!$AV:$AV,$X$5,AS!$I:$I,$Y$7,AS!$AH:$AH,$X$8,AS!$BB:$BB,AS!$BA$1,AS!$AX:$AX,Y162,AS!$AW:$AW,$X$32,AS!$X:$X,$Y$5,AS!$AT:$AT,Parkki!$Y$13,AS!$K:$K,$X$31,AS!$F:$F,$V$29,AS!$L:$L,$V$30,AS!$AG:$AG,Parkki!$Y$9)</f>
        <v>0</v>
      </c>
      <c r="AD162">
        <f>SUMIFS(AS!$W:$W,AS!$BO:$BO,$W$7,AS!$AB:$AB,AS!$AA$1,AS!$AV:$AV,$X$5,AS!$AH:$AH,$X$8,AS!$BB:$BB,AS!$BA$1,AS!$AX:$AX,AC162,AS!$AW:$AW,$X$32,AS!$X:$X,$Y$5,AS!$AT:$AT,Parkki!$Y$13,AS!$K:$K,$X$31,AS!$F:$F,$V$29,AS!$L:$L,$V$30,AS!$AG:$AG,Parkki!$Y$9)</f>
        <v>0</v>
      </c>
      <c r="AE162">
        <f>SUMIFS(AS!$W:$W,AS!$BO:$BO,$W$7,AS!$AB:$AB,AS!$AA$1,AS!$AV:$AV,$X$5,AS!$I:$I,$X$7,AS!$AH:$AH,$X$8,AS!$BB:$BB,AS!$BA$1,AS!$AX:$AX,AC162,AS!$AW:$AW,$X$32,AS!$X:$X,$Y$5,AS!$AT:$AT,Parkki!$Y$13,AS!$K:$K,$X$31,AS!$F:$F,$V$29,AS!$L:$L,$V$30,AS!$AG:$AG,Parkki!$Y$9)</f>
        <v>0</v>
      </c>
      <c r="AF162">
        <f>SUMIFS(AS!$W:$W,AS!$BO:$BO,$W$7,AS!$AB:$AB,AS!$AA$1,AS!$AV:$AV,$X$5,AS!$I:$I,$Y$7,AS!$AH:$AH,$X$8,AS!$BB:$BB,AS!$BA$1,AS!$AX:$AX,AC162,AS!$AW:$AW,$X$32,AS!$X:$X,$Y$5,AS!$AT:$AT,Parkki!$Y$13,AS!$K:$K,$X$31,AS!$F:$F,$V$29,AS!$L:$L,$V$30,AS!$AG:$AG,Parkki!$Y$9)</f>
        <v>0</v>
      </c>
    </row>
    <row r="163" spans="1:35" x14ac:dyDescent="0.25">
      <c r="A163" s="797"/>
      <c r="B163" s="725" t="s">
        <v>1389</v>
      </c>
      <c r="C163" s="148">
        <f>SUMIFS(AS!$W:$W,AS!$BO:$BO,$W$7,AS!$AB:$AB,AS!$AA$1,AS!$AV:$AV,$X$5,AS!$AH:$AH,$X$8,AS!$BB:$BB,AS!$BA$1,AS!$AX:$AX,X163,AS!$AW:$AW,$X$32,AS!$X:$X,$Y$5,AS!$AT:$AT,Parkki!$Y$13,AS!$K:$K,$X$31,AS!$F:$F,$V$29,AS!$L:$L,$V$30,AS!$AG:$AG,Parkki!$Y$9)+Z163+AD163</f>
        <v>0</v>
      </c>
      <c r="D163" s="552" t="str">
        <f t="shared" si="23"/>
        <v>-</v>
      </c>
      <c r="E163" s="148">
        <f>SUMIFS(AS!$W:$W,AS!$BO:$BO,$W$7,AS!$AB:$AB,AS!$AA$1,AS!$AV:$AV,$X$5,AS!$I:$I,$X$7,AS!$AH:$AH,$X$8,AS!$BB:$BB,AS!$BA$1,AS!$AX:$AX,X163,AS!$AW:$AW,$X$32,AS!$X:$X,$Y$5,AS!$AT:$AT,Parkki!$Y$13,AS!$K:$K,$X$31,AS!$F:$F,$V$29,AS!$L:$L,$V$30,AS!$AG:$AG,Parkki!$Y$9)+AA163+AE163</f>
        <v>0</v>
      </c>
      <c r="F163" s="148">
        <f>SUMIFS(AS!$W:$W,AS!$BO:$BO,$W$7,AS!$AB:$AB,AS!$AA$1,AS!$AV:$AV,$X$5,AS!$I:$I,$Y$7,AS!$AH:$AH,$X$8,AS!$BB:$BB,AS!$BA$1,AS!$AX:$AX,X163,AS!$AW:$AW,$X$32,AS!$X:$X,$Y$5,AS!$AT:$AT,Parkki!$Y$13,AS!$K:$K,$X$31,AS!$F:$F,$V$29,AS!$L:$L,$V$30,AS!$AG:$AG,Parkki!$Y$9)+AB163+AF163</f>
        <v>0</v>
      </c>
      <c r="I163" s="387"/>
      <c r="J163" s="387"/>
      <c r="K163" s="387"/>
      <c r="L163" s="387"/>
      <c r="V163" s="148"/>
      <c r="X163" s="630" t="s">
        <v>1221</v>
      </c>
      <c r="Z163">
        <f>SUMIFS(AS!$W:$W,AS!$BO:$BO,$W$7,AS!$AB:$AB,AS!$AA$1,AS!$AV:$AV,$X$5,AS!$AH:$AH,$X$8,AS!$BB:$BB,AS!$BA$1,AS!$AX:$AX,Y163,AS!$AW:$AW,$X$32,AS!$X:$X,$Y$5,AS!$AT:$AT,Parkki!$Y$13,AS!$K:$K,$X$31,AS!$F:$F,$V$29,AS!$L:$L,$V$30,AS!$AG:$AG,Parkki!$Y$9)</f>
        <v>0</v>
      </c>
      <c r="AA163">
        <f>SUMIFS(AS!$W:$W,AS!$BO:$BO,$W$7,AS!$AB:$AB,AS!$AA$1,AS!$AV:$AV,$X$5,AS!$I:$I,$X$7,AS!$AH:$AH,$X$8,AS!$BB:$BB,AS!$BA$1,AS!$AX:$AX,Y163,AS!$AW:$AW,$X$32,AS!$X:$X,$Y$5,AS!$AT:$AT,Parkki!$Y$13,AS!$K:$K,$X$31,AS!$F:$F,$V$29,AS!$L:$L,$V$30,AS!$AG:$AG,Parkki!$Y$9)</f>
        <v>0</v>
      </c>
      <c r="AB163">
        <f>SUMIFS(AS!$W:$W,AS!$BO:$BO,$W$7,AS!$AB:$AB,AS!$AA$1,AS!$AV:$AV,$X$5,AS!$I:$I,$Y$7,AS!$AH:$AH,$X$8,AS!$BB:$BB,AS!$BA$1,AS!$AX:$AX,Y163,AS!$AW:$AW,$X$32,AS!$X:$X,$Y$5,AS!$AT:$AT,Parkki!$Y$13,AS!$K:$K,$X$31,AS!$F:$F,$V$29,AS!$L:$L,$V$30,AS!$AG:$AG,Parkki!$Y$9)</f>
        <v>0</v>
      </c>
      <c r="AD163">
        <f>SUMIFS(AS!$W:$W,AS!$BO:$BO,$W$7,AS!$AB:$AB,AS!$AA$1,AS!$AV:$AV,$X$5,AS!$AH:$AH,$X$8,AS!$BB:$BB,AS!$BA$1,AS!$AX:$AX,AC163,AS!$AW:$AW,$X$32,AS!$X:$X,$Y$5,AS!$AT:$AT,Parkki!$Y$13,AS!$K:$K,$X$31,AS!$F:$F,$V$29,AS!$L:$L,$V$30,AS!$AG:$AG,Parkki!$Y$9)</f>
        <v>0</v>
      </c>
      <c r="AE163">
        <f>SUMIFS(AS!$W:$W,AS!$BO:$BO,$W$7,AS!$AB:$AB,AS!$AA$1,AS!$AV:$AV,$X$5,AS!$I:$I,$X$7,AS!$AH:$AH,$X$8,AS!$BB:$BB,AS!$BA$1,AS!$AX:$AX,AC163,AS!$AW:$AW,$X$32,AS!$X:$X,$Y$5,AS!$AT:$AT,Parkki!$Y$13,AS!$K:$K,$X$31,AS!$F:$F,$V$29,AS!$L:$L,$V$30,AS!$AG:$AG,Parkki!$Y$9)</f>
        <v>0</v>
      </c>
      <c r="AF163">
        <f>SUMIFS(AS!$W:$W,AS!$BO:$BO,$W$7,AS!$AB:$AB,AS!$AA$1,AS!$AV:$AV,$X$5,AS!$I:$I,$Y$7,AS!$AH:$AH,$X$8,AS!$BB:$BB,AS!$BA$1,AS!$AX:$AX,AC163,AS!$AW:$AW,$X$32,AS!$X:$X,$Y$5,AS!$AT:$AT,Parkki!$Y$13,AS!$K:$K,$X$31,AS!$F:$F,$V$29,AS!$L:$L,$V$30,AS!$AG:$AG,Parkki!$Y$9)</f>
        <v>0</v>
      </c>
    </row>
    <row r="164" spans="1:35" x14ac:dyDescent="0.25">
      <c r="A164" s="798"/>
      <c r="B164" s="518" t="s">
        <v>689</v>
      </c>
      <c r="C164" s="148">
        <f>SUMIFS(AS!$W:$W,AS!$BO:$BO,$W$7,AS!$AB:$AB,AS!$AA$1,AS!$AV:$AV,$X$5,AS!$AH:$AH,$X$8,AS!$BB:$BB,AS!$BA$1,AS!$AX:$AX,X164,AS!$AW:$AW,$X$32,AS!$X:$X,$Y$5,AS!$AT:$AT,Parkki!$Y$13,AS!$K:$K,$X$31,AS!$F:$F,$V$29,AS!$L:$L,$V$30,AS!$AG:$AG,Parkki!$Y$9)+Z164+AD164</f>
        <v>0</v>
      </c>
      <c r="D164" s="552" t="str">
        <f t="shared" si="23"/>
        <v>-</v>
      </c>
      <c r="E164" s="148">
        <f>SUMIFS(AS!$W:$W,AS!$BO:$BO,$W$7,AS!$AB:$AB,AS!$AA$1,AS!$AV:$AV,$X$5,AS!$I:$I,$X$7,AS!$AH:$AH,$X$8,AS!$BB:$BB,AS!$BA$1,AS!$AX:$AX,X164,AS!$AW:$AW,$X$32,AS!$X:$X,$Y$5,AS!$AT:$AT,Parkki!$Y$13,AS!$K:$K,$X$31,AS!$F:$F,$V$29,AS!$L:$L,$V$30,AS!$AG:$AG,Parkki!$Y$9)+AA164+AE164</f>
        <v>0</v>
      </c>
      <c r="F164" s="148">
        <f>SUMIFS(AS!$W:$W,AS!$BO:$BO,$W$7,AS!$AB:$AB,AS!$AA$1,AS!$AV:$AV,$X$5,AS!$I:$I,$Y$7,AS!$AH:$AH,$X$8,AS!$BB:$BB,AS!$BA$1,AS!$AX:$AX,X164,AS!$AW:$AW,$X$32,AS!$X:$X,$Y$5,AS!$AT:$AT,Parkki!$Y$13,AS!$K:$K,$X$31,AS!$F:$F,$V$29,AS!$L:$L,$V$30,AS!$AG:$AG,Parkki!$Y$9)+AB164+AF164</f>
        <v>0</v>
      </c>
      <c r="I164" s="387"/>
      <c r="J164" s="387"/>
      <c r="K164" s="387"/>
      <c r="L164" s="387"/>
      <c r="V164" s="148">
        <f>SUMIFS(AS!$W:$W,AS!$BO:$BO,$W$7,AS!$AB:$AB,AS!$AA$1,AS!$AV:$AV,$X$5,AS!$AH:$AH,$Y$8,AS!$BB:$BB,AS!$BA$1,AS!$AX:$AX,X164,AS!$AW:$AW,$Y$6,AS!$X:$X,$Y$5)</f>
        <v>0</v>
      </c>
      <c r="X164" s="385" t="s">
        <v>536</v>
      </c>
      <c r="Z164">
        <f>SUMIFS(AS!$W:$W,AS!$BO:$BO,$W$7,AS!$AB:$AB,AS!$AA$1,AS!$AV:$AV,$X$5,AS!$AH:$AH,$X$8,AS!$BB:$BB,AS!$BA$1,AS!$AX:$AX,Y164,AS!$AW:$AW,$X$32,AS!$X:$X,$Y$5,AS!$AT:$AT,Parkki!$Y$13,AS!$K:$K,$X$31,AS!$F:$F,$V$29,AS!$L:$L,$V$30,AS!$AG:$AG,Parkki!$Y$9)</f>
        <v>0</v>
      </c>
      <c r="AA164">
        <f>SUMIFS(AS!$W:$W,AS!$BO:$BO,$W$7,AS!$AB:$AB,AS!$AA$1,AS!$AV:$AV,$X$5,AS!$I:$I,$X$7,AS!$AH:$AH,$X$8,AS!$BB:$BB,AS!$BA$1,AS!$AX:$AX,Y164,AS!$AW:$AW,$X$32,AS!$X:$X,$Y$5,AS!$AT:$AT,Parkki!$Y$13,AS!$K:$K,$X$31,AS!$F:$F,$V$29,AS!$L:$L,$V$30,AS!$AG:$AG,Parkki!$Y$9)</f>
        <v>0</v>
      </c>
      <c r="AB164">
        <f>SUMIFS(AS!$W:$W,AS!$BO:$BO,$W$7,AS!$AB:$AB,AS!$AA$1,AS!$AV:$AV,$X$5,AS!$I:$I,$Y$7,AS!$AH:$AH,$X$8,AS!$BB:$BB,AS!$BA$1,AS!$AX:$AX,Y164,AS!$AW:$AW,$X$32,AS!$X:$X,$Y$5,AS!$AT:$AT,Parkki!$Y$13,AS!$K:$K,$X$31,AS!$F:$F,$V$29,AS!$L:$L,$V$30,AS!$AG:$AG,Parkki!$Y$9)</f>
        <v>0</v>
      </c>
      <c r="AD164">
        <f>SUMIFS(AS!$W:$W,AS!$BO:$BO,$W$7,AS!$AB:$AB,AS!$AA$1,AS!$AV:$AV,$X$5,AS!$AH:$AH,$X$8,AS!$BB:$BB,AS!$BA$1,AS!$AX:$AX,AC164,AS!$AW:$AW,$X$32,AS!$X:$X,$Y$5,AS!$AT:$AT,Parkki!$Y$13,AS!$K:$K,$X$31,AS!$F:$F,$V$29,AS!$L:$L,$V$30,AS!$AG:$AG,Parkki!$Y$9)</f>
        <v>0</v>
      </c>
      <c r="AE164">
        <f>SUMIFS(AS!$W:$W,AS!$BO:$BO,$W$7,AS!$AB:$AB,AS!$AA$1,AS!$AV:$AV,$X$5,AS!$I:$I,$X$7,AS!$AH:$AH,$X$8,AS!$BB:$BB,AS!$BA$1,AS!$AX:$AX,AC164,AS!$AW:$AW,$X$32,AS!$X:$X,$Y$5,AS!$AT:$AT,Parkki!$Y$13,AS!$K:$K,$X$31,AS!$F:$F,$V$29,AS!$L:$L,$V$30,AS!$AG:$AG,Parkki!$Y$9)</f>
        <v>0</v>
      </c>
      <c r="AF164">
        <f>SUMIFS(AS!$W:$W,AS!$BO:$BO,$W$7,AS!$AB:$AB,AS!$AA$1,AS!$AV:$AV,$X$5,AS!$I:$I,$Y$7,AS!$AH:$AH,$X$8,AS!$BB:$BB,AS!$BA$1,AS!$AX:$AX,AC164,AS!$AW:$AW,$X$32,AS!$X:$X,$Y$5,AS!$AT:$AT,Parkki!$Y$13,AS!$K:$K,$X$31,AS!$F:$F,$V$29,AS!$L:$L,$V$30,AS!$AG:$AG,Parkki!$Y$9)</f>
        <v>0</v>
      </c>
    </row>
    <row r="165" spans="1:35" x14ac:dyDescent="0.25">
      <c r="A165" s="800" t="s">
        <v>609</v>
      </c>
      <c r="B165" s="518" t="s">
        <v>690</v>
      </c>
      <c r="C165" s="148">
        <f>SUMIFS(AS!$W:$W,AS!$BO:$BO,$W$7,AS!$AB:$AB,AS!$AA$1,AS!$AV:$AV,$X$5,AS!$AH:$AH,$X$8,AS!$BB:$BB,AS!$BA$1,AS!$AX:$AX,X165,AS!$AW:$AW,$X$32,AS!$X:$X,$Y$5,AS!$AT:$AT,Parkki!$Y$13,AS!$K:$K,$X$31,AS!$F:$F,$V$29,AS!$L:$L,$V$30,AS!$AG:$AG,Parkki!$Y$9)+Z165+AD165</f>
        <v>0</v>
      </c>
      <c r="D165" s="552" t="str">
        <f t="shared" si="23"/>
        <v>-</v>
      </c>
      <c r="E165" s="148">
        <f>SUMIFS(AS!$W:$W,AS!$BO:$BO,$W$7,AS!$AB:$AB,AS!$AA$1,AS!$AV:$AV,$X$5,AS!$I:$I,$X$7,AS!$AH:$AH,$X$8,AS!$BB:$BB,AS!$BA$1,AS!$AX:$AX,X165,AS!$AW:$AW,$X$32,AS!$X:$X,$Y$5,AS!$AT:$AT,Parkki!$Y$13,AS!$K:$K,$X$31,AS!$F:$F,$V$29,AS!$L:$L,$V$30,AS!$AG:$AG,Parkki!$Y$9)+AA165+AE165</f>
        <v>0</v>
      </c>
      <c r="F165" s="148">
        <f>SUMIFS(AS!$W:$W,AS!$BO:$BO,$W$7,AS!$AB:$AB,AS!$AA$1,AS!$AV:$AV,$X$5,AS!$I:$I,$Y$7,AS!$AH:$AH,$X$8,AS!$BB:$BB,AS!$BA$1,AS!$AX:$AX,X165,AS!$AW:$AW,$X$32,AS!$X:$X,$Y$5,AS!$AT:$AT,Parkki!$Y$13,AS!$K:$K,$X$31,AS!$F:$F,$V$29,AS!$L:$L,$V$30,AS!$AG:$AG,Parkki!$Y$9)+AB165+AF165</f>
        <v>0</v>
      </c>
      <c r="I165" s="387"/>
      <c r="J165" s="387"/>
      <c r="K165" s="387"/>
      <c r="L165" s="387"/>
      <c r="V165" s="148">
        <f>SUMIFS(AS!$W:$W,AS!$BO:$BO,$W$7,AS!$AB:$AB,AS!$AA$1,AS!$AV:$AV,$X$5,AS!$AH:$AH,$Y$8,AS!$BB:$BB,AS!$BA$1,AS!$AX:$AX,X165,AS!$AW:$AW,$Y$6,AS!$X:$X,$Y$5)</f>
        <v>0</v>
      </c>
      <c r="X165" s="385" t="s">
        <v>246</v>
      </c>
      <c r="Z165">
        <f>SUMIFS(AS!$W:$W,AS!$BO:$BO,$W$7,AS!$AB:$AB,AS!$AA$1,AS!$AV:$AV,$X$5,AS!$AH:$AH,$X$8,AS!$BB:$BB,AS!$BA$1,AS!$AX:$AX,Y165,AS!$AW:$AW,$X$32,AS!$X:$X,$Y$5,AS!$AT:$AT,Parkki!$Y$13,AS!$K:$K,$X$31,AS!$F:$F,$V$29,AS!$L:$L,$V$30,AS!$AG:$AG,Parkki!$Y$9)</f>
        <v>0</v>
      </c>
      <c r="AA165">
        <f>SUMIFS(AS!$W:$W,AS!$BO:$BO,$W$7,AS!$AB:$AB,AS!$AA$1,AS!$AV:$AV,$X$5,AS!$I:$I,$X$7,AS!$AH:$AH,$X$8,AS!$BB:$BB,AS!$BA$1,AS!$AX:$AX,Y165,AS!$AW:$AW,$X$32,AS!$X:$X,$Y$5,AS!$AT:$AT,Parkki!$Y$13,AS!$K:$K,$X$31,AS!$F:$F,$V$29,AS!$L:$L,$V$30,AS!$AG:$AG,Parkki!$Y$9)</f>
        <v>0</v>
      </c>
      <c r="AB165">
        <f>SUMIFS(AS!$W:$W,AS!$BO:$BO,$W$7,AS!$AB:$AB,AS!$AA$1,AS!$AV:$AV,$X$5,AS!$I:$I,$Y$7,AS!$AH:$AH,$X$8,AS!$BB:$BB,AS!$BA$1,AS!$AX:$AX,Y165,AS!$AW:$AW,$X$32,AS!$X:$X,$Y$5,AS!$AT:$AT,Parkki!$Y$13,AS!$K:$K,$X$31,AS!$F:$F,$V$29,AS!$L:$L,$V$30,AS!$AG:$AG,Parkki!$Y$9)</f>
        <v>0</v>
      </c>
      <c r="AD165">
        <f>SUMIFS(AS!$W:$W,AS!$BO:$BO,$W$7,AS!$AB:$AB,AS!$AA$1,AS!$AV:$AV,$X$5,AS!$AH:$AH,$X$8,AS!$BB:$BB,AS!$BA$1,AS!$AX:$AX,AC165,AS!$AW:$AW,$X$32,AS!$X:$X,$Y$5,AS!$AT:$AT,Parkki!$Y$13,AS!$K:$K,$X$31,AS!$F:$F,$V$29,AS!$L:$L,$V$30,AS!$AG:$AG,Parkki!$Y$9)</f>
        <v>0</v>
      </c>
      <c r="AE165">
        <f>SUMIFS(AS!$W:$W,AS!$BO:$BO,$W$7,AS!$AB:$AB,AS!$AA$1,AS!$AV:$AV,$X$5,AS!$I:$I,$X$7,AS!$AH:$AH,$X$8,AS!$BB:$BB,AS!$BA$1,AS!$AX:$AX,AC165,AS!$AW:$AW,$X$32,AS!$X:$X,$Y$5,AS!$AT:$AT,Parkki!$Y$13,AS!$K:$K,$X$31,AS!$F:$F,$V$29,AS!$L:$L,$V$30,AS!$AG:$AG,Parkki!$Y$9)</f>
        <v>0</v>
      </c>
      <c r="AF165">
        <f>SUMIFS(AS!$W:$W,AS!$BO:$BO,$W$7,AS!$AB:$AB,AS!$AA$1,AS!$AV:$AV,$X$5,AS!$I:$I,$Y$7,AS!$AH:$AH,$X$8,AS!$BB:$BB,AS!$BA$1,AS!$AX:$AX,AC165,AS!$AW:$AW,$X$32,AS!$X:$X,$Y$5,AS!$AT:$AT,Parkki!$Y$13,AS!$K:$K,$X$31,AS!$F:$F,$V$29,AS!$L:$L,$V$30,AS!$AG:$AG,Parkki!$Y$9)</f>
        <v>0</v>
      </c>
    </row>
    <row r="166" spans="1:35" x14ac:dyDescent="0.25">
      <c r="A166" s="801"/>
      <c r="B166" s="518" t="s">
        <v>691</v>
      </c>
      <c r="C166" s="148">
        <f>SUMIFS(AS!$W:$W,AS!$BO:$BO,$W$7,AS!$AB:$AB,AS!$AA$1,AS!$AV:$AV,$X$5,AS!$AH:$AH,$X$8,AS!$BB:$BB,AS!$BA$1,AS!$AX:$AX,X166,AS!$AW:$AW,$X$32,AS!$X:$X,$Y$5,AS!$AT:$AT,Parkki!$Y$13,AS!$K:$K,$X$31,AS!$F:$F,$V$29,AS!$L:$L,$V$30,AS!$AG:$AG,Parkki!$Y$9)+Z166+AD166</f>
        <v>0</v>
      </c>
      <c r="D166" s="552" t="str">
        <f t="shared" si="23"/>
        <v>-</v>
      </c>
      <c r="E166" s="148">
        <f>SUMIFS(AS!$W:$W,AS!$BO:$BO,$W$7,AS!$AB:$AB,AS!$AA$1,AS!$AV:$AV,$X$5,AS!$I:$I,$X$7,AS!$AH:$AH,$X$8,AS!$BB:$BB,AS!$BA$1,AS!$AX:$AX,X166,AS!$AW:$AW,$X$32,AS!$X:$X,$Y$5,AS!$AT:$AT,Parkki!$Y$13,AS!$K:$K,$X$31,AS!$F:$F,$V$29,AS!$L:$L,$V$30,AS!$AG:$AG,Parkki!$Y$9)+AA166+AE166</f>
        <v>0</v>
      </c>
      <c r="F166" s="148">
        <f>SUMIFS(AS!$W:$W,AS!$BO:$BO,$W$7,AS!$AB:$AB,AS!$AA$1,AS!$AV:$AV,$X$5,AS!$I:$I,$Y$7,AS!$AH:$AH,$X$8,AS!$BB:$BB,AS!$BA$1,AS!$AX:$AX,X166,AS!$AW:$AW,$X$32,AS!$X:$X,$Y$5,AS!$AT:$AT,Parkki!$Y$13,AS!$K:$K,$X$31,AS!$F:$F,$V$29,AS!$L:$L,$V$30,AS!$AG:$AG,Parkki!$Y$9)+AB166+AF166</f>
        <v>0</v>
      </c>
      <c r="I166" s="387"/>
      <c r="J166" s="387"/>
      <c r="K166" s="387"/>
      <c r="L166" s="387"/>
      <c r="V166" s="148">
        <f>SUMIFS(AS!$W:$W,AS!$BO:$BO,$W$7,AS!$AB:$AB,AS!$AA$1,AS!$AV:$AV,$X$5,AS!$AH:$AH,$Y$8,AS!$BB:$BB,AS!$BA$1,AS!$AX:$AX,X166,AS!$AW:$AW,$Y$6,AS!$X:$X,$Y$5)</f>
        <v>0</v>
      </c>
      <c r="X166" s="385" t="s">
        <v>538</v>
      </c>
      <c r="Z166">
        <f>SUMIFS(AS!$W:$W,AS!$BO:$BO,$W$7,AS!$AB:$AB,AS!$AA$1,AS!$AV:$AV,$X$5,AS!$AH:$AH,$X$8,AS!$BB:$BB,AS!$BA$1,AS!$AX:$AX,Y166,AS!$AW:$AW,$X$32,AS!$X:$X,$Y$5,AS!$AT:$AT,Parkki!$Y$13,AS!$K:$K,$X$31,AS!$F:$F,$V$29,AS!$L:$L,$V$30,AS!$AG:$AG,Parkki!$Y$9)</f>
        <v>0</v>
      </c>
      <c r="AA166">
        <f>SUMIFS(AS!$W:$W,AS!$BO:$BO,$W$7,AS!$AB:$AB,AS!$AA$1,AS!$AV:$AV,$X$5,AS!$I:$I,$X$7,AS!$AH:$AH,$X$8,AS!$BB:$BB,AS!$BA$1,AS!$AX:$AX,Y166,AS!$AW:$AW,$X$32,AS!$X:$X,$Y$5,AS!$AT:$AT,Parkki!$Y$13,AS!$K:$K,$X$31,AS!$F:$F,$V$29,AS!$L:$L,$V$30,AS!$AG:$AG,Parkki!$Y$9)</f>
        <v>0</v>
      </c>
      <c r="AB166">
        <f>SUMIFS(AS!$W:$W,AS!$BO:$BO,$W$7,AS!$AB:$AB,AS!$AA$1,AS!$AV:$AV,$X$5,AS!$I:$I,$Y$7,AS!$AH:$AH,$X$8,AS!$BB:$BB,AS!$BA$1,AS!$AX:$AX,Y166,AS!$AW:$AW,$X$32,AS!$X:$X,$Y$5,AS!$AT:$AT,Parkki!$Y$13,AS!$K:$K,$X$31,AS!$F:$F,$V$29,AS!$L:$L,$V$30,AS!$AG:$AG,Parkki!$Y$9)</f>
        <v>0</v>
      </c>
      <c r="AD166">
        <f>SUMIFS(AS!$W:$W,AS!$BO:$BO,$W$7,AS!$AB:$AB,AS!$AA$1,AS!$AV:$AV,$X$5,AS!$AH:$AH,$X$8,AS!$BB:$BB,AS!$BA$1,AS!$AX:$AX,AC166,AS!$AW:$AW,$X$32,AS!$X:$X,$Y$5,AS!$AT:$AT,Parkki!$Y$13,AS!$K:$K,$X$31,AS!$F:$F,$V$29,AS!$L:$L,$V$30,AS!$AG:$AG,Parkki!$Y$9)</f>
        <v>0</v>
      </c>
      <c r="AE166">
        <f>SUMIFS(AS!$W:$W,AS!$BO:$BO,$W$7,AS!$AB:$AB,AS!$AA$1,AS!$AV:$AV,$X$5,AS!$I:$I,$X$7,AS!$AH:$AH,$X$8,AS!$BB:$BB,AS!$BA$1,AS!$AX:$AX,AC166,AS!$AW:$AW,$X$32,AS!$X:$X,$Y$5,AS!$AT:$AT,Parkki!$Y$13,AS!$K:$K,$X$31,AS!$F:$F,$V$29,AS!$L:$L,$V$30,AS!$AG:$AG,Parkki!$Y$9)</f>
        <v>0</v>
      </c>
      <c r="AF166">
        <f>SUMIFS(AS!$W:$W,AS!$BO:$BO,$W$7,AS!$AB:$AB,AS!$AA$1,AS!$AV:$AV,$X$5,AS!$I:$I,$Y$7,AS!$AH:$AH,$X$8,AS!$BB:$BB,AS!$BA$1,AS!$AX:$AX,AC166,AS!$AW:$AW,$X$32,AS!$X:$X,$Y$5,AS!$AT:$AT,Parkki!$Y$13,AS!$K:$K,$X$31,AS!$F:$F,$V$29,AS!$L:$L,$V$30,AS!$AG:$AG,Parkki!$Y$9)</f>
        <v>0</v>
      </c>
    </row>
    <row r="167" spans="1:35" x14ac:dyDescent="0.25">
      <c r="A167" s="801"/>
      <c r="B167" s="518" t="s">
        <v>692</v>
      </c>
      <c r="C167" s="148">
        <f>SUMIFS(AS!$W:$W,AS!$BO:$BO,$W$7,AS!$AB:$AB,AS!$AA$1,AS!$AV:$AV,$X$5,AS!$AH:$AH,$X$8,AS!$BB:$BB,AS!$BA$1,AS!$AX:$AX,X167,AS!$AW:$AW,$X$32,AS!$X:$X,$Y$5,AS!$AT:$AT,Parkki!$Y$13,AS!$K:$K,$X$31,AS!$F:$F,$V$29,AS!$L:$L,$V$30,AS!$AG:$AG,Parkki!$Y$9)+Z167+AD167</f>
        <v>0</v>
      </c>
      <c r="D167" s="552" t="str">
        <f t="shared" si="23"/>
        <v>-</v>
      </c>
      <c r="E167" s="148">
        <f>SUMIFS(AS!$W:$W,AS!$BO:$BO,$W$7,AS!$AB:$AB,AS!$AA$1,AS!$AV:$AV,$X$5,AS!$I:$I,$X$7,AS!$AH:$AH,$X$8,AS!$BB:$BB,AS!$BA$1,AS!$AX:$AX,X167,AS!$AW:$AW,$X$32,AS!$X:$X,$Y$5,AS!$AT:$AT,Parkki!$Y$13,AS!$K:$K,$X$31,AS!$F:$F,$V$29,AS!$L:$L,$V$30,AS!$AG:$AG,Parkki!$Y$9)+AA167+AE167</f>
        <v>0</v>
      </c>
      <c r="F167" s="148">
        <f>SUMIFS(AS!$W:$W,AS!$BO:$BO,$W$7,AS!$AB:$AB,AS!$AA$1,AS!$AV:$AV,$X$5,AS!$I:$I,$Y$7,AS!$AH:$AH,$X$8,AS!$BB:$BB,AS!$BA$1,AS!$AX:$AX,X167,AS!$AW:$AW,$X$32,AS!$X:$X,$Y$5,AS!$AT:$AT,Parkki!$Y$13,AS!$K:$K,$X$31,AS!$F:$F,$V$29,AS!$L:$L,$V$30,AS!$AG:$AG,Parkki!$Y$9)+AB167+AF167</f>
        <v>0</v>
      </c>
      <c r="I167" s="387"/>
      <c r="J167" s="387"/>
      <c r="K167" s="387"/>
      <c r="L167" s="387"/>
      <c r="V167" s="148">
        <f>SUMIFS(AS!$W:$W,AS!$BO:$BO,$W$7,AS!$AB:$AB,AS!$AA$1,AS!$AV:$AV,$X$5,AS!$AH:$AH,$Y$8,AS!$BB:$BB,AS!$BA$1,AS!$AX:$AX,X167,AS!$AW:$AW,$Y$6,AS!$X:$X,$Y$5)</f>
        <v>0</v>
      </c>
      <c r="X167" s="385" t="s">
        <v>539</v>
      </c>
      <c r="Z167">
        <f>SUMIFS(AS!$W:$W,AS!$BO:$BO,$W$7,AS!$AB:$AB,AS!$AA$1,AS!$AV:$AV,$X$5,AS!$AH:$AH,$X$8,AS!$BB:$BB,AS!$BA$1,AS!$AX:$AX,Y167,AS!$AW:$AW,$X$32,AS!$X:$X,$Y$5,AS!$AT:$AT,Parkki!$Y$13,AS!$K:$K,$X$31,AS!$F:$F,$V$29,AS!$L:$L,$V$30,AS!$AG:$AG,Parkki!$Y$9)</f>
        <v>0</v>
      </c>
      <c r="AA167">
        <f>SUMIFS(AS!$W:$W,AS!$BO:$BO,$W$7,AS!$AB:$AB,AS!$AA$1,AS!$AV:$AV,$X$5,AS!$I:$I,$X$7,AS!$AH:$AH,$X$8,AS!$BB:$BB,AS!$BA$1,AS!$AX:$AX,Y167,AS!$AW:$AW,$X$32,AS!$X:$X,$Y$5,AS!$AT:$AT,Parkki!$Y$13,AS!$K:$K,$X$31,AS!$F:$F,$V$29,AS!$L:$L,$V$30,AS!$AG:$AG,Parkki!$Y$9)</f>
        <v>0</v>
      </c>
      <c r="AB167">
        <f>SUMIFS(AS!$W:$W,AS!$BO:$BO,$W$7,AS!$AB:$AB,AS!$AA$1,AS!$AV:$AV,$X$5,AS!$I:$I,$Y$7,AS!$AH:$AH,$X$8,AS!$BB:$BB,AS!$BA$1,AS!$AX:$AX,Y167,AS!$AW:$AW,$X$32,AS!$X:$X,$Y$5,AS!$AT:$AT,Parkki!$Y$13,AS!$K:$K,$X$31,AS!$F:$F,$V$29,AS!$L:$L,$V$30,AS!$AG:$AG,Parkki!$Y$9)</f>
        <v>0</v>
      </c>
      <c r="AD167">
        <f>SUMIFS(AS!$W:$W,AS!$BO:$BO,$W$7,AS!$AB:$AB,AS!$AA$1,AS!$AV:$AV,$X$5,AS!$AH:$AH,$X$8,AS!$BB:$BB,AS!$BA$1,AS!$AX:$AX,AC167,AS!$AW:$AW,$X$32,AS!$X:$X,$Y$5,AS!$AT:$AT,Parkki!$Y$13,AS!$K:$K,$X$31,AS!$F:$F,$V$29,AS!$L:$L,$V$30,AS!$AG:$AG,Parkki!$Y$9)</f>
        <v>0</v>
      </c>
      <c r="AE167">
        <f>SUMIFS(AS!$W:$W,AS!$BO:$BO,$W$7,AS!$AB:$AB,AS!$AA$1,AS!$AV:$AV,$X$5,AS!$I:$I,$X$7,AS!$AH:$AH,$X$8,AS!$BB:$BB,AS!$BA$1,AS!$AX:$AX,AC167,AS!$AW:$AW,$X$32,AS!$X:$X,$Y$5,AS!$AT:$AT,Parkki!$Y$13,AS!$K:$K,$X$31,AS!$F:$F,$V$29,AS!$L:$L,$V$30,AS!$AG:$AG,Parkki!$Y$9)</f>
        <v>0</v>
      </c>
      <c r="AF167">
        <f>SUMIFS(AS!$W:$W,AS!$BO:$BO,$W$7,AS!$AB:$AB,AS!$AA$1,AS!$AV:$AV,$X$5,AS!$I:$I,$Y$7,AS!$AH:$AH,$X$8,AS!$BB:$BB,AS!$BA$1,AS!$AX:$AX,AC167,AS!$AW:$AW,$X$32,AS!$X:$X,$Y$5,AS!$AT:$AT,Parkki!$Y$13,AS!$K:$K,$X$31,AS!$F:$F,$V$29,AS!$L:$L,$V$30,AS!$AG:$AG,Parkki!$Y$9)</f>
        <v>0</v>
      </c>
    </row>
    <row r="168" spans="1:35" x14ac:dyDescent="0.25">
      <c r="A168" s="801"/>
      <c r="B168" s="518" t="s">
        <v>693</v>
      </c>
      <c r="C168" s="148">
        <f>SUMIFS(AS!$W:$W,AS!$BO:$BO,$W$7,AS!$AB:$AB,AS!$AA$1,AS!$AV:$AV,$X$5,AS!$AH:$AH,$X$8,AS!$BB:$BB,AS!$BA$1,AS!$AX:$AX,X168,AS!$AW:$AW,$X$32,AS!$X:$X,$Y$5,AS!$AT:$AT,Parkki!$Y$13,AS!$K:$K,$X$31,AS!$F:$F,$V$29,AS!$L:$L,$V$30,AS!$AG:$AG,Parkki!$Y$9)+Z168+AD168</f>
        <v>0</v>
      </c>
      <c r="D168" s="552" t="str">
        <f t="shared" si="23"/>
        <v>-</v>
      </c>
      <c r="E168" s="148">
        <f>SUMIFS(AS!$W:$W,AS!$BO:$BO,$W$7,AS!$AB:$AB,AS!$AA$1,AS!$AV:$AV,$X$5,AS!$I:$I,$X$7,AS!$AH:$AH,$X$8,AS!$BB:$BB,AS!$BA$1,AS!$AX:$AX,X168,AS!$AW:$AW,$X$32,AS!$X:$X,$Y$5,AS!$AT:$AT,Parkki!$Y$13,AS!$K:$K,$X$31,AS!$F:$F,$V$29,AS!$L:$L,$V$30,AS!$AG:$AG,Parkki!$Y$9)+AA168+AE168</f>
        <v>0</v>
      </c>
      <c r="F168" s="148">
        <f>SUMIFS(AS!$W:$W,AS!$BO:$BO,$W$7,AS!$AB:$AB,AS!$AA$1,AS!$AV:$AV,$X$5,AS!$I:$I,$Y$7,AS!$AH:$AH,$X$8,AS!$BB:$BB,AS!$BA$1,AS!$AX:$AX,X168,AS!$AW:$AW,$X$32,AS!$X:$X,$Y$5,AS!$AT:$AT,Parkki!$Y$13,AS!$K:$K,$X$31,AS!$F:$F,$V$29,AS!$L:$L,$V$30,AS!$AG:$AG,Parkki!$Y$9)+AB168+AF168</f>
        <v>0</v>
      </c>
      <c r="I168" s="387"/>
      <c r="J168" s="387"/>
      <c r="K168" s="387"/>
      <c r="L168" s="387"/>
      <c r="V168" s="148">
        <f>SUMIFS(AS!$W:$W,AS!$BO:$BO,$W$7,AS!$AB:$AB,AS!$AA$1,AS!$AV:$AV,$X$5,AS!$AH:$AH,$Y$8,AS!$BB:$BB,AS!$BA$1,AS!$AX:$AX,X168,AS!$AW:$AW,$Y$6,AS!$X:$X,$Y$5)</f>
        <v>0</v>
      </c>
      <c r="X168" s="385" t="s">
        <v>251</v>
      </c>
      <c r="Z168">
        <f>SUMIFS(AS!$W:$W,AS!$BO:$BO,$W$7,AS!$AB:$AB,AS!$AA$1,AS!$AV:$AV,$X$5,AS!$AH:$AH,$X$8,AS!$BB:$BB,AS!$BA$1,AS!$AX:$AX,Y168,AS!$AW:$AW,$X$32,AS!$X:$X,$Y$5,AS!$AT:$AT,Parkki!$Y$13,AS!$K:$K,$X$31,AS!$F:$F,$V$29,AS!$L:$L,$V$30,AS!$AG:$AG,Parkki!$Y$9)</f>
        <v>0</v>
      </c>
      <c r="AA168">
        <f>SUMIFS(AS!$W:$W,AS!$BO:$BO,$W$7,AS!$AB:$AB,AS!$AA$1,AS!$AV:$AV,$X$5,AS!$I:$I,$X$7,AS!$AH:$AH,$X$8,AS!$BB:$BB,AS!$BA$1,AS!$AX:$AX,Y168,AS!$AW:$AW,$X$32,AS!$X:$X,$Y$5,AS!$AT:$AT,Parkki!$Y$13,AS!$K:$K,$X$31,AS!$F:$F,$V$29,AS!$L:$L,$V$30,AS!$AG:$AG,Parkki!$Y$9)</f>
        <v>0</v>
      </c>
      <c r="AB168">
        <f>SUMIFS(AS!$W:$W,AS!$BO:$BO,$W$7,AS!$AB:$AB,AS!$AA$1,AS!$AV:$AV,$X$5,AS!$I:$I,$Y$7,AS!$AH:$AH,$X$8,AS!$BB:$BB,AS!$BA$1,AS!$AX:$AX,Y168,AS!$AW:$AW,$X$32,AS!$X:$X,$Y$5,AS!$AT:$AT,Parkki!$Y$13,AS!$K:$K,$X$31,AS!$F:$F,$V$29,AS!$L:$L,$V$30,AS!$AG:$AG,Parkki!$Y$9)</f>
        <v>0</v>
      </c>
      <c r="AD168">
        <f>SUMIFS(AS!$W:$W,AS!$BO:$BO,$W$7,AS!$AB:$AB,AS!$AA$1,AS!$AV:$AV,$X$5,AS!$AH:$AH,$X$8,AS!$BB:$BB,AS!$BA$1,AS!$AX:$AX,AC168,AS!$AW:$AW,$X$32,AS!$X:$X,$Y$5,AS!$AT:$AT,Parkki!$Y$13,AS!$K:$K,$X$31,AS!$F:$F,$V$29,AS!$L:$L,$V$30,AS!$AG:$AG,Parkki!$Y$9)</f>
        <v>0</v>
      </c>
      <c r="AE168">
        <f>SUMIFS(AS!$W:$W,AS!$BO:$BO,$W$7,AS!$AB:$AB,AS!$AA$1,AS!$AV:$AV,$X$5,AS!$I:$I,$X$7,AS!$AH:$AH,$X$8,AS!$BB:$BB,AS!$BA$1,AS!$AX:$AX,AC168,AS!$AW:$AW,$X$32,AS!$X:$X,$Y$5,AS!$AT:$AT,Parkki!$Y$13,AS!$K:$K,$X$31,AS!$F:$F,$V$29,AS!$L:$L,$V$30,AS!$AG:$AG,Parkki!$Y$9)</f>
        <v>0</v>
      </c>
      <c r="AF168">
        <f>SUMIFS(AS!$W:$W,AS!$BO:$BO,$W$7,AS!$AB:$AB,AS!$AA$1,AS!$AV:$AV,$X$5,AS!$I:$I,$Y$7,AS!$AH:$AH,$X$8,AS!$BB:$BB,AS!$BA$1,AS!$AX:$AX,AC168,AS!$AW:$AW,$X$32,AS!$X:$X,$Y$5,AS!$AT:$AT,Parkki!$Y$13,AS!$K:$K,$X$31,AS!$F:$F,$V$29,AS!$L:$L,$V$30,AS!$AG:$AG,Parkki!$Y$9)</f>
        <v>0</v>
      </c>
    </row>
    <row r="169" spans="1:35" x14ac:dyDescent="0.25">
      <c r="A169" s="801"/>
      <c r="B169" s="518" t="s">
        <v>160</v>
      </c>
      <c r="C169" s="148">
        <f>SUMIFS(AS!$W:$W,AS!$BO:$BO,$W$7,AS!$AB:$AB,AS!$AA$1,AS!$AV:$AV,$X$5,AS!$AH:$AH,$X$8,AS!$BB:$BB,AS!$BA$1,AS!$AX:$AX,X169,AS!$AW:$AW,$X$32,AS!$X:$X,$Y$5,AS!$AT:$AT,Parkki!$Y$13,AS!$K:$K,$X$31,AS!$F:$F,$V$29,AS!$L:$L,$V$30,AS!$AG:$AG,Parkki!$Y$9)+Z169+AD169</f>
        <v>0</v>
      </c>
      <c r="D169" s="552" t="str">
        <f t="shared" si="23"/>
        <v>-</v>
      </c>
      <c r="E169" s="148">
        <f>SUMIFS(AS!$W:$W,AS!$BO:$BO,$W$7,AS!$AB:$AB,AS!$AA$1,AS!$AV:$AV,$X$5,AS!$I:$I,$X$7,AS!$AH:$AH,$X$8,AS!$BB:$BB,AS!$BA$1,AS!$AX:$AX,X169,AS!$AW:$AW,$X$32,AS!$X:$X,$Y$5,AS!$AT:$AT,Parkki!$Y$13,AS!$K:$K,$X$31,AS!$F:$F,$V$29,AS!$L:$L,$V$30,AS!$AG:$AG,Parkki!$Y$9)+AA169+AE169</f>
        <v>0</v>
      </c>
      <c r="F169" s="148">
        <f>SUMIFS(AS!$W:$W,AS!$BO:$BO,$W$7,AS!$AB:$AB,AS!$AA$1,AS!$AV:$AV,$X$5,AS!$I:$I,$Y$7,AS!$AH:$AH,$X$8,AS!$BB:$BB,AS!$BA$1,AS!$AX:$AX,X169,AS!$AW:$AW,$X$32,AS!$X:$X,$Y$5,AS!$AT:$AT,Parkki!$Y$13,AS!$K:$K,$X$31,AS!$F:$F,$V$29,AS!$L:$L,$V$30,AS!$AG:$AG,Parkki!$Y$9)+AB169+AF169</f>
        <v>0</v>
      </c>
      <c r="I169" s="387"/>
      <c r="J169" s="387"/>
      <c r="K169" s="387"/>
      <c r="L169" s="387"/>
      <c r="V169" s="148">
        <f>SUMIFS(AS!$W:$W,AS!$BO:$BO,$W$7,AS!$AB:$AB,AS!$AA$1,AS!$AV:$AV,$X$5,AS!$AH:$AH,$Y$8,AS!$BB:$BB,AS!$BA$1,AS!$AX:$AX,X169,AS!$AW:$AW,$Y$6,AS!$X:$X,$Y$5)</f>
        <v>0</v>
      </c>
      <c r="X169" s="385" t="s">
        <v>540</v>
      </c>
      <c r="Z169">
        <f>SUMIFS(AS!$W:$W,AS!$BO:$BO,$W$7,AS!$AB:$AB,AS!$AA$1,AS!$AV:$AV,$X$5,AS!$AH:$AH,$X$8,AS!$BB:$BB,AS!$BA$1,AS!$AX:$AX,Y169,AS!$AW:$AW,$X$32,AS!$X:$X,$Y$5,AS!$AT:$AT,Parkki!$Y$13,AS!$K:$K,$X$31,AS!$F:$F,$V$29,AS!$L:$L,$V$30,AS!$AG:$AG,Parkki!$Y$9)</f>
        <v>0</v>
      </c>
      <c r="AA169">
        <f>SUMIFS(AS!$W:$W,AS!$BO:$BO,$W$7,AS!$AB:$AB,AS!$AA$1,AS!$AV:$AV,$X$5,AS!$I:$I,$X$7,AS!$AH:$AH,$X$8,AS!$BB:$BB,AS!$BA$1,AS!$AX:$AX,Y169,AS!$AW:$AW,$X$32,AS!$X:$X,$Y$5,AS!$AT:$AT,Parkki!$Y$13,AS!$K:$K,$X$31,AS!$F:$F,$V$29,AS!$L:$L,$V$30,AS!$AG:$AG,Parkki!$Y$9)</f>
        <v>0</v>
      </c>
      <c r="AB169">
        <f>SUMIFS(AS!$W:$W,AS!$BO:$BO,$W$7,AS!$AB:$AB,AS!$AA$1,AS!$AV:$AV,$X$5,AS!$I:$I,$Y$7,AS!$AH:$AH,$X$8,AS!$BB:$BB,AS!$BA$1,AS!$AX:$AX,Y169,AS!$AW:$AW,$X$32,AS!$X:$X,$Y$5,AS!$AT:$AT,Parkki!$Y$13,AS!$K:$K,$X$31,AS!$F:$F,$V$29,AS!$L:$L,$V$30,AS!$AG:$AG,Parkki!$Y$9)</f>
        <v>0</v>
      </c>
      <c r="AD169">
        <f>SUMIFS(AS!$W:$W,AS!$BO:$BO,$W$7,AS!$AB:$AB,AS!$AA$1,AS!$AV:$AV,$X$5,AS!$AH:$AH,$X$8,AS!$BB:$BB,AS!$BA$1,AS!$AX:$AX,AC169,AS!$AW:$AW,$X$32,AS!$X:$X,$Y$5,AS!$AT:$AT,Parkki!$Y$13,AS!$K:$K,$X$31,AS!$F:$F,$V$29,AS!$L:$L,$V$30,AS!$AG:$AG,Parkki!$Y$9)</f>
        <v>0</v>
      </c>
      <c r="AE169">
        <f>SUMIFS(AS!$W:$W,AS!$BO:$BO,$W$7,AS!$AB:$AB,AS!$AA$1,AS!$AV:$AV,$X$5,AS!$I:$I,$X$7,AS!$AH:$AH,$X$8,AS!$BB:$BB,AS!$BA$1,AS!$AX:$AX,AC169,AS!$AW:$AW,$X$32,AS!$X:$X,$Y$5,AS!$AT:$AT,Parkki!$Y$13,AS!$K:$K,$X$31,AS!$F:$F,$V$29,AS!$L:$L,$V$30,AS!$AG:$AG,Parkki!$Y$9)</f>
        <v>0</v>
      </c>
      <c r="AF169">
        <f>SUMIFS(AS!$W:$W,AS!$BO:$BO,$W$7,AS!$AB:$AB,AS!$AA$1,AS!$AV:$AV,$X$5,AS!$I:$I,$Y$7,AS!$AH:$AH,$X$8,AS!$BB:$BB,AS!$BA$1,AS!$AX:$AX,AC169,AS!$AW:$AW,$X$32,AS!$X:$X,$Y$5,AS!$AT:$AT,Parkki!$Y$13,AS!$K:$K,$X$31,AS!$F:$F,$V$29,AS!$L:$L,$V$30,AS!$AG:$AG,Parkki!$Y$9)</f>
        <v>0</v>
      </c>
    </row>
    <row r="170" spans="1:35" x14ac:dyDescent="0.25">
      <c r="A170" s="801"/>
      <c r="B170" s="518" t="s">
        <v>694</v>
      </c>
      <c r="C170" s="148">
        <f>SUMIFS(AS!$W:$W,AS!$BO:$BO,$W$7,AS!$AB:$AB,AS!$AA$1,AS!$AV:$AV,$X$5,AS!$AH:$AH,$X$8,AS!$BB:$BB,AS!$BA$1,AS!$AX:$AX,X170,AS!$AW:$AW,$X$32,AS!$X:$X,$Y$5,AS!$AT:$AT,Parkki!$Y$13,AS!$K:$K,$X$31,AS!$F:$F,$V$29,AS!$L:$L,$V$30,AS!$AG:$AG,Parkki!$Y$9)+Z170+AD170</f>
        <v>0</v>
      </c>
      <c r="D170" s="552" t="str">
        <f t="shared" si="23"/>
        <v>-</v>
      </c>
      <c r="E170" s="148">
        <f>SUMIFS(AS!$W:$W,AS!$BO:$BO,$W$7,AS!$AB:$AB,AS!$AA$1,AS!$AV:$AV,$X$5,AS!$I:$I,$X$7,AS!$AH:$AH,$X$8,AS!$BB:$BB,AS!$BA$1,AS!$AX:$AX,X170,AS!$AW:$AW,$X$32,AS!$X:$X,$Y$5,AS!$AT:$AT,Parkki!$Y$13,AS!$K:$K,$X$31,AS!$F:$F,$V$29,AS!$L:$L,$V$30,AS!$AG:$AG,Parkki!$Y$9)+AA170+AE170</f>
        <v>0</v>
      </c>
      <c r="F170" s="148">
        <f>SUMIFS(AS!$W:$W,AS!$BO:$BO,$W$7,AS!$AB:$AB,AS!$AA$1,AS!$AV:$AV,$X$5,AS!$I:$I,$Y$7,AS!$AH:$AH,$X$8,AS!$BB:$BB,AS!$BA$1,AS!$AX:$AX,X170,AS!$AW:$AW,$X$32,AS!$X:$X,$Y$5,AS!$AT:$AT,Parkki!$Y$13,AS!$K:$K,$X$31,AS!$F:$F,$V$29,AS!$L:$L,$V$30,AS!$AG:$AG,Parkki!$Y$9)+AB170+AF170</f>
        <v>0</v>
      </c>
      <c r="I170" s="387"/>
      <c r="J170" s="387"/>
      <c r="K170" s="387"/>
      <c r="L170" s="387"/>
      <c r="V170" s="148">
        <f>SUMIFS(AS!$W:$W,AS!$BO:$BO,$W$7,AS!$AB:$AB,AS!$AA$1,AS!$AV:$AV,$X$5,AS!$AH:$AH,$Y$8,AS!$BB:$BB,AS!$BA$1,AS!$AX:$AX,X170,AS!$AW:$AW,$Y$6,AS!$X:$X,$Y$5)</f>
        <v>0</v>
      </c>
      <c r="X170" s="385" t="s">
        <v>232</v>
      </c>
      <c r="Z170">
        <f>SUMIFS(AS!$W:$W,AS!$BO:$BO,$W$7,AS!$AB:$AB,AS!$AA$1,AS!$AV:$AV,$X$5,AS!$AH:$AH,$X$8,AS!$BB:$BB,AS!$BA$1,AS!$AX:$AX,Y170,AS!$AW:$AW,$X$32,AS!$X:$X,$Y$5,AS!$AT:$AT,Parkki!$Y$13,AS!$K:$K,$X$31,AS!$F:$F,$V$29,AS!$L:$L,$V$30,AS!$AG:$AG,Parkki!$Y$9)</f>
        <v>0</v>
      </c>
      <c r="AA170">
        <f>SUMIFS(AS!$W:$W,AS!$BO:$BO,$W$7,AS!$AB:$AB,AS!$AA$1,AS!$AV:$AV,$X$5,AS!$I:$I,$X$7,AS!$AH:$AH,$X$8,AS!$BB:$BB,AS!$BA$1,AS!$AX:$AX,Y170,AS!$AW:$AW,$X$32,AS!$X:$X,$Y$5,AS!$AT:$AT,Parkki!$Y$13,AS!$K:$K,$X$31,AS!$F:$F,$V$29,AS!$L:$L,$V$30,AS!$AG:$AG,Parkki!$Y$9)</f>
        <v>0</v>
      </c>
      <c r="AB170">
        <f>SUMIFS(AS!$W:$W,AS!$BO:$BO,$W$7,AS!$AB:$AB,AS!$AA$1,AS!$AV:$AV,$X$5,AS!$I:$I,$Y$7,AS!$AH:$AH,$X$8,AS!$BB:$BB,AS!$BA$1,AS!$AX:$AX,Y170,AS!$AW:$AW,$X$32,AS!$X:$X,$Y$5,AS!$AT:$AT,Parkki!$Y$13,AS!$K:$K,$X$31,AS!$F:$F,$V$29,AS!$L:$L,$V$30,AS!$AG:$AG,Parkki!$Y$9)</f>
        <v>0</v>
      </c>
      <c r="AD170">
        <f>SUMIFS(AS!$W:$W,AS!$BO:$BO,$W$7,AS!$AB:$AB,AS!$AA$1,AS!$AV:$AV,$X$5,AS!$AH:$AH,$X$8,AS!$BB:$BB,AS!$BA$1,AS!$AX:$AX,AC170,AS!$AW:$AW,$X$32,AS!$X:$X,$Y$5,AS!$AT:$AT,Parkki!$Y$13,AS!$K:$K,$X$31,AS!$F:$F,$V$29,AS!$L:$L,$V$30,AS!$AG:$AG,Parkki!$Y$9)</f>
        <v>0</v>
      </c>
      <c r="AE170">
        <f>SUMIFS(AS!$W:$W,AS!$BO:$BO,$W$7,AS!$AB:$AB,AS!$AA$1,AS!$AV:$AV,$X$5,AS!$I:$I,$X$7,AS!$AH:$AH,$X$8,AS!$BB:$BB,AS!$BA$1,AS!$AX:$AX,AC170,AS!$AW:$AW,$X$32,AS!$X:$X,$Y$5,AS!$AT:$AT,Parkki!$Y$13,AS!$K:$K,$X$31,AS!$F:$F,$V$29,AS!$L:$L,$V$30,AS!$AG:$AG,Parkki!$Y$9)</f>
        <v>0</v>
      </c>
      <c r="AF170">
        <f>SUMIFS(AS!$W:$W,AS!$BO:$BO,$W$7,AS!$AB:$AB,AS!$AA$1,AS!$AV:$AV,$X$5,AS!$I:$I,$Y$7,AS!$AH:$AH,$X$8,AS!$BB:$BB,AS!$BA$1,AS!$AX:$AX,AC170,AS!$AW:$AW,$X$32,AS!$X:$X,$Y$5,AS!$AT:$AT,Parkki!$Y$13,AS!$K:$K,$X$31,AS!$F:$F,$V$29,AS!$L:$L,$V$30,AS!$AG:$AG,Parkki!$Y$9)</f>
        <v>0</v>
      </c>
    </row>
    <row r="171" spans="1:35" x14ac:dyDescent="0.25">
      <c r="A171" s="802"/>
      <c r="B171" s="518" t="s">
        <v>1374</v>
      </c>
      <c r="C171" s="148">
        <f>SUMIFS(AS!$W:$W,AS!$BO:$BO,$W$7,AS!$AB:$AB,AS!$AA$1,AS!$AV:$AV,$X$5,AS!$AH:$AH,$X$8,AS!$BB:$BB,AS!$BA$1,AS!$AX:$AX,X171,AS!$AW:$AW,$X$32,AS!$X:$X,$Y$5,AS!$AT:$AT,Parkki!$Y$13,AS!$K:$K,$X$31,AS!$F:$F,$V$29,AS!$L:$L,$V$30,AS!$AG:$AG,Parkki!$Y$9)+Z171+AD171</f>
        <v>0</v>
      </c>
      <c r="D171" s="552" t="str">
        <f t="shared" si="23"/>
        <v>-</v>
      </c>
      <c r="E171" s="148">
        <f>SUMIFS(AS!$W:$W,AS!$BO:$BO,$W$7,AS!$AB:$AB,AS!$AA$1,AS!$AV:$AV,$X$5,AS!$I:$I,$X$7,AS!$AH:$AH,$X$8,AS!$BB:$BB,AS!$BA$1,AS!$AX:$AX,X171,AS!$AW:$AW,$X$32,AS!$X:$X,$Y$5,AS!$AT:$AT,Parkki!$Y$13,AS!$K:$K,$X$31,AS!$F:$F,$V$29,AS!$L:$L,$V$30,AS!$AG:$AG,Parkki!$Y$9)+AA171+AE171</f>
        <v>0</v>
      </c>
      <c r="F171" s="148">
        <f>SUMIFS(AS!$W:$W,AS!$BO:$BO,$W$7,AS!$AB:$AB,AS!$AA$1,AS!$AV:$AV,$X$5,AS!$I:$I,$Y$7,AS!$AH:$AH,$X$8,AS!$BB:$BB,AS!$BA$1,AS!$AX:$AX,X171,AS!$AW:$AW,$X$32,AS!$X:$X,$Y$5,AS!$AT:$AT,Parkki!$Y$13,AS!$K:$K,$X$31,AS!$F:$F,$V$29,AS!$L:$L,$V$30,AS!$AG:$AG,Parkki!$Y$9)+AB171+AF171</f>
        <v>0</v>
      </c>
      <c r="I171" s="387"/>
      <c r="J171" s="387"/>
      <c r="K171" s="387"/>
      <c r="L171" s="387"/>
      <c r="V171" s="148">
        <f>SUMIFS(AS!$W:$W,AS!$BO:$BO,$W$7,AS!$AB:$AB,AS!$AA$1,AS!$AV:$AV,$X$5,AS!$AH:$AH,$Y$8,AS!$BB:$BB,AS!$BA$1,AS!$AX:$AX,X171,AS!$AW:$AW,$Y$6,AS!$X:$X,$Y$5)</f>
        <v>0</v>
      </c>
      <c r="W171" t="s">
        <v>1393</v>
      </c>
      <c r="X171" s="427" t="s">
        <v>1381</v>
      </c>
      <c r="Y171" s="513" t="s">
        <v>542</v>
      </c>
      <c r="Z171">
        <f>SUMIFS(AS!$W:$W,AS!$BO:$BO,$W$7,AS!$AB:$AB,AS!$AA$1,AS!$AV:$AV,$X$5,AS!$AH:$AH,$X$8,AS!$BB:$BB,AS!$BA$1,AS!$AX:$AX,Y171,AS!$AW:$AW,$X$32,AS!$X:$X,$Y$5,AS!$AT:$AT,Parkki!$Y$13,AS!$K:$K,$X$31,AS!$F:$F,$V$29,AS!$L:$L,$V$30,AS!$AG:$AG,Parkki!$Y$9)</f>
        <v>0</v>
      </c>
      <c r="AA171">
        <f>SUMIFS(AS!$W:$W,AS!$BO:$BO,$W$7,AS!$AB:$AB,AS!$AA$1,AS!$AV:$AV,$X$5,AS!$I:$I,$X$7,AS!$AH:$AH,$X$8,AS!$BB:$BB,AS!$BA$1,AS!$AX:$AX,Y171,AS!$AW:$AW,$X$32,AS!$X:$X,$Y$5,AS!$AT:$AT,Parkki!$Y$13,AS!$K:$K,$X$31,AS!$F:$F,$V$29,AS!$L:$L,$V$30,AS!$AG:$AG,Parkki!$Y$9)</f>
        <v>0</v>
      </c>
      <c r="AB171">
        <f>SUMIFS(AS!$W:$W,AS!$BO:$BO,$W$7,AS!$AB:$AB,AS!$AA$1,AS!$AV:$AV,$X$5,AS!$I:$I,$Y$7,AS!$AH:$AH,$X$8,AS!$BB:$BB,AS!$BA$1,AS!$AX:$AX,Y171,AS!$AW:$AW,$X$32,AS!$X:$X,$Y$5,AS!$AT:$AT,Parkki!$Y$13,AS!$K:$K,$X$31,AS!$F:$F,$V$29,AS!$L:$L,$V$30,AS!$AG:$AG,Parkki!$Y$9)</f>
        <v>0</v>
      </c>
      <c r="AD171">
        <f>SUMIFS(AS!$W:$W,AS!$BO:$BO,$W$7,AS!$AB:$AB,AS!$AA$1,AS!$AV:$AV,$X$5,AS!$AH:$AH,$X$8,AS!$BB:$BB,AS!$BA$1,AS!$AX:$AX,AC171,AS!$AW:$AW,$X$32,AS!$X:$X,$Y$5,AS!$AT:$AT,Parkki!$Y$13,AS!$K:$K,$X$31,AS!$F:$F,$V$29,AS!$L:$L,$V$30,AS!$AG:$AG,Parkki!$Y$9)</f>
        <v>0</v>
      </c>
      <c r="AE171">
        <f>SUMIFS(AS!$W:$W,AS!$BO:$BO,$W$7,AS!$AB:$AB,AS!$AA$1,AS!$AV:$AV,$X$5,AS!$I:$I,$X$7,AS!$AH:$AH,$X$8,AS!$BB:$BB,AS!$BA$1,AS!$AX:$AX,AC171,AS!$AW:$AW,$X$32,AS!$X:$X,$Y$5,AS!$AT:$AT,Parkki!$Y$13,AS!$K:$K,$X$31,AS!$F:$F,$V$29,AS!$L:$L,$V$30,AS!$AG:$AG,Parkki!$Y$9)</f>
        <v>0</v>
      </c>
      <c r="AF171">
        <f>SUMIFS(AS!$W:$W,AS!$BO:$BO,$W$7,AS!$AB:$AB,AS!$AA$1,AS!$AV:$AV,$X$5,AS!$I:$I,$Y$7,AS!$AH:$AH,$X$8,AS!$BB:$BB,AS!$BA$1,AS!$AX:$AX,AC171,AS!$AW:$AW,$X$32,AS!$X:$X,$Y$5,AS!$AT:$AT,Parkki!$Y$13,AS!$K:$K,$X$31,AS!$F:$F,$V$29,AS!$L:$L,$V$30,AS!$AG:$AG,Parkki!$Y$9)</f>
        <v>0</v>
      </c>
    </row>
    <row r="172" spans="1:35" x14ac:dyDescent="0.25">
      <c r="A172" s="637" t="s">
        <v>614</v>
      </c>
      <c r="B172" s="518" t="s">
        <v>695</v>
      </c>
      <c r="C172" s="148">
        <f>SUMIFS(AS!$W:$W,AS!$BO:$BO,$W$7,AS!$AB:$AB,AS!$AA$1,AS!$AV:$AV,$X$5,AS!$AH:$AH,$X$8,AS!$BB:$BB,AS!$BA$1,AS!$AX:$AX,X172,AS!$AW:$AW,$X$32,AS!$X:$X,$Y$5,AS!$AT:$AT,Parkki!$Y$13,AS!$K:$K,$X$31,AS!$F:$F,$V$29,AS!$L:$L,$V$30,AS!$AG:$AG,Parkki!$Y$9)+Z172+AD172</f>
        <v>0</v>
      </c>
      <c r="D172" s="552" t="str">
        <f t="shared" si="23"/>
        <v>-</v>
      </c>
      <c r="E172" s="148">
        <f>SUMIFS(AS!$W:$W,AS!$BO:$BO,$W$7,AS!$AB:$AB,AS!$AA$1,AS!$AV:$AV,$X$5,AS!$I:$I,$X$7,AS!$AH:$AH,$X$8,AS!$BB:$BB,AS!$BA$1,AS!$AX:$AX,X172,AS!$AW:$AW,$X$32,AS!$X:$X,$Y$5,AS!$AT:$AT,Parkki!$Y$13,AS!$K:$K,$X$31,AS!$F:$F,$V$29,AS!$L:$L,$V$30,AS!$AG:$AG,Parkki!$Y$9)+AA172+AE172</f>
        <v>0</v>
      </c>
      <c r="F172" s="148">
        <f>SUMIFS(AS!$W:$W,AS!$BO:$BO,$W$7,AS!$AB:$AB,AS!$AA$1,AS!$AV:$AV,$X$5,AS!$I:$I,$Y$7,AS!$AH:$AH,$X$8,AS!$BB:$BB,AS!$BA$1,AS!$AX:$AX,X172,AS!$AW:$AW,$X$32,AS!$X:$X,$Y$5,AS!$AT:$AT,Parkki!$Y$13,AS!$K:$K,$X$31,AS!$F:$F,$V$29,AS!$L:$L,$V$30,AS!$AG:$AG,Parkki!$Y$9)+AB172+AF172</f>
        <v>0</v>
      </c>
      <c r="I172" s="387"/>
      <c r="J172" s="387"/>
      <c r="K172" s="387"/>
      <c r="L172" s="387"/>
      <c r="V172" s="148">
        <f>SUMIFS(AS!$W:$W,AS!$BO:$BO,$W$7,AS!$AB:$AB,AS!$AA$1,AS!$AV:$AV,$X$5,AS!$AH:$AH,$Y$8,AS!$BB:$BB,AS!$BA$1,AS!$AX:$AX,X172,AS!$AW:$AW,$Y$6,AS!$X:$X,$Y$5)</f>
        <v>0</v>
      </c>
      <c r="X172" s="385" t="s">
        <v>223</v>
      </c>
      <c r="Z172">
        <f>SUMIFS(AS!$W:$W,AS!$BO:$BO,$W$7,AS!$AB:$AB,AS!$AA$1,AS!$AV:$AV,$X$5,AS!$AH:$AH,$X$8,AS!$BB:$BB,AS!$BA$1,AS!$AX:$AX,Y172,AS!$AW:$AW,$X$32,AS!$X:$X,$Y$5,AS!$AT:$AT,Parkki!$Y$13,AS!$K:$K,$X$31,AS!$F:$F,$V$29,AS!$L:$L,$V$30,AS!$AG:$AG,Parkki!$Y$9)</f>
        <v>0</v>
      </c>
      <c r="AA172">
        <f>SUMIFS(AS!$W:$W,AS!$BO:$BO,$W$7,AS!$AB:$AB,AS!$AA$1,AS!$AV:$AV,$X$5,AS!$I:$I,$X$7,AS!$AH:$AH,$X$8,AS!$BB:$BB,AS!$BA$1,AS!$AX:$AX,Y172,AS!$AW:$AW,$X$32,AS!$X:$X,$Y$5,AS!$AT:$AT,Parkki!$Y$13,AS!$K:$K,$X$31,AS!$F:$F,$V$29,AS!$L:$L,$V$30,AS!$AG:$AG,Parkki!$Y$9)</f>
        <v>0</v>
      </c>
      <c r="AB172">
        <f>SUMIFS(AS!$W:$W,AS!$BO:$BO,$W$7,AS!$AB:$AB,AS!$AA$1,AS!$AV:$AV,$X$5,AS!$I:$I,$Y$7,AS!$AH:$AH,$X$8,AS!$BB:$BB,AS!$BA$1,AS!$AX:$AX,Y172,AS!$AW:$AW,$X$32,AS!$X:$X,$Y$5,AS!$AT:$AT,Parkki!$Y$13,AS!$K:$K,$X$31,AS!$F:$F,$V$29,AS!$L:$L,$V$30,AS!$AG:$AG,Parkki!$Y$9)</f>
        <v>0</v>
      </c>
      <c r="AD172">
        <f>SUMIFS(AS!$W:$W,AS!$BO:$BO,$W$7,AS!$AB:$AB,AS!$AA$1,AS!$AV:$AV,$X$5,AS!$AH:$AH,$X$8,AS!$BB:$BB,AS!$BA$1,AS!$AX:$AX,AC172,AS!$AW:$AW,$X$32,AS!$X:$X,$Y$5,AS!$AT:$AT,Parkki!$Y$13,AS!$K:$K,$X$31,AS!$F:$F,$V$29,AS!$L:$L,$V$30,AS!$AG:$AG,Parkki!$Y$9)</f>
        <v>0</v>
      </c>
      <c r="AE172">
        <f>SUMIFS(AS!$W:$W,AS!$BO:$BO,$W$7,AS!$AB:$AB,AS!$AA$1,AS!$AV:$AV,$X$5,AS!$I:$I,$X$7,AS!$AH:$AH,$X$8,AS!$BB:$BB,AS!$BA$1,AS!$AX:$AX,AC172,AS!$AW:$AW,$X$32,AS!$X:$X,$Y$5,AS!$AT:$AT,Parkki!$Y$13,AS!$K:$K,$X$31,AS!$F:$F,$V$29,AS!$L:$L,$V$30,AS!$AG:$AG,Parkki!$Y$9)</f>
        <v>0</v>
      </c>
      <c r="AF172">
        <f>SUMIFS(AS!$W:$W,AS!$BO:$BO,$W$7,AS!$AB:$AB,AS!$AA$1,AS!$AV:$AV,$X$5,AS!$I:$I,$Y$7,AS!$AH:$AH,$X$8,AS!$BB:$BB,AS!$BA$1,AS!$AX:$AX,AC172,AS!$AW:$AW,$X$32,AS!$X:$X,$Y$5,AS!$AT:$AT,Parkki!$Y$13,AS!$K:$K,$X$31,AS!$F:$F,$V$29,AS!$L:$L,$V$30,AS!$AG:$AG,Parkki!$Y$9)</f>
        <v>0</v>
      </c>
    </row>
    <row r="173" spans="1:35" x14ac:dyDescent="0.25">
      <c r="A173" s="796" t="s">
        <v>63</v>
      </c>
      <c r="B173" s="518" t="s">
        <v>1388</v>
      </c>
      <c r="C173" s="148">
        <f>SUMIFS(AS!$W:$W,AS!$BO:$BO,$W$7,AS!$AB:$AB,AS!$AA$1,AS!$AV:$AV,$X$5,AS!$AH:$AH,$X$8,AS!$BB:$BB,AS!$BA$1,AS!$AX:$AX,X173,AS!$AW:$AW,$X$32,AS!$X:$X,$Y$5,AS!$AT:$AT,Parkki!$Y$13,AS!$K:$K,$X$31,AS!$F:$F,$V$29,AS!$L:$L,$V$30,AS!$AG:$AG,Parkki!$Y$9)+Z173+AD173</f>
        <v>0</v>
      </c>
      <c r="D173" s="552" t="str">
        <f t="shared" si="23"/>
        <v>-</v>
      </c>
      <c r="E173" s="148">
        <f>SUMIFS(AS!$W:$W,AS!$BO:$BO,$W$7,AS!$AB:$AB,AS!$AA$1,AS!$AV:$AV,$X$5,AS!$I:$I,$X$7,AS!$AH:$AH,$X$8,AS!$BB:$BB,AS!$BA$1,AS!$AX:$AX,X173,AS!$AW:$AW,$X$32,AS!$X:$X,$Y$5,AS!$AT:$AT,Parkki!$Y$13,AS!$K:$K,$X$31,AS!$F:$F,$V$29,AS!$L:$L,$V$30,AS!$AG:$AG,Parkki!$Y$9)+AA173+AE173</f>
        <v>0</v>
      </c>
      <c r="F173" s="148">
        <f>SUMIFS(AS!$W:$W,AS!$BO:$BO,$W$7,AS!$AB:$AB,AS!$AA$1,AS!$AV:$AV,$X$5,AS!$I:$I,$Y$7,AS!$AH:$AH,$X$8,AS!$BB:$BB,AS!$BA$1,AS!$AX:$AX,X173,AS!$AW:$AW,$X$32,AS!$X:$X,$Y$5,AS!$AT:$AT,Parkki!$Y$13,AS!$K:$K,$X$31,AS!$F:$F,$V$29,AS!$L:$L,$V$30,AS!$AG:$AG,Parkki!$Y$9)+AB173+AF173</f>
        <v>0</v>
      </c>
      <c r="I173" s="387"/>
      <c r="J173" s="387"/>
      <c r="K173" s="387"/>
      <c r="L173" s="387"/>
      <c r="V173" s="148">
        <f>SUMIFS(AS!$W:$W,AS!$BO:$BO,$W$7,AS!$AB:$AB,AS!$AA$1,AS!$AV:$AV,$X$5,AS!$AH:$AH,$Y$8,AS!$BB:$BB,AS!$BA$1,AS!$AX:$AX,X173,AS!$AW:$AW,$Y$6,AS!$X:$X,$Y$5)</f>
        <v>0</v>
      </c>
      <c r="X173" s="515" t="s">
        <v>1099</v>
      </c>
      <c r="Z173">
        <f>SUMIFS(AS!$W:$W,AS!$BO:$BO,$W$7,AS!$AB:$AB,AS!$AA$1,AS!$AV:$AV,$X$5,AS!$AH:$AH,$X$8,AS!$BB:$BB,AS!$BA$1,AS!$AX:$AX,Y173,AS!$AW:$AW,$X$32,AS!$X:$X,$Y$5,AS!$AT:$AT,Parkki!$Y$13,AS!$K:$K,$X$31,AS!$F:$F,$V$29,AS!$L:$L,$V$30,AS!$AG:$AG,Parkki!$Y$9)</f>
        <v>0</v>
      </c>
      <c r="AA173">
        <f>SUMIFS(AS!$W:$W,AS!$BO:$BO,$W$7,AS!$AB:$AB,AS!$AA$1,AS!$AV:$AV,$X$5,AS!$I:$I,$X$7,AS!$AH:$AH,$X$8,AS!$BB:$BB,AS!$BA$1,AS!$AX:$AX,Y173,AS!$AW:$AW,$X$32,AS!$X:$X,$Y$5,AS!$AT:$AT,Parkki!$Y$13,AS!$K:$K,$X$31,AS!$F:$F,$V$29,AS!$L:$L,$V$30,AS!$AG:$AG,Parkki!$Y$9)</f>
        <v>0</v>
      </c>
      <c r="AB173">
        <f>SUMIFS(AS!$W:$W,AS!$BO:$BO,$W$7,AS!$AB:$AB,AS!$AA$1,AS!$AV:$AV,$X$5,AS!$I:$I,$Y$7,AS!$AH:$AH,$X$8,AS!$BB:$BB,AS!$BA$1,AS!$AX:$AX,Y173,AS!$AW:$AW,$X$32,AS!$X:$X,$Y$5,AS!$AT:$AT,Parkki!$Y$13,AS!$K:$K,$X$31,AS!$F:$F,$V$29,AS!$L:$L,$V$30,AS!$AG:$AG,Parkki!$Y$9)</f>
        <v>0</v>
      </c>
      <c r="AD173">
        <f>SUMIFS(AS!$W:$W,AS!$BO:$BO,$W$7,AS!$AB:$AB,AS!$AA$1,AS!$AV:$AV,$X$5,AS!$AH:$AH,$X$8,AS!$BB:$BB,AS!$BA$1,AS!$AX:$AX,AC173,AS!$AW:$AW,$X$32,AS!$X:$X,$Y$5,AS!$AT:$AT,Parkki!$Y$13,AS!$K:$K,$X$31,AS!$F:$F,$V$29,AS!$L:$L,$V$30,AS!$AG:$AG,Parkki!$Y$9)</f>
        <v>0</v>
      </c>
      <c r="AE173">
        <f>SUMIFS(AS!$W:$W,AS!$BO:$BO,$W$7,AS!$AB:$AB,AS!$AA$1,AS!$AV:$AV,$X$5,AS!$I:$I,$X$7,AS!$AH:$AH,$X$8,AS!$BB:$BB,AS!$BA$1,AS!$AX:$AX,AC173,AS!$AW:$AW,$X$32,AS!$X:$X,$Y$5,AS!$AT:$AT,Parkki!$Y$13,AS!$K:$K,$X$31,AS!$F:$F,$V$29,AS!$L:$L,$V$30,AS!$AG:$AG,Parkki!$Y$9)</f>
        <v>0</v>
      </c>
      <c r="AF173">
        <f>SUMIFS(AS!$W:$W,AS!$BO:$BO,$W$7,AS!$AB:$AB,AS!$AA$1,AS!$AV:$AV,$X$5,AS!$I:$I,$Y$7,AS!$AH:$AH,$X$8,AS!$BB:$BB,AS!$BA$1,AS!$AX:$AX,AC173,AS!$AW:$AW,$X$32,AS!$X:$X,$Y$5,AS!$AT:$AT,Parkki!$Y$13,AS!$K:$K,$X$31,AS!$F:$F,$V$29,AS!$L:$L,$V$30,AS!$AG:$AG,Parkki!$Y$9)</f>
        <v>0</v>
      </c>
    </row>
    <row r="174" spans="1:35" x14ac:dyDescent="0.25">
      <c r="A174" s="797"/>
      <c r="B174" s="518" t="s">
        <v>696</v>
      </c>
      <c r="C174" s="148">
        <f>SUMIFS(AS!$W:$W,AS!$BO:$BO,$W$7,AS!$AB:$AB,AS!$AA$1,AS!$AV:$AV,$X$5,AS!$AH:$AH,$X$8,AS!$BB:$BB,AS!$BA$1,AS!$AX:$AX,X174,AS!$AW:$AW,$X$32,AS!$X:$X,$Y$5,AS!$AT:$AT,Parkki!$Y$13,AS!$K:$K,$X$31,AS!$F:$F,$V$29,AS!$L:$L,$V$30,AS!$AG:$AG,Parkki!$Y$9)+Z174+AD174</f>
        <v>0</v>
      </c>
      <c r="D174" s="552" t="str">
        <f t="shared" si="23"/>
        <v>-</v>
      </c>
      <c r="E174" s="148">
        <f>SUMIFS(AS!$W:$W,AS!$BO:$BO,$W$7,AS!$AB:$AB,AS!$AA$1,AS!$AV:$AV,$X$5,AS!$I:$I,$X$7,AS!$AH:$AH,$X$8,AS!$BB:$BB,AS!$BA$1,AS!$AX:$AX,X174,AS!$AW:$AW,$X$32,AS!$X:$X,$Y$5,AS!$AT:$AT,Parkki!$Y$13,AS!$K:$K,$X$31,AS!$F:$F,$V$29,AS!$L:$L,$V$30,AS!$AG:$AG,Parkki!$Y$9)+AA174+AE174</f>
        <v>0</v>
      </c>
      <c r="F174" s="148">
        <f>SUMIFS(AS!$W:$W,AS!$BO:$BO,$W$7,AS!$AB:$AB,AS!$AA$1,AS!$AV:$AV,$X$5,AS!$I:$I,$Y$7,AS!$AH:$AH,$X$8,AS!$BB:$BB,AS!$BA$1,AS!$AX:$AX,X174,AS!$AW:$AW,$X$32,AS!$X:$X,$Y$5,AS!$AT:$AT,Parkki!$Y$13,AS!$K:$K,$X$31,AS!$F:$F,$V$29,AS!$L:$L,$V$30,AS!$AG:$AG,Parkki!$Y$9)+AB174+AF174</f>
        <v>0</v>
      </c>
      <c r="I174" s="387"/>
      <c r="J174" s="387"/>
      <c r="K174" s="387"/>
      <c r="L174" s="387"/>
      <c r="V174" s="148">
        <f>SUMIFS(AS!$W:$W,AS!$BO:$BO,$W$7,AS!$AB:$AB,AS!$AA$1,AS!$AV:$AV,$X$5,AS!$AH:$AH,$Y$8,AS!$BB:$BB,AS!$BA$1,AS!$AX:$AX,X174,AS!$AW:$AW,$Y$6,AS!$X:$X,$Y$5)</f>
        <v>0</v>
      </c>
      <c r="X174" s="385" t="s">
        <v>233</v>
      </c>
      <c r="Z174">
        <f>SUMIFS(AS!$W:$W,AS!$BO:$BO,$W$7,AS!$AB:$AB,AS!$AA$1,AS!$AV:$AV,$X$5,AS!$AH:$AH,$X$8,AS!$BB:$BB,AS!$BA$1,AS!$AX:$AX,Y174,AS!$AW:$AW,$X$32,AS!$X:$X,$Y$5,AS!$AT:$AT,Parkki!$Y$13,AS!$K:$K,$X$31,AS!$F:$F,$V$29,AS!$L:$L,$V$30,AS!$AG:$AG,Parkki!$Y$9)</f>
        <v>0</v>
      </c>
      <c r="AA174">
        <f>SUMIFS(AS!$W:$W,AS!$BO:$BO,$W$7,AS!$AB:$AB,AS!$AA$1,AS!$AV:$AV,$X$5,AS!$I:$I,$X$7,AS!$AH:$AH,$X$8,AS!$BB:$BB,AS!$BA$1,AS!$AX:$AX,Y174,AS!$AW:$AW,$X$32,AS!$X:$X,$Y$5,AS!$AT:$AT,Parkki!$Y$13,AS!$K:$K,$X$31,AS!$F:$F,$V$29,AS!$L:$L,$V$30,AS!$AG:$AG,Parkki!$Y$9)</f>
        <v>0</v>
      </c>
      <c r="AB174">
        <f>SUMIFS(AS!$W:$W,AS!$BO:$BO,$W$7,AS!$AB:$AB,AS!$AA$1,AS!$AV:$AV,$X$5,AS!$I:$I,$Y$7,AS!$AH:$AH,$X$8,AS!$BB:$BB,AS!$BA$1,AS!$AX:$AX,Y174,AS!$AW:$AW,$X$32,AS!$X:$X,$Y$5,AS!$AT:$AT,Parkki!$Y$13,AS!$K:$K,$X$31,AS!$F:$F,$V$29,AS!$L:$L,$V$30,AS!$AG:$AG,Parkki!$Y$9)</f>
        <v>0</v>
      </c>
      <c r="AD174">
        <f>SUMIFS(AS!$W:$W,AS!$BO:$BO,$W$7,AS!$AB:$AB,AS!$AA$1,AS!$AV:$AV,$X$5,AS!$AH:$AH,$X$8,AS!$BB:$BB,AS!$BA$1,AS!$AX:$AX,AC174,AS!$AW:$AW,$X$32,AS!$X:$X,$Y$5,AS!$AT:$AT,Parkki!$Y$13,AS!$K:$K,$X$31,AS!$F:$F,$V$29,AS!$L:$L,$V$30,AS!$AG:$AG,Parkki!$Y$9)</f>
        <v>0</v>
      </c>
      <c r="AE174">
        <f>SUMIFS(AS!$W:$W,AS!$BO:$BO,$W$7,AS!$AB:$AB,AS!$AA$1,AS!$AV:$AV,$X$5,AS!$I:$I,$X$7,AS!$AH:$AH,$X$8,AS!$BB:$BB,AS!$BA$1,AS!$AX:$AX,AC174,AS!$AW:$AW,$X$32,AS!$X:$X,$Y$5,AS!$AT:$AT,Parkki!$Y$13,AS!$K:$K,$X$31,AS!$F:$F,$V$29,AS!$L:$L,$V$30,AS!$AG:$AG,Parkki!$Y$9)</f>
        <v>0</v>
      </c>
      <c r="AF174">
        <f>SUMIFS(AS!$W:$W,AS!$BO:$BO,$W$7,AS!$AB:$AB,AS!$AA$1,AS!$AV:$AV,$X$5,AS!$I:$I,$Y$7,AS!$AH:$AH,$X$8,AS!$BB:$BB,AS!$BA$1,AS!$AX:$AX,AC174,AS!$AW:$AW,$X$32,AS!$X:$X,$Y$5,AS!$AT:$AT,Parkki!$Y$13,AS!$K:$K,$X$31,AS!$F:$F,$V$29,AS!$L:$L,$V$30,AS!$AG:$AG,Parkki!$Y$9)</f>
        <v>0</v>
      </c>
    </row>
    <row r="175" spans="1:35" x14ac:dyDescent="0.25">
      <c r="A175" s="798"/>
      <c r="B175" s="518" t="s">
        <v>1390</v>
      </c>
      <c r="C175" s="148">
        <f>SUMIFS(AS!$W:$W,AS!$BO:$BO,$W$7,AS!$AB:$AB,AS!$AA$1,AS!$AV:$AV,$X$5,AS!$AH:$AH,$X$8,AS!$BB:$BB,AS!$BA$1,AS!$AW:$AW,$X$32,AS!$X:$X,$Y$5,AS!$AT:$AT,Parkki!$Y$13,AS!$K:$K,$X$31,AS!$F:$F,$V$29,AS!$L:$L,$V$30,AS!$AG:$AG,Parkki!$Y$9)-C178</f>
        <v>0</v>
      </c>
      <c r="D175" s="552" t="str">
        <f t="shared" si="23"/>
        <v>-</v>
      </c>
      <c r="E175" s="148">
        <f>SUMIFS(AS!$W:$W,AS!$BO:$BO,$W$7,AS!$AB:$AB,AS!$AA$1,AS!$AV:$AV,$X$5,AS!$I:$I,$X$7,AS!$AH:$AH,$X$8,AS!$BB:$BB,AS!$BA$1,AS!$AW:$AW,$X$32,AS!$X:$X,$Y$5,AS!$AT:$AT,Parkki!$Y$13,AS!$K:$K,$X$31,AS!$F:$F,$V$29,AS!$L:$L,$V$30,AS!$AG:$AG,Parkki!$Y$9)-E178</f>
        <v>0</v>
      </c>
      <c r="F175" s="148">
        <f>SUMIFS(AS!$W:$W,AS!$BO:$BO,$W$7,AS!$AB:$AB,AS!$AA$1,AS!$AV:$AV,$X$5,AS!$I:$I,$Y$7,AS!$AH:$AH,$X$8,AS!$BB:$BB,AS!$BA$1,AS!$AW:$AW,$X$32,AS!$X:$X,$Y$5,AS!$AT:$AT,Parkki!$Y$13,AS!$K:$K,$X$31,AS!$F:$F,$V$29,AS!$L:$L,$V$30,AS!$AG:$AG,Parkki!$Y$9)-F178</f>
        <v>0</v>
      </c>
      <c r="I175" s="387"/>
      <c r="J175" s="387"/>
      <c r="K175" s="387"/>
      <c r="L175" s="387"/>
      <c r="V175" s="148">
        <f>SUMIFS(AS!$W:$W,AS!$BO:$BO,$W$7,AS!$AB:$AB,AS!$AA$1,AS!$AV:$AV,$X$5,AS!$AH:$AH,$Y$8,AS!$BB:$BB,AS!$BA$1,AS!$AW:$AW,$Y$6,AS!$X:$X,$Y$5)-V178</f>
        <v>0</v>
      </c>
      <c r="X175" t="s">
        <v>825</v>
      </c>
      <c r="Z175">
        <f>SUMIFS(AS!$W:$W,AS!$BO:$BO,$W$7,AS!$AB:$AB,AS!$AA$1,AS!$AV:$AV,$X$5,AS!$AH:$AH,$X$8,AS!$BB:$BB,AS!$BA$1,AS!$AX:$AX,Y175,AS!$AW:$AW,$X$32,AS!$X:$X,$Y$5,AS!$AT:$AT,Parkki!$Y$13,AS!$K:$K,$X$31,AS!$F:$F,$V$29,AS!$L:$L,$V$30,AS!$AG:$AG,Parkki!$Y$9)</f>
        <v>0</v>
      </c>
      <c r="AA175">
        <f>SUMIFS(AS!$W:$W,AS!$BO:$BO,$W$7,AS!$AB:$AB,AS!$AA$1,AS!$AV:$AV,$X$5,AS!$I:$I,$X$7,AS!$AH:$AH,$X$8,AS!$BB:$BB,AS!$BA$1,AS!$AX:$AX,Y175,AS!$AW:$AW,$X$32,AS!$X:$X,$Y$5,AS!$AT:$AT,Parkki!$Y$13,AS!$K:$K,$X$31,AS!$F:$F,$V$29,AS!$L:$L,$V$30,AS!$AG:$AG,Parkki!$Y$9)</f>
        <v>0</v>
      </c>
      <c r="AB175">
        <f>SUMIFS(AS!$W:$W,AS!$BO:$BO,$W$7,AS!$AB:$AB,AS!$AA$1,AS!$AV:$AV,$X$5,AS!$I:$I,$Y$7,AS!$AH:$AH,$X$8,AS!$BB:$BB,AS!$BA$1,AS!$AX:$AX,Y175,AS!$AW:$AW,$X$32,AS!$X:$X,$Y$5,AS!$AT:$AT,Parkki!$Y$13,AS!$K:$K,$X$31,AS!$F:$F,$V$29,AS!$L:$L,$V$30,AS!$AG:$AG,Parkki!$Y$9)</f>
        <v>0</v>
      </c>
      <c r="AD175">
        <f>SUMIFS(AS!$W:$W,AS!$BO:$BO,$W$7,AS!$AB:$AB,AS!$AA$1,AS!$AV:$AV,$X$5,AS!$AH:$AH,$X$8,AS!$BB:$BB,AS!$BA$1,AS!$AX:$AX,AC175,AS!$AW:$AW,$X$32,AS!$X:$X,$Y$5,AS!$AT:$AT,Parkki!$Y$13,AS!$K:$K,$X$31,AS!$F:$F,$V$29,AS!$L:$L,$V$30,AS!$AG:$AG,Parkki!$Y$9)</f>
        <v>0</v>
      </c>
      <c r="AE175">
        <f>SUMIFS(AS!$W:$W,AS!$BO:$BO,$W$7,AS!$AB:$AB,AS!$AA$1,AS!$AV:$AV,$X$5,AS!$I:$I,$X$7,AS!$AH:$AH,$X$8,AS!$BB:$BB,AS!$BA$1,AS!$AX:$AX,AC175,AS!$AW:$AW,$X$32,AS!$X:$X,$Y$5,AS!$AT:$AT,Parkki!$Y$13,AS!$K:$K,$X$31,AS!$F:$F,$V$29,AS!$L:$L,$V$30,AS!$AG:$AG,Parkki!$Y$9)</f>
        <v>0</v>
      </c>
      <c r="AF175">
        <f>SUMIFS(AS!$W:$W,AS!$BO:$BO,$W$7,AS!$AB:$AB,AS!$AA$1,AS!$AV:$AV,$X$5,AS!$I:$I,$Y$7,AS!$AH:$AH,$X$8,AS!$BB:$BB,AS!$BA$1,AS!$AX:$AX,AC175,AS!$AW:$AW,$X$32,AS!$X:$X,$Y$5,AS!$AT:$AT,Parkki!$Y$13,AS!$K:$K,$X$31,AS!$F:$F,$V$29,AS!$L:$L,$V$30,AS!$AG:$AG,Parkki!$Y$9)</f>
        <v>0</v>
      </c>
    </row>
    <row r="176" spans="1:35" x14ac:dyDescent="0.25">
      <c r="A176" s="527" t="s">
        <v>97</v>
      </c>
      <c r="B176" s="518" t="s">
        <v>97</v>
      </c>
      <c r="C176" s="148">
        <f>SUMIFS(AS!$W:$W,AS!$BO:$BO,$W$7,AS!$AB:$AB,AS!$AA$1,AS!$AV:$AV,$X$5,AS!$AH:$AH,$X$8,AS!$BB:$BB,AS!$BA$1,AS!$AX:$AX,X176,AS!$AW:$AW,$X$32,AS!$X:$X,$Y$5,AS!$AT:$AT,Parkki!$Y$13,AS!$K:$K,$X$31,AS!$F:$F,$V$29,AS!$L:$L,$V$30,AS!$AG:$AG,Parkki!$Y$9)+Z176+AD176</f>
        <v>0</v>
      </c>
      <c r="D176" s="552" t="str">
        <f t="shared" si="23"/>
        <v>-</v>
      </c>
      <c r="E176" s="148">
        <f>SUMIFS(AS!$W:$W,AS!$BO:$BO,$W$7,AS!$AB:$AB,AS!$AA$1,AS!$AV:$AV,$X$5,AS!$I:$I,$X$7,AS!$AH:$AH,$X$8,AS!$BB:$BB,AS!$BA$1,AS!$AX:$AX,X176,AS!$AW:$AW,$X$32,AS!$X:$X,$Y$5,AS!$AT:$AT,Parkki!$Y$13,AS!$K:$K,$X$31,AS!$F:$F,$V$29,AS!$L:$L,$V$30,AS!$AG:$AG,Parkki!$Y$9)+AA176+AE176</f>
        <v>0</v>
      </c>
      <c r="F176" s="148">
        <f>SUMIFS(AS!$W:$W,AS!$BO:$BO,$W$7,AS!$AB:$AB,AS!$AA$1,AS!$AV:$AV,$X$5,AS!$I:$I,$Y$7,AS!$AH:$AH,$X$8,AS!$BB:$BB,AS!$BA$1,AS!$AX:$AX,X176,AS!$AW:$AW,$X$32,AS!$X:$X,$Y$5,AS!$AT:$AT,Parkki!$Y$13,AS!$K:$K,$X$31,AS!$F:$F,$V$29,AS!$L:$L,$V$30,AS!$AG:$AG,Parkki!$Y$9)+AB176+AF176</f>
        <v>0</v>
      </c>
      <c r="I176" s="387"/>
      <c r="J176" s="387"/>
      <c r="K176" s="387"/>
      <c r="L176" s="387"/>
      <c r="V176" s="148">
        <f>SUMIFS(AS!$W:$W,AS!$BO:$BO,$W$7,AS!$AB:$AB,AS!$AA$1,AS!$AV:$AV,$X$5,AS!$AH:$AH,$Y$8,AS!$BB:$BB,AS!$BA$1,AS!$AX:$AX,X176,AS!$AW:$AW,$Y$6,AS!$X:$X,$Y$5)</f>
        <v>0</v>
      </c>
      <c r="X176" s="385" t="s">
        <v>543</v>
      </c>
      <c r="Z176">
        <f>SUMIFS(AS!$W:$W,AS!$BO:$BO,$W$7,AS!$AB:$AB,AS!$AA$1,AS!$AV:$AV,$X$5,AS!$AH:$AH,$X$8,AS!$BB:$BB,AS!$BA$1,AS!$AX:$AX,Y176,AS!$AW:$AW,$X$32,AS!$X:$X,$Y$5,AS!$AT:$AT,Parkki!$Y$13,AS!$K:$K,$X$31,AS!$F:$F,$V$29,AS!$L:$L,$V$30,AS!$AG:$AG,Parkki!$Y$9)</f>
        <v>0</v>
      </c>
      <c r="AA176">
        <f>SUMIFS(AS!$W:$W,AS!$BO:$BO,$W$7,AS!$AB:$AB,AS!$AA$1,AS!$AV:$AV,$X$5,AS!$I:$I,$X$7,AS!$AH:$AH,$X$8,AS!$BB:$BB,AS!$BA$1,AS!$AX:$AX,Y176,AS!$AW:$AW,$X$32,AS!$X:$X,$Y$5,AS!$AT:$AT,Parkki!$Y$13,AS!$K:$K,$X$31,AS!$F:$F,$V$29,AS!$L:$L,$V$30,AS!$AG:$AG,Parkki!$Y$9)</f>
        <v>0</v>
      </c>
      <c r="AB176">
        <f>SUMIFS(AS!$W:$W,AS!$BO:$BO,$W$7,AS!$AB:$AB,AS!$AA$1,AS!$AV:$AV,$X$5,AS!$I:$I,$Y$7,AS!$AH:$AH,$X$8,AS!$BB:$BB,AS!$BA$1,AS!$AX:$AX,Y176,AS!$AW:$AW,$X$32,AS!$X:$X,$Y$5,AS!$AT:$AT,Parkki!$Y$13,AS!$K:$K,$X$31,AS!$F:$F,$V$29,AS!$L:$L,$V$30,AS!$AG:$AG,Parkki!$Y$9)</f>
        <v>0</v>
      </c>
      <c r="AD176">
        <f>SUMIFS(AS!$W:$W,AS!$BO:$BO,$W$7,AS!$AB:$AB,AS!$AA$1,AS!$AV:$AV,$X$5,AS!$AH:$AH,$X$8,AS!$BB:$BB,AS!$BA$1,AS!$AX:$AX,AC176,AS!$AW:$AW,$X$32,AS!$X:$X,$Y$5,AS!$AT:$AT,Parkki!$Y$13,AS!$K:$K,$X$31,AS!$F:$F,$V$29,AS!$L:$L,$V$30,AS!$AG:$AG,Parkki!$Y$9)</f>
        <v>0</v>
      </c>
      <c r="AE176">
        <f>SUMIFS(AS!$W:$W,AS!$BO:$BO,$W$7,AS!$AB:$AB,AS!$AA$1,AS!$AV:$AV,$X$5,AS!$I:$I,$X$7,AS!$AH:$AH,$X$8,AS!$BB:$BB,AS!$BA$1,AS!$AX:$AX,AC176,AS!$AW:$AW,$X$32,AS!$X:$X,$Y$5,AS!$AT:$AT,Parkki!$Y$13,AS!$K:$K,$X$31,AS!$F:$F,$V$29,AS!$L:$L,$V$30,AS!$AG:$AG,Parkki!$Y$9)</f>
        <v>0</v>
      </c>
      <c r="AF176">
        <f>SUMIFS(AS!$W:$W,AS!$BO:$BO,$W$7,AS!$AB:$AB,AS!$AA$1,AS!$AV:$AV,$X$5,AS!$I:$I,$Y$7,AS!$AH:$AH,$X$8,AS!$BB:$BB,AS!$BA$1,AS!$AX:$AX,AC176,AS!$AW:$AW,$X$32,AS!$X:$X,$Y$5,AS!$AT:$AT,Parkki!$Y$13,AS!$K:$K,$X$31,AS!$F:$F,$V$29,AS!$L:$L,$V$30,AS!$AG:$AG,Parkki!$Y$9)</f>
        <v>0</v>
      </c>
      <c r="AI176" s="146"/>
    </row>
    <row r="177" spans="1:35" x14ac:dyDescent="0.25">
      <c r="A177" s="822" t="s">
        <v>831</v>
      </c>
      <c r="B177" s="823"/>
      <c r="C177" s="619">
        <f>SUM(C146:C176)</f>
        <v>0</v>
      </c>
      <c r="D177" s="559">
        <f>SUM(D146:D176)</f>
        <v>0</v>
      </c>
      <c r="E177" s="519">
        <f>SUM(E146:E176)</f>
        <v>0</v>
      </c>
      <c r="F177" s="519">
        <f>SUM(F146:F176)</f>
        <v>0</v>
      </c>
      <c r="I177" s="387"/>
      <c r="J177" s="387"/>
      <c r="K177" s="387"/>
      <c r="L177" s="387"/>
      <c r="V177" s="376">
        <f>SUM(V146:V176)</f>
        <v>0</v>
      </c>
      <c r="AG177" s="27"/>
    </row>
    <row r="178" spans="1:35" x14ac:dyDescent="0.25">
      <c r="A178" s="709" t="str">
        <f>"*miehistä muun sukupuolisia(N: "&amp;$W$22&amp;")"</f>
        <v>*miehistä muun sukupuolisia(N: 0)</v>
      </c>
      <c r="B178" s="710"/>
      <c r="C178" s="711">
        <f>SUM(C146:C174,C176)</f>
        <v>0</v>
      </c>
      <c r="D178" s="711"/>
      <c r="E178" s="711">
        <f>SUM(E146:E174,E176)</f>
        <v>0</v>
      </c>
      <c r="F178" s="711">
        <f>SUM(F146:F174,F176)</f>
        <v>0</v>
      </c>
      <c r="I178" s="387"/>
      <c r="J178" s="387"/>
      <c r="K178" s="387"/>
      <c r="L178" s="387"/>
      <c r="V178" s="489">
        <f>SUM(V146:V174,V176)</f>
        <v>0</v>
      </c>
      <c r="AI178" s="146"/>
    </row>
    <row r="181" spans="1:35" ht="29.25" customHeight="1" x14ac:dyDescent="0.25">
      <c r="F181" s="423" t="str">
        <f>IF(D181+E181=C181,"",C181-D181-E181)</f>
        <v/>
      </c>
    </row>
    <row r="182" spans="1:35" ht="29.25" customHeight="1" x14ac:dyDescent="0.25">
      <c r="A182" s="786" t="str">
        <f>"TAVOITETTUJEN nuorten koulutustilanne aloitettaessa "&amp;Y12&amp;X10&amp;U8&amp;X15</f>
        <v>TAVOITETTUJEN nuorten koulutustilanne aloitettaessa - KAIKKI: 01.01.2025-30.04.2025 (Kaikki yksiköt / perustiedoista, Kaikki kunnat / perustiedoista, Ikäluokka: Kaikki)</v>
      </c>
      <c r="B182" s="786"/>
      <c r="C182" s="786"/>
      <c r="D182" s="786"/>
      <c r="E182" s="786"/>
      <c r="F182" s="786"/>
    </row>
    <row r="183" spans="1:35" x14ac:dyDescent="0.25">
      <c r="A183" s="810" t="s">
        <v>585</v>
      </c>
      <c r="B183" s="810"/>
      <c r="C183" s="805" t="s">
        <v>114</v>
      </c>
      <c r="D183" s="805"/>
      <c r="E183" s="521" t="s">
        <v>132</v>
      </c>
      <c r="F183" s="522" t="s">
        <v>1162</v>
      </c>
    </row>
    <row r="184" spans="1:35" x14ac:dyDescent="0.25">
      <c r="A184" s="810"/>
      <c r="B184" s="810"/>
      <c r="C184" s="521" t="s">
        <v>106</v>
      </c>
      <c r="D184" s="521" t="s">
        <v>176</v>
      </c>
      <c r="E184" s="521" t="s">
        <v>106</v>
      </c>
      <c r="F184" s="521" t="s">
        <v>106</v>
      </c>
    </row>
    <row r="185" spans="1:35" x14ac:dyDescent="0.25">
      <c r="A185" s="796" t="s">
        <v>68</v>
      </c>
      <c r="B185" s="518" t="s">
        <v>145</v>
      </c>
      <c r="C185" s="419">
        <f>SUMIFS(AS!$W:$W,AS!$BO:$BO,$W$7,AS!$AB:$AB,AS!$AA$1,AS!$AK:$AK,$X185,AS!$AH:$AH,$X$8,AS!$AV:$AV,$X$5,AS!$AW:$AW,$X$32,AS!$X:$X,$Y$5,AS!$AT:$AT,Parkki!$Y$13,AS!$K:$K,$X$31,AS!$F:$F,$V$29,AS!$L:$L,$V$30,AS!$AG:$AG,Parkki!$Y$9)</f>
        <v>0</v>
      </c>
      <c r="D185" s="552" t="str">
        <f t="shared" ref="D185:D202" si="24">IFERROR(C185/$C$203,"-")</f>
        <v>-</v>
      </c>
      <c r="E185" s="419">
        <f>SUMIFS(AS!$W:$W,AS!$BO:$BO,$W$7,AS!$AB:$AB,AS!$AA$1,AS!$AK:$AK,$X185,AS!$AH:$AH,$X$8,AS!$AV:$AV,$X$5,AS!$AW:$AW,$X$32,AS!$X:$X,$Y$5,AS!$I:$I,$X$7,AS!$AT:$AT,Parkki!$Y$13,AS!$K:$K,$X$31,AS!$F:$F,$V$29,AS!$L:$L,$V$30,AS!$AG:$AG,Parkki!$Y$9)</f>
        <v>0</v>
      </c>
      <c r="F185" s="419">
        <f>SUMIFS(AS!$W:$W,AS!$BO:$BO,$W$7,AS!$AB:$AB,AS!$AA$1,AS!$AK:$AK,$X185,AS!$AH:$AH,$X$8,AS!$AV:$AV,$X$5,AS!$AW:$AW,$X$32,AS!$X:$X,$Y$5,AS!$I:$I,$Y$7,AS!$AT:$AT,Parkki!$Y$13,AS!$K:$K,$X$31,AS!$F:$F,$V$29,AS!$L:$L,$V$30,AS!$AG:$AG,Parkki!$Y$9)</f>
        <v>0</v>
      </c>
      <c r="S185" s="486"/>
      <c r="W185" t="s">
        <v>371</v>
      </c>
      <c r="X185" s="35" t="s">
        <v>371</v>
      </c>
    </row>
    <row r="186" spans="1:35" x14ac:dyDescent="0.25">
      <c r="A186" s="797"/>
      <c r="B186" s="518" t="s">
        <v>125</v>
      </c>
      <c r="C186" s="419">
        <f>SUMIFS(AS!$W:$W,AS!$BO:$BO,$W$7,AS!$AB:$AB,AS!$AA$1,AS!$AK:$AK,$X186,AS!$AH:$AH,$X$8,AS!$AV:$AV,$X$5,AS!$AW:$AW,$X$32,AS!$X:$X,$Y$5,AS!$AT:$AT,Parkki!$Y$13,AS!$K:$K,$X$31,AS!$F:$F,$V$29,AS!$L:$L,$V$30,AS!$AG:$AG,Parkki!$Y$9)</f>
        <v>0</v>
      </c>
      <c r="D186" s="552" t="str">
        <f t="shared" si="24"/>
        <v>-</v>
      </c>
      <c r="E186" s="419">
        <f>SUMIFS(AS!$W:$W,AS!$BO:$BO,$W$7,AS!$AB:$AB,AS!$AA$1,AS!$AK:$AK,$X186,AS!$AH:$AH,$X$8,AS!$AV:$AV,$X$5,AS!$AW:$AW,$X$32,AS!$X:$X,$Y$5,AS!$I:$I,$X$7,AS!$AT:$AT,Parkki!$Y$13,AS!$K:$K,$X$31,AS!$F:$F,$V$29,AS!$L:$L,$V$30,AS!$AG:$AG,Parkki!$Y$9)</f>
        <v>0</v>
      </c>
      <c r="F186" s="419">
        <f>SUMIFS(AS!$W:$W,AS!$BO:$BO,$W$7,AS!$AB:$AB,AS!$AA$1,AS!$AK:$AK,$X186,AS!$AH:$AH,$X$8,AS!$AV:$AV,$X$5,AS!$AW:$AW,$X$32,AS!$X:$X,$Y$5,AS!$I:$I,$Y$7,AS!$AT:$AT,Parkki!$Y$13,AS!$K:$K,$X$31,AS!$F:$F,$V$29,AS!$L:$L,$V$30,AS!$AG:$AG,Parkki!$Y$9)</f>
        <v>0</v>
      </c>
      <c r="S186" s="485"/>
      <c r="W186" t="s">
        <v>355</v>
      </c>
      <c r="X186" s="35" t="s">
        <v>355</v>
      </c>
    </row>
    <row r="187" spans="1:35" x14ac:dyDescent="0.25">
      <c r="A187" s="798"/>
      <c r="B187" s="518" t="s">
        <v>1114</v>
      </c>
      <c r="C187" s="419">
        <f>SUMIFS(AS!$W:$W,AS!$BO:$BO,$W$7,AS!$AB:$AB,AS!$AA$1,AS!$AK:$AK,$X187,AS!$AH:$AH,$X$8,AS!$AV:$AV,$X$5,AS!$AW:$AW,$X$32,AS!$X:$X,$Y$5,AS!$AT:$AT,Parkki!$Y$13,AS!$K:$K,$X$31,AS!$F:$F,$V$29,AS!$L:$L,$V$30,AS!$AG:$AG,Parkki!$Y$9)</f>
        <v>0</v>
      </c>
      <c r="D187" s="552" t="str">
        <f t="shared" si="24"/>
        <v>-</v>
      </c>
      <c r="E187" s="419">
        <f>SUMIFS(AS!$W:$W,AS!$BO:$BO,$W$7,AS!$AB:$AB,AS!$AA$1,AS!$AK:$AK,$X187,AS!$AH:$AH,$X$8,AS!$AV:$AV,$X$5,AS!$AW:$AW,$X$32,AS!$X:$X,$Y$5,AS!$I:$I,$X$7,AS!$AT:$AT,Parkki!$Y$13,AS!$K:$K,$X$31,AS!$F:$F,$V$29,AS!$L:$L,$V$30,AS!$AG:$AG,Parkki!$Y$9)</f>
        <v>0</v>
      </c>
      <c r="F187" s="419">
        <f>SUMIFS(AS!$W:$W,AS!$BO:$BO,$W$7,AS!$AB:$AB,AS!$AA$1,AS!$AK:$AK,$X187,AS!$AH:$AH,$X$8,AS!$AV:$AV,$X$5,AS!$AW:$AW,$X$32,AS!$X:$X,$Y$5,AS!$I:$I,$Y$7,AS!$AT:$AT,Parkki!$Y$13,AS!$K:$K,$X$31,AS!$F:$F,$V$29,AS!$L:$L,$V$30,AS!$AG:$AG,Parkki!$Y$9)</f>
        <v>0</v>
      </c>
      <c r="S187" s="485"/>
      <c r="W187" t="s">
        <v>358</v>
      </c>
      <c r="X187" s="35" t="s">
        <v>358</v>
      </c>
    </row>
    <row r="188" spans="1:35" x14ac:dyDescent="0.25">
      <c r="A188" s="796" t="s">
        <v>73</v>
      </c>
      <c r="B188" s="518" t="s">
        <v>126</v>
      </c>
      <c r="C188" s="419">
        <f>SUMIFS(AS!$W:$W,AS!$BO:$BO,$W$7,AS!$AB:$AB,AS!$AA$1,AS!$AK:$AK,$X188,AS!$AH:$AH,$X$8,AS!$AV:$AV,$X$5,AS!$AW:$AW,$X$32,AS!$X:$X,$Y$5,AS!$AT:$AT,Parkki!$Y$13,AS!$K:$K,$X$31,AS!$F:$F,$V$29,AS!$L:$L,$V$30,AS!$AG:$AG,Parkki!$Y$9)</f>
        <v>0</v>
      </c>
      <c r="D188" s="552" t="str">
        <f t="shared" si="24"/>
        <v>-</v>
      </c>
      <c r="E188" s="419">
        <f>SUMIFS(AS!$W:$W,AS!$BO:$BO,$W$7,AS!$AB:$AB,AS!$AA$1,AS!$AK:$AK,$X188,AS!$AH:$AH,$X$8,AS!$AV:$AV,$X$5,AS!$AW:$AW,$X$32,AS!$X:$X,$Y$5,AS!$I:$I,$X$7,AS!$AT:$AT,Parkki!$Y$13,AS!$K:$K,$X$31,AS!$F:$F,$V$29,AS!$L:$L,$V$30,AS!$AG:$AG,Parkki!$Y$9)</f>
        <v>0</v>
      </c>
      <c r="F188" s="419">
        <f>SUMIFS(AS!$W:$W,AS!$BO:$BO,$W$7,AS!$AB:$AB,AS!$AA$1,AS!$AK:$AK,$X188,AS!$AH:$AH,$X$8,AS!$AV:$AV,$X$5,AS!$AW:$AW,$X$32,AS!$X:$X,$Y$5,AS!$I:$I,$Y$7,AS!$AT:$AT,Parkki!$Y$13,AS!$K:$K,$X$31,AS!$F:$F,$V$29,AS!$L:$L,$V$30,AS!$AG:$AG,Parkki!$Y$9)</f>
        <v>0</v>
      </c>
      <c r="S188" s="485"/>
      <c r="W188" t="s">
        <v>347</v>
      </c>
      <c r="X188" s="35" t="s">
        <v>347</v>
      </c>
    </row>
    <row r="189" spans="1:35" x14ac:dyDescent="0.25">
      <c r="A189" s="797"/>
      <c r="B189" s="518" t="s">
        <v>127</v>
      </c>
      <c r="C189" s="419">
        <f>SUMIFS(AS!$W:$W,AS!$BO:$BO,$W$7,AS!$AB:$AB,AS!$AA$1,AS!$AK:$AK,$X189,AS!$AH:$AH,$X$8,AS!$AV:$AV,$X$5,AS!$AW:$AW,$X$32,AS!$X:$X,$Y$5,AS!$AT:$AT,Parkki!$Y$13,AS!$K:$K,$X$31,AS!$F:$F,$V$29,AS!$L:$L,$V$30,AS!$AG:$AG,Parkki!$Y$9)</f>
        <v>0</v>
      </c>
      <c r="D189" s="552" t="str">
        <f t="shared" si="24"/>
        <v>-</v>
      </c>
      <c r="E189" s="419">
        <f>SUMIFS(AS!$W:$W,AS!$BO:$BO,$W$7,AS!$AB:$AB,AS!$AA$1,AS!$AK:$AK,$X189,AS!$AH:$AH,$X$8,AS!$AV:$AV,$X$5,AS!$AW:$AW,$X$32,AS!$X:$X,$Y$5,AS!$I:$I,$X$7,AS!$AT:$AT,Parkki!$Y$13,AS!$K:$K,$X$31,AS!$F:$F,$V$29,AS!$L:$L,$V$30,AS!$AG:$AG,Parkki!$Y$9)</f>
        <v>0</v>
      </c>
      <c r="F189" s="419">
        <f>SUMIFS(AS!$W:$W,AS!$BO:$BO,$W$7,AS!$AB:$AB,AS!$AA$1,AS!$AK:$AK,$X189,AS!$AH:$AH,$X$8,AS!$AV:$AV,$X$5,AS!$AW:$AW,$X$32,AS!$X:$X,$Y$5,AS!$I:$I,$Y$7,AS!$AT:$AT,Parkki!$Y$13,AS!$K:$K,$X$31,AS!$F:$F,$V$29,AS!$L:$L,$V$30,AS!$AG:$AG,Parkki!$Y$9)</f>
        <v>0</v>
      </c>
      <c r="S189" s="485"/>
      <c r="W189" t="s">
        <v>369</v>
      </c>
      <c r="X189" s="35" t="s">
        <v>369</v>
      </c>
    </row>
    <row r="190" spans="1:35" x14ac:dyDescent="0.25">
      <c r="A190" s="797"/>
      <c r="B190" s="518" t="s">
        <v>120</v>
      </c>
      <c r="C190" s="419">
        <f>SUMIFS(AS!$W:$W,AS!$BO:$BO,$W$7,AS!$AB:$AB,AS!$AA$1,AS!$AK:$AK,$X190,AS!$AH:$AH,$X$8,AS!$AV:$AV,$X$5,AS!$AW:$AW,$X$32,AS!$X:$X,$Y$5,AS!$AT:$AT,Parkki!$Y$13,AS!$K:$K,$X$31,AS!$F:$F,$V$29,AS!$L:$L,$V$30,AS!$AG:$AG,Parkki!$Y$9)</f>
        <v>0</v>
      </c>
      <c r="D190" s="552" t="str">
        <f t="shared" si="24"/>
        <v>-</v>
      </c>
      <c r="E190" s="419">
        <f>SUMIFS(AS!$W:$W,AS!$BO:$BO,$W$7,AS!$AB:$AB,AS!$AA$1,AS!$AK:$AK,$X190,AS!$AH:$AH,$X$8,AS!$AV:$AV,$X$5,AS!$AW:$AW,$X$32,AS!$X:$X,$Y$5,AS!$I:$I,$X$7,AS!$AT:$AT,Parkki!$Y$13,AS!$K:$K,$X$31,AS!$F:$F,$V$29,AS!$L:$L,$V$30,AS!$AG:$AG,Parkki!$Y$9)</f>
        <v>0</v>
      </c>
      <c r="F190" s="419">
        <f>SUMIFS(AS!$W:$W,AS!$BO:$BO,$W$7,AS!$AB:$AB,AS!$AA$1,AS!$AK:$AK,$X190,AS!$AH:$AH,$X$8,AS!$AV:$AV,$X$5,AS!$AW:$AW,$X$32,AS!$X:$X,$Y$5,AS!$I:$I,$Y$7,AS!$AT:$AT,Parkki!$Y$13,AS!$K:$K,$X$31,AS!$F:$F,$V$29,AS!$L:$L,$V$30,AS!$AG:$AG,Parkki!$Y$9)</f>
        <v>0</v>
      </c>
      <c r="S190" s="486"/>
      <c r="W190" t="s">
        <v>380</v>
      </c>
      <c r="X190" s="35" t="s">
        <v>380</v>
      </c>
    </row>
    <row r="191" spans="1:35" x14ac:dyDescent="0.25">
      <c r="A191" s="798"/>
      <c r="B191" s="518" t="s">
        <v>128</v>
      </c>
      <c r="C191" s="419">
        <f>SUMIFS(AS!$W:$W,AS!$BO:$BO,$W$7,AS!$AB:$AB,AS!$AA$1,AS!$AK:$AK,$X191,AS!$AH:$AH,$X$8,AS!$AV:$AV,$X$5,AS!$AW:$AW,$X$32,AS!$X:$X,$Y$5,AS!$AT:$AT,Parkki!$Y$13,AS!$K:$K,$X$31,AS!$F:$F,$V$29,AS!$L:$L,$V$30,AS!$AG:$AG,Parkki!$Y$9)</f>
        <v>0</v>
      </c>
      <c r="D191" s="552" t="str">
        <f t="shared" si="24"/>
        <v>-</v>
      </c>
      <c r="E191" s="419">
        <f>SUMIFS(AS!$W:$W,AS!$BO:$BO,$W$7,AS!$AB:$AB,AS!$AA$1,AS!$AK:$AK,$X191,AS!$AH:$AH,$X$8,AS!$AV:$AV,$X$5,AS!$AW:$AW,$X$32,AS!$X:$X,$Y$5,AS!$I:$I,$X$7,AS!$AT:$AT,Parkki!$Y$13,AS!$K:$K,$X$31,AS!$F:$F,$V$29,AS!$L:$L,$V$30,AS!$AG:$AG,Parkki!$Y$9)</f>
        <v>0</v>
      </c>
      <c r="F191" s="419">
        <f>SUMIFS(AS!$W:$W,AS!$BO:$BO,$W$7,AS!$AB:$AB,AS!$AA$1,AS!$AK:$AK,$X191,AS!$AH:$AH,$X$8,AS!$AV:$AV,$X$5,AS!$AW:$AW,$X$32,AS!$X:$X,$Y$5,AS!$I:$I,$Y$7,AS!$AT:$AT,Parkki!$Y$13,AS!$K:$K,$X$31,AS!$F:$F,$V$29,AS!$L:$L,$V$30,AS!$AG:$AG,Parkki!$Y$9)</f>
        <v>0</v>
      </c>
      <c r="S191" s="485"/>
      <c r="W191" t="s">
        <v>379</v>
      </c>
      <c r="X191" s="35" t="s">
        <v>379</v>
      </c>
    </row>
    <row r="192" spans="1:35" x14ac:dyDescent="0.25">
      <c r="A192" s="796" t="s">
        <v>84</v>
      </c>
      <c r="B192" s="518" t="s">
        <v>582</v>
      </c>
      <c r="C192" s="419">
        <f>SUMIFS(AS!$W:$W,AS!$BO:$BO,$W$7,AS!$AB:$AB,AS!$AA$1,AS!$AK:$AK,$X192,AS!$AH:$AH,$X$8,AS!$AV:$AV,$X$5,AS!$AW:$AW,$X$32,AS!$X:$X,$Y$5,AS!$AT:$AT,Parkki!$Y$13,AS!$K:$K,$X$31,AS!$F:$F,$V$29,AS!$L:$L,$V$30,AS!$AG:$AG,Parkki!$Y$9)</f>
        <v>0</v>
      </c>
      <c r="D192" s="552" t="str">
        <f t="shared" si="24"/>
        <v>-</v>
      </c>
      <c r="E192" s="419">
        <f>SUMIFS(AS!$W:$W,AS!$BO:$BO,$W$7,AS!$AB:$AB,AS!$AA$1,AS!$AK:$AK,$X192,AS!$AH:$AH,$X$8,AS!$AV:$AV,$X$5,AS!$AW:$AW,$X$32,AS!$X:$X,$Y$5,AS!$I:$I,$X$7,AS!$AT:$AT,Parkki!$Y$13,AS!$K:$K,$X$31,AS!$F:$F,$V$29,AS!$L:$L,$V$30,AS!$AG:$AG,Parkki!$Y$9)</f>
        <v>0</v>
      </c>
      <c r="F192" s="419">
        <f>SUMIFS(AS!$W:$W,AS!$BO:$BO,$W$7,AS!$AB:$AB,AS!$AA$1,AS!$AK:$AK,$X192,AS!$AH:$AH,$X$8,AS!$AV:$AV,$X$5,AS!$AW:$AW,$X$32,AS!$X:$X,$Y$5,AS!$I:$I,$Y$7,AS!$AT:$AT,Parkki!$Y$13,AS!$K:$K,$X$31,AS!$F:$F,$V$29,AS!$L:$L,$V$30,AS!$AG:$AG,Parkki!$Y$9)</f>
        <v>0</v>
      </c>
      <c r="S192" s="485"/>
      <c r="W192" t="s">
        <v>364</v>
      </c>
      <c r="X192" s="155" t="s">
        <v>364</v>
      </c>
    </row>
    <row r="193" spans="1:24" x14ac:dyDescent="0.25">
      <c r="A193" s="797"/>
      <c r="B193" s="518" t="s">
        <v>129</v>
      </c>
      <c r="C193" s="419">
        <f>SUMIFS(AS!$W:$W,AS!$BO:$BO,$W$7,AS!$AB:$AB,AS!$AA$1,AS!$AK:$AK,$X193,AS!$AH:$AH,$X$8,AS!$AV:$AV,$X$5,AS!$AW:$AW,$X$32,AS!$X:$X,$Y$5,AS!$AT:$AT,Parkki!$Y$13,AS!$K:$K,$X$31,AS!$F:$F,$V$29,AS!$L:$L,$V$30,AS!$AG:$AG,Parkki!$Y$9)</f>
        <v>0</v>
      </c>
      <c r="D193" s="552" t="str">
        <f t="shared" si="24"/>
        <v>-</v>
      </c>
      <c r="E193" s="419">
        <f>SUMIFS(AS!$W:$W,AS!$BO:$BO,$W$7,AS!$AB:$AB,AS!$AA$1,AS!$AK:$AK,$X193,AS!$AH:$AH,$X$8,AS!$AV:$AV,$X$5,AS!$AW:$AW,$X$32,AS!$X:$X,$Y$5,AS!$I:$I,$X$7,AS!$AT:$AT,Parkki!$Y$13,AS!$K:$K,$X$31,AS!$F:$F,$V$29,AS!$L:$L,$V$30,AS!$AG:$AG,Parkki!$Y$9)</f>
        <v>0</v>
      </c>
      <c r="F193" s="419">
        <f>SUMIFS(AS!$W:$W,AS!$BO:$BO,$W$7,AS!$AB:$AB,AS!$AA$1,AS!$AK:$AK,$X193,AS!$AH:$AH,$X$8,AS!$AV:$AV,$X$5,AS!$AW:$AW,$X$32,AS!$X:$X,$Y$5,AS!$I:$I,$Y$7,AS!$AT:$AT,Parkki!$Y$13,AS!$K:$K,$X$31,AS!$F:$F,$V$29,AS!$L:$L,$V$30,AS!$AG:$AG,Parkki!$Y$9)</f>
        <v>0</v>
      </c>
      <c r="S193" s="485"/>
      <c r="W193" t="s">
        <v>350</v>
      </c>
      <c r="X193" s="155" t="s">
        <v>350</v>
      </c>
    </row>
    <row r="194" spans="1:24" x14ac:dyDescent="0.25">
      <c r="A194" s="798"/>
      <c r="B194" s="518" t="s">
        <v>30</v>
      </c>
      <c r="C194" s="419">
        <f>SUMIFS(AS!$W:$W,AS!$BO:$BO,$W$7,AS!$AB:$AB,AS!$AA$1,AS!$AK:$AK,$X194,AS!$AH:$AH,$X$8,AS!$AV:$AV,$X$5,AS!$AW:$AW,$X$32,AS!$X:$X,$Y$5,AS!$AT:$AT,Parkki!$Y$13,AS!$K:$K,$X$31,AS!$F:$F,$V$29,AS!$L:$L,$V$30,AS!$AG:$AG,Parkki!$Y$9)</f>
        <v>0</v>
      </c>
      <c r="D194" s="552" t="str">
        <f t="shared" si="24"/>
        <v>-</v>
      </c>
      <c r="E194" s="419">
        <f>SUMIFS(AS!$W:$W,AS!$BO:$BO,$W$7,AS!$AB:$AB,AS!$AA$1,AS!$AK:$AK,$X194,AS!$AH:$AH,$X$8,AS!$AV:$AV,$X$5,AS!$AW:$AW,$X$32,AS!$X:$X,$Y$5,AS!$I:$I,$X$7,AS!$AT:$AT,Parkki!$Y$13,AS!$K:$K,$X$31,AS!$F:$F,$V$29,AS!$L:$L,$V$30,AS!$AG:$AG,Parkki!$Y$9)</f>
        <v>0</v>
      </c>
      <c r="F194" s="419">
        <f>SUMIFS(AS!$W:$W,AS!$BO:$BO,$W$7,AS!$AB:$AB,AS!$AA$1,AS!$AK:$AK,$X194,AS!$AH:$AH,$X$8,AS!$AV:$AV,$X$5,AS!$AW:$AW,$X$32,AS!$X:$X,$Y$5,AS!$I:$I,$Y$7,AS!$AT:$AT,Parkki!$Y$13,AS!$K:$K,$X$31,AS!$F:$F,$V$29,AS!$L:$L,$V$30,AS!$AG:$AG,Parkki!$Y$9)</f>
        <v>0</v>
      </c>
      <c r="S194" s="485"/>
      <c r="W194" t="s">
        <v>373</v>
      </c>
      <c r="X194" s="155" t="s">
        <v>373</v>
      </c>
    </row>
    <row r="195" spans="1:24" x14ac:dyDescent="0.25">
      <c r="A195" s="796" t="s">
        <v>121</v>
      </c>
      <c r="B195" s="518" t="s">
        <v>547</v>
      </c>
      <c r="C195" s="419">
        <f>SUMIFS(AS!$W:$W,AS!$BO:$BO,$W$7,AS!$AB:$AB,AS!$AA$1,AS!$AK:$AK,$X195,AS!$AH:$AH,$X$8,AS!$AV:$AV,$X$5,AS!$AW:$AW,$X$32,AS!$X:$X,$Y$5,AS!$AT:$AT,Parkki!$Y$13,AS!$K:$K,$X$31,AS!$F:$F,$V$29,AS!$L:$L,$V$30,AS!$AG:$AG,Parkki!$Y$9)</f>
        <v>0</v>
      </c>
      <c r="D195" s="552" t="str">
        <f t="shared" si="24"/>
        <v>-</v>
      </c>
      <c r="E195" s="419">
        <f>SUMIFS(AS!$W:$W,AS!$BO:$BO,$W$7,AS!$AB:$AB,AS!$AA$1,AS!$AK:$AK,$X195,AS!$AH:$AH,$X$8,AS!$AV:$AV,$X$5,AS!$AW:$AW,$X$32,AS!$X:$X,$Y$5,AS!$I:$I,$X$7,AS!$AT:$AT,Parkki!$Y$13,AS!$K:$K,$X$31,AS!$F:$F,$V$29,AS!$L:$L,$V$30,AS!$AG:$AG,Parkki!$Y$9)</f>
        <v>0</v>
      </c>
      <c r="F195" s="419">
        <f>SUMIFS(AS!$W:$W,AS!$BO:$BO,$W$7,AS!$AB:$AB,AS!$AA$1,AS!$AK:$AK,$X195,AS!$AH:$AH,$X$8,AS!$AV:$AV,$X$5,AS!$AW:$AW,$X$32,AS!$X:$X,$Y$5,AS!$I:$I,$Y$7,AS!$AT:$AT,Parkki!$Y$13,AS!$K:$K,$X$31,AS!$F:$F,$V$29,AS!$L:$L,$V$30,AS!$AG:$AG,Parkki!$Y$9)</f>
        <v>0</v>
      </c>
      <c r="S195" s="486"/>
      <c r="W195" t="s">
        <v>506</v>
      </c>
      <c r="X195" s="155" t="s">
        <v>506</v>
      </c>
    </row>
    <row r="196" spans="1:24" x14ac:dyDescent="0.25">
      <c r="A196" s="797"/>
      <c r="B196" s="518" t="s">
        <v>130</v>
      </c>
      <c r="C196" s="419">
        <f>SUMIFS(AS!$W:$W,AS!$BO:$BO,$W$7,AS!$AB:$AB,AS!$AA$1,AS!$AK:$AK,$X196,AS!$AH:$AH,$X$8,AS!$AV:$AV,$X$5,AS!$AW:$AW,$X$32,AS!$X:$X,$Y$5,AS!$AT:$AT,Parkki!$Y$13,AS!$K:$K,$X$31,AS!$F:$F,$V$29,AS!$L:$L,$V$30,AS!$AG:$AG,Parkki!$Y$9)</f>
        <v>0</v>
      </c>
      <c r="D196" s="552" t="str">
        <f t="shared" si="24"/>
        <v>-</v>
      </c>
      <c r="E196" s="419">
        <f>SUMIFS(AS!$W:$W,AS!$BO:$BO,$W$7,AS!$AB:$AB,AS!$AA$1,AS!$AK:$AK,$X196,AS!$AH:$AH,$X$8,AS!$AV:$AV,$X$5,AS!$AW:$AW,$X$32,AS!$X:$X,$Y$5,AS!$I:$I,$X$7,AS!$AT:$AT,Parkki!$Y$13,AS!$K:$K,$X$31,AS!$F:$F,$V$29,AS!$L:$L,$V$30,AS!$AG:$AG,Parkki!$Y$9)</f>
        <v>0</v>
      </c>
      <c r="F196" s="419">
        <f>SUMIFS(AS!$W:$W,AS!$BO:$BO,$W$7,AS!$AB:$AB,AS!$AA$1,AS!$AK:$AK,$X196,AS!$AH:$AH,$X$8,AS!$AV:$AV,$X$5,AS!$AW:$AW,$X$32,AS!$X:$X,$Y$5,AS!$I:$I,$Y$7,AS!$AT:$AT,Parkki!$Y$13,AS!$K:$K,$X$31,AS!$F:$F,$V$29,AS!$L:$L,$V$30,AS!$AG:$AG,Parkki!$Y$9)</f>
        <v>0</v>
      </c>
      <c r="S196" s="486"/>
      <c r="W196" t="s">
        <v>381</v>
      </c>
      <c r="X196" s="155" t="s">
        <v>381</v>
      </c>
    </row>
    <row r="197" spans="1:24" x14ac:dyDescent="0.25">
      <c r="A197" s="798"/>
      <c r="B197" s="518" t="s">
        <v>131</v>
      </c>
      <c r="C197" s="419">
        <f>SUMIFS(AS!$W:$W,AS!$BO:$BO,$W$7,AS!$AB:$AB,AS!$AA$1,AS!$AK:$AK,$X197,AS!$AH:$AH,$X$8,AS!$AV:$AV,$X$5,AS!$AW:$AW,$X$32,AS!$X:$X,$Y$5,AS!$AT:$AT,Parkki!$Y$13,AS!$K:$K,$X$31,AS!$F:$F,$V$29,AS!$L:$L,$V$30,AS!$AG:$AG,Parkki!$Y$9)</f>
        <v>0</v>
      </c>
      <c r="D197" s="552" t="str">
        <f t="shared" si="24"/>
        <v>-</v>
      </c>
      <c r="E197" s="419">
        <f>SUMIFS(AS!$W:$W,AS!$BO:$BO,$W$7,AS!$AB:$AB,AS!$AA$1,AS!$AK:$AK,$X197,AS!$AH:$AH,$X$8,AS!$AV:$AV,$X$5,AS!$AW:$AW,$X$32,AS!$X:$X,$Y$5,AS!$I:$I,$X$7,AS!$AT:$AT,Parkki!$Y$13,AS!$K:$K,$X$31,AS!$F:$F,$V$29,AS!$L:$L,$V$30,AS!$AG:$AG,Parkki!$Y$9)</f>
        <v>0</v>
      </c>
      <c r="F197" s="419">
        <f>SUMIFS(AS!$W:$W,AS!$BO:$BO,$W$7,AS!$AB:$AB,AS!$AA$1,AS!$AK:$AK,$X197,AS!$AH:$AH,$X$8,AS!$AV:$AV,$X$5,AS!$AW:$AW,$X$32,AS!$X:$X,$Y$5,AS!$I:$I,$Y$7,AS!$AT:$AT,Parkki!$Y$13,AS!$K:$K,$X$31,AS!$F:$F,$V$29,AS!$L:$L,$V$30,AS!$AG:$AG,Parkki!$Y$9)</f>
        <v>0</v>
      </c>
      <c r="S197" s="486"/>
      <c r="W197" t="s">
        <v>377</v>
      </c>
      <c r="X197" s="155" t="s">
        <v>377</v>
      </c>
    </row>
    <row r="198" spans="1:24" x14ac:dyDescent="0.25">
      <c r="A198" s="800" t="s">
        <v>122</v>
      </c>
      <c r="B198" s="518" t="s">
        <v>1250</v>
      </c>
      <c r="C198" s="419">
        <f>SUMIFS(AS!$W:$W,AS!$BO:$BO,$W$7,AS!$AB:$AB,AS!$AA$1,AS!$AK:$AK,$X198,AS!$AH:$AH,$X$8,AS!$AV:$AV,$X$5,AS!$AW:$AW,$X$32,AS!$X:$X,$Y$5,AS!$AT:$AT,Parkki!$Y$13,AS!$K:$K,$X$31,AS!$F:$F,$V$29,AS!$L:$L,$V$30,AS!$AG:$AG,Parkki!$Y$9)</f>
        <v>0</v>
      </c>
      <c r="D198" s="552" t="str">
        <f t="shared" si="24"/>
        <v>-</v>
      </c>
      <c r="E198" s="419">
        <f>SUMIFS(AS!$W:$W,AS!$BO:$BO,$W$7,AS!$AB:$AB,AS!$AA$1,AS!$AK:$AK,$X198,AS!$AH:$AH,$X$8,AS!$AV:$AV,$X$5,AS!$AW:$AW,$X$32,AS!$X:$X,$Y$5,AS!$I:$I,$X$7,AS!$AT:$AT,Parkki!$Y$13,AS!$K:$K,$X$31,AS!$F:$F,$V$29,AS!$L:$L,$V$30,AS!$AG:$AG,Parkki!$Y$9)</f>
        <v>0</v>
      </c>
      <c r="F198" s="419">
        <f>SUMIFS(AS!$W:$W,AS!$BO:$BO,$W$7,AS!$AB:$AB,AS!$AA$1,AS!$AK:$AK,$X198,AS!$AH:$AH,$X$8,AS!$AV:$AV,$X$5,AS!$AW:$AW,$X$32,AS!$X:$X,$Y$5,AS!$I:$I,$Y$7,AS!$AT:$AT,Parkki!$Y$13,AS!$K:$K,$X$31,AS!$F:$F,$V$29,AS!$L:$L,$V$30,AS!$AG:$AG,Parkki!$Y$9)</f>
        <v>0</v>
      </c>
      <c r="S198" s="486"/>
      <c r="X198" s="155" t="s">
        <v>1460</v>
      </c>
    </row>
    <row r="199" spans="1:24" x14ac:dyDescent="0.25">
      <c r="A199" s="801"/>
      <c r="B199" s="518" t="s">
        <v>124</v>
      </c>
      <c r="C199" s="419">
        <f>SUMIFS(AS!$W:$W,AS!$BO:$BO,$W$7,AS!$AB:$AB,AS!$AA$1,AS!$AK:$AK,$X199,AS!$AH:$AH,$X$8,AS!$AV:$AV,$X$5,AS!$AW:$AW,$X$32,AS!$X:$X,$Y$5,AS!$AT:$AT,Parkki!$Y$13,AS!$K:$K,$X$31,AS!$F:$F,$V$29,AS!$L:$L,$V$30,AS!$AG:$AG,Parkki!$Y$9)</f>
        <v>0</v>
      </c>
      <c r="D199" s="552" t="str">
        <f t="shared" si="24"/>
        <v>-</v>
      </c>
      <c r="E199" s="419">
        <f>SUMIFS(AS!$W:$W,AS!$BO:$BO,$W$7,AS!$AB:$AB,AS!$AA$1,AS!$AK:$AK,$X199,AS!$AH:$AH,$X$8,AS!$AV:$AV,$X$5,AS!$AW:$AW,$X$32,AS!$X:$X,$Y$5,AS!$I:$I,$X$7,AS!$AT:$AT,Parkki!$Y$13,AS!$K:$K,$X$31,AS!$F:$F,$V$29,AS!$L:$L,$V$30,AS!$AG:$AG,Parkki!$Y$9)</f>
        <v>0</v>
      </c>
      <c r="F199" s="419">
        <f>SUMIFS(AS!$W:$W,AS!$BO:$BO,$W$7,AS!$AB:$AB,AS!$AA$1,AS!$AK:$AK,$X199,AS!$AH:$AH,$X$8,AS!$AV:$AV,$X$5,AS!$AW:$AW,$X$32,AS!$X:$X,$Y$5,AS!$I:$I,$Y$7,AS!$AT:$AT,Parkki!$Y$13,AS!$K:$K,$X$31,AS!$F:$F,$V$29,AS!$L:$L,$V$30,AS!$AG:$AG,Parkki!$Y$9)</f>
        <v>0</v>
      </c>
      <c r="S199" s="486"/>
      <c r="W199" t="s">
        <v>394</v>
      </c>
      <c r="X199" s="155" t="s">
        <v>394</v>
      </c>
    </row>
    <row r="200" spans="1:24" x14ac:dyDescent="0.25">
      <c r="A200" s="802"/>
      <c r="B200" s="518" t="s">
        <v>122</v>
      </c>
      <c r="C200" s="419">
        <f>SUMIFS(AS!$W:$W,AS!$BO:$BO,$W$7,AS!$AB:$AB,AS!$AA$1,AS!$AK:$AK,$X200,AS!$AH:$AH,$X$8,AS!$AV:$AV,$X$5,AS!$AW:$AW,$X$32,AS!$X:$X,$Y$5,AS!$AT:$AT,Parkki!$Y$13,AS!$K:$K,$X$31,AS!$F:$F,$V$29,AS!$L:$L,$V$30,AS!$AG:$AG,Parkki!$Y$9)</f>
        <v>0</v>
      </c>
      <c r="D200" s="552" t="str">
        <f t="shared" si="24"/>
        <v>-</v>
      </c>
      <c r="E200" s="419">
        <f>SUMIFS(AS!$W:$W,AS!$BO:$BO,$W$7,AS!$AB:$AB,AS!$AA$1,AS!$AK:$AK,$X200,AS!$AH:$AH,$X$8,AS!$AV:$AV,$X$5,AS!$AW:$AW,$X$32,AS!$X:$X,$Y$5,AS!$I:$I,$X$7,AS!$AT:$AT,Parkki!$Y$13,AS!$K:$K,$X$31,AS!$F:$F,$V$29,AS!$L:$L,$V$30,AS!$AG:$AG,Parkki!$Y$9)</f>
        <v>0</v>
      </c>
      <c r="F200" s="419">
        <f>SUMIFS(AS!$W:$W,AS!$BO:$BO,$W$7,AS!$AB:$AB,AS!$AA$1,AS!$AK:$AK,$X200,AS!$AH:$AH,$X$8,AS!$AV:$AV,$X$5,AS!$AW:$AW,$X$32,AS!$X:$X,$Y$5,AS!$I:$I,$Y$7,AS!$AT:$AT,Parkki!$Y$13,AS!$K:$K,$X$31,AS!$F:$F,$V$29,AS!$L:$L,$V$30,AS!$AG:$AG,Parkki!$Y$9)</f>
        <v>0</v>
      </c>
      <c r="S200" s="485"/>
      <c r="W200" t="s">
        <v>399</v>
      </c>
      <c r="X200" s="155" t="s">
        <v>399</v>
      </c>
    </row>
    <row r="201" spans="1:24" x14ac:dyDescent="0.25">
      <c r="A201" s="796" t="s">
        <v>97</v>
      </c>
      <c r="B201" s="518" t="s">
        <v>97</v>
      </c>
      <c r="C201" s="419">
        <f>SUMIFS(AS!$W:$W,AS!$BO:$BO,$W$7,AS!$AB:$AB,AS!$AA$1,AS!$AK:$AK,$X201,AS!$AH:$AH,$X$8,AS!$AV:$AV,$X$5,AS!$AW:$AW,$X$32,AS!$X:$X,$Y$5,AS!$AT:$AT,Parkki!$Y$13,AS!$K:$K,$X$31,AS!$F:$F,$V$29,AS!$L:$L,$V$30,AS!$AG:$AG,Parkki!$Y$9)</f>
        <v>0</v>
      </c>
      <c r="D201" s="552" t="str">
        <f t="shared" si="24"/>
        <v>-</v>
      </c>
      <c r="E201" s="419">
        <f>SUMIFS(AS!$W:$W,AS!$BO:$BO,$W$7,AS!$AB:$AB,AS!$AA$1,AS!$AK:$AK,$X201,AS!$AH:$AH,$X$8,AS!$AV:$AV,$X$5,AS!$AW:$AW,$X$32,AS!$X:$X,$Y$5,AS!$I:$I,$X$7,AS!$AT:$AT,Parkki!$Y$13,AS!$K:$K,$X$31,AS!$F:$F,$V$29,AS!$L:$L,$V$30,AS!$AG:$AG,Parkki!$Y$9)</f>
        <v>0</v>
      </c>
      <c r="F201" s="419">
        <f>SUMIFS(AS!$W:$W,AS!$BO:$BO,$W$7,AS!$AB:$AB,AS!$AA$1,AS!$AK:$AK,$X201,AS!$AH:$AH,$X$8,AS!$AV:$AV,$X$5,AS!$AW:$AW,$X$32,AS!$X:$X,$Y$5,AS!$I:$I,$Y$7,AS!$AT:$AT,Parkki!$Y$13,AS!$K:$K,$X$31,AS!$F:$F,$V$29,AS!$L:$L,$V$30,AS!$AG:$AG,Parkki!$Y$9)</f>
        <v>0</v>
      </c>
      <c r="S201" s="485"/>
      <c r="W201" t="s">
        <v>365</v>
      </c>
      <c r="X201" s="155" t="s">
        <v>365</v>
      </c>
    </row>
    <row r="202" spans="1:24" x14ac:dyDescent="0.25">
      <c r="A202" s="798"/>
      <c r="B202" s="518" t="s">
        <v>548</v>
      </c>
      <c r="C202" s="419">
        <f>SUMIFS(AS!$W:$W,AS!$BO:$BO,$W$7,AS!$AB:$AB,AS!$AA$1,AS!$AK:$AK,"",AS!$AH:$AH,$X$8,AS!$AV:$AV,$X$5,AS!$AW:$AW,$X$32,AS!$X:$X,$Y$5,AS!$AT:$AT,Parkki!$Y$13,AS!$K:$K,$X$31,AS!$F:$F,$V$29,AS!$L:$L,$V$30,AS!$AG:$AG,Parkki!$Y$9)</f>
        <v>0</v>
      </c>
      <c r="D202" s="552" t="str">
        <f t="shared" si="24"/>
        <v>-</v>
      </c>
      <c r="E202" s="419">
        <f>SUMIFS(AS!$W:$W,AS!$BO:$BO,$W$7,AS!$AB:$AB,AS!$AA$1,AS!$AK:$AK,"",AS!$AH:$AH,$X$8,AS!$AV:$AV,$X$5,AS!$AW:$AW,$X$32,AS!$X:$X,$Y$5,AS!$I:$I,$X$7,AS!$AT:$AT,Parkki!$Y$13,AS!$K:$K,$X$31,AS!$F:$F,$V$29,AS!$L:$L,$V$30,AS!$AG:$AG,Parkki!$Y$9)</f>
        <v>0</v>
      </c>
      <c r="F202" s="419">
        <f>SUMIFS(AS!$W:$W,AS!$BO:$BO,$W$7,AS!$AB:$AB,AS!$AA$1,AS!$AK:$AK,"",AS!$AH:$AH,$X$8,AS!$AV:$AV,$X$5,AS!$AW:$AW,$X$32,AS!$X:$X,$Y$5,AS!$I:$I,$Y$7,AS!$AT:$AT,Parkki!$Y$13,AS!$K:$K,$X$31,AS!$F:$F,$V$29,AS!$L:$L,$V$30,AS!$AG:$AG,Parkki!$Y$9)</f>
        <v>0</v>
      </c>
      <c r="W202" t="str">
        <f t="shared" ref="W202:W207" si="25">TRIM(X202)</f>
        <v/>
      </c>
      <c r="X202" s="155"/>
    </row>
    <row r="203" spans="1:24" x14ac:dyDescent="0.25">
      <c r="A203" s="808" t="s">
        <v>788</v>
      </c>
      <c r="B203" s="809"/>
      <c r="C203" s="519">
        <f>SUM(C185:C202)</f>
        <v>0</v>
      </c>
      <c r="D203" s="559">
        <f>SUM(D185:D202)</f>
        <v>0</v>
      </c>
      <c r="E203" s="519">
        <f>SUM(E185:E202)</f>
        <v>0</v>
      </c>
      <c r="F203" s="519">
        <f>SUM(F185:F202)</f>
        <v>0</v>
      </c>
      <c r="W203" t="str">
        <f t="shared" si="25"/>
        <v/>
      </c>
    </row>
    <row r="204" spans="1:24" x14ac:dyDescent="0.25">
      <c r="A204" s="553" t="str">
        <f>"*miehistä muun sukupuolisia (N: "&amp;$W$21&amp;")"</f>
        <v>*miehistä muun sukupuolisia (N: 0)</v>
      </c>
      <c r="F204" s="421"/>
      <c r="W204" t="str">
        <f t="shared" si="25"/>
        <v/>
      </c>
    </row>
    <row r="205" spans="1:24" ht="30.75" customHeight="1" x14ac:dyDescent="0.25">
      <c r="F205" s="421"/>
      <c r="W205" t="str">
        <f t="shared" si="25"/>
        <v/>
      </c>
    </row>
    <row r="206" spans="1:24" ht="27.75" customHeight="1" x14ac:dyDescent="0.25">
      <c r="A206" s="786" t="str">
        <f>"TAVOITETTUJEN nuorten äidinkieli "&amp;Y12&amp;X10&amp;U8&amp;X15</f>
        <v>TAVOITETTUJEN nuorten äidinkieli - KAIKKI: 01.01.2025-30.04.2025 (Kaikki yksiköt / perustiedoista, Kaikki kunnat / perustiedoista, Ikäluokka: Kaikki)</v>
      </c>
      <c r="B206" s="786"/>
      <c r="C206" s="786"/>
      <c r="D206" s="786"/>
      <c r="E206" s="51"/>
      <c r="F206" s="421"/>
      <c r="W206" t="str">
        <f t="shared" si="25"/>
        <v/>
      </c>
    </row>
    <row r="207" spans="1:24" x14ac:dyDescent="0.25">
      <c r="A207" s="810" t="s">
        <v>96</v>
      </c>
      <c r="B207" s="810"/>
      <c r="C207" s="805" t="s">
        <v>114</v>
      </c>
      <c r="D207" s="805"/>
      <c r="E207" s="51"/>
      <c r="F207" s="421"/>
      <c r="W207" t="str">
        <f t="shared" si="25"/>
        <v/>
      </c>
    </row>
    <row r="208" spans="1:24" x14ac:dyDescent="0.25">
      <c r="A208" s="810"/>
      <c r="B208" s="810"/>
      <c r="C208" s="521" t="s">
        <v>106</v>
      </c>
      <c r="D208" s="521" t="s">
        <v>176</v>
      </c>
      <c r="E208" s="51"/>
      <c r="F208" s="421"/>
    </row>
    <row r="209" spans="1:24" x14ac:dyDescent="0.25">
      <c r="A209" s="796" t="s">
        <v>804</v>
      </c>
      <c r="B209" s="518" t="s">
        <v>15</v>
      </c>
      <c r="C209" s="420">
        <f>SUMIFS(AS!W:W,AS!$BO:$BO,$W$7,AS!AB:AB,AS!$AA$1,AS!AI:AI,$X209,AS!AH:AH,$X$8,AS!$AV:$AV,$X$5,AS!$AW:$AW,$X$32,AS!$X:$X,$Y$5,AS!$AT:$AT,Parkki!$Y$13,AS!$K:$K,$X$31,AS!$F:$F,$V$29,AS!$L:$L,$V$30,AS!$AG:$AG,Parkki!$Y$9)</f>
        <v>0</v>
      </c>
      <c r="D209" s="552" t="str">
        <f t="shared" ref="D209:D226" si="26">IFERROR(C209/$C$227,"-")</f>
        <v>-</v>
      </c>
      <c r="F209" s="421"/>
      <c r="W209" t="s">
        <v>214</v>
      </c>
      <c r="X209" s="47" t="s">
        <v>214</v>
      </c>
    </row>
    <row r="210" spans="1:24" x14ac:dyDescent="0.25">
      <c r="A210" s="797"/>
      <c r="B210" s="518" t="s">
        <v>16</v>
      </c>
      <c r="C210" s="420">
        <f>SUMIFS(AS!W:W,AS!$BO:$BO,$W$7,AS!AB:AB,AS!$AA$1,AS!AI:AI,$X210,AS!AH:AH,$X$8,AS!$AV:$AV,$X$5,AS!$AW:$AW,$X$32,AS!$X:$X,$Y$5,AS!$AT:$AT,Parkki!$Y$13,AS!$K:$K,$X$31,AS!$F:$F,$V$29,AS!$L:$L,$V$30,AS!$AG:$AG,Parkki!$Y$9)</f>
        <v>0</v>
      </c>
      <c r="D210" s="552" t="str">
        <f t="shared" si="26"/>
        <v>-</v>
      </c>
      <c r="F210" s="421"/>
      <c r="W210" t="s">
        <v>235</v>
      </c>
      <c r="X210" s="47" t="s">
        <v>235</v>
      </c>
    </row>
    <row r="211" spans="1:24" x14ac:dyDescent="0.25">
      <c r="A211" s="798"/>
      <c r="B211" s="518" t="s">
        <v>23</v>
      </c>
      <c r="C211" s="420">
        <f>SUMIFS(AS!W:W,AS!$BO:$BO,$W$7,AS!AB:AB,AS!$AA$1,AS!AI:AI,$X211,AS!AH:AH,$X$8,AS!$AV:$AV,$X$5,AS!$AW:$AW,$X$32,AS!$X:$X,$Y$5,AS!$AT:$AT,Parkki!$Y$13,AS!$K:$K,$X$31,AS!$F:$F,$V$29,AS!$L:$L,$V$30,AS!$AG:$AG,Parkki!$Y$9)</f>
        <v>0</v>
      </c>
      <c r="D211" s="552" t="str">
        <f t="shared" si="26"/>
        <v>-</v>
      </c>
      <c r="F211" s="421"/>
      <c r="W211" t="s">
        <v>503</v>
      </c>
      <c r="X211" s="47" t="s">
        <v>503</v>
      </c>
    </row>
    <row r="212" spans="1:24" x14ac:dyDescent="0.25">
      <c r="A212" s="796" t="s">
        <v>803</v>
      </c>
      <c r="B212" s="518" t="s">
        <v>17</v>
      </c>
      <c r="C212" s="420">
        <f>SUMIFS(AS!W:W,AS!$BO:$BO,$W$7,AS!AB:AB,AS!$AA$1,AS!AI:AI,$X212,AS!AH:AH,$X$8,AS!$AV:$AV,$X$5,AS!$AW:$AW,$X$32,AS!$X:$X,$Y$5,AS!$AT:$AT,Parkki!$Y$13,AS!$K:$K,$X$31,AS!$F:$F,$V$29,AS!$L:$L,$V$30,AS!$AG:$AG,Parkki!$Y$9)</f>
        <v>0</v>
      </c>
      <c r="D212" s="552" t="str">
        <f t="shared" si="26"/>
        <v>-</v>
      </c>
      <c r="F212" s="421"/>
      <c r="W212" t="s">
        <v>208</v>
      </c>
      <c r="X212" s="47" t="s">
        <v>208</v>
      </c>
    </row>
    <row r="213" spans="1:24" x14ac:dyDescent="0.25">
      <c r="A213" s="797"/>
      <c r="B213" s="518" t="s">
        <v>18</v>
      </c>
      <c r="C213" s="420">
        <f>SUMIFS(AS!W:W,AS!$BO:$BO,$W$7,AS!AB:AB,AS!$AA$1,AS!AI:AI,$X213,AS!AH:AH,$X$8,AS!$AV:$AV,$X$5,AS!$AW:$AW,$X$32,AS!$X:$X,$Y$5,AS!$AT:$AT,Parkki!$Y$13,AS!$K:$K,$X$31,AS!$F:$F,$V$29,AS!$L:$L,$V$30,AS!$AG:$AG,Parkki!$Y$9)</f>
        <v>0</v>
      </c>
      <c r="D213" s="552" t="str">
        <f t="shared" si="26"/>
        <v>-</v>
      </c>
      <c r="F213" s="421"/>
      <c r="W213" t="s">
        <v>253</v>
      </c>
      <c r="X213" s="47" t="s">
        <v>253</v>
      </c>
    </row>
    <row r="214" spans="1:24" x14ac:dyDescent="0.25">
      <c r="A214" s="797"/>
      <c r="B214" s="518" t="s">
        <v>19</v>
      </c>
      <c r="C214" s="420">
        <f>SUMIFS(AS!W:W,AS!$BO:$BO,$W$7,AS!AB:AB,AS!$AA$1,AS!AI:AI,$X214,AS!AH:AH,$X$8,AS!$AV:$AV,$X$5,AS!$AW:$AW,$X$32,AS!$X:$X,$Y$5,AS!$AT:$AT,Parkki!$Y$13,AS!$K:$K,$X$31,AS!$F:$F,$V$29,AS!$L:$L,$V$30,AS!$AG:$AG,Parkki!$Y$9)</f>
        <v>0</v>
      </c>
      <c r="D214" s="552" t="str">
        <f t="shared" si="26"/>
        <v>-</v>
      </c>
      <c r="F214" s="421"/>
      <c r="W214" t="s">
        <v>254</v>
      </c>
      <c r="X214" s="47" t="s">
        <v>254</v>
      </c>
    </row>
    <row r="215" spans="1:24" x14ac:dyDescent="0.25">
      <c r="A215" s="797"/>
      <c r="B215" s="518" t="s">
        <v>20</v>
      </c>
      <c r="C215" s="420">
        <f>SUMIFS(AS!W:W,AS!$BO:$BO,$W$7,AS!AB:AB,AS!$AA$1,AS!AI:AI,$X215,AS!AH:AH,$X$8,AS!$AV:$AV,$X$5,AS!$AW:$AW,$X$32,AS!$X:$X,$Y$5,AS!$AT:$AT,Parkki!$Y$13,AS!$K:$K,$X$31,AS!$F:$F,$V$29,AS!$L:$L,$V$30,AS!$AG:$AG,Parkki!$Y$9)</f>
        <v>0</v>
      </c>
      <c r="D215" s="552" t="str">
        <f t="shared" si="26"/>
        <v>-</v>
      </c>
      <c r="F215" s="421"/>
      <c r="W215" t="s">
        <v>243</v>
      </c>
      <c r="X215" s="47" t="s">
        <v>243</v>
      </c>
    </row>
    <row r="216" spans="1:24" x14ac:dyDescent="0.25">
      <c r="A216" s="797"/>
      <c r="B216" s="518" t="s">
        <v>22</v>
      </c>
      <c r="C216" s="420">
        <f>SUMIFS(AS!W:W,AS!$BO:$BO,$W$7,AS!AB:AB,AS!$AA$1,AS!AI:AI,$X216,AS!AH:AH,$X$8,AS!$AV:$AV,$X$5,AS!$AW:$AW,$X$32,AS!$X:$X,$Y$5,AS!$AT:$AT,Parkki!$Y$13,AS!$K:$K,$X$31,AS!$F:$F,$V$29,AS!$L:$L,$V$30,AS!$AG:$AG,Parkki!$Y$9)</f>
        <v>0</v>
      </c>
      <c r="D216" s="552" t="str">
        <f t="shared" si="26"/>
        <v>-</v>
      </c>
      <c r="F216" s="421"/>
      <c r="W216" t="s">
        <v>502</v>
      </c>
      <c r="X216" s="47" t="s">
        <v>502</v>
      </c>
    </row>
    <row r="217" spans="1:24" x14ac:dyDescent="0.25">
      <c r="A217" s="797"/>
      <c r="B217" s="518" t="s">
        <v>21</v>
      </c>
      <c r="C217" s="420">
        <f>SUMIFS(AS!W:W,AS!$BO:$BO,$W$7,AS!AB:AB,AS!$AA$1,AS!AI:AI,$X217,AS!AH:AH,$X$8,AS!$AV:$AV,$X$5,AS!$AW:$AW,$X$32,AS!$X:$X,$Y$5,AS!$AT:$AT,Parkki!$Y$13,AS!$K:$K,$X$31,AS!$F:$F,$V$29,AS!$L:$L,$V$30,AS!$AG:$AG,Parkki!$Y$9)</f>
        <v>0</v>
      </c>
      <c r="D217" s="552" t="str">
        <f t="shared" si="26"/>
        <v>-</v>
      </c>
      <c r="F217" s="421"/>
      <c r="W217" t="s">
        <v>249</v>
      </c>
      <c r="X217" s="47" t="s">
        <v>249</v>
      </c>
    </row>
    <row r="218" spans="1:24" x14ac:dyDescent="0.25">
      <c r="A218" s="797"/>
      <c r="B218" s="518" t="s">
        <v>24</v>
      </c>
      <c r="C218" s="420">
        <f>SUMIFS(AS!W:W,AS!$BO:$BO,$W$7,AS!AB:AB,AS!$AA$1,AS!AI:AI,$X218,AS!AH:AH,$X$8,AS!$AV:$AV,$X$5,AS!$AW:$AW,$X$32,AS!$X:$X,$Y$5,AS!$AT:$AT,Parkki!$Y$13,AS!$K:$K,$X$31,AS!$F:$F,$V$29,AS!$L:$L,$V$30,AS!$AG:$AG,Parkki!$Y$9)</f>
        <v>0</v>
      </c>
      <c r="D218" s="552" t="str">
        <f t="shared" si="26"/>
        <v>-</v>
      </c>
      <c r="F218" s="421"/>
      <c r="W218" t="s">
        <v>504</v>
      </c>
      <c r="X218" s="47" t="s">
        <v>504</v>
      </c>
    </row>
    <row r="219" spans="1:24" x14ac:dyDescent="0.25">
      <c r="A219" s="797"/>
      <c r="B219" s="518" t="s">
        <v>25</v>
      </c>
      <c r="C219" s="420">
        <f>SUMIFS(AS!W:W,AS!$BO:$BO,$W$7,AS!AB:AB,AS!$AA$1,AS!AI:AI,$X219,AS!AH:AH,$X$8,AS!$AV:$AV,$X$5,AS!$AW:$AW,$X$32,AS!$X:$X,$Y$5,AS!$AT:$AT,Parkki!$Y$13,AS!$K:$K,$X$31,AS!$F:$F,$V$29,AS!$L:$L,$V$30,AS!$AG:$AG,Parkki!$Y$9)</f>
        <v>0</v>
      </c>
      <c r="D219" s="552" t="str">
        <f t="shared" si="26"/>
        <v>-</v>
      </c>
      <c r="F219" s="421"/>
      <c r="W219" t="s">
        <v>245</v>
      </c>
      <c r="X219" s="47" t="s">
        <v>245</v>
      </c>
    </row>
    <row r="220" spans="1:24" x14ac:dyDescent="0.25">
      <c r="A220" s="797"/>
      <c r="B220" s="518" t="s">
        <v>26</v>
      </c>
      <c r="C220" s="420">
        <f>SUMIFS(AS!W:W,AS!$BO:$BO,$W$7,AS!AB:AB,AS!$AA$1,AS!AI:AI,$X220,AS!AH:AH,$X$8,AS!$AV:$AV,$X$5,AS!$AW:$AW,$X$32,AS!$X:$X,$Y$5,AS!$AT:$AT,Parkki!$Y$13,AS!$K:$K,$X$31,AS!$F:$F,$V$29,AS!$L:$L,$V$30,AS!$AG:$AG,Parkki!$Y$9)</f>
        <v>0</v>
      </c>
      <c r="D220" s="552" t="str">
        <f t="shared" si="26"/>
        <v>-</v>
      </c>
      <c r="F220" s="421"/>
      <c r="W220" t="s">
        <v>255</v>
      </c>
      <c r="X220" s="47" t="s">
        <v>255</v>
      </c>
    </row>
    <row r="221" spans="1:24" x14ac:dyDescent="0.25">
      <c r="A221" s="797"/>
      <c r="B221" s="518" t="s">
        <v>1602</v>
      </c>
      <c r="C221" s="420">
        <f>SUMIFS(AS!W:W,AS!$BO:$BO,$W$7,AS!AB:AB,AS!$AA$1,AS!AI:AI,$X221,AS!AH:AH,$X$8,AS!$AV:$AV,$X$5,AS!$AW:$AW,$X$32,AS!$X:$X,$Y$5,AS!$AT:$AT,Parkki!$Y$13,AS!$K:$K,$X$31,AS!$F:$F,$V$29,AS!$L:$L,$V$30,AS!$AG:$AG,Parkki!$Y$9)</f>
        <v>0</v>
      </c>
      <c r="D221" s="552" t="str">
        <f t="shared" si="26"/>
        <v>-</v>
      </c>
      <c r="F221" s="421"/>
      <c r="X221" s="47" t="s">
        <v>1603</v>
      </c>
    </row>
    <row r="222" spans="1:24" x14ac:dyDescent="0.25">
      <c r="A222" s="797"/>
      <c r="B222" s="518" t="s">
        <v>27</v>
      </c>
      <c r="C222" s="420">
        <f>SUMIFS(AS!W:W,AS!$BO:$BO,$W$7,AS!AB:AB,AS!$AA$1,AS!AI:AI,$X222,AS!AH:AH,$X$8,AS!$AV:$AV,$X$5,AS!$AW:$AW,$X$32,AS!$X:$X,$Y$5,AS!$AT:$AT,Parkki!$Y$13,AS!$K:$K,$X$31,AS!$F:$F,$V$29,AS!$L:$L,$V$30,AS!$AG:$AG,Parkki!$Y$9)</f>
        <v>0</v>
      </c>
      <c r="D222" s="552" t="str">
        <f t="shared" si="26"/>
        <v>-</v>
      </c>
      <c r="F222" s="421"/>
      <c r="W222" t="s">
        <v>248</v>
      </c>
      <c r="X222" s="47" t="s">
        <v>248</v>
      </c>
    </row>
    <row r="223" spans="1:24" x14ac:dyDescent="0.25">
      <c r="A223" s="797"/>
      <c r="B223" s="518" t="s">
        <v>28</v>
      </c>
      <c r="C223" s="420">
        <f>SUMIFS(AS!W:W,AS!$BO:$BO,$W$7,AS!AB:AB,AS!$AA$1,AS!AI:AI,$X223,AS!AH:AH,$X$8,AS!$AV:$AV,$X$5,AS!$AW:$AW,$X$32,AS!$X:$X,$Y$5,AS!$AT:$AT,Parkki!$Y$13,AS!$K:$K,$X$31,AS!$F:$F,$V$29,AS!$L:$L,$V$30,AS!$AG:$AG,Parkki!$Y$9)</f>
        <v>0</v>
      </c>
      <c r="D223" s="552" t="str">
        <f t="shared" si="26"/>
        <v>-</v>
      </c>
      <c r="F223" s="421"/>
      <c r="W223" t="s">
        <v>256</v>
      </c>
      <c r="X223" s="47" t="s">
        <v>256</v>
      </c>
    </row>
    <row r="224" spans="1:24" x14ac:dyDescent="0.25">
      <c r="A224" s="798"/>
      <c r="B224" s="518" t="s">
        <v>29</v>
      </c>
      <c r="C224" s="420">
        <f>SUMIFS(AS!W:W,AS!$BO:$BO,$W$7,AS!AB:AB,AS!$AA$1,AS!AI:AI,$X224,AS!AH:AH,$X$8,AS!$AV:$AV,$X$5,AS!$AW:$AW,$X$32,AS!$X:$X,$Y$5,AS!$AT:$AT,Parkki!$Y$13,AS!$K:$K,$X$31,AS!$F:$F,$V$29,AS!$L:$L,$V$30,AS!$AG:$AG,Parkki!$Y$9)</f>
        <v>0</v>
      </c>
      <c r="D224" s="552" t="str">
        <f t="shared" si="26"/>
        <v>-</v>
      </c>
      <c r="F224" s="421"/>
      <c r="W224" t="s">
        <v>505</v>
      </c>
      <c r="X224" s="47" t="s">
        <v>505</v>
      </c>
    </row>
    <row r="225" spans="1:24" x14ac:dyDescent="0.25">
      <c r="A225" s="796" t="s">
        <v>97</v>
      </c>
      <c r="B225" s="518" t="s">
        <v>2</v>
      </c>
      <c r="C225" s="420">
        <f>SUMIFS(AS!W:W,AS!$BO:$BO,$W$7,AS!AB:AB,AS!$AA$1,AS!AI:AI,$X225,AS!AH:AH,$X$8,AS!$AV:$AV,$X$5,AS!$AW:$AW,$X$32,AS!$X:$X,$Y$5,AS!$AT:$AT,Parkki!$Y$13,AS!$K:$K,$X$31,AS!$F:$F,$V$29,AS!$L:$L,$V$30,AS!$AG:$AG,Parkki!$Y$9)</f>
        <v>0</v>
      </c>
      <c r="D225" s="552" t="str">
        <f t="shared" si="26"/>
        <v>-</v>
      </c>
      <c r="F225" s="421"/>
      <c r="W225" t="s">
        <v>252</v>
      </c>
      <c r="X225" s="47" t="s">
        <v>252</v>
      </c>
    </row>
    <row r="226" spans="1:24" x14ac:dyDescent="0.25">
      <c r="A226" s="798"/>
      <c r="B226" s="518" t="s">
        <v>0</v>
      </c>
      <c r="C226" s="420">
        <f>SUMIFS(AS!W:W,AS!$BO:$BO,$W$7,AS!AB:AB,AS!$AA$1,AS!AI:AI,$X226,AS!AH:AH,$X$8,AS!$AV:$AV,$X$5,AS!$AW:$AW,$X$32,AS!$X:$X,$Y$5,AS!$AT:$AT,Parkki!$Y$13,AS!$K:$K,$X$31,AS!$F:$F,$V$29,AS!$L:$L,$V$30,AS!$AG:$AG,Parkki!$Y$9)</f>
        <v>0</v>
      </c>
      <c r="D226" s="552" t="str">
        <f t="shared" si="26"/>
        <v>-</v>
      </c>
      <c r="F226" s="421"/>
      <c r="W226" t="str">
        <f t="shared" ref="W226:W232" si="27">TRIM(X226)</f>
        <v>ei kirjattu</v>
      </c>
      <c r="X226" s="47" t="s">
        <v>0</v>
      </c>
    </row>
    <row r="227" spans="1:24" x14ac:dyDescent="0.25">
      <c r="A227" s="808" t="s">
        <v>788</v>
      </c>
      <c r="B227" s="809"/>
      <c r="C227" s="619">
        <f>SUM(C209:C226)</f>
        <v>0</v>
      </c>
      <c r="D227" s="559">
        <f>SUM(D209:D226)</f>
        <v>0</v>
      </c>
      <c r="F227" s="421"/>
      <c r="W227" t="str">
        <f t="shared" si="27"/>
        <v/>
      </c>
    </row>
    <row r="228" spans="1:24" x14ac:dyDescent="0.25">
      <c r="F228" s="421"/>
      <c r="W228" t="str">
        <f t="shared" si="27"/>
        <v/>
      </c>
    </row>
    <row r="229" spans="1:24" ht="23.25" customHeight="1" x14ac:dyDescent="0.25">
      <c r="A229" s="352" t="s">
        <v>746</v>
      </c>
      <c r="F229" s="421"/>
      <c r="W229" t="str">
        <f t="shared" si="27"/>
        <v/>
      </c>
    </row>
    <row r="230" spans="1:24" ht="27" customHeight="1" x14ac:dyDescent="0.3">
      <c r="A230" s="539" t="s">
        <v>1112</v>
      </c>
      <c r="B230" s="538"/>
      <c r="C230" s="541"/>
      <c r="D230" s="541"/>
      <c r="E230" s="538"/>
      <c r="F230" s="537"/>
      <c r="G230" s="538"/>
      <c r="H230" s="538"/>
      <c r="I230" s="538"/>
      <c r="J230" s="538"/>
      <c r="K230" s="538"/>
      <c r="L230" s="538"/>
      <c r="M230" s="538"/>
      <c r="W230" t="str">
        <f t="shared" si="27"/>
        <v/>
      </c>
    </row>
    <row r="231" spans="1:24" ht="38.25" customHeight="1" x14ac:dyDescent="0.25">
      <c r="B231" s="786" t="str">
        <f>"TAVOITETTUJEN nuorten pääasiallinen toiminta aloitustilanteessa "&amp;$Y$12&amp;$X$10&amp;U8&amp;X15</f>
        <v>TAVOITETTUJEN nuorten pääasiallinen toiminta aloitustilanteessa - KAIKKI: 01.01.2025-30.04.2025 (Kaikki yksiköt / perustiedoista, Kaikki kunnat / perustiedoista, Ikäluokka: Kaikki)</v>
      </c>
      <c r="C231" s="786"/>
      <c r="D231" s="786"/>
      <c r="E231" s="51"/>
      <c r="F231" s="421"/>
      <c r="W231" t="str">
        <f t="shared" si="27"/>
        <v/>
      </c>
    </row>
    <row r="232" spans="1:24" x14ac:dyDescent="0.25">
      <c r="B232" s="803" t="s">
        <v>1101</v>
      </c>
      <c r="C232" s="805" t="s">
        <v>114</v>
      </c>
      <c r="D232" s="805"/>
      <c r="E232" s="51"/>
      <c r="F232" s="421"/>
      <c r="W232" t="str">
        <f t="shared" si="27"/>
        <v/>
      </c>
    </row>
    <row r="233" spans="1:24" x14ac:dyDescent="0.25">
      <c r="B233" s="804"/>
      <c r="C233" s="521" t="s">
        <v>106</v>
      </c>
      <c r="D233" s="521" t="s">
        <v>176</v>
      </c>
      <c r="E233" s="51"/>
      <c r="F233" s="421"/>
    </row>
    <row r="234" spans="1:24" x14ac:dyDescent="0.25">
      <c r="B234" s="518" t="s">
        <v>145</v>
      </c>
      <c r="C234" s="419">
        <f>SUMIFS(AS!$W:$W,AS!$BO:$BO,$W$7,AS!$AB:$AB,AS!$AA$1,AS!$AH:$AH,$X$8,AS!$AL:$AL,$X234,AS!$AV:$AV,$X$5,AS!$AW:$AW,$X$32,AS!$X:$X,$Y$5,AS!$AT:$AT,Parkki!$Y$13,AS!$K:$K,$X$31,AS!$F:$F,$V$29,AS!$L:$L,$V$30,AS!$AG:$AG,Parkki!$Y$9)</f>
        <v>0</v>
      </c>
      <c r="D234" s="552" t="str">
        <f t="shared" ref="D234:D247" si="28">IFERROR(C234/$C$248,"-")</f>
        <v>-</v>
      </c>
      <c r="E234" s="51"/>
      <c r="F234" s="421"/>
      <c r="S234" s="487"/>
      <c r="W234" t="s">
        <v>386</v>
      </c>
      <c r="X234" s="47" t="s">
        <v>386</v>
      </c>
    </row>
    <row r="235" spans="1:24" x14ac:dyDescent="0.25">
      <c r="B235" s="518" t="s">
        <v>146</v>
      </c>
      <c r="C235" s="419">
        <f>SUMIFS(AS!$W:$W,AS!$BO:$BO,$W$7,AS!$AB:$AB,AS!$AA$1,AS!$AH:$AH,$X$8,AS!$AL:$AL,$X235,AS!$AV:$AV,$X$5,AS!$AW:$AW,$X$32,AS!$X:$X,$Y$5,AS!$AT:$AT,Parkki!$Y$13,AS!$K:$K,$X$31,AS!$F:$F,$V$29,AS!$L:$L,$V$30,AS!$AG:$AG,Parkki!$Y$9)</f>
        <v>0</v>
      </c>
      <c r="D235" s="552" t="str">
        <f t="shared" si="28"/>
        <v>-</v>
      </c>
      <c r="E235" s="51"/>
      <c r="F235" s="421"/>
      <c r="S235" s="487"/>
      <c r="W235" t="s">
        <v>383</v>
      </c>
      <c r="X235" s="47" t="s">
        <v>383</v>
      </c>
    </row>
    <row r="236" spans="1:24" x14ac:dyDescent="0.25">
      <c r="B236" s="518" t="s">
        <v>147</v>
      </c>
      <c r="C236" s="419">
        <f>SUMIFS(AS!$W:$W,AS!$BO:$BO,$W$7,AS!$AB:$AB,AS!$AA$1,AS!$AH:$AH,$X$8,AS!$AL:$AL,$X236,AS!$AV:$AV,$X$5,AS!$AW:$AW,$X$32,AS!$X:$X,$Y$5,AS!$AT:$AT,Parkki!$Y$13,AS!$K:$K,$X$31,AS!$F:$F,$V$29,AS!$L:$L,$V$30,AS!$AG:$AG,Parkki!$Y$9)</f>
        <v>0</v>
      </c>
      <c r="D236" s="552" t="str">
        <f t="shared" si="28"/>
        <v>-</v>
      </c>
      <c r="E236" s="51"/>
      <c r="F236" s="421"/>
      <c r="S236" s="487"/>
      <c r="W236" t="s">
        <v>362</v>
      </c>
      <c r="X236" s="47" t="s">
        <v>362</v>
      </c>
    </row>
    <row r="237" spans="1:24" x14ac:dyDescent="0.25">
      <c r="B237" s="518" t="s">
        <v>148</v>
      </c>
      <c r="C237" s="419">
        <f>SUMIFS(AS!$W:$W,AS!$BO:$BO,$W$7,AS!$AB:$AB,AS!$AA$1,AS!$AH:$AH,$X$8,AS!$AL:$AL,$X237,AS!$AV:$AV,$X$5,AS!$AW:$AW,$X$32,AS!$X:$X,$Y$5,AS!$AT:$AT,Parkki!$Y$13,AS!$K:$K,$X$31,AS!$F:$F,$V$29,AS!$L:$L,$V$30,AS!$AG:$AG,Parkki!$Y$9)</f>
        <v>0</v>
      </c>
      <c r="D237" s="552" t="str">
        <f t="shared" si="28"/>
        <v>-</v>
      </c>
      <c r="E237" s="51"/>
      <c r="F237" s="421"/>
      <c r="S237" s="487"/>
      <c r="W237" t="s">
        <v>351</v>
      </c>
      <c r="X237" s="47" t="s">
        <v>351</v>
      </c>
    </row>
    <row r="238" spans="1:24" x14ac:dyDescent="0.25">
      <c r="B238" s="518" t="s">
        <v>149</v>
      </c>
      <c r="C238" s="419">
        <f>SUMIFS(AS!$W:$W,AS!$BO:$BO,$W$7,AS!$AB:$AB,AS!$AA$1,AS!$AH:$AH,$X$8,AS!$AL:$AL,$X238,AS!$AV:$AV,$X$5,AS!$AW:$AW,$X$32,AS!$X:$X,$Y$5,AS!$AT:$AT,Parkki!$Y$13,AS!$K:$K,$X$31,AS!$F:$F,$V$29,AS!$L:$L,$V$30,AS!$AG:$AG,Parkki!$Y$9)</f>
        <v>0</v>
      </c>
      <c r="D238" s="552" t="str">
        <f t="shared" si="28"/>
        <v>-</v>
      </c>
      <c r="E238" s="51"/>
      <c r="F238" s="421"/>
      <c r="S238" s="487"/>
      <c r="W238" t="s">
        <v>367</v>
      </c>
      <c r="X238" s="47" t="s">
        <v>367</v>
      </c>
    </row>
    <row r="239" spans="1:24" x14ac:dyDescent="0.25">
      <c r="B239" s="518" t="s">
        <v>150</v>
      </c>
      <c r="C239" s="419">
        <f>SUMIFS(AS!$W:$W,AS!$BO:$BO,$W$7,AS!$AB:$AB,AS!$AA$1,AS!$AH:$AH,$X$8,AS!$AL:$AL,$X239,AS!$AV:$AV,$X$5,AS!$AW:$AW,$X$32,AS!$X:$X,$Y$5,AS!$AT:$AT,Parkki!$Y$13,AS!$K:$K,$X$31,AS!$F:$F,$V$29,AS!$L:$L,$V$30,AS!$AG:$AG,Parkki!$Y$9)</f>
        <v>0</v>
      </c>
      <c r="D239" s="552" t="str">
        <f t="shared" si="28"/>
        <v>-</v>
      </c>
      <c r="E239" s="51"/>
      <c r="F239" s="421"/>
      <c r="S239" s="487"/>
      <c r="W239" t="s">
        <v>370</v>
      </c>
      <c r="X239" s="47" t="s">
        <v>370</v>
      </c>
    </row>
    <row r="240" spans="1:24" x14ac:dyDescent="0.25">
      <c r="B240" s="518" t="s">
        <v>1604</v>
      </c>
      <c r="C240" s="419">
        <f>SUMIFS(AS!$W:$W,AS!$BO:$BO,$W$7,AS!$AB:$AB,AS!$AA$1,AS!$AH:$AH,$X$8,AS!$AL:$AL,$X240,AS!$AV:$AV,$X$5,AS!$AW:$AW,$X$32,AS!$X:$X,$Y$5,AS!$AT:$AT,Parkki!$Y$13,AS!$K:$K,$X$31,AS!$F:$F,$V$29,AS!$L:$L,$V$30,AS!$AG:$AG,Parkki!$Y$9)</f>
        <v>0</v>
      </c>
      <c r="D240" s="552" t="str">
        <f t="shared" si="28"/>
        <v>-</v>
      </c>
      <c r="E240" s="51"/>
      <c r="F240" s="421"/>
      <c r="S240" s="487"/>
      <c r="X240" s="47" t="s">
        <v>1605</v>
      </c>
    </row>
    <row r="241" spans="2:24" x14ac:dyDescent="0.25">
      <c r="B241" s="518" t="s">
        <v>151</v>
      </c>
      <c r="C241" s="419">
        <f>SUMIFS(AS!$W:$W,AS!$BO:$BO,$W$7,AS!$AB:$AB,AS!$AA$1,AS!$AH:$AH,$X$8,AS!$AL:$AL,$X241,AS!$AV:$AV,$X$5,AS!$AW:$AW,$X$32,AS!$X:$X,$Y$5,AS!$AT:$AT,Parkki!$Y$13,AS!$K:$K,$X$31,AS!$F:$F,$V$29,AS!$L:$L,$V$30,AS!$AG:$AG,Parkki!$Y$9)</f>
        <v>0</v>
      </c>
      <c r="D241" s="552" t="str">
        <f t="shared" si="28"/>
        <v>-</v>
      </c>
      <c r="E241" s="51"/>
      <c r="F241" s="421"/>
      <c r="S241" s="487"/>
      <c r="W241" t="s">
        <v>348</v>
      </c>
      <c r="X241" s="47" t="s">
        <v>348</v>
      </c>
    </row>
    <row r="242" spans="2:24" x14ac:dyDescent="0.25">
      <c r="B242" s="518" t="s">
        <v>152</v>
      </c>
      <c r="C242" s="419">
        <f>SUMIFS(AS!$W:$W,AS!$BO:$BO,$W$7,AS!$AB:$AB,AS!$AA$1,AS!$AH:$AH,$X$8,AS!$AL:$AL,$X242,AS!$AV:$AV,$X$5,AS!$AW:$AW,$X$32,AS!$X:$X,$Y$5,AS!$AT:$AT,Parkki!$Y$13,AS!$K:$K,$X$31,AS!$F:$F,$V$29,AS!$L:$L,$V$30,AS!$AG:$AG,Parkki!$Y$9)</f>
        <v>0</v>
      </c>
      <c r="D242" s="552" t="str">
        <f t="shared" si="28"/>
        <v>-</v>
      </c>
      <c r="E242" s="51"/>
      <c r="F242" s="421"/>
      <c r="S242" s="487"/>
      <c r="W242" t="s">
        <v>397</v>
      </c>
      <c r="X242" s="47" t="s">
        <v>397</v>
      </c>
    </row>
    <row r="243" spans="2:24" x14ac:dyDescent="0.25">
      <c r="B243" s="518" t="s">
        <v>153</v>
      </c>
      <c r="C243" s="419">
        <f>SUMIFS(AS!$W:$W,AS!$BO:$BO,$W$7,AS!$AB:$AB,AS!$AA$1,AS!$AH:$AH,$X$8,AS!$AL:$AL,$X243,AS!$AV:$AV,$X$5,AS!$AW:$AW,$X$32,AS!$X:$X,$Y$5,AS!$AT:$AT,Parkki!$Y$13,AS!$K:$K,$X$31,AS!$F:$F,$V$29,AS!$L:$L,$V$30,AS!$AG:$AG,Parkki!$Y$9)</f>
        <v>0</v>
      </c>
      <c r="D243" s="552" t="str">
        <f t="shared" si="28"/>
        <v>-</v>
      </c>
      <c r="E243" s="51"/>
      <c r="F243" s="421"/>
      <c r="S243" s="486"/>
      <c r="W243" t="s">
        <v>366</v>
      </c>
      <c r="X243" s="47" t="s">
        <v>366</v>
      </c>
    </row>
    <row r="244" spans="2:24" x14ac:dyDescent="0.25">
      <c r="B244" s="518" t="s">
        <v>1115</v>
      </c>
      <c r="C244" s="419">
        <f>SUMIFS(AS!$W:$W,AS!$BO:$BO,$W$7,AS!$AB:$AB,AS!$AA$1,AS!$AH:$AH,$X$8,AS!$AL:$AL,$X244,AS!$AV:$AV,$X$5,AS!$AW:$AW,$X$32,AS!$X:$X,$Y$5,AS!$AT:$AT,Parkki!$Y$13,AS!$K:$K,$X$31,AS!$F:$F,$V$29,AS!$L:$L,$V$30,AS!$AG:$AG,Parkki!$Y$9)</f>
        <v>0</v>
      </c>
      <c r="D244" s="552" t="str">
        <f t="shared" si="28"/>
        <v>-</v>
      </c>
      <c r="E244" s="51"/>
      <c r="F244" s="421"/>
      <c r="S244" s="487"/>
      <c r="W244" t="s">
        <v>390</v>
      </c>
      <c r="X244" s="47" t="s">
        <v>390</v>
      </c>
    </row>
    <row r="245" spans="2:24" x14ac:dyDescent="0.25">
      <c r="B245" s="518" t="s">
        <v>63</v>
      </c>
      <c r="C245" s="419">
        <f>SUMIFS(AS!$W:$W,AS!$BO:$BO,$W$7,AS!$AB:$AB,AS!$AA$1,AS!$AH:$AH,$X$8,AS!$AL:$AL,$X245,AS!$AV:$AV,$X$5,AS!$AW:$AW,$X$32,AS!$X:$X,$Y$5,AS!$AT:$AT,Parkki!$Y$13,AS!$K:$K,$X$31,AS!$F:$F,$V$29,AS!$L:$L,$V$30,AS!$AG:$AG,Parkki!$Y$9)</f>
        <v>0</v>
      </c>
      <c r="D245" s="552" t="str">
        <f t="shared" si="28"/>
        <v>-</v>
      </c>
      <c r="E245" s="51"/>
      <c r="F245" s="421"/>
      <c r="S245" s="487"/>
      <c r="W245" t="s">
        <v>391</v>
      </c>
      <c r="X245" s="47" t="s">
        <v>391</v>
      </c>
    </row>
    <row r="246" spans="2:24" x14ac:dyDescent="0.25">
      <c r="B246" s="518" t="s">
        <v>97</v>
      </c>
      <c r="C246" s="419">
        <f>SUMIFS(AS!$W:$W,AS!$BO:$BO,$W$7,AS!$AB:$AB,AS!$AA$1,AS!$AH:$AH,$X$8,AS!$AL:$AL,$X246,AS!$AV:$AV,$X$5,AS!$AW:$AW,$X$32,AS!$X:$X,$Y$5,AS!$AT:$AT,Parkki!$Y$13,AS!$K:$K,$X$31,AS!$F:$F,$V$29,AS!$L:$L,$V$30,AS!$AG:$AG,Parkki!$Y$9)</f>
        <v>0</v>
      </c>
      <c r="D246" s="552" t="str">
        <f t="shared" si="28"/>
        <v>-</v>
      </c>
      <c r="E246" s="51"/>
      <c r="F246" s="421"/>
      <c r="S246" s="487"/>
      <c r="W246" t="s">
        <v>359</v>
      </c>
      <c r="X246" s="47" t="s">
        <v>359</v>
      </c>
    </row>
    <row r="247" spans="2:24" x14ac:dyDescent="0.25">
      <c r="B247" s="518" t="s">
        <v>548</v>
      </c>
      <c r="C247" s="419">
        <f>SUMIFS(AS!$W:$W,AS!$BO:$BO,$W$7,AS!$AB:$AB,AS!$AA$1,AS!$AH:$AH,$X$8,AS!$AL:$AL,"",AS!$AV:$AV,$X$5,AS!$AW:$AW,$X$32,AS!$X:$X,$Y$5,AS!$AT:$AT,Parkki!$Y$13,AS!$K:$K,$X$31,AS!$F:$F,$V$29,AS!$L:$L,$V$30,AS!$AG:$AG,Parkki!$Y$9)</f>
        <v>0</v>
      </c>
      <c r="D247" s="552" t="str">
        <f t="shared" si="28"/>
        <v>-</v>
      </c>
      <c r="E247" s="51"/>
      <c r="F247" s="421"/>
      <c r="W247" t="str">
        <f t="shared" ref="W247:W252" si="29">TRIM(X247)</f>
        <v/>
      </c>
      <c r="X247" s="47"/>
    </row>
    <row r="248" spans="2:24" x14ac:dyDescent="0.25">
      <c r="B248" s="519" t="s">
        <v>788</v>
      </c>
      <c r="C248" s="519">
        <f>SUM(C234:C247)</f>
        <v>0</v>
      </c>
      <c r="D248" s="559">
        <f>SUM(D234:D247)</f>
        <v>0</v>
      </c>
      <c r="E248" s="51"/>
      <c r="F248" s="421"/>
      <c r="W248" t="str">
        <f t="shared" si="29"/>
        <v/>
      </c>
    </row>
    <row r="249" spans="2:24" x14ac:dyDescent="0.25">
      <c r="F249" s="421"/>
      <c r="W249" t="str">
        <f t="shared" si="29"/>
        <v/>
      </c>
      <c r="X249" s="7"/>
    </row>
    <row r="250" spans="2:24" ht="27.75" customHeight="1" x14ac:dyDescent="0.25">
      <c r="F250" s="421"/>
      <c r="W250" t="str">
        <f t="shared" si="29"/>
        <v/>
      </c>
      <c r="X250" s="51"/>
    </row>
    <row r="251" spans="2:24" ht="43.5" customHeight="1" x14ac:dyDescent="0.25">
      <c r="B251" s="786" t="str">
        <f>"TAVOITETTUJEN nuorten pääasiallinen toimeentulo aloitustilanteessa "&amp;$Y$12&amp;$X$10&amp;U8&amp;X15</f>
        <v>TAVOITETTUJEN nuorten pääasiallinen toimeentulo aloitustilanteessa - KAIKKI: 01.01.2025-30.04.2025 (Kaikki yksiköt / perustiedoista, Kaikki kunnat / perustiedoista, Ikäluokka: Kaikki)</v>
      </c>
      <c r="C251" s="786"/>
      <c r="D251" s="786"/>
      <c r="E251" s="51"/>
      <c r="F251" s="421"/>
      <c r="W251" t="str">
        <f t="shared" si="29"/>
        <v/>
      </c>
      <c r="X251" s="51"/>
    </row>
    <row r="252" spans="2:24" x14ac:dyDescent="0.25">
      <c r="B252" s="803" t="s">
        <v>1108</v>
      </c>
      <c r="C252" s="805" t="s">
        <v>114</v>
      </c>
      <c r="D252" s="805"/>
      <c r="E252" s="51"/>
      <c r="F252" s="421"/>
      <c r="W252" t="str">
        <f t="shared" si="29"/>
        <v>Nuoren pääasiallinen toimeentulo aloitustilanteessa</v>
      </c>
      <c r="X252" s="224" t="s">
        <v>680</v>
      </c>
    </row>
    <row r="253" spans="2:24" x14ac:dyDescent="0.25">
      <c r="B253" s="804"/>
      <c r="C253" s="521" t="s">
        <v>106</v>
      </c>
      <c r="D253" s="521" t="s">
        <v>176</v>
      </c>
      <c r="E253" s="51"/>
      <c r="F253" s="421"/>
      <c r="X253" s="224"/>
    </row>
    <row r="254" spans="2:24" x14ac:dyDescent="0.25">
      <c r="B254" s="518" t="s">
        <v>155</v>
      </c>
      <c r="C254" s="419">
        <f>SUMIFS(AS!$W:$W,AS!$BO:$BO,$W$7,AS!$AB:$AB,AS!$AA$1,AS!$AH:$AH,$X$8,AS!$AM:$AM,$X254,AS!$AV:$AV,$X$5,AS!$AW:$AW,$X$32,AS!$X:$X,$Y$5,AS!$AT:$AT,Parkki!$Y$13,AS!$K:$K,$X$31,AS!$F:$F,$V$29,AS!$L:$L,$V$30,AS!$AG:$AG,Parkki!$Y$9)</f>
        <v>0</v>
      </c>
      <c r="D254" s="552" t="str">
        <f t="shared" ref="D254:D269" si="30">IFERROR(C254/$C$270,"-")</f>
        <v>-</v>
      </c>
      <c r="E254" s="51"/>
      <c r="F254" s="421"/>
      <c r="W254" t="s">
        <v>384</v>
      </c>
      <c r="X254" s="47" t="s">
        <v>384</v>
      </c>
    </row>
    <row r="255" spans="2:24" x14ac:dyDescent="0.25">
      <c r="B255" s="518" t="s">
        <v>1116</v>
      </c>
      <c r="C255" s="419">
        <f>SUMIFS(AS!$W:$W,AS!$BO:$BO,$W$7,AS!$AB:$AB,AS!$AA$1,AS!$AH:$AH,$X$8,AS!$AM:$AM,$X255,AS!$AV:$AV,$X$5,AS!$AW:$AW,$X$32,AS!$X:$X,$Y$5,AS!$AT:$AT,Parkki!$Y$13,AS!$K:$K,$X$31,AS!$F:$F,$V$29,AS!$L:$L,$V$30,AS!$AG:$AG,Parkki!$Y$9)</f>
        <v>0</v>
      </c>
      <c r="D255" s="552" t="str">
        <f t="shared" si="30"/>
        <v>-</v>
      </c>
      <c r="E255" s="51"/>
      <c r="F255" s="421"/>
      <c r="X255" s="547" t="s">
        <v>1120</v>
      </c>
    </row>
    <row r="256" spans="2:24" x14ac:dyDescent="0.25">
      <c r="B256" s="518" t="s">
        <v>156</v>
      </c>
      <c r="C256" s="419">
        <f>SUMIFS(AS!$W:$W,AS!$BO:$BO,$W$7,AS!$AB:$AB,AS!$AA$1,AS!$AH:$AH,$X$8,AS!$AM:$AM,$X256,AS!$AV:$AV,$X$5,AS!$AW:$AW,$X$32,AS!$X:$X,$Y$5,AS!$AT:$AT,Parkki!$Y$13,AS!$K:$K,$X$31,AS!$F:$F,$V$29,AS!$L:$L,$V$30,AS!$AG:$AG,Parkki!$Y$9)</f>
        <v>0</v>
      </c>
      <c r="D256" s="552" t="str">
        <f t="shared" si="30"/>
        <v>-</v>
      </c>
      <c r="E256" s="51"/>
      <c r="F256" s="421"/>
      <c r="W256" t="s">
        <v>372</v>
      </c>
      <c r="X256" s="47" t="s">
        <v>372</v>
      </c>
    </row>
    <row r="257" spans="2:24" x14ac:dyDescent="0.25">
      <c r="B257" s="518" t="s">
        <v>1117</v>
      </c>
      <c r="C257" s="419">
        <f>SUMIFS(AS!$W:$W,AS!$BO:$BO,$W$7,AS!$AB:$AB,AS!$AA$1,AS!$AH:$AH,$X$8,AS!$AM:$AM,$X257,AS!$AV:$AV,$X$5,AS!$AW:$AW,$X$32,AS!$X:$X,$Y$5,AS!$AT:$AT,Parkki!$Y$13,AS!$K:$K,$X$31,AS!$F:$F,$V$29,AS!$L:$L,$V$30,AS!$AG:$AG,Parkki!$Y$9)</f>
        <v>0</v>
      </c>
      <c r="D257" s="552" t="str">
        <f t="shared" si="30"/>
        <v>-</v>
      </c>
      <c r="E257" s="51"/>
      <c r="F257" s="421"/>
      <c r="X257" s="547" t="s">
        <v>1121</v>
      </c>
    </row>
    <row r="258" spans="2:24" x14ac:dyDescent="0.25">
      <c r="B258" s="518" t="s">
        <v>1118</v>
      </c>
      <c r="C258" s="419">
        <f>SUMIFS(AS!$W:$W,AS!$BO:$BO,$W$7,AS!$AB:$AB,AS!$AA$1,AS!$AH:$AH,$X$8,AS!$AM:$AM,$X258,AS!$AV:$AV,$X$5,AS!$AW:$AW,$X$32,AS!$X:$X,$Y$5,AS!$AT:$AT,Parkki!$Y$13,AS!$K:$K,$X$31,AS!$F:$F,$V$29,AS!$L:$L,$V$30,AS!$AG:$AG,Parkki!$Y$9)+W258</f>
        <v>0</v>
      </c>
      <c r="D258" s="552" t="str">
        <f t="shared" si="30"/>
        <v>-</v>
      </c>
      <c r="E258" s="51"/>
      <c r="F258" s="421"/>
      <c r="V258" s="47" t="s">
        <v>363</v>
      </c>
      <c r="W258" s="488">
        <f>SUMIFS(AS!$W:$W,AS!$BO:$BO,$W$7,AS!$AB:$AB,AS!$AA$1,AS!$AH:$AH,$X$8,AS!$AM:$AM,$V258,AS!$AV:$AV,$X$5,AS!$AW:$AW,$X$32,AS!$X:$X,$Y$5,AS!$AT:$AT,Parkki!$Y$13,AS!$K:$K,$X$31,AS!$F:$F,$V$29,AS!$L:$L,$V$30,AS!$AG:$AG,Parkki!$Y$9)</f>
        <v>0</v>
      </c>
      <c r="X258" s="47" t="s">
        <v>356</v>
      </c>
    </row>
    <row r="259" spans="2:24" x14ac:dyDescent="0.25">
      <c r="B259" s="518" t="s">
        <v>1119</v>
      </c>
      <c r="C259" s="419">
        <f>SUMIFS(AS!$W:$W,AS!$BO:$BO,$W$7,AS!$AB:$AB,AS!$AA$1,AS!$AH:$AH,$X$8,AS!$AM:$AM,$X259,AS!$AV:$AV,$X$5,AS!$AW:$AW,$X$32,AS!$X:$X,$Y$5,AS!$AT:$AT,Parkki!$Y$13,AS!$K:$K,$X$31,AS!$F:$F,$V$29,AS!$L:$L,$V$30,AS!$AG:$AG,Parkki!$Y$9)</f>
        <v>0</v>
      </c>
      <c r="D259" s="552" t="str">
        <f t="shared" si="30"/>
        <v>-</v>
      </c>
      <c r="E259" s="51"/>
      <c r="F259" s="421"/>
      <c r="X259" s="547" t="s">
        <v>1122</v>
      </c>
    </row>
    <row r="260" spans="2:24" x14ac:dyDescent="0.25">
      <c r="B260" s="518" t="s">
        <v>164</v>
      </c>
      <c r="C260" s="419">
        <f>SUMIFS(AS!$W:$W,AS!$BO:$BO,$W$7,AS!$AB:$AB,AS!$AA$1,AS!$AH:$AH,$X$8,AS!$AM:$AM,$X260,AS!$AV:$AV,$X$5,AS!$AW:$AW,$X$32,AS!$X:$X,$Y$5,AS!$AT:$AT,Parkki!$Y$13,AS!$K:$K,$X$31,AS!$F:$F,$V$29,AS!$L:$L,$V$30,AS!$AG:$AG,Parkki!$Y$9)</f>
        <v>0</v>
      </c>
      <c r="D260" s="552" t="str">
        <f t="shared" si="30"/>
        <v>-</v>
      </c>
      <c r="E260" s="51"/>
      <c r="F260" s="421"/>
      <c r="W260" t="s">
        <v>374</v>
      </c>
      <c r="X260" s="47" t="s">
        <v>374</v>
      </c>
    </row>
    <row r="261" spans="2:24" x14ac:dyDescent="0.25">
      <c r="B261" s="518" t="s">
        <v>163</v>
      </c>
      <c r="C261" s="419">
        <f>SUMIFS(AS!$W:$W,AS!$BO:$BO,$W$7,AS!$AB:$AB,AS!$AA$1,AS!$AH:$AH,$X$8,AS!$AM:$AM,$X261,AS!$AV:$AV,$X$5,AS!$AW:$AW,$X$32,AS!$X:$X,$Y$5,AS!$AT:$AT,Parkki!$Y$13,AS!$K:$K,$X$31,AS!$F:$F,$V$29,AS!$L:$L,$V$30,AS!$AG:$AG,Parkki!$Y$9)</f>
        <v>0</v>
      </c>
      <c r="D261" s="552" t="str">
        <f t="shared" si="30"/>
        <v>-</v>
      </c>
      <c r="E261" s="51"/>
      <c r="F261" s="421"/>
      <c r="W261" t="s">
        <v>368</v>
      </c>
      <c r="X261" s="47" t="s">
        <v>368</v>
      </c>
    </row>
    <row r="262" spans="2:24" x14ac:dyDescent="0.25">
      <c r="B262" s="518" t="s">
        <v>162</v>
      </c>
      <c r="C262" s="419">
        <f>SUMIFS(AS!$W:$W,AS!$BO:$BO,$W$7,AS!$AB:$AB,AS!$AA$1,AS!$AH:$AH,$X$8,AS!$AM:$AM,$X262,AS!$AV:$AV,$X$5,AS!$AW:$AW,$X$32,AS!$X:$X,$Y$5,AS!$AT:$AT,Parkki!$Y$13,AS!$K:$K,$X$31,AS!$F:$F,$V$29,AS!$L:$L,$V$30,AS!$AG:$AG,Parkki!$Y$9)</f>
        <v>0</v>
      </c>
      <c r="D262" s="552" t="str">
        <f t="shared" si="30"/>
        <v>-</v>
      </c>
      <c r="E262" s="51"/>
      <c r="F262" s="421"/>
      <c r="W262" t="s">
        <v>352</v>
      </c>
      <c r="X262" s="47" t="s">
        <v>352</v>
      </c>
    </row>
    <row r="263" spans="2:24" x14ac:dyDescent="0.25">
      <c r="B263" s="518" t="s">
        <v>161</v>
      </c>
      <c r="C263" s="419">
        <f>SUMIFS(AS!$W:$W,AS!$BO:$BO,$W$7,AS!$AB:$AB,AS!$AA$1,AS!$AH:$AH,$X$8,AS!$AM:$AM,$X263,AS!$AV:$AV,$X$5,AS!$AW:$AW,$X$32,AS!$X:$X,$Y$5,AS!$AT:$AT,Parkki!$Y$13,AS!$K:$K,$X$31,AS!$F:$F,$V$29,AS!$L:$L,$V$30,AS!$AG:$AG,Parkki!$Y$9)</f>
        <v>0</v>
      </c>
      <c r="D263" s="552" t="str">
        <f t="shared" si="30"/>
        <v>-</v>
      </c>
      <c r="E263" s="51"/>
      <c r="F263" s="421"/>
      <c r="W263" t="s">
        <v>376</v>
      </c>
      <c r="X263" s="47" t="s">
        <v>376</v>
      </c>
    </row>
    <row r="264" spans="2:24" x14ac:dyDescent="0.25">
      <c r="B264" s="518" t="s">
        <v>160</v>
      </c>
      <c r="C264" s="419">
        <f>SUMIFS(AS!$W:$W,AS!$BO:$BO,$W$7,AS!$AB:$AB,AS!$AA$1,AS!$AH:$AH,$X$8,AS!$AM:$AM,$X264,AS!$AV:$AV,$X$5,AS!$AW:$AW,$X$32,AS!$X:$X,$Y$5,AS!$AT:$AT,Parkki!$Y$13,AS!$K:$K,$X$31,AS!$F:$F,$V$29,AS!$L:$L,$V$30,AS!$AG:$AG,Parkki!$Y$9)</f>
        <v>0</v>
      </c>
      <c r="D264" s="552" t="str">
        <f t="shared" si="30"/>
        <v>-</v>
      </c>
      <c r="E264" s="51"/>
      <c r="F264" s="421"/>
      <c r="W264" t="s">
        <v>375</v>
      </c>
      <c r="X264" s="47" t="s">
        <v>375</v>
      </c>
    </row>
    <row r="265" spans="2:24" x14ac:dyDescent="0.25">
      <c r="B265" s="518" t="s">
        <v>159</v>
      </c>
      <c r="C265" s="419">
        <f>SUMIFS(AS!$W:$W,AS!$BO:$BO,$W$7,AS!$AB:$AB,AS!$AA$1,AS!$AH:$AH,$X$8,AS!$AM:$AM,$X265,AS!$AV:$AV,$X$5,AS!$AW:$AW,$X$32,AS!$X:$X,$Y$5,AS!$AT:$AT,Parkki!$Y$13,AS!$K:$K,$X$31,AS!$F:$F,$V$29,AS!$L:$L,$V$30,AS!$AG:$AG,Parkki!$Y$9)</f>
        <v>0</v>
      </c>
      <c r="D265" s="552" t="str">
        <f t="shared" si="30"/>
        <v>-</v>
      </c>
      <c r="E265" s="51"/>
      <c r="F265" s="421"/>
      <c r="W265" t="s">
        <v>398</v>
      </c>
      <c r="X265" s="47" t="s">
        <v>398</v>
      </c>
    </row>
    <row r="266" spans="2:24" x14ac:dyDescent="0.25">
      <c r="B266" s="518" t="s">
        <v>158</v>
      </c>
      <c r="C266" s="419">
        <f>SUMIFS(AS!$W:$W,AS!$BO:$BO,$W$7,AS!$AB:$AB,AS!$AA$1,AS!$AH:$AH,$X$8,AS!$AM:$AM,$X266,AS!$AV:$AV,$X$5,AS!$AW:$AW,$X$32,AS!$X:$X,$Y$5,AS!$AT:$AT,Parkki!$Y$13,AS!$K:$K,$X$31,AS!$F:$F,$V$29,AS!$L:$L,$V$30,AS!$AG:$AG,Parkki!$Y$9)</f>
        <v>0</v>
      </c>
      <c r="D266" s="552" t="str">
        <f t="shared" si="30"/>
        <v>-</v>
      </c>
      <c r="E266" s="51"/>
      <c r="F266" s="421"/>
      <c r="W266" t="s">
        <v>349</v>
      </c>
      <c r="X266" s="47" t="s">
        <v>349</v>
      </c>
    </row>
    <row r="267" spans="2:24" x14ac:dyDescent="0.25">
      <c r="B267" s="518" t="s">
        <v>63</v>
      </c>
      <c r="C267" s="419">
        <f>SUMIFS(AS!$W:$W,AS!$BO:$BO,$W$7,AS!$AB:$AB,AS!$AA$1,AS!$AH:$AH,$X$8,AS!$AM:$AM,$X267,AS!$AV:$AV,$X$5,AS!$AW:$AW,$X$32,AS!$X:$X,$Y$5,AS!$AT:$AT,Parkki!$Y$13,AS!$K:$K,$X$31,AS!$F:$F,$V$29,AS!$L:$L,$V$30,AS!$AG:$AG,Parkki!$Y$9)</f>
        <v>0</v>
      </c>
      <c r="D267" s="552" t="str">
        <f t="shared" si="30"/>
        <v>-</v>
      </c>
      <c r="E267" s="51"/>
      <c r="F267" s="421"/>
      <c r="W267" t="s">
        <v>392</v>
      </c>
      <c r="X267" s="47" t="s">
        <v>392</v>
      </c>
    </row>
    <row r="268" spans="2:24" x14ac:dyDescent="0.25">
      <c r="B268" s="518" t="s">
        <v>97</v>
      </c>
      <c r="C268" s="419">
        <f>SUMIFS(AS!$W:$W,AS!$BO:$BO,$W$7,AS!$AB:$AB,AS!$AA$1,AS!$AH:$AH,$X$8,AS!$AM:$AM,$X268,AS!$AV:$AV,$X$5,AS!$AW:$AW,$X$32,AS!$X:$X,$Y$5,AS!$AT:$AT,Parkki!$Y$13,AS!$K:$K,$X$31,AS!$F:$F,$V$29,AS!$L:$L,$V$30,AS!$AG:$AG,Parkki!$Y$9)</f>
        <v>0</v>
      </c>
      <c r="D268" s="552" t="str">
        <f t="shared" si="30"/>
        <v>-</v>
      </c>
      <c r="E268" s="51"/>
      <c r="F268" s="421"/>
      <c r="W268" t="s">
        <v>360</v>
      </c>
      <c r="X268" s="47" t="s">
        <v>360</v>
      </c>
    </row>
    <row r="269" spans="2:24" x14ac:dyDescent="0.25">
      <c r="B269" s="518" t="s">
        <v>548</v>
      </c>
      <c r="C269" s="419">
        <f>SUMIFS(AS!$W:$W,AS!$BO:$BO,$W$7,AS!$AB:$AB,AS!$AA$1,AS!$AH:$AH,$X$8,AS!$AM:$AM,"",AS!$AV:$AV,$X$5,AS!$AW:$AW,$X$32,AS!$X:$X,$Y$5,AS!$AT:$AT,Parkki!$Y$13,AS!$K:$K,$X$31,AS!$F:$F,$V$29,AS!$L:$L,$V$30,AS!$AG:$AG,Parkki!$Y$9)</f>
        <v>0</v>
      </c>
      <c r="D269" s="552" t="str">
        <f t="shared" si="30"/>
        <v>-</v>
      </c>
      <c r="E269" s="51"/>
      <c r="F269" s="421"/>
      <c r="W269" t="str">
        <f>TRIM(X269)</f>
        <v/>
      </c>
    </row>
    <row r="270" spans="2:24" x14ac:dyDescent="0.25">
      <c r="B270" s="519" t="s">
        <v>788</v>
      </c>
      <c r="C270" s="519">
        <f>SUM(C254:C269)</f>
        <v>0</v>
      </c>
      <c r="D270" s="559">
        <f>SUM(D254:D269)</f>
        <v>0</v>
      </c>
      <c r="E270" s="51"/>
      <c r="F270" s="421"/>
      <c r="X270" s="47"/>
    </row>
    <row r="271" spans="2:24" x14ac:dyDescent="0.25">
      <c r="B271" s="523" t="s">
        <v>1113</v>
      </c>
      <c r="F271" s="421"/>
      <c r="W271" t="str">
        <f t="shared" ref="W271:W275" si="31">TRIM(X271)</f>
        <v/>
      </c>
    </row>
    <row r="272" spans="2:24" ht="28.5" customHeight="1" x14ac:dyDescent="0.25">
      <c r="F272" s="421"/>
      <c r="W272" t="str">
        <f t="shared" si="31"/>
        <v/>
      </c>
    </row>
    <row r="273" spans="2:24" ht="47.25" customHeight="1" x14ac:dyDescent="0.25">
      <c r="B273" s="786" t="str">
        <f>"TAVOITETTUJEN nuorten pääasiallinen asumismuoto aloitustilanteessa "&amp;$Y$12&amp;$X$10&amp;U8&amp;X15</f>
        <v>TAVOITETTUJEN nuorten pääasiallinen asumismuoto aloitustilanteessa - KAIKKI: 01.01.2025-30.04.2025 (Kaikki yksiköt / perustiedoista, Kaikki kunnat / perustiedoista, Ikäluokka: Kaikki)</v>
      </c>
      <c r="C273" s="786"/>
      <c r="D273" s="786"/>
      <c r="E273" s="51"/>
      <c r="F273" s="421"/>
      <c r="W273" t="str">
        <f t="shared" si="31"/>
        <v/>
      </c>
    </row>
    <row r="274" spans="2:24" x14ac:dyDescent="0.25">
      <c r="B274" s="803" t="s">
        <v>1109</v>
      </c>
      <c r="C274" s="805" t="s">
        <v>114</v>
      </c>
      <c r="D274" s="805"/>
      <c r="E274" s="51"/>
      <c r="F274" s="421"/>
    </row>
    <row r="275" spans="2:24" x14ac:dyDescent="0.25">
      <c r="B275" s="804"/>
      <c r="C275" s="521" t="s">
        <v>106</v>
      </c>
      <c r="D275" s="521" t="s">
        <v>176</v>
      </c>
      <c r="E275" s="51"/>
      <c r="F275" s="421"/>
      <c r="W275" t="str">
        <f t="shared" si="31"/>
        <v>Nuoren pääasiallinen asumismuoto aloitustilanteessa</v>
      </c>
      <c r="X275" s="224" t="s">
        <v>682</v>
      </c>
    </row>
    <row r="276" spans="2:24" x14ac:dyDescent="0.25">
      <c r="B276" s="518" t="s">
        <v>166</v>
      </c>
      <c r="C276" s="419">
        <f>SUMIFS(AS!$W:$W,AS!$BO:$BO,$W$7,AS!$AB:$AB,AS!$AA$1,AS!$AH:$AH,$X$8,AS!$AN:$AN,$X276,AS!$AV:$AV,$X$5,AS!$AW:$AW,$X$32,AS!$X:$X,$Y$5,AS!$AT:$AT,Parkki!$Y$13,AS!$K:$K,$X$31,AS!$F:$F,$V$29,AS!$L:$L,$V$30,AS!$AG:$AG,Parkki!$Y$9)</f>
        <v>0</v>
      </c>
      <c r="D276" s="552" t="str">
        <f t="shared" ref="D276:D288" si="32">IFERROR(C276/$C$289,"-")</f>
        <v>-</v>
      </c>
      <c r="E276" s="51"/>
      <c r="F276" s="421"/>
      <c r="T276" s="487"/>
      <c r="W276" t="s">
        <v>353</v>
      </c>
      <c r="X276" s="47" t="s">
        <v>353</v>
      </c>
    </row>
    <row r="277" spans="2:24" x14ac:dyDescent="0.25">
      <c r="B277" s="518" t="s">
        <v>167</v>
      </c>
      <c r="C277" s="419">
        <f>SUMIFS(AS!$W:$W,AS!$BO:$BO,$W$7,AS!$AB:$AB,AS!$AA$1,AS!$AH:$AH,$X$8,AS!$AN:$AN,$X277,AS!$AV:$AV,$X$5,AS!$AW:$AW,$X$32,AS!$X:$X,$Y$5,AS!$AT:$AT,Parkki!$Y$13,AS!$K:$K,$X$31,AS!$F:$F,$V$29,AS!$L:$L,$V$30,AS!$AG:$AG,Parkki!$Y$9)</f>
        <v>0</v>
      </c>
      <c r="D277" s="552" t="str">
        <f t="shared" si="32"/>
        <v>-</v>
      </c>
      <c r="E277" s="51"/>
      <c r="F277" s="421"/>
      <c r="T277" s="487"/>
      <c r="W277" t="s">
        <v>357</v>
      </c>
      <c r="X277" s="47" t="s">
        <v>357</v>
      </c>
    </row>
    <row r="278" spans="2:24" x14ac:dyDescent="0.25">
      <c r="B278" s="518" t="s">
        <v>168</v>
      </c>
      <c r="C278" s="419">
        <f>SUMIFS(AS!$W:$W,AS!$BO:$BO,$W$7,AS!$AB:$AB,AS!$AA$1,AS!$AH:$AH,$X$8,AS!$AN:$AN,$X278,AS!$AV:$AV,$X$5,AS!$AW:$AW,$X$32,AS!$X:$X,$Y$5,AS!$AT:$AT,Parkki!$Y$13,AS!$K:$K,$X$31,AS!$F:$F,$V$29,AS!$L:$L,$V$30,AS!$AG:$AG,Parkki!$Y$9)</f>
        <v>0</v>
      </c>
      <c r="D278" s="552" t="str">
        <f t="shared" si="32"/>
        <v>-</v>
      </c>
      <c r="E278" s="51"/>
      <c r="F278" s="421"/>
      <c r="T278" s="487"/>
      <c r="W278" t="s">
        <v>395</v>
      </c>
      <c r="X278" s="47" t="s">
        <v>395</v>
      </c>
    </row>
    <row r="279" spans="2:24" x14ac:dyDescent="0.25">
      <c r="B279" s="518" t="s">
        <v>169</v>
      </c>
      <c r="C279" s="419">
        <f>SUMIFS(AS!$W:$W,AS!$BO:$BO,$W$7,AS!$AB:$AB,AS!$AA$1,AS!$AH:$AH,$X$8,AS!$AN:$AN,$X279,AS!$AV:$AV,$X$5,AS!$AW:$AW,$X$32,AS!$X:$X,$Y$5,AS!$AT:$AT,Parkki!$Y$13,AS!$K:$K,$X$31,AS!$F:$F,$V$29,AS!$L:$L,$V$30,AS!$AG:$AG,Parkki!$Y$9)</f>
        <v>0</v>
      </c>
      <c r="D279" s="552" t="str">
        <f t="shared" si="32"/>
        <v>-</v>
      </c>
      <c r="E279" s="51"/>
      <c r="F279" s="421"/>
      <c r="T279" s="487"/>
      <c r="W279" t="s">
        <v>387</v>
      </c>
      <c r="X279" s="47" t="s">
        <v>387</v>
      </c>
    </row>
    <row r="280" spans="2:24" x14ac:dyDescent="0.25">
      <c r="B280" s="518" t="s">
        <v>170</v>
      </c>
      <c r="C280" s="419">
        <f>SUMIFS(AS!$W:$W,AS!$BO:$BO,$W$7,AS!$AB:$AB,AS!$AA$1,AS!$AH:$AH,$X$8,AS!$AN:$AN,$X280,AS!$AV:$AV,$X$5,AS!$AW:$AW,$X$32,AS!$X:$X,$Y$5,AS!$AT:$AT,Parkki!$Y$13,AS!$K:$K,$X$31,AS!$F:$F,$V$29,AS!$L:$L,$V$30,AS!$AG:$AG,Parkki!$Y$9)</f>
        <v>0</v>
      </c>
      <c r="D280" s="552" t="str">
        <f t="shared" si="32"/>
        <v>-</v>
      </c>
      <c r="E280" s="51"/>
      <c r="F280" s="421"/>
      <c r="T280" s="487"/>
      <c r="W280" t="s">
        <v>393</v>
      </c>
      <c r="X280" s="47" t="s">
        <v>393</v>
      </c>
    </row>
    <row r="281" spans="2:24" x14ac:dyDescent="0.25">
      <c r="B281" s="518" t="s">
        <v>171</v>
      </c>
      <c r="C281" s="419">
        <f>SUMIFS(AS!$W:$W,AS!$BO:$BO,$W$7,AS!$AB:$AB,AS!$AA$1,AS!$AH:$AH,$X$8,AS!$AN:$AN,$X281,AS!$AV:$AV,$X$5,AS!$AW:$AW,$X$32,AS!$X:$X,$Y$5,AS!$AT:$AT,Parkki!$Y$13,AS!$K:$K,$X$31,AS!$F:$F,$V$29,AS!$L:$L,$V$30,AS!$AG:$AG,Parkki!$Y$9)</f>
        <v>0</v>
      </c>
      <c r="D281" s="552" t="str">
        <f t="shared" si="32"/>
        <v>-</v>
      </c>
      <c r="E281" s="51"/>
      <c r="F281" s="421"/>
      <c r="T281" s="486"/>
      <c r="W281" t="s">
        <v>382</v>
      </c>
      <c r="X281" s="47" t="s">
        <v>382</v>
      </c>
    </row>
    <row r="282" spans="2:24" x14ac:dyDescent="0.25">
      <c r="B282" s="518" t="s">
        <v>172</v>
      </c>
      <c r="C282" s="419">
        <f>SUMIFS(AS!$W:$W,AS!$BO:$BO,$W$7,AS!$AB:$AB,AS!$AA$1,AS!$AH:$AH,$X$8,AS!$AN:$AN,$X282,AS!$AV:$AV,$X$5,AS!$AW:$AW,$X$32,AS!$X:$X,$Y$5,AS!$AT:$AT,Parkki!$Y$13,AS!$K:$K,$X$31,AS!$F:$F,$V$29,AS!$L:$L,$V$30,AS!$AG:$AG,Parkki!$Y$9)</f>
        <v>0</v>
      </c>
      <c r="D282" s="552" t="str">
        <f t="shared" si="32"/>
        <v>-</v>
      </c>
      <c r="E282" s="51"/>
      <c r="F282" s="421"/>
      <c r="T282" s="487"/>
      <c r="W282" t="s">
        <v>385</v>
      </c>
      <c r="X282" s="47" t="s">
        <v>385</v>
      </c>
    </row>
    <row r="283" spans="2:24" x14ac:dyDescent="0.25">
      <c r="B283" s="518" t="s">
        <v>173</v>
      </c>
      <c r="C283" s="419">
        <f>SUMIFS(AS!$W:$W,AS!$BO:$BO,$W$7,AS!$AB:$AB,AS!$AA$1,AS!$AH:$AH,$X$8,AS!$AN:$AN,$X283,AS!$AV:$AV,$X$5,AS!$AW:$AW,$X$32,AS!$X:$X,$Y$5,AS!$AT:$AT,Parkki!$Y$13,AS!$K:$K,$X$31,AS!$F:$F,$V$29,AS!$L:$L,$V$30,AS!$AG:$AG,Parkki!$Y$9)</f>
        <v>0</v>
      </c>
      <c r="D283" s="552" t="str">
        <f t="shared" si="32"/>
        <v>-</v>
      </c>
      <c r="E283" s="51"/>
      <c r="F283" s="421"/>
      <c r="T283" s="487"/>
      <c r="W283" t="s">
        <v>378</v>
      </c>
      <c r="X283" s="47" t="s">
        <v>378</v>
      </c>
    </row>
    <row r="284" spans="2:24" x14ac:dyDescent="0.25">
      <c r="B284" s="518" t="s">
        <v>174</v>
      </c>
      <c r="C284" s="419">
        <f>SUMIFS(AS!$W:$W,AS!$BO:$BO,$W$7,AS!$AB:$AB,AS!$AA$1,AS!$AH:$AH,$X$8,AS!$AN:$AN,$X284,AS!$AV:$AV,$X$5,AS!$AW:$AW,$X$32,AS!$X:$X,$Y$5,AS!$AT:$AT,Parkki!$Y$13,AS!$K:$K,$X$31,AS!$F:$F,$V$29,AS!$L:$L,$V$30,AS!$AG:$AG,Parkki!$Y$9)</f>
        <v>0</v>
      </c>
      <c r="D284" s="552" t="str">
        <f t="shared" si="32"/>
        <v>-</v>
      </c>
      <c r="E284" s="51"/>
      <c r="F284" s="421"/>
      <c r="T284" s="487"/>
      <c r="W284" t="s">
        <v>388</v>
      </c>
      <c r="X284" s="47" t="s">
        <v>388</v>
      </c>
    </row>
    <row r="285" spans="2:24" x14ac:dyDescent="0.25">
      <c r="B285" s="518" t="s">
        <v>175</v>
      </c>
      <c r="C285" s="419">
        <f>SUMIFS(AS!$W:$W,AS!$BO:$BO,$W$7,AS!$AB:$AB,AS!$AA$1,AS!$AH:$AH,$X$8,AS!$AN:$AN,$X285,AS!$AV:$AV,$X$5,AS!$AW:$AW,$X$32,AS!$X:$X,$Y$5,AS!$AT:$AT,Parkki!$Y$13,AS!$K:$K,$X$31,AS!$F:$F,$V$29,AS!$L:$L,$V$30,AS!$AG:$AG,Parkki!$Y$9)</f>
        <v>0</v>
      </c>
      <c r="D285" s="552" t="str">
        <f t="shared" si="32"/>
        <v>-</v>
      </c>
      <c r="E285" s="51"/>
      <c r="F285" s="421"/>
      <c r="T285" s="487"/>
      <c r="W285" t="s">
        <v>515</v>
      </c>
      <c r="X285" s="47" t="s">
        <v>515</v>
      </c>
    </row>
    <row r="286" spans="2:24" x14ac:dyDescent="0.25">
      <c r="B286" s="518" t="s">
        <v>63</v>
      </c>
      <c r="C286" s="419">
        <f>SUMIFS(AS!$W:$W,AS!$BO:$BO,$W$7,AS!$AB:$AB,AS!$AA$1,AS!$AH:$AH,$X$8,AS!$AN:$AN,$X286,AS!$AV:$AV,$X$5,AS!$AW:$AW,$X$32,AS!$X:$X,$Y$5,AS!$AT:$AT,Parkki!$Y$13,AS!$K:$K,$X$31,AS!$F:$F,$V$29,AS!$L:$L,$V$30,AS!$AG:$AG,Parkki!$Y$9)</f>
        <v>0</v>
      </c>
      <c r="D286" s="552" t="str">
        <f t="shared" si="32"/>
        <v>-</v>
      </c>
      <c r="E286" s="51"/>
      <c r="F286" s="421"/>
      <c r="T286" s="487"/>
      <c r="W286" t="s">
        <v>396</v>
      </c>
      <c r="X286" s="47" t="s">
        <v>396</v>
      </c>
    </row>
    <row r="287" spans="2:24" x14ac:dyDescent="0.25">
      <c r="B287" s="518" t="s">
        <v>97</v>
      </c>
      <c r="C287" s="419">
        <f>SUMIFS(AS!$W:$W,AS!$BO:$BO,$W$7,AS!$AB:$AB,AS!$AA$1,AS!$AH:$AH,$X$8,AS!$AN:$AN,$X287,AS!$AV:$AV,$X$5,AS!$AW:$AW,$X$32,AS!$X:$X,$Y$5,AS!$AT:$AT,Parkki!$Y$13,AS!$K:$K,$X$31,AS!$F:$F,$V$29,AS!$L:$L,$V$30,AS!$AG:$AG,Parkki!$Y$9)</f>
        <v>0</v>
      </c>
      <c r="D287" s="552" t="str">
        <f t="shared" si="32"/>
        <v>-</v>
      </c>
      <c r="E287" s="51"/>
      <c r="F287" s="421"/>
      <c r="T287" s="487"/>
      <c r="W287" t="s">
        <v>361</v>
      </c>
      <c r="X287" s="47" t="s">
        <v>361</v>
      </c>
    </row>
    <row r="288" spans="2:24" x14ac:dyDescent="0.25">
      <c r="B288" s="518" t="s">
        <v>548</v>
      </c>
      <c r="C288" s="419">
        <f>SUMIFS(AS!$W:$W,AS!$BO:$BO,$W$7,AS!$AB:$AB,AS!$AA$1,AS!$AH:$AH,$X$8,AS!$AN:$AN,"",AS!$AV:$AV,$X$5,AS!$AW:$AW,$X$32,AS!$X:$X,$Y$5,AS!$AT:$AT,Parkki!$Y$13,AS!$K:$K,$X$31,AS!$F:$F,$V$29,AS!$L:$L,$V$30,AS!$AG:$AG,Parkki!$Y$9)</f>
        <v>0</v>
      </c>
      <c r="D288" s="552" t="str">
        <f t="shared" si="32"/>
        <v>-</v>
      </c>
      <c r="E288" s="51"/>
      <c r="F288" s="421"/>
      <c r="W288" t="str">
        <f>TRIM(X288)</f>
        <v/>
      </c>
      <c r="X288" s="47"/>
    </row>
    <row r="289" spans="1:28" x14ac:dyDescent="0.25">
      <c r="B289" s="519" t="s">
        <v>788</v>
      </c>
      <c r="C289" s="519">
        <f>SUM(C276:C288)</f>
        <v>0</v>
      </c>
      <c r="D289" s="559">
        <f>SUM(D276:D288)</f>
        <v>0</v>
      </c>
      <c r="E289" s="51"/>
      <c r="F289" s="421"/>
      <c r="W289" t="str">
        <f>TRIM(X289)</f>
        <v/>
      </c>
    </row>
    <row r="290" spans="1:28" x14ac:dyDescent="0.25">
      <c r="A290" s="352" t="s">
        <v>746</v>
      </c>
      <c r="F290" s="421"/>
      <c r="W290" t="str">
        <f>TRIM(X290)</f>
        <v/>
      </c>
    </row>
    <row r="291" spans="1:28" ht="29.25" customHeight="1" x14ac:dyDescent="0.3">
      <c r="A291" s="539" t="s">
        <v>813</v>
      </c>
      <c r="B291" s="538"/>
      <c r="C291" s="538"/>
      <c r="D291" s="538"/>
      <c r="E291" s="538"/>
      <c r="F291" s="537"/>
      <c r="G291" s="538"/>
      <c r="H291" s="538"/>
      <c r="I291" s="538"/>
      <c r="J291" s="538"/>
      <c r="K291" s="538"/>
      <c r="L291" s="538"/>
      <c r="M291" s="538"/>
    </row>
    <row r="292" spans="1:28" ht="42.75" customHeight="1" x14ac:dyDescent="0.25">
      <c r="B292" s="789" t="str">
        <f>"TAVOITETUT nuoret toimenpiteissä "&amp;$Y$12&amp;$X$10&amp;U8&amp;X15</f>
        <v>TAVOITETUT nuoret toimenpiteissä - KAIKKI: 01.01.2025-30.04.2025 (Kaikki yksiköt / perustiedoista, Kaikki kunnat / perustiedoista, Ikäluokka: Kaikki)</v>
      </c>
      <c r="C292" s="789"/>
      <c r="D292" s="789"/>
      <c r="E292" s="789"/>
      <c r="F292" s="421"/>
      <c r="W292" t="str">
        <f>TRIM(X292)</f>
        <v/>
      </c>
      <c r="AA292" s="15" t="s">
        <v>700</v>
      </c>
    </row>
    <row r="293" spans="1:28" ht="25.5" x14ac:dyDescent="0.25">
      <c r="A293" s="53"/>
      <c r="B293" s="518"/>
      <c r="C293" s="521" t="s">
        <v>723</v>
      </c>
      <c r="D293" s="521" t="s">
        <v>1110</v>
      </c>
      <c r="E293" s="521" t="s">
        <v>1111</v>
      </c>
      <c r="F293" s="421"/>
      <c r="Y293" s="378" t="s">
        <v>809</v>
      </c>
      <c r="Z293" s="378" t="s">
        <v>810</v>
      </c>
      <c r="AA293" s="381" t="s">
        <v>807</v>
      </c>
      <c r="AB293" s="381" t="s">
        <v>808</v>
      </c>
    </row>
    <row r="294" spans="1:28" x14ac:dyDescent="0.25">
      <c r="B294" s="518" t="s">
        <v>785</v>
      </c>
      <c r="C294" s="419">
        <f>SUMIFS(AS!W:W,AS!$BO:$BO,$W$7,AS!AB:AB,AS!$AA$1,AS!AG:AG,$X294,AS!$AV:$AV,$X$5,AS!$AW:$AW,$X$32,AS!$X:$X,$Y$5,AS!$AT:$AT,Parkki!$Y$13,AS!$K:$K,$X$31,AS!$F:$F,$V$29,AS!$L:$L,$V$30,AS!$AG:$AG,Parkki!$Y$9)</f>
        <v>0</v>
      </c>
      <c r="D294" s="419">
        <f>C294-E294</f>
        <v>0</v>
      </c>
      <c r="E294" s="419">
        <f>SUMIFS(AS!W:W,AS!$BO:$BO,$W$7,AS!AB:AB,AS!$AA$1,AS!AG:AG,$X294,AS!$AV:$AV,$X$5,AS!$AW:$AW,$X$32,AS!$X:$X,$Y$5,AS!$BE:$BE,"1",AS!$AT:$AT,Parkki!$Y$13,AS!$K:$K,$X$31,AS!$F:$F,$V$29,AS!$L:$L,$V$30,AS!$AG:$AG,Parkki!$Y$9)</f>
        <v>0</v>
      </c>
      <c r="F294" s="421"/>
      <c r="X294" s="28" t="s">
        <v>65</v>
      </c>
      <c r="Y294" s="380">
        <f t="shared" ref="Y294:Z301" si="33">D79</f>
        <v>0</v>
      </c>
      <c r="Z294" s="380">
        <f t="shared" si="33"/>
        <v>0</v>
      </c>
      <c r="AA294" s="375">
        <f>SUMIFS(AS!W:W,AS!$BO:$BO,$W$7,AS!AB:AB,AS!$AA$1,AS!AG:AG,$X294,AS!$AV:$AV,$X$5,AS!$AW:$AW,$Y$6,AS!$X:$X,$Y$5,AS!$BE:$BE,1,AS!$I:$I,$X$7)</f>
        <v>0</v>
      </c>
      <c r="AB294" s="375">
        <f>SUMIFS(AS!W:W,AS!$BO:$BO,$W$7,AS!AB:AB,AS!$AA$1,AS!AG:AG,$X294,AS!$AV:$AV,$X$5,AS!$AW:$AW,$Y$6,AS!$X:$X,$Y$5,AS!$BE:$BE,1,AS!$I:$I,$Y$7)</f>
        <v>0</v>
      </c>
    </row>
    <row r="295" spans="1:28" x14ac:dyDescent="0.25">
      <c r="B295" s="518" t="s">
        <v>1359</v>
      </c>
      <c r="C295" s="419">
        <f>SUMIFS(AS!W:W,AS!$BO:$BO,$W$7,AS!AB:AB,AS!$AA$1,AS!AG:AG,$X295,AS!$AV:$AV,$X$5,AS!$AW:$AW,$X$32,AS!$X:$X,$Y$5,AS!$AT:$AT,Parkki!$Y$13,AS!$K:$K,$X$31,AS!$F:$F,$V$29,AS!$L:$L,$V$30,AS!$AG:$AG,Parkki!$Y$9)</f>
        <v>0</v>
      </c>
      <c r="D295" s="419">
        <f>C295-E295</f>
        <v>0</v>
      </c>
      <c r="E295" s="419">
        <f>SUMIFS(AS!W:W,AS!$BO:$BO,$W$7,AS!AB:AB,AS!$AA$1,AS!AG:AG,$X295,AS!$AV:$AV,$X$5,AS!$AW:$AW,$X$32,AS!$X:$X,$Y$5,AS!$BE:$BE,"1",AS!$AT:$AT,Parkki!$Y$13,AS!$K:$K,$X$31,AS!$F:$F,$V$29,AS!$L:$L,$V$30,AS!$AG:$AG,Parkki!$Y$9)</f>
        <v>0</v>
      </c>
      <c r="F295" s="421"/>
      <c r="X295" s="28" t="s">
        <v>1357</v>
      </c>
      <c r="Y295" s="380">
        <f t="shared" si="33"/>
        <v>0</v>
      </c>
      <c r="Z295" s="380">
        <f t="shared" si="33"/>
        <v>0</v>
      </c>
      <c r="AA295" s="375">
        <f>SUMIFS(AS!W:W,AS!$BO:$BO,$W$7,AS!AB:AB,AS!$AA$1,AS!AG:AG,$X295,AS!$AV:$AV,$X$5,AS!$AW:$AW,$Y$6,AS!$X:$X,$Y$5,AS!$BE:$BE,1,AS!$I:$I,$X$7)</f>
        <v>0</v>
      </c>
      <c r="AB295" s="375">
        <f>SUMIFS(AS!W:W,AS!$BO:$BO,$W$7,AS!AB:AB,AS!$AA$1,AS!AG:AG,$X295,AS!$AV:$AV,$X$5,AS!$AW:$AW,$Y$6,AS!$X:$X,$Y$5,AS!$BE:$BE,1,AS!$I:$I,$Y$7)</f>
        <v>0</v>
      </c>
    </row>
    <row r="296" spans="1:28" x14ac:dyDescent="0.25">
      <c r="B296" s="518" t="s">
        <v>1360</v>
      </c>
      <c r="C296" s="419">
        <f>SUMIFS(AS!W:W,AS!$BO:$BO,$W$7,AS!AB:AB,AS!$AA$1,AS!AG:AG,$X296,AS!$AV:$AV,$X$5,AS!$AW:$AW,$X$32,AS!$X:$X,$Y$5,AS!$AT:$AT,Parkki!$Y$13,AS!$K:$K,$X$31,AS!$F:$F,$V$29,AS!$L:$L,$V$30,AS!$AG:$AG,Parkki!$Y$9)</f>
        <v>0</v>
      </c>
      <c r="D296" s="419">
        <f t="shared" ref="D296:D301" si="34">C296-E296</f>
        <v>0</v>
      </c>
      <c r="E296" s="419">
        <f>SUMIFS(AS!W:W,AS!$BO:$BO,$W$7,AS!AB:AB,AS!$AA$1,AS!AG:AG,$X296,AS!$AV:$AV,$X$5,AS!$AW:$AW,$X$32,AS!$X:$X,$Y$5,AS!$BE:$BE,"1",AS!$AT:$AT,Parkki!$Y$13,AS!$K:$K,$X$31,AS!$F:$F,$V$29,AS!$L:$L,$V$30,AS!$AG:$AG,Parkki!$Y$9)</f>
        <v>0</v>
      </c>
      <c r="F296" s="421"/>
      <c r="X296" s="155" t="s">
        <v>1358</v>
      </c>
      <c r="Y296" s="380">
        <f t="shared" si="33"/>
        <v>0</v>
      </c>
      <c r="Z296" s="380">
        <f t="shared" si="33"/>
        <v>0</v>
      </c>
      <c r="AA296" s="375">
        <f>SUMIFS(AS!W:W,AS!$BO:$BO,$W$7,AS!AB:AB,AS!$AA$1,AS!AG:AG,$X296,AS!$AV:$AV,$X$5,AS!$AW:$AW,$Y$6,AS!$X:$X,$Y$5,AS!$BE:$BE,1,AS!$I:$I,$X$7)</f>
        <v>0</v>
      </c>
      <c r="AB296" s="375">
        <f>SUMIFS(AS!W:W,AS!$BO:$BO,$W$7,AS!AB:AB,AS!$AA$1,AS!AG:AG,$X296,AS!$AV:$AV,$X$5,AS!$AW:$AW,$Y$6,AS!$X:$X,$Y$5,AS!$BE:$BE,1,AS!$I:$I,$Y$7)</f>
        <v>0</v>
      </c>
    </row>
    <row r="297" spans="1:28" x14ac:dyDescent="0.25">
      <c r="B297" s="518" t="s">
        <v>786</v>
      </c>
      <c r="C297" s="419">
        <f>SUMIFS(AS!W:W,AS!$BO:$BO,$W$7,AS!AB:AB,AS!$AA$1,AS!AG:AG,$X297,AS!$AV:$AV,$X$5,AS!$AW:$AW,$X$32,AS!$X:$X,$Y$5,AS!$AT:$AT,Parkki!$Y$13,AS!$K:$K,$X$31,AS!$F:$F,$V$29,AS!$L:$L,$V$30,AS!$AG:$AG,Parkki!$Y$9)</f>
        <v>0</v>
      </c>
      <c r="D297" s="419">
        <f t="shared" si="34"/>
        <v>0</v>
      </c>
      <c r="E297" s="419">
        <f>SUMIFS(AS!W:W,AS!$BO:$BO,$W$7,AS!AB:AB,AS!$AA$1,AS!AG:AG,$X297,AS!$AV:$AV,$X$5,AS!$AW:$AW,$X$32,AS!$X:$X,$Y$5,AS!$BE:$BE,"1",AS!$AT:$AT,Parkki!$Y$13,AS!$K:$K,$X$31,AS!$F:$F,$V$29,AS!$L:$L,$V$30,AS!$AG:$AG,Parkki!$Y$9)</f>
        <v>0</v>
      </c>
      <c r="F297" s="421"/>
      <c r="X297" s="155" t="s">
        <v>71</v>
      </c>
      <c r="Y297" s="380">
        <f t="shared" si="33"/>
        <v>0</v>
      </c>
      <c r="Z297" s="380">
        <f t="shared" si="33"/>
        <v>0</v>
      </c>
      <c r="AA297" s="375">
        <f>SUMIFS(AS!W:W,AS!$BO:$BO,$W$7,AS!AB:AB,AS!$AA$1,AS!AG:AG,$X297,AS!$AV:$AV,$X$5,AS!$AW:$AW,$Y$6,AS!$X:$X,$Y$5,AS!$BE:$BE,1,AS!$I:$I,$X$7)</f>
        <v>0</v>
      </c>
      <c r="AB297" s="375">
        <f>SUMIFS(AS!W:W,AS!$BO:$BO,$W$7,AS!AB:AB,AS!$AA$1,AS!AG:AG,$X297,AS!$AV:$AV,$X$5,AS!$AW:$AW,$Y$6,AS!$X:$X,$Y$5,AS!$BE:$BE,1,AS!$I:$I,$Y$7)</f>
        <v>0</v>
      </c>
    </row>
    <row r="298" spans="1:28" x14ac:dyDescent="0.25">
      <c r="B298" s="518" t="s">
        <v>787</v>
      </c>
      <c r="C298" s="419">
        <f>SUMIFS(AS!W:W,AS!$BO:$BO,$W$7,AS!AB:AB,AS!$AA$1,AS!AG:AG,$X298,AS!$AV:$AV,$X$5,AS!$AW:$AW,$X$32,AS!$X:$X,$Y$5,AS!$AT:$AT,Parkki!$Y$13,AS!$K:$K,$X$31,AS!$F:$F,$V$29,AS!$L:$L,$V$30,AS!$AG:$AG,Parkki!$Y$9)</f>
        <v>0</v>
      </c>
      <c r="D298" s="419">
        <f t="shared" si="34"/>
        <v>0</v>
      </c>
      <c r="E298" s="419">
        <f>SUMIFS(AS!W:W,AS!$BO:$BO,$W$7,AS!AB:AB,AS!$AA$1,AS!AG:AG,$X298,AS!$AV:$AV,$X$5,AS!$AW:$AW,$X$32,AS!$X:$X,$Y$5,AS!$BE:$BE,"1",AS!$AT:$AT,Parkki!$Y$13,AS!$K:$K,$X$31,AS!$F:$F,$V$29,AS!$L:$L,$V$30,AS!$AG:$AG,Parkki!$Y$9)</f>
        <v>0</v>
      </c>
      <c r="F298" s="421"/>
      <c r="X298" s="155" t="s">
        <v>74</v>
      </c>
      <c r="Y298" s="380">
        <f t="shared" si="33"/>
        <v>0</v>
      </c>
      <c r="Z298" s="380">
        <f t="shared" si="33"/>
        <v>0</v>
      </c>
      <c r="AA298" s="375">
        <f>SUMIFS(AS!W:W,AS!$BO:$BO,$W$7,AS!AB:AB,AS!$AA$1,AS!AG:AG,$X298,AS!$AV:$AV,$X$5,AS!$AW:$AW,$Y$6,AS!$X:$X,$Y$5,AS!$BE:$BE,1,AS!$I:$I,$X$7)</f>
        <v>0</v>
      </c>
      <c r="AB298" s="375">
        <f>SUMIFS(AS!W:W,AS!$BO:$BO,$W$7,AS!AB:AB,AS!$AA$1,AS!AG:AG,$X298,AS!$AV:$AV,$X$5,AS!$AW:$AW,$Y$6,AS!$X:$X,$Y$5,AS!$BE:$BE,1,AS!$I:$I,$Y$7)</f>
        <v>0</v>
      </c>
    </row>
    <row r="299" spans="1:28" x14ac:dyDescent="0.25">
      <c r="B299" s="518" t="s">
        <v>2</v>
      </c>
      <c r="C299" s="419">
        <f>SUMIFS(AS!W:W,AS!$BO:$BO,$W$7,AS!AB:AB,AS!$AA$1,AS!AG:AG,$X300,AS!$AV:$AV,$X$5,AS!$AW:$AW,$X$32,AS!$X:$X,$Y$5,AS!$AT:$AT,Parkki!$Y$13,AS!$K:$K,$X$31,AS!$F:$F,$V$29,AS!$L:$L,$V$30,AS!$AG:$AG,Parkki!$Y$9)+SUMIFS(AS!W:W,AS!$BO:$BO,$W$7,AS!AB:AB,AS!$AA$1,AS!AG:AG,$X299,AS!$AV:$AV,$X$5,AS!$AW:$AW,$X$32,AS!$X:$X,$Y$5,AS!$AT:$AT,Parkki!$Y$13,AS!$K:$K,$X$31,AS!$F:$F,$V$29,AS!$L:$L,$V$30,AS!$AG:$AG,Parkki!$Y$9)</f>
        <v>0</v>
      </c>
      <c r="D299" s="419">
        <f t="shared" si="34"/>
        <v>0</v>
      </c>
      <c r="E299" s="419">
        <f>SUMIFS(AS!W:W,AS!$BO:$BO,$W$7,AS!AB:AB,AS!$AA$1,AS!AG:AG,$X300,AS!$AV:$AV,$X$5,AS!$AW:$AW,$X$32,AS!$X:$X,$Y$5,AS!$BE:$BE,"1",AS!$AT:$AT,Parkki!$Y$13,AS!$K:$K,$X$31,AS!$F:$F,$V$29,AS!$L:$L,$V$30,AS!$AG:$AG,Parkki!$Y$9)+SUMIFS(AS!W:W,AS!$BO:$BO,$W$7,AS!AB:AB,AS!$AA$1,AS!AG:AG,$X299,AS!$AV:$AV,$X$5,AS!$AW:$AW,$X$32,AS!$X:$X,$Y$5,AS!$BE:$BE,"1",AS!$AT:$AT,Parkki!$Y$13,AS!$K:$K,$X$31,AS!$F:$F,$V$29,AS!$L:$L,$V$30,AS!$AG:$AG,Parkki!$Y$9)</f>
        <v>0</v>
      </c>
      <c r="F299" s="421"/>
      <c r="X299" s="28" t="s">
        <v>498</v>
      </c>
      <c r="Y299" s="380">
        <f t="shared" si="33"/>
        <v>0</v>
      </c>
      <c r="Z299" s="380">
        <f t="shared" si="33"/>
        <v>0</v>
      </c>
      <c r="AA299" s="375">
        <f>SUMIFS(AS!W:W,AS!$BO:$BO,$W$7,AS!AB:AB,AS!$AA$1,AS!AG:AG,$X300,AS!$AV:$AV,$X$5,AS!$AW:$AW,$Y$6,AS!$X:$X,$Y$5,AS!$BE:$BE,1,AS!$I:$I,$X$7)+SUMIFS(AS!W:W,AS!$BO:$BO,$W$7,AS!AB:AB,AS!$AA$1,AS!AG:AG,$X299,AS!$AV:$AV,$X$5,AS!$AW:$AW,$Y$6,AS!$X:$X,$Y$5,AS!$BE:$BE,1,AS!$I:$I,$X$7)</f>
        <v>0</v>
      </c>
      <c r="AB299" s="375">
        <f>SUMIFS(AS!W:W,AS!$BO:$BO,$W$7,AS!AB:AB,AS!$AA$1,AS!AG:AG,$X300,AS!$AV:$AV,$X$5,AS!$AW:$AW,$Y$6,AS!$X:$X,$Y$5,AS!$BE:$BE,1,AS!$I:$I,$Y$7)+SUMIFS(AS!W:W,AS!$BO:$BO,$W$7,AS!AB:AB,AS!$AA$1,AS!AG:AG,$X299,AS!$AV:$AV,$X$5,AS!$AW:$AW,$Y$6,AS!$X:$X,$Y$5,AS!$BE:$BE,1,AS!$I:$I,$Y$7)</f>
        <v>0</v>
      </c>
    </row>
    <row r="300" spans="1:28" x14ac:dyDescent="0.25">
      <c r="B300" s="519" t="s">
        <v>788</v>
      </c>
      <c r="C300" s="519">
        <f>SUM(C294:C299)</f>
        <v>0</v>
      </c>
      <c r="D300" s="519">
        <f>SUM(D294:D299)</f>
        <v>0</v>
      </c>
      <c r="E300" s="519">
        <f>SUM(E294:E299)</f>
        <v>0</v>
      </c>
      <c r="F300" s="421"/>
      <c r="X300" s="484" t="s">
        <v>1503</v>
      </c>
      <c r="Y300" s="380">
        <f t="shared" si="33"/>
        <v>0</v>
      </c>
      <c r="Z300" s="380">
        <f t="shared" si="33"/>
        <v>0</v>
      </c>
      <c r="AA300" s="376">
        <f>SUM(AA294:AA299)</f>
        <v>0</v>
      </c>
      <c r="AB300" s="376">
        <f>SUM(AB294:AB299)</f>
        <v>0</v>
      </c>
    </row>
    <row r="301" spans="1:28" x14ac:dyDescent="0.25">
      <c r="B301" s="518" t="s">
        <v>789</v>
      </c>
      <c r="C301" s="419">
        <f>SUMIFS(AS!W:W,AS!$BO:$BO,$W$7,AS!AB:AB,AS!$AA$1,AS!AG:AG,$X301,AS!$AV:$AV,$X$5,AS!$AW:$AW,$X$32,AS!$X:$X,$Y$5,AS!$AT:$AT,Parkki!$Y$13,AS!$K:$K,$X$31,AS!$F:$F,$V$29,AS!$L:$L,$V$30,AS!$AG:$AG,Parkki!$Y$9)</f>
        <v>0</v>
      </c>
      <c r="D301" s="419">
        <f t="shared" si="34"/>
        <v>0</v>
      </c>
      <c r="E301" s="419">
        <f>SUMIFS(AS!W:W,AS!$BO:$BO,$W$7,AS!AB:AB,AS!$AA$1,AS!AG:AG,$X301,AS!$AV:$AV,$X$5,AS!$AW:$AW,$X$32,AS!$X:$X,$Y$5,AS!$BE:$BE,1,AS!$AT:$AT,Parkki!$Y$13,AS!$K:$K,$X$31,AS!$F:$F,$V$29,AS!$L:$L,$V$30,AS!$AG:$AG,Parkki!$Y$9)</f>
        <v>0</v>
      </c>
      <c r="F301" s="421"/>
      <c r="X301" s="28" t="s">
        <v>499</v>
      </c>
      <c r="Y301" s="380">
        <f t="shared" si="33"/>
        <v>0</v>
      </c>
      <c r="Z301" s="380">
        <f t="shared" si="33"/>
        <v>0</v>
      </c>
      <c r="AA301" s="375">
        <f>SUMIFS(AS!W:W,AS!$BO:$BO,$W$7,AS!AB:AB,AS!$AA$1,AS!AG:AG,$X301,AS!$AV:$AV,$X$5,AS!$AW:$AW,$Y$6,AS!$X:$X,$Y$5,AS!$BE:$BE,1,AS!$I:$I,$X$7)</f>
        <v>0</v>
      </c>
      <c r="AB301" s="375">
        <f>SUMIFS(AS!W:W,AS!$BO:$BO,$W$7,AS!AB:AB,AS!$AA$1,AS!AG:AG,$X301,AS!$AV:$AV,$X$5,AS!$AW:$AW,$Y$6,AS!$X:$X,$Y$5,AS!$BE:$BE,1,AS!$I:$I,$Y$7)</f>
        <v>0</v>
      </c>
    </row>
    <row r="302" spans="1:28" x14ac:dyDescent="0.25">
      <c r="F302" s="421"/>
    </row>
    <row r="303" spans="1:28" ht="32.25" customHeight="1" x14ac:dyDescent="0.25">
      <c r="F303" s="421"/>
    </row>
    <row r="304" spans="1:28" ht="38.25" customHeight="1" x14ac:dyDescent="0.25">
      <c r="B304" s="789" t="str">
        <f>"Toimenpiteisiin ohjattujen TAVOITETTUJEN nuorten lukumäärä, ikä- ja sukupuolijakauma? "&amp;Y12&amp;X10&amp;U8&amp;X15</f>
        <v>Toimenpiteisiin ohjattujen TAVOITETTUJEN nuorten lukumäärä, ikä- ja sukupuolijakauma? - KAIKKI: 01.01.2025-30.04.2025 (Kaikki yksiköt / perustiedoista, Kaikki kunnat / perustiedoista, Ikäluokka: Kaikki)</v>
      </c>
      <c r="C304" s="789"/>
      <c r="D304" s="789"/>
      <c r="E304" s="789"/>
      <c r="F304" s="422"/>
      <c r="G304" s="821" t="str">
        <f>B304</f>
        <v>Toimenpiteisiin ohjattujen TAVOITETTUJEN nuorten lukumäärä, ikä- ja sukupuolijakauma? - KAIKKI: 01.01.2025-30.04.2025 (Kaikki yksiköt / perustiedoista, Kaikki kunnat / perustiedoista, Ikäluokka: Kaikki)</v>
      </c>
      <c r="H304" s="821"/>
      <c r="I304" s="821"/>
      <c r="J304" s="821"/>
      <c r="K304" s="821"/>
      <c r="L304" s="821"/>
      <c r="M304" s="821"/>
    </row>
    <row r="305" spans="1:45" ht="25.5" x14ac:dyDescent="0.25">
      <c r="B305" s="518"/>
      <c r="C305" s="521" t="s">
        <v>114</v>
      </c>
      <c r="D305" s="521" t="s">
        <v>132</v>
      </c>
      <c r="E305" s="522" t="s">
        <v>1162</v>
      </c>
      <c r="F305" s="421"/>
    </row>
    <row r="306" spans="1:45" x14ac:dyDescent="0.25">
      <c r="B306" s="518" t="s">
        <v>785</v>
      </c>
      <c r="C306" s="419">
        <f>D294</f>
        <v>0</v>
      </c>
      <c r="D306" s="419">
        <f>Y294-AA294</f>
        <v>0</v>
      </c>
      <c r="E306" s="419">
        <f t="shared" ref="D306:E311" si="35">Z294-AB294</f>
        <v>0</v>
      </c>
      <c r="F306" s="421"/>
      <c r="X306" s="28" t="s">
        <v>65</v>
      </c>
    </row>
    <row r="307" spans="1:45" x14ac:dyDescent="0.25">
      <c r="B307" s="518" t="s">
        <v>1359</v>
      </c>
      <c r="C307" s="419">
        <f t="shared" ref="C307:C311" si="36">D295</f>
        <v>0</v>
      </c>
      <c r="D307" s="419">
        <f t="shared" si="35"/>
        <v>0</v>
      </c>
      <c r="E307" s="419">
        <f t="shared" si="35"/>
        <v>0</v>
      </c>
      <c r="F307" s="421"/>
      <c r="X307" s="28" t="s">
        <v>1357</v>
      </c>
    </row>
    <row r="308" spans="1:45" x14ac:dyDescent="0.25">
      <c r="B308" s="518" t="s">
        <v>1360</v>
      </c>
      <c r="C308" s="419">
        <f t="shared" si="36"/>
        <v>0</v>
      </c>
      <c r="D308" s="419">
        <f t="shared" si="35"/>
        <v>0</v>
      </c>
      <c r="E308" s="419">
        <f t="shared" si="35"/>
        <v>0</v>
      </c>
      <c r="F308" s="421"/>
      <c r="X308" s="155" t="s">
        <v>1358</v>
      </c>
    </row>
    <row r="309" spans="1:45" x14ac:dyDescent="0.25">
      <c r="B309" s="518" t="s">
        <v>786</v>
      </c>
      <c r="C309" s="419">
        <f t="shared" si="36"/>
        <v>0</v>
      </c>
      <c r="D309" s="419">
        <f t="shared" si="35"/>
        <v>0</v>
      </c>
      <c r="E309" s="419">
        <f t="shared" si="35"/>
        <v>0</v>
      </c>
      <c r="F309" s="421"/>
      <c r="X309" s="155" t="s">
        <v>71</v>
      </c>
    </row>
    <row r="310" spans="1:45" x14ac:dyDescent="0.25">
      <c r="B310" s="518" t="s">
        <v>787</v>
      </c>
      <c r="C310" s="419">
        <f t="shared" si="36"/>
        <v>0</v>
      </c>
      <c r="D310" s="419">
        <f t="shared" si="35"/>
        <v>0</v>
      </c>
      <c r="E310" s="419">
        <f t="shared" si="35"/>
        <v>0</v>
      </c>
      <c r="F310" s="421"/>
      <c r="X310" s="155" t="s">
        <v>74</v>
      </c>
    </row>
    <row r="311" spans="1:45" x14ac:dyDescent="0.25">
      <c r="B311" s="518" t="s">
        <v>2</v>
      </c>
      <c r="C311" s="419">
        <f t="shared" si="36"/>
        <v>0</v>
      </c>
      <c r="D311" s="419">
        <f t="shared" si="35"/>
        <v>0</v>
      </c>
      <c r="E311" s="419">
        <f t="shared" si="35"/>
        <v>0</v>
      </c>
      <c r="F311" s="421"/>
      <c r="X311" s="28" t="s">
        <v>498</v>
      </c>
    </row>
    <row r="312" spans="1:45" x14ac:dyDescent="0.25">
      <c r="B312" s="519" t="s">
        <v>788</v>
      </c>
      <c r="C312" s="519">
        <f>SUM(C306:C311)</f>
        <v>0</v>
      </c>
      <c r="D312" s="519">
        <f>SUM(D306:D311)</f>
        <v>0</v>
      </c>
      <c r="E312" s="519">
        <f>SUM(E306:E311)</f>
        <v>0</v>
      </c>
      <c r="F312" s="421"/>
      <c r="X312" s="27"/>
    </row>
    <row r="313" spans="1:45" x14ac:dyDescent="0.25">
      <c r="B313" s="518" t="s">
        <v>789</v>
      </c>
      <c r="C313" s="419">
        <f>D301</f>
        <v>0</v>
      </c>
      <c r="D313" s="419">
        <f>Y301-AA301</f>
        <v>0</v>
      </c>
      <c r="E313" s="419">
        <f>Z301-AB301</f>
        <v>0</v>
      </c>
      <c r="F313" s="421"/>
      <c r="X313" s="28" t="s">
        <v>499</v>
      </c>
    </row>
    <row r="314" spans="1:45" x14ac:dyDescent="0.25">
      <c r="B314" s="553" t="str">
        <f>"*miehistä muun sukupuolisia (N: "&amp;$W$23&amp;")"</f>
        <v>*miehistä muun sukupuolisia (N: 0)</v>
      </c>
      <c r="F314" s="421"/>
    </row>
    <row r="315" spans="1:45" ht="28.5" customHeight="1" x14ac:dyDescent="0.25">
      <c r="B315" s="553"/>
      <c r="F315" s="421"/>
    </row>
    <row r="316" spans="1:45" ht="32.25" customHeight="1" x14ac:dyDescent="0.25">
      <c r="A316" s="799" t="str">
        <f>"Mihin erilaisiin palveluihin/toimenpiteisiin/toimintoihin TAVOITETTUJA nuoria on ohjattu prosessin aikana "&amp;Y12&amp;X10&amp;U8&amp;X15</f>
        <v>Mihin erilaisiin palveluihin/toimenpiteisiin/toimintoihin TAVOITETTUJA nuoria on ohjattu prosessin aikana - KAIKKI: 01.01.2025-30.04.2025 (Kaikki yksiköt / perustiedoista, Kaikki kunnat / perustiedoista, Ikäluokka: Kaikki)</v>
      </c>
      <c r="B316" s="799"/>
      <c r="C316" s="799"/>
      <c r="D316" s="799"/>
      <c r="E316" s="799"/>
      <c r="F316" s="421"/>
      <c r="W316" t="str">
        <f>TRIM(X316)</f>
        <v/>
      </c>
    </row>
    <row r="317" spans="1:45" ht="15" customHeight="1" x14ac:dyDescent="0.25">
      <c r="A317" s="810" t="s">
        <v>832</v>
      </c>
      <c r="B317" s="810"/>
      <c r="C317" s="805" t="s">
        <v>114</v>
      </c>
      <c r="D317" s="805"/>
      <c r="E317" s="521" t="s">
        <v>132</v>
      </c>
      <c r="F317" s="554" t="s">
        <v>1162</v>
      </c>
      <c r="G317" s="792" t="str">
        <f>"Mihin erilaisiin palveluihin/toimenpiteisiin/toimintoihin TAVOITETTUJA nuoria on ohjattu prosessin aikana (N: "&amp;C300&amp;")"</f>
        <v>Mihin erilaisiin palveluihin/toimenpiteisiin/toimintoihin TAVOITETTUJA nuoria on ohjattu prosessin aikana (N: 0)</v>
      </c>
      <c r="H317" s="793"/>
      <c r="I317" s="793"/>
      <c r="J317" s="793"/>
      <c r="K317" s="793"/>
      <c r="L317" s="793"/>
      <c r="W317" t="str">
        <f>TRIM(X317)</f>
        <v/>
      </c>
      <c r="AK317" s="699" t="s">
        <v>619</v>
      </c>
      <c r="AL317" s="686"/>
    </row>
    <row r="318" spans="1:45" ht="15" customHeight="1" x14ac:dyDescent="0.25">
      <c r="A318" s="810"/>
      <c r="B318" s="810"/>
      <c r="C318" s="521" t="s">
        <v>106</v>
      </c>
      <c r="D318" s="521" t="s">
        <v>1166</v>
      </c>
      <c r="E318" s="521" t="s">
        <v>106</v>
      </c>
      <c r="F318" s="557" t="s">
        <v>106</v>
      </c>
      <c r="G318" s="792"/>
      <c r="H318" s="793"/>
      <c r="I318" s="793"/>
      <c r="J318" s="793"/>
      <c r="K318" s="793"/>
      <c r="L318" s="793"/>
      <c r="AK318" s="700"/>
      <c r="AL318" s="686"/>
      <c r="AM318" s="684" t="s">
        <v>625</v>
      </c>
      <c r="AN318" s="684" t="s">
        <v>132</v>
      </c>
      <c r="AO318" s="682" t="s">
        <v>133</v>
      </c>
      <c r="AQ318" s="684" t="s">
        <v>625</v>
      </c>
      <c r="AR318" s="439" t="s">
        <v>132</v>
      </c>
      <c r="AS318" s="440" t="s">
        <v>133</v>
      </c>
    </row>
    <row r="319" spans="1:45" ht="14.45" customHeight="1" x14ac:dyDescent="0.25">
      <c r="A319" s="800" t="s">
        <v>832</v>
      </c>
      <c r="B319" s="518" t="s">
        <v>1437</v>
      </c>
      <c r="C319" s="419">
        <f>SUMIFS(TP!$P:$P,TP!$AI:$AI,$W$7,TP!$R:$R,$X$9,TP!$U:$U,$AK319,TP!$W:$W,$X$8,TP!$X:$X,$X$5,TP!$AD:$AD,$X$9,TP!$AF:$AF,$X$32,TP!$Q:$Q,$Y$4,TP!$AG:$AG,$Y$5,TP!AL:AL,1,TP!$AN:$AN,Parkki!$Y$16,TP!$L:$L,$X$31,TP!$I:$I,$V$29,TP!$J:$J,$V$30,TP!$F:$F,Parkki!$Y$9)+AM319+AQ319</f>
        <v>0</v>
      </c>
      <c r="D319" s="552" t="str">
        <f>IFERROR(C319/$C$300,"-")</f>
        <v>-</v>
      </c>
      <c r="E319" s="419">
        <f>SUMIFS(TP!$P:$P,TP!$AI:$AI,$W$7,TP!$R:$R,$X$9,TP!$U:$U,$AK319,TP!$W:$W,$X$8,TP!$X:$X,$X$5,TP!$AD:$AD,$X$9,TP!$AF:$AF,$X$32,TP!$Q:$Q,$Y$4,TP!$AG:$AG,$Y$5,TP!$V:$V,$X$7,TP!AL:AL,1,TP!$AN:$AN,Parkki!$Y$16,TP!$L:$L,$X$31,TP!$I:$I,$V$29,TP!$J:$J,$V$30,TP!$F:$F,Parkki!$Y$9)+AN319+AR319</f>
        <v>0</v>
      </c>
      <c r="F319" s="419">
        <f>SUMIFS(TP!$P:$P,TP!$AI:$AI,$W$7,TP!$R:$R,$X$9,TP!$U:$U,$AK319,TP!$W:$W,$X$8,TP!$X:$X,$X$5,TP!$AD:$AD,$X$9,TP!$AF:$AF,$X$32,TP!$Q:$Q,$Y$4,TP!$AG:$AG,$Y$5,TP!$V:$V,$Y$7,TP!AL:AL,1,TP!$AN:$AN,Parkki!$Y$16,TP!$L:$L,$X$31,TP!$I:$I,$V$29,TP!$J:$J,$V$30,TP!$F:$F,Parkki!$Y$9)+AO319+AS319</f>
        <v>0</v>
      </c>
      <c r="G319" s="555" t="str">
        <f>B319</f>
        <v>Etsivien tuki ja rinnalla kulkeminen</v>
      </c>
      <c r="H319" s="556" t="str">
        <f>D319</f>
        <v>-</v>
      </c>
      <c r="I319" s="675"/>
      <c r="J319" s="675"/>
      <c r="K319" s="675"/>
      <c r="L319" s="260"/>
      <c r="AH319" s="657" t="s">
        <v>588</v>
      </c>
      <c r="AI319" s="701" t="s">
        <v>1437</v>
      </c>
      <c r="AK319" s="686" t="s">
        <v>1236</v>
      </c>
      <c r="AL319" s="687" t="s">
        <v>295</v>
      </c>
      <c r="AM319" s="683">
        <f>SUMIFS(TP!$P:$P,TP!$AI:$AI,$W$7,TP!$R:$R,$X$9,TP!$U:$U,$AL319,TP!$W:$W,$X$8,TP!$X:$X,$X$5,TP!$AD:$AD,$X$9,TP!$AF:$AF,$X$32,TP!$Q:$Q,$Y$4,TP!$AG:$AG,$Y$5,TP!AL:AL,1,TP!$AN:$AN,Parkki!$Y$16,TP!$L:$L,$X$31,TP!$I:$I,$V$29,TP!$J:$J,$V$30,TP!$F:$F,Parkki!$Y$9)</f>
        <v>0</v>
      </c>
      <c r="AN319" s="683">
        <f>SUMIFS(TP!$P:$P,TP!$AI:$AI,$W$7,TP!$R:$R,$X$9,TP!$U:$U,$AL319,TP!$W:$W,$X$8,TP!$X:$X,$X$5,TP!$AD:$AD,$X$9,TP!$AF:$AF,$X$32,TP!$Q:$Q,$Y$4,TP!$AG:$AG,$Y$5,TP!$V:$V,$X$7,TP!AL:AL,1,TP!$AN:$AN,Parkki!$Y$16,TP!$L:$L,$X$31,TP!$I:$I,$V$29,TP!$J:$J,$V$30,TP!$F:$F,Parkki!$Y$9)</f>
        <v>0</v>
      </c>
      <c r="AO319" s="683">
        <f>SUMIFS(TP!$P:$P,TP!$AI:$AI,$W$7,TP!$R:$R,$X$9,TP!$U:$U,$AL319,TP!$W:$W,$X$8,TP!$X:$X,$X$5,TP!$AD:$AD,$X$9,TP!$AF:$AF,$X$32,TP!$Q:$Q,$Y$4,TP!$AG:$AG,$Y$5,TP!$V:$V,$Y$7,TP!AL:AL,1,TP!$AN:$AN,Parkki!$Y$16,TP!$L:$L,$X$31,TP!$I:$I,$V$29,TP!$J:$J,$V$30,TP!$F:$F,Parkki!$Y$9)</f>
        <v>0</v>
      </c>
      <c r="AQ319" s="683">
        <f>SUMIFS(TP!$P:$P,TP!$AI:$AI,$W$7,TP!$R:$R,$X$9,TP!$U:$U,$AP319,TP!$W:$W,$X$8,TP!$X:$X,$X$5,TP!$AD:$AD,$X$9,TP!$AF:$AF,$X$32,TP!$Q:$Q,$Y$4,TP!$AG:$AG,$Y$5,TP!AL:AL,1,TP!$AN:$AN,Parkki!$Y$16,TP!$L:$L,$X$31,TP!$I:$I,$V$29,TP!$J:$J,$V$30,TP!$F:$F,Parkki!$Y$9)</f>
        <v>0</v>
      </c>
      <c r="AR319" s="111">
        <f>SUMIFS(TP!$P:$P,TP!$AI:$AI,$W$7,TP!$R:$R,$X$9,TP!$U:$U,$AP319,TP!$W:$W,$X$8,TP!$X:$X,$X$5,TP!$AD:$AD,$X$9,TP!$AF:$AF,$X$32,TP!$Q:$Q,$Y$4,TP!$AG:$AG,$Y$5,TP!$V:$V,$X$7,TP!AL:AL,1,TP!$AN:$AN,Parkki!$Y$16,TP!$L:$L,$X$31,TP!$I:$I,$V$29,TP!$J:$J,$V$30,TP!$F:$F,Parkki!$Y$9)</f>
        <v>0</v>
      </c>
      <c r="AS319" s="111">
        <f>SUMIFS(TP!$P:$P,TP!$AI:$AI,$W$7,TP!$R:$R,$X$9,TP!$U:$U,$AP319,TP!$W:$W,$X$8,TP!$X:$X,$X$5,TP!$AD:$AD,$X$9,TP!$AF:$AF,$X$32,TP!$Q:$Q,$Y$4,TP!$AG:$AG,$Y$5,TP!$V:$V,$Y$7,TP!AL:AL,1,TP!$AN:$AN,Parkki!$Y$16,TP!$L:$L,$X$31,TP!$I:$I,$V$29,TP!$J:$J,$V$30,TP!$F:$F,Parkki!$Y$9)</f>
        <v>0</v>
      </c>
    </row>
    <row r="320" spans="1:45" x14ac:dyDescent="0.25">
      <c r="A320" s="801"/>
      <c r="B320" s="518" t="s">
        <v>1141</v>
      </c>
      <c r="C320" s="419">
        <f>SUMIFS(TP!$P:$P,TP!$AI:$AI,$W$7,TP!$R:$R,$X$9,TP!$U:$U,$AK320,TP!$W:$W,$X$8,TP!$X:$X,$X$5,TP!$AD:$AD,$X$9,TP!$AF:$AF,$X$32,TP!$Q:$Q,$Y$4,TP!$AG:$AG,$Y$5,TP!AL:AL,1,TP!$AN:$AN,Parkki!$Y$16,TP!$L:$L,$X$31,TP!$I:$I,$V$29,TP!$J:$J,$V$30,TP!$F:$F,Parkki!$Y$9)+AM320+AQ320</f>
        <v>0</v>
      </c>
      <c r="D320" s="552" t="str">
        <f t="shared" ref="D320:D330" si="37">IFERROR(C320/$C$300,"-")</f>
        <v>-</v>
      </c>
      <c r="E320" s="419">
        <f>SUMIFS(TP!$P:$P,TP!$AI:$AI,$W$7,TP!$R:$R,$X$9,TP!$U:$U,$AK320,TP!$W:$W,$X$8,TP!$X:$X,$X$5,TP!$AD:$AD,$X$9,TP!$AF:$AF,$X$32,TP!$Q:$Q,$Y$4,TP!$AG:$AG,$Y$5,TP!$V:$V,$X$7,TP!AL:AL,1,TP!$AN:$AN,Parkki!$Y$16,TP!$L:$L,$X$31,TP!$I:$I,$V$29,TP!$J:$J,$V$30,TP!$F:$F,Parkki!$Y$9)+AN320+AR320</f>
        <v>0</v>
      </c>
      <c r="F320" s="419">
        <f>SUMIFS(TP!$P:$P,TP!$AI:$AI,$W$7,TP!$R:$R,$X$9,TP!$U:$U,$AK320,TP!$W:$W,$X$8,TP!$X:$X,$X$5,TP!$AD:$AD,$X$9,TP!$AF:$AF,$X$32,TP!$Q:$Q,$Y$4,TP!$AG:$AG,$Y$5,TP!$V:$V,$Y$7,TP!AL:AL,1,TP!$AN:$AN,Parkki!$Y$16,TP!$L:$L,$X$31,TP!$I:$I,$V$29,TP!$J:$J,$V$30,TP!$F:$F,Parkki!$Y$9)+AO320+AS320</f>
        <v>0</v>
      </c>
      <c r="G320" s="555" t="str">
        <f t="shared" ref="G320:G373" si="38">B320</f>
        <v>Menetelmällinen työskentely nuoren kanssa</v>
      </c>
      <c r="H320" s="556" t="str">
        <f t="shared" ref="H320:H373" si="39">D320</f>
        <v>-</v>
      </c>
      <c r="I320" s="675"/>
      <c r="J320" s="675"/>
      <c r="K320" s="675"/>
      <c r="L320" s="260"/>
      <c r="AH320" s="656"/>
      <c r="AI320" s="702" t="s">
        <v>1141</v>
      </c>
      <c r="AK320" s="703" t="s">
        <v>1123</v>
      </c>
      <c r="AL320" s="687" t="s">
        <v>304</v>
      </c>
      <c r="AM320" s="683">
        <f>SUMIFS(TP!$P:$P,TP!$AI:$AI,$W$7,TP!$R:$R,$X$9,TP!$U:$U,$AL320,TP!$W:$W,$X$8,TP!$X:$X,$X$5,TP!$AD:$AD,$X$9,TP!$AF:$AF,$X$32,TP!$Q:$Q,$Y$4,TP!$AG:$AG,$Y$5,TP!AL:AL,1,TP!$AN:$AN,Parkki!$Y$16,TP!$L:$L,$X$31,TP!$I:$I,$V$29,TP!$J:$J,$V$30,TP!$F:$F,Parkki!$Y$9)</f>
        <v>0</v>
      </c>
      <c r="AN320" s="683">
        <f>SUMIFS(TP!$P:$P,TP!$AI:$AI,$W$7,TP!$R:$R,$X$9,TP!$U:$U,$AL320,TP!$W:$W,$X$8,TP!$X:$X,$X$5,TP!$AD:$AD,$X$9,TP!$AF:$AF,$X$32,TP!$Q:$Q,$Y$4,TP!$AG:$AG,$Y$5,TP!$V:$V,$X$7,TP!AL:AL,1,TP!$AN:$AN,Parkki!$Y$16,TP!$L:$L,$X$31,TP!$I:$I,$V$29,TP!$J:$J,$V$30,TP!$F:$F,Parkki!$Y$9)</f>
        <v>0</v>
      </c>
      <c r="AO320" s="683">
        <f>SUMIFS(TP!$P:$P,TP!$AI:$AI,$W$7,TP!$R:$R,$X$9,TP!$U:$U,$AL320,TP!$W:$W,$X$8,TP!$X:$X,$X$5,TP!$AD:$AD,$X$9,TP!$AF:$AF,$X$32,TP!$Q:$Q,$Y$4,TP!$AG:$AG,$Y$5,TP!$V:$V,$Y$7,TP!AL:AL,1,TP!$AN:$AN,Parkki!$Y$16,TP!$L:$L,$X$31,TP!$I:$I,$V$29,TP!$J:$J,$V$30,TP!$F:$F,Parkki!$Y$9)</f>
        <v>0</v>
      </c>
      <c r="AQ320" s="683">
        <f>SUMIFS(TP!$P:$P,TP!$AI:$AI,$W$7,TP!$R:$R,$X$9,TP!$U:$U,$AP320,TP!$W:$W,$X$8,TP!$X:$X,$X$5,TP!$AD:$AD,$X$9,TP!$AF:$AF,$X$32,TP!$Q:$Q,$Y$4,TP!$AG:$AG,$Y$5,TP!AL:AL,1,TP!$AN:$AN,Parkki!$Y$16,TP!$L:$L,$X$31,TP!$I:$I,$V$29,TP!$J:$J,$V$30,TP!$F:$F,Parkki!$Y$9)</f>
        <v>0</v>
      </c>
      <c r="AR320" s="111">
        <f>SUMIFS(TP!$P:$P,TP!$AI:$AI,$W$7,TP!$R:$R,$X$9,TP!$U:$U,$AP320,TP!$W:$W,$X$8,TP!$X:$X,$X$5,TP!$AD:$AD,$X$9,TP!$AF:$AF,$X$32,TP!$Q:$Q,$Y$4,TP!$AG:$AG,$Y$5,TP!$V:$V,$X$7,TP!AL:AL,1,TP!$AN:$AN,Parkki!$Y$16,TP!$L:$L,$X$31,TP!$I:$I,$V$29,TP!$J:$J,$V$30,TP!$F:$F,Parkki!$Y$9)</f>
        <v>0</v>
      </c>
      <c r="AS320" s="111">
        <f>SUMIFS(TP!$P:$P,TP!$AI:$AI,$W$7,TP!$R:$R,$X$9,TP!$U:$U,$AP320,TP!$W:$W,$X$8,TP!$X:$X,$X$5,TP!$AD:$AD,$X$9,TP!$AF:$AF,$X$32,TP!$Q:$Q,$Y$4,TP!$AG:$AG,$Y$5,TP!$V:$V,$Y$7,TP!AL:AL,1,TP!$AN:$AN,Parkki!$Y$16,TP!$L:$L,$X$31,TP!$I:$I,$V$29,TP!$J:$J,$V$30,TP!$F:$F,Parkki!$Y$9)</f>
        <v>0</v>
      </c>
    </row>
    <row r="321" spans="1:45" x14ac:dyDescent="0.25">
      <c r="A321" s="801"/>
      <c r="B321" s="518" t="s">
        <v>1142</v>
      </c>
      <c r="C321" s="419">
        <f>SUMIFS(TP!$P:$P,TP!$AI:$AI,$W$7,TP!$R:$R,$X$9,TP!$U:$U,$AK321,TP!$W:$W,$X$8,TP!$X:$X,$X$5,TP!$AD:$AD,$X$9,TP!$AF:$AF,$X$32,TP!$Q:$Q,$Y$4,TP!$AG:$AG,$Y$5,TP!AL:AL,1,TP!$AN:$AN,Parkki!$Y$16,TP!$L:$L,$X$31,TP!$I:$I,$V$29,TP!$J:$J,$V$30,TP!$F:$F,Parkki!$Y$9)+AM321+AQ321</f>
        <v>0</v>
      </c>
      <c r="D321" s="552" t="str">
        <f t="shared" si="37"/>
        <v>-</v>
      </c>
      <c r="E321" s="419">
        <f>SUMIFS(TP!$P:$P,TP!$AI:$AI,$W$7,TP!$R:$R,$X$9,TP!$U:$U,$AK321,TP!$W:$W,$X$8,TP!$X:$X,$X$5,TP!$AD:$AD,$X$9,TP!$AF:$AF,$X$32,TP!$Q:$Q,$Y$4,TP!$AG:$AG,$Y$5,TP!$V:$V,$X$7,TP!AL:AL,1,TP!$AN:$AN,Parkki!$Y$16,TP!$L:$L,$X$31,TP!$I:$I,$V$29,TP!$J:$J,$V$30,TP!$F:$F,Parkki!$Y$9)+AN321+AR321</f>
        <v>0</v>
      </c>
      <c r="F321" s="419">
        <f>SUMIFS(TP!$P:$P,TP!$AI:$AI,$W$7,TP!$R:$R,$X$9,TP!$U:$U,$AK321,TP!$W:$W,$X$8,TP!$X:$X,$X$5,TP!$AD:$AD,$X$9,TP!$AF:$AF,$X$32,TP!$Q:$Q,$Y$4,TP!$AG:$AG,$Y$5,TP!$V:$V,$Y$7,TP!AL:AL,1,TP!$AN:$AN,Parkki!$Y$16,TP!$L:$L,$X$31,TP!$I:$I,$V$29,TP!$J:$J,$V$30,TP!$F:$F,Parkki!$Y$9)+AO321+AS321</f>
        <v>0</v>
      </c>
      <c r="G321" s="555" t="str">
        <f t="shared" si="38"/>
        <v>Ryhmämuotoinen toiminta</v>
      </c>
      <c r="H321" s="556" t="str">
        <f t="shared" si="39"/>
        <v>-</v>
      </c>
      <c r="I321" s="675"/>
      <c r="J321" s="675"/>
      <c r="K321" s="675"/>
      <c r="L321" s="260"/>
      <c r="AH321" s="656"/>
      <c r="AI321" s="702" t="s">
        <v>1142</v>
      </c>
      <c r="AK321" s="700" t="s">
        <v>308</v>
      </c>
      <c r="AL321" s="688" t="s">
        <v>302</v>
      </c>
      <c r="AM321" s="683">
        <f>SUMIFS(TP!$P:$P,TP!$AI:$AI,$W$7,TP!$R:$R,$X$9,TP!$U:$U,$AL321,TP!$W:$W,$X$8,TP!$X:$X,$X$5,TP!$AD:$AD,$X$9,TP!$AF:$AF,$X$32,TP!$Q:$Q,$Y$4,TP!$AG:$AG,$Y$5,TP!AL:AL,1,TP!$AN:$AN,Parkki!$Y$16,TP!$L:$L,$X$31,TP!$I:$I,$V$29,TP!$J:$J,$V$30,TP!$F:$F,Parkki!$Y$9)</f>
        <v>0</v>
      </c>
      <c r="AN321" s="683">
        <f>SUMIFS(TP!$P:$P,TP!$AI:$AI,$W$7,TP!$R:$R,$X$9,TP!$U:$U,$AL321,TP!$W:$W,$X$8,TP!$X:$X,$X$5,TP!$AD:$AD,$X$9,TP!$AF:$AF,$X$32,TP!$Q:$Q,$Y$4,TP!$AG:$AG,$Y$5,TP!$V:$V,$X$7,TP!AL:AL,1,TP!$AN:$AN,Parkki!$Y$16,TP!$L:$L,$X$31,TP!$I:$I,$V$29,TP!$J:$J,$V$30,TP!$F:$F,Parkki!$Y$9)</f>
        <v>0</v>
      </c>
      <c r="AO321" s="683">
        <f>SUMIFS(TP!$P:$P,TP!$AI:$AI,$W$7,TP!$R:$R,$X$9,TP!$U:$U,$AL321,TP!$W:$W,$X$8,TP!$X:$X,$X$5,TP!$AD:$AD,$X$9,TP!$AF:$AF,$X$32,TP!$Q:$Q,$Y$4,TP!$AG:$AG,$Y$5,TP!$V:$V,$Y$7,TP!AL:AL,1,TP!$AN:$AN,Parkki!$Y$16,TP!$L:$L,$X$31,TP!$I:$I,$V$29,TP!$J:$J,$V$30,TP!$F:$F,Parkki!$Y$9)</f>
        <v>0</v>
      </c>
      <c r="AQ321" s="683">
        <f>SUMIFS(TP!$P:$P,TP!$AI:$AI,$W$7,TP!$R:$R,$X$9,TP!$U:$U,$AP321,TP!$W:$W,$X$8,TP!$X:$X,$X$5,TP!$AD:$AD,$X$9,TP!$AF:$AF,$X$32,TP!$Q:$Q,$Y$4,TP!$AG:$AG,$Y$5,TP!AL:AL,1,TP!$AN:$AN,Parkki!$Y$16,TP!$L:$L,$X$31,TP!$I:$I,$V$29,TP!$J:$J,$V$30,TP!$F:$F,Parkki!$Y$9)</f>
        <v>0</v>
      </c>
      <c r="AR321" s="111">
        <f>SUMIFS(TP!$P:$P,TP!$AI:$AI,$W$7,TP!$R:$R,$X$9,TP!$U:$U,$AP321,TP!$W:$W,$X$8,TP!$X:$X,$X$5,TP!$AD:$AD,$X$9,TP!$AF:$AF,$X$32,TP!$Q:$Q,$Y$4,TP!$AG:$AG,$Y$5,TP!$V:$V,$X$7,TP!AL:AL,1,TP!$AN:$AN,Parkki!$Y$16,TP!$L:$L,$X$31,TP!$I:$I,$V$29,TP!$J:$J,$V$30,TP!$F:$F,Parkki!$Y$9)</f>
        <v>0</v>
      </c>
      <c r="AS321" s="111">
        <f>SUMIFS(TP!$P:$P,TP!$AI:$AI,$W$7,TP!$R:$R,$X$9,TP!$U:$U,$AP321,TP!$W:$W,$X$8,TP!$X:$X,$X$5,TP!$AD:$AD,$X$9,TP!$AF:$AF,$X$32,TP!$Q:$Q,$Y$4,TP!$AG:$AG,$Y$5,TP!$V:$V,$Y$7,TP!AL:AL,1,TP!$AN:$AN,Parkki!$Y$16,TP!$L:$L,$X$31,TP!$I:$I,$V$29,TP!$J:$J,$V$30,TP!$F:$F,Parkki!$Y$9)</f>
        <v>0</v>
      </c>
    </row>
    <row r="322" spans="1:45" x14ac:dyDescent="0.25">
      <c r="A322" s="801"/>
      <c r="B322" s="518" t="s">
        <v>1442</v>
      </c>
      <c r="C322" s="419">
        <f>SUMIFS(TP!$P:$P,TP!$AI:$AI,$W$7,TP!$R:$R,$X$9,TP!$U:$U,$AK322,TP!$W:$W,$X$8,TP!$X:$X,$X$5,TP!$AD:$AD,$X$9,TP!$AF:$AF,$X$32,TP!$Q:$Q,$Y$4,TP!$AG:$AG,$Y$5,TP!AL:AL,1,TP!$AN:$AN,Parkki!$Y$16,TP!$L:$L,$X$31,TP!$I:$I,$V$29,TP!$J:$J,$V$30,TP!$F:$F,Parkki!$Y$9)+AM322+AQ322</f>
        <v>0</v>
      </c>
      <c r="D322" s="552" t="str">
        <f t="shared" si="37"/>
        <v>-</v>
      </c>
      <c r="E322" s="419">
        <f>SUMIFS(TP!$P:$P,TP!$AI:$AI,$W$7,TP!$R:$R,$X$9,TP!$U:$U,$AK322,TP!$W:$W,$X$8,TP!$X:$X,$X$5,TP!$AD:$AD,$X$9,TP!$AF:$AF,$X$32,TP!$Q:$Q,$Y$4,TP!$AG:$AG,$Y$5,TP!$V:$V,$X$7,TP!AL:AL,1,TP!$AN:$AN,Parkki!$Y$16,TP!$L:$L,$X$31,TP!$I:$I,$V$29,TP!$J:$J,$V$30,TP!$F:$F,Parkki!$Y$9)+AN322+AR322</f>
        <v>0</v>
      </c>
      <c r="F322" s="419">
        <f>SUMIFS(TP!$P:$P,TP!$AI:$AI,$W$7,TP!$R:$R,$X$9,TP!$U:$U,$AK322,TP!$W:$W,$X$8,TP!$X:$X,$X$5,TP!$AD:$AD,$X$9,TP!$AF:$AF,$X$32,TP!$Q:$Q,$Y$4,TP!$AG:$AG,$Y$5,TP!$V:$V,$Y$7,TP!AL:AL,1,TP!$AN:$AN,Parkki!$Y$16,TP!$L:$L,$X$31,TP!$I:$I,$V$29,TP!$J:$J,$V$30,TP!$F:$F,Parkki!$Y$9)+AO322+AS322</f>
        <v>0</v>
      </c>
      <c r="G322" s="555" t="str">
        <f t="shared" si="38"/>
        <v>Monialainen verkostoyhteistyö</v>
      </c>
      <c r="H322" s="556" t="str">
        <f t="shared" si="39"/>
        <v>-</v>
      </c>
      <c r="I322" s="675"/>
      <c r="J322" s="675"/>
      <c r="K322" s="675"/>
      <c r="L322" s="260"/>
      <c r="AH322" s="656"/>
      <c r="AI322" s="701" t="s">
        <v>1442</v>
      </c>
      <c r="AK322" s="686" t="s">
        <v>1244</v>
      </c>
      <c r="AL322" s="687" t="s">
        <v>285</v>
      </c>
      <c r="AM322" s="683">
        <f>SUMIFS(TP!$P:$P,TP!$AI:$AI,$W$7,TP!$R:$R,$X$9,TP!$U:$U,$AL322,TP!$W:$W,$X$8,TP!$X:$X,$X$5,TP!$AD:$AD,$X$9,TP!$AF:$AF,$X$32,TP!$Q:$Q,$Y$4,TP!$AG:$AG,$Y$5,TP!AL:AL,1,TP!$AN:$AN,Parkki!$Y$16,TP!$L:$L,$X$31,TP!$I:$I,$V$29,TP!$J:$J,$V$30,TP!$F:$F,Parkki!$Y$9)</f>
        <v>0</v>
      </c>
      <c r="AN322" s="683">
        <f>SUMIFS(TP!$P:$P,TP!$AI:$AI,$W$7,TP!$R:$R,$X$9,TP!$U:$U,$AL322,TP!$W:$W,$X$8,TP!$X:$X,$X$5,TP!$AD:$AD,$X$9,TP!$AF:$AF,$X$32,TP!$Q:$Q,$Y$4,TP!$AG:$AG,$Y$5,TP!$V:$V,$X$7,TP!AL:AL,1,TP!$AN:$AN,Parkki!$Y$16,TP!$L:$L,$X$31,TP!$I:$I,$V$29,TP!$J:$J,$V$30,TP!$F:$F,Parkki!$Y$9)</f>
        <v>0</v>
      </c>
      <c r="AO322" s="683">
        <f>SUMIFS(TP!$P:$P,TP!$AI:$AI,$W$7,TP!$R:$R,$X$9,TP!$U:$U,$AL322,TP!$W:$W,$X$8,TP!$X:$X,$X$5,TP!$AD:$AD,$X$9,TP!$AF:$AF,$X$32,TP!$Q:$Q,$Y$4,TP!$AG:$AG,$Y$5,TP!$V:$V,$Y$7,TP!AL:AL,1,TP!$AN:$AN,Parkki!$Y$16,TP!$L:$L,$X$31,TP!$I:$I,$V$29,TP!$J:$J,$V$30,TP!$F:$F,Parkki!$Y$9)</f>
        <v>0</v>
      </c>
      <c r="AQ322" s="683">
        <f>SUMIFS(TP!$P:$P,TP!$AI:$AI,$W$7,TP!$R:$R,$X$9,TP!$U:$U,$AP322,TP!$W:$W,$X$8,TP!$X:$X,$X$5,TP!$AD:$AD,$X$9,TP!$AF:$AF,$X$32,TP!$Q:$Q,$Y$4,TP!$AG:$AG,$Y$5,TP!AL:AL,1,TP!$AN:$AN,Parkki!$Y$16,TP!$L:$L,$X$31,TP!$I:$I,$V$29,TP!$J:$J,$V$30,TP!$F:$F,Parkki!$Y$9)</f>
        <v>0</v>
      </c>
      <c r="AR322" s="111">
        <f>SUMIFS(TP!$P:$P,TP!$AI:$AI,$W$7,TP!$R:$R,$X$9,TP!$U:$U,$AP322,TP!$W:$W,$X$8,TP!$X:$X,$X$5,TP!$AD:$AD,$X$9,TP!$AF:$AF,$X$32,TP!$Q:$Q,$Y$4,TP!$AG:$AG,$Y$5,TP!$V:$V,$X$7,TP!AL:AL,1,TP!$AN:$AN,Parkki!$Y$16,TP!$L:$L,$X$31,TP!$I:$I,$V$29,TP!$J:$J,$V$30,TP!$F:$F,Parkki!$Y$9)</f>
        <v>0</v>
      </c>
      <c r="AS322" s="111">
        <f>SUMIFS(TP!$P:$P,TP!$AI:$AI,$W$7,TP!$R:$R,$X$9,TP!$U:$U,$AP322,TP!$W:$W,$X$8,TP!$X:$X,$X$5,TP!$AD:$AD,$X$9,TP!$AF:$AF,$X$32,TP!$Q:$Q,$Y$4,TP!$AG:$AG,$Y$5,TP!$V:$V,$Y$7,TP!AL:AL,1,TP!$AN:$AN,Parkki!$Y$16,TP!$L:$L,$X$31,TP!$I:$I,$V$29,TP!$J:$J,$V$30,TP!$F:$F,Parkki!$Y$9)</f>
        <v>0</v>
      </c>
    </row>
    <row r="323" spans="1:45" x14ac:dyDescent="0.25">
      <c r="A323" s="801"/>
      <c r="B323" s="518" t="s">
        <v>1143</v>
      </c>
      <c r="C323" s="419">
        <f>SUMIFS(TP!$P:$P,TP!$AI:$AI,$W$7,TP!$R:$R,$X$9,TP!$U:$U,$AK323,TP!$W:$W,$X$8,TP!$X:$X,$X$5,TP!$AD:$AD,$X$9,TP!$AF:$AF,$X$32,TP!$Q:$Q,$Y$4,TP!$AG:$AG,$Y$5,TP!AL:AL,1,TP!$AN:$AN,Parkki!$Y$16,TP!$L:$L,$X$31,TP!$I:$I,$V$29,TP!$J:$J,$V$30,TP!$F:$F,Parkki!$Y$9)+AM323+AQ323</f>
        <v>0</v>
      </c>
      <c r="D323" s="552" t="str">
        <f t="shared" si="37"/>
        <v>-</v>
      </c>
      <c r="E323" s="419">
        <f>SUMIFS(TP!$P:$P,TP!$AI:$AI,$W$7,TP!$R:$R,$X$9,TP!$U:$U,$AK323,TP!$W:$W,$X$8,TP!$X:$X,$X$5,TP!$AD:$AD,$X$9,TP!$AF:$AF,$X$32,TP!$Q:$Q,$Y$4,TP!$AG:$AG,$Y$5,TP!$V:$V,$X$7,TP!AL:AL,1,TP!$AN:$AN,Parkki!$Y$16,TP!$L:$L,$X$31,TP!$I:$I,$V$29,TP!$J:$J,$V$30,TP!$F:$F,Parkki!$Y$9)+AN323+AR323</f>
        <v>0</v>
      </c>
      <c r="F323" s="419">
        <f>SUMIFS(TP!$P:$P,TP!$AI:$AI,$W$7,TP!$R:$R,$X$9,TP!$U:$U,$AK323,TP!$W:$W,$X$8,TP!$X:$X,$X$5,TP!$AD:$AD,$X$9,TP!$AF:$AF,$X$32,TP!$Q:$Q,$Y$4,TP!$AG:$AG,$Y$5,TP!$V:$V,$Y$7,TP!AL:AL,1,TP!$AN:$AN,Parkki!$Y$16,TP!$L:$L,$X$31,TP!$I:$I,$V$29,TP!$J:$J,$V$30,TP!$F:$F,Parkki!$Y$9)+AO323+AS323</f>
        <v>0</v>
      </c>
      <c r="G323" s="555" t="str">
        <f t="shared" si="38"/>
        <v>Nuotta-valmennus</v>
      </c>
      <c r="H323" s="556" t="str">
        <f t="shared" si="39"/>
        <v>-</v>
      </c>
      <c r="I323" s="675"/>
      <c r="J323" s="675"/>
      <c r="K323" s="675"/>
      <c r="L323" s="260"/>
      <c r="AH323" s="656"/>
      <c r="AI323" s="702" t="s">
        <v>1143</v>
      </c>
      <c r="AK323" s="700" t="s">
        <v>306</v>
      </c>
      <c r="AL323" s="686"/>
      <c r="AM323" s="683">
        <f>SUMIFS(TP!$P:$P,TP!$AI:$AI,$W$7,TP!$R:$R,$X$9,TP!$U:$U,$AL323,TP!$W:$W,$X$8,TP!$X:$X,$X$5,TP!$AD:$AD,$X$9,TP!$AF:$AF,$X$32,TP!$Q:$Q,$Y$4,TP!$AG:$AG,$Y$5,TP!AL:AL,1,TP!$AN:$AN,Parkki!$Y$16,TP!$L:$L,$X$31,TP!$I:$I,$V$29,TP!$J:$J,$V$30,TP!$F:$F,Parkki!$Y$9)</f>
        <v>0</v>
      </c>
      <c r="AN323" s="683">
        <f>SUMIFS(TP!$P:$P,TP!$AI:$AI,$W$7,TP!$R:$R,$X$9,TP!$U:$U,$AL323,TP!$W:$W,$X$8,TP!$X:$X,$X$5,TP!$AD:$AD,$X$9,TP!$AF:$AF,$X$32,TP!$Q:$Q,$Y$4,TP!$AG:$AG,$Y$5,TP!$V:$V,$X$7,TP!AL:AL,1,TP!$AN:$AN,Parkki!$Y$16,TP!$L:$L,$X$31,TP!$I:$I,$V$29,TP!$J:$J,$V$30,TP!$F:$F,Parkki!$Y$9)</f>
        <v>0</v>
      </c>
      <c r="AO323" s="683">
        <f>SUMIFS(TP!$P:$P,TP!$AI:$AI,$W$7,TP!$R:$R,$X$9,TP!$U:$U,$AL323,TP!$W:$W,$X$8,TP!$X:$X,$X$5,TP!$AD:$AD,$X$9,TP!$AF:$AF,$X$32,TP!$Q:$Q,$Y$4,TP!$AG:$AG,$Y$5,TP!$V:$V,$Y$7,TP!AL:AL,1,TP!$AN:$AN,Parkki!$Y$16,TP!$L:$L,$X$31,TP!$I:$I,$V$29,TP!$J:$J,$V$30,TP!$F:$F,Parkki!$Y$9)</f>
        <v>0</v>
      </c>
      <c r="AQ323" s="683">
        <f>SUMIFS(TP!$P:$P,TP!$AI:$AI,$W$7,TP!$R:$R,$X$9,TP!$U:$U,$AP323,TP!$W:$W,$X$8,TP!$X:$X,$X$5,TP!$AD:$AD,$X$9,TP!$AF:$AF,$X$32,TP!$Q:$Q,$Y$4,TP!$AG:$AG,$Y$5,TP!AL:AL,1,TP!$AN:$AN,Parkki!$Y$16,TP!$L:$L,$X$31,TP!$I:$I,$V$29,TP!$J:$J,$V$30,TP!$F:$F,Parkki!$Y$9)</f>
        <v>0</v>
      </c>
      <c r="AR323" s="111">
        <f>SUMIFS(TP!$P:$P,TP!$AI:$AI,$W$7,TP!$R:$R,$X$9,TP!$U:$U,$AP323,TP!$W:$W,$X$8,TP!$X:$X,$X$5,TP!$AD:$AD,$X$9,TP!$AF:$AF,$X$32,TP!$Q:$Q,$Y$4,TP!$AG:$AG,$Y$5,TP!$V:$V,$X$7,TP!AL:AL,1,TP!$AN:$AN,Parkki!$Y$16,TP!$L:$L,$X$31,TP!$I:$I,$V$29,TP!$J:$J,$V$30,TP!$F:$F,Parkki!$Y$9)</f>
        <v>0</v>
      </c>
      <c r="AS323" s="111">
        <f>SUMIFS(TP!$P:$P,TP!$AI:$AI,$W$7,TP!$R:$R,$X$9,TP!$U:$U,$AP323,TP!$W:$W,$X$8,TP!$X:$X,$X$5,TP!$AD:$AD,$X$9,TP!$AF:$AF,$X$32,TP!$Q:$Q,$Y$4,TP!$AG:$AG,$Y$5,TP!$V:$V,$Y$7,TP!AL:AL,1,TP!$AN:$AN,Parkki!$Y$16,TP!$L:$L,$X$31,TP!$I:$I,$V$29,TP!$J:$J,$V$30,TP!$F:$F,Parkki!$Y$9)</f>
        <v>0</v>
      </c>
    </row>
    <row r="324" spans="1:45" x14ac:dyDescent="0.25">
      <c r="A324" s="801"/>
      <c r="B324" s="518" t="s">
        <v>1443</v>
      </c>
      <c r="C324" s="419">
        <f>SUMIFS(TP!$P:$P,TP!$AI:$AI,$W$7,TP!$R:$R,$X$9,TP!$U:$U,$AK324,TP!$W:$W,$X$8,TP!$X:$X,$X$5,TP!$AD:$AD,$X$9,TP!$AF:$AF,$X$32,TP!$Q:$Q,$Y$4,TP!$AG:$AG,$Y$5,TP!AL:AL,1,TP!$AN:$AN,Parkki!$Y$16,TP!$L:$L,$X$31,TP!$I:$I,$V$29,TP!$J:$J,$V$30,TP!$F:$F,Parkki!$Y$9)+AM324+AQ324</f>
        <v>0</v>
      </c>
      <c r="D324" s="552" t="str">
        <f t="shared" si="37"/>
        <v>-</v>
      </c>
      <c r="E324" s="419">
        <f>SUMIFS(TP!$P:$P,TP!$AI:$AI,$W$7,TP!$R:$R,$X$9,TP!$U:$U,$AK324,TP!$W:$W,$X$8,TP!$X:$X,$X$5,TP!$AD:$AD,$X$9,TP!$AF:$AF,$X$32,TP!$Q:$Q,$Y$4,TP!$AG:$AG,$Y$5,TP!$V:$V,$X$7,TP!AL:AL,1,TP!$AN:$AN,Parkki!$Y$16,TP!$L:$L,$X$31,TP!$I:$I,$V$29,TP!$J:$J,$V$30,TP!$F:$F,Parkki!$Y$9)+AN324+AR324</f>
        <v>0</v>
      </c>
      <c r="F324" s="419">
        <f>SUMIFS(TP!$P:$P,TP!$AI:$AI,$W$7,TP!$R:$R,$X$9,TP!$U:$U,$AK324,TP!$W:$W,$X$8,TP!$X:$X,$X$5,TP!$AD:$AD,$X$9,TP!$AF:$AF,$X$32,TP!$Q:$Q,$Y$4,TP!$AG:$AG,$Y$5,TP!$V:$V,$Y$7,TP!AL:AL,1,TP!$AN:$AN,Parkki!$Y$16,TP!$L:$L,$X$31,TP!$I:$I,$V$29,TP!$J:$J,$V$30,TP!$F:$F,Parkki!$Y$9)+AO324+AS324</f>
        <v>0</v>
      </c>
      <c r="G324" s="555" t="str">
        <f t="shared" si="38"/>
        <v>Palveluihin ohjaaminen</v>
      </c>
      <c r="H324" s="556" t="str">
        <f t="shared" si="39"/>
        <v>-</v>
      </c>
      <c r="I324" s="675"/>
      <c r="J324" s="675"/>
      <c r="K324" s="675"/>
      <c r="L324" s="260"/>
      <c r="AH324" s="656"/>
      <c r="AI324" s="701" t="s">
        <v>1443</v>
      </c>
      <c r="AK324" s="686" t="s">
        <v>1237</v>
      </c>
      <c r="AL324" s="687" t="s">
        <v>296</v>
      </c>
      <c r="AM324" s="683">
        <f>SUMIFS(TP!$P:$P,TP!$AI:$AI,$W$7,TP!$R:$R,$X$9,TP!$U:$U,$AL324,TP!$W:$W,$X$8,TP!$X:$X,$X$5,TP!$AD:$AD,$X$9,TP!$AF:$AF,$X$32,TP!$Q:$Q,$Y$4,TP!$AG:$AG,$Y$5,TP!AL:AL,1,TP!$AN:$AN,Parkki!$Y$16,TP!$L:$L,$X$31,TP!$I:$I,$V$29,TP!$J:$J,$V$30,TP!$F:$F,Parkki!$Y$9)</f>
        <v>0</v>
      </c>
      <c r="AN324" s="683">
        <f>SUMIFS(TP!$P:$P,TP!$AI:$AI,$W$7,TP!$R:$R,$X$9,TP!$U:$U,$AL324,TP!$W:$W,$X$8,TP!$X:$X,$X$5,TP!$AD:$AD,$X$9,TP!$AF:$AF,$X$32,TP!$Q:$Q,$Y$4,TP!$AG:$AG,$Y$5,TP!$V:$V,$X$7,TP!AL:AL,1,TP!$AN:$AN,Parkki!$Y$16,TP!$L:$L,$X$31,TP!$I:$I,$V$29,TP!$J:$J,$V$30,TP!$F:$F,Parkki!$Y$9)</f>
        <v>0</v>
      </c>
      <c r="AO324" s="683">
        <f>SUMIFS(TP!$P:$P,TP!$AI:$AI,$W$7,TP!$R:$R,$X$9,TP!$U:$U,$AL324,TP!$W:$W,$X$8,TP!$X:$X,$X$5,TP!$AD:$AD,$X$9,TP!$AF:$AF,$X$32,TP!$Q:$Q,$Y$4,TP!$AG:$AG,$Y$5,TP!$V:$V,$Y$7,TP!AL:AL,1,TP!$AN:$AN,Parkki!$Y$16,TP!$L:$L,$X$31,TP!$I:$I,$V$29,TP!$J:$J,$V$30,TP!$F:$F,Parkki!$Y$9)</f>
        <v>0</v>
      </c>
      <c r="AQ324" s="683">
        <f>SUMIFS(TP!$P:$P,TP!$AI:$AI,$W$7,TP!$R:$R,$X$9,TP!$U:$U,$AP324,TP!$W:$W,$X$8,TP!$X:$X,$X$5,TP!$AD:$AD,$X$9,TP!$AF:$AF,$X$32,TP!$Q:$Q,$Y$4,TP!$AG:$AG,$Y$5,TP!AL:AL,1,TP!$AN:$AN,Parkki!$Y$16,TP!$L:$L,$X$31,TP!$I:$I,$V$29,TP!$J:$J,$V$30,TP!$F:$F,Parkki!$Y$9)</f>
        <v>0</v>
      </c>
      <c r="AR324" s="111">
        <f>SUMIFS(TP!$P:$P,TP!$AI:$AI,$W$7,TP!$R:$R,$X$9,TP!$U:$U,$AP324,TP!$W:$W,$X$8,TP!$X:$X,$X$5,TP!$AD:$AD,$X$9,TP!$AF:$AF,$X$32,TP!$Q:$Q,$Y$4,TP!$AG:$AG,$Y$5,TP!$V:$V,$X$7,TP!AL:AL,1,TP!$AN:$AN,Parkki!$Y$16,TP!$L:$L,$X$31,TP!$I:$I,$V$29,TP!$J:$J,$V$30,TP!$F:$F,Parkki!$Y$9)</f>
        <v>0</v>
      </c>
      <c r="AS324" s="111">
        <f>SUMIFS(TP!$P:$P,TP!$AI:$AI,$W$7,TP!$R:$R,$X$9,TP!$U:$U,$AP324,TP!$W:$W,$X$8,TP!$X:$X,$X$5,TP!$AD:$AD,$X$9,TP!$AF:$AF,$X$32,TP!$Q:$Q,$Y$4,TP!$AG:$AG,$Y$5,TP!$V:$V,$Y$7,TP!AL:AL,1,TP!$AN:$AN,Parkki!$Y$16,TP!$L:$L,$X$31,TP!$I:$I,$V$29,TP!$J:$J,$V$30,TP!$F:$F,Parkki!$Y$9)</f>
        <v>0</v>
      </c>
    </row>
    <row r="325" spans="1:45" x14ac:dyDescent="0.25">
      <c r="A325" s="801"/>
      <c r="B325" s="518" t="s">
        <v>1444</v>
      </c>
      <c r="C325" s="419">
        <f>SUMIFS(TP!$P:$P,TP!$AI:$AI,$W$7,TP!$R:$R,$X$9,TP!$U:$U,$AK325,TP!$W:$W,$X$8,TP!$X:$X,$X$5,TP!$AD:$AD,$X$9,TP!$AF:$AF,$X$32,TP!$Q:$Q,$Y$4,TP!$AG:$AG,$Y$5,TP!AL:AL,1,TP!$AN:$AN,Parkki!$Y$16,TP!$L:$L,$X$31,TP!$I:$I,$V$29,TP!$J:$J,$V$30,TP!$F:$F,Parkki!$Y$9)+AM325+AQ325</f>
        <v>0</v>
      </c>
      <c r="D325" s="552" t="str">
        <f t="shared" si="37"/>
        <v>-</v>
      </c>
      <c r="E325" s="419">
        <f>SUMIFS(TP!$P:$P,TP!$AI:$AI,$W$7,TP!$R:$R,$X$9,TP!$U:$U,$AK325,TP!$W:$W,$X$8,TP!$X:$X,$X$5,TP!$AD:$AD,$X$9,TP!$AF:$AF,$X$32,TP!$Q:$Q,$Y$4,TP!$AG:$AG,$Y$5,TP!$V:$V,$X$7,TP!AL:AL,1,TP!$AN:$AN,Parkki!$Y$16,TP!$L:$L,$X$31,TP!$I:$I,$V$29,TP!$J:$J,$V$30,TP!$F:$F,Parkki!$Y$9)+AN325+AR325</f>
        <v>0</v>
      </c>
      <c r="F325" s="419">
        <f>SUMIFS(TP!$P:$P,TP!$AI:$AI,$W$7,TP!$R:$R,$X$9,TP!$U:$U,$AK325,TP!$W:$W,$X$8,TP!$X:$X,$X$5,TP!$AD:$AD,$X$9,TP!$AF:$AF,$X$32,TP!$Q:$Q,$Y$4,TP!$AG:$AG,$Y$5,TP!$V:$V,$Y$7,TP!AL:AL,1,TP!$AN:$AN,Parkki!$Y$16,TP!$L:$L,$X$31,TP!$I:$I,$V$29,TP!$J:$J,$V$30,TP!$F:$F,Parkki!$Y$9)+AO325+AS325</f>
        <v>0</v>
      </c>
      <c r="G325" s="555" t="str">
        <f t="shared" si="38"/>
        <v>Tuki viranomaisasioiden hoitamiseen</v>
      </c>
      <c r="H325" s="556" t="str">
        <f t="shared" si="39"/>
        <v>-</v>
      </c>
      <c r="I325" s="675"/>
      <c r="J325" s="675"/>
      <c r="K325" s="675"/>
      <c r="L325" s="260"/>
      <c r="AH325" s="656"/>
      <c r="AI325" s="702" t="s">
        <v>1444</v>
      </c>
      <c r="AK325" s="700" t="s">
        <v>1124</v>
      </c>
      <c r="AL325" s="686"/>
      <c r="AM325" s="683">
        <f>SUMIFS(TP!$P:$P,TP!$AI:$AI,$W$7,TP!$R:$R,$X$9,TP!$U:$U,$AL325,TP!$W:$W,$X$8,TP!$X:$X,$X$5,TP!$AD:$AD,$X$9,TP!$AF:$AF,$X$32,TP!$Q:$Q,$Y$4,TP!$AG:$AG,$Y$5,TP!AL:AL,1,TP!$AN:$AN,Parkki!$Y$16,TP!$L:$L,$X$31,TP!$I:$I,$V$29,TP!$J:$J,$V$30,TP!$F:$F,Parkki!$Y$9)</f>
        <v>0</v>
      </c>
      <c r="AN325" s="683">
        <f>SUMIFS(TP!$P:$P,TP!$AI:$AI,$W$7,TP!$R:$R,$X$9,TP!$U:$U,$AL325,TP!$W:$W,$X$8,TP!$X:$X,$X$5,TP!$AD:$AD,$X$9,TP!$AF:$AF,$X$32,TP!$Q:$Q,$Y$4,TP!$AG:$AG,$Y$5,TP!$V:$V,$X$7,TP!AL:AL,1,TP!$AN:$AN,Parkki!$Y$16,TP!$L:$L,$X$31,TP!$I:$I,$V$29,TP!$J:$J,$V$30,TP!$F:$F,Parkki!$Y$9)</f>
        <v>0</v>
      </c>
      <c r="AO325" s="683">
        <f>SUMIFS(TP!$P:$P,TP!$AI:$AI,$W$7,TP!$R:$R,$X$9,TP!$U:$U,$AL325,TP!$W:$W,$X$8,TP!$X:$X,$X$5,TP!$AD:$AD,$X$9,TP!$AF:$AF,$X$32,TP!$Q:$Q,$Y$4,TP!$AG:$AG,$Y$5,TP!$V:$V,$Y$7,TP!AL:AL,1,TP!$AN:$AN,Parkki!$Y$16,TP!$L:$L,$X$31,TP!$I:$I,$V$29,TP!$J:$J,$V$30,TP!$F:$F,Parkki!$Y$9)</f>
        <v>0</v>
      </c>
      <c r="AQ325" s="683">
        <f>SUMIFS(TP!$P:$P,TP!$AI:$AI,$W$7,TP!$R:$R,$X$9,TP!$U:$U,$AP325,TP!$W:$W,$X$8,TP!$X:$X,$X$5,TP!$AD:$AD,$X$9,TP!$AF:$AF,$X$32,TP!$Q:$Q,$Y$4,TP!$AG:$AG,$Y$5,TP!AL:AL,1,TP!$AN:$AN,Parkki!$Y$16,TP!$L:$L,$X$31,TP!$I:$I,$V$29,TP!$J:$J,$V$30,TP!$F:$F,Parkki!$Y$9)</f>
        <v>0</v>
      </c>
      <c r="AR325" s="111">
        <f>SUMIFS(TP!$P:$P,TP!$AI:$AI,$W$7,TP!$R:$R,$X$9,TP!$U:$U,$AP325,TP!$W:$W,$X$8,TP!$X:$X,$X$5,TP!$AD:$AD,$X$9,TP!$AF:$AF,$X$32,TP!$Q:$Q,$Y$4,TP!$AG:$AG,$Y$5,TP!$V:$V,$X$7,TP!AL:AL,1,TP!$AN:$AN,Parkki!$Y$16,TP!$L:$L,$X$31,TP!$I:$I,$V$29,TP!$J:$J,$V$30,TP!$F:$F,Parkki!$Y$9)</f>
        <v>0</v>
      </c>
      <c r="AS325" s="111">
        <f>SUMIFS(TP!$P:$P,TP!$AI:$AI,$W$7,TP!$R:$R,$X$9,TP!$U:$U,$AP325,TP!$W:$W,$X$8,TP!$X:$X,$X$5,TP!$AD:$AD,$X$9,TP!$AF:$AF,$X$32,TP!$Q:$Q,$Y$4,TP!$AG:$AG,$Y$5,TP!$V:$V,$Y$7,TP!AL:AL,1,TP!$AN:$AN,Parkki!$Y$16,TP!$L:$L,$X$31,TP!$I:$I,$V$29,TP!$J:$J,$V$30,TP!$F:$F,Parkki!$Y$9)</f>
        <v>0</v>
      </c>
    </row>
    <row r="326" spans="1:45" x14ac:dyDescent="0.25">
      <c r="A326" s="801"/>
      <c r="B326" s="518" t="s">
        <v>1445</v>
      </c>
      <c r="C326" s="419">
        <f>SUMIFS(TP!$P:$P,TP!$AI:$AI,$W$7,TP!$R:$R,$X$9,TP!$U:$U,$AK326,TP!$W:$W,$X$8,TP!$X:$X,$X$5,TP!$AD:$AD,$X$9,TP!$AF:$AF,$X$32,TP!$Q:$Q,$Y$4,TP!$AG:$AG,$Y$5,TP!AL:AL,1,TP!$AN:$AN,Parkki!$Y$16,TP!$L:$L,$X$31,TP!$I:$I,$V$29,TP!$J:$J,$V$30,TP!$F:$F,Parkki!$Y$9)+AM326+AQ326</f>
        <v>0</v>
      </c>
      <c r="D326" s="552" t="str">
        <f t="shared" si="37"/>
        <v>-</v>
      </c>
      <c r="E326" s="419">
        <f>SUMIFS(TP!$P:$P,TP!$AI:$AI,$W$7,TP!$R:$R,$X$9,TP!$U:$U,$AK326,TP!$W:$W,$X$8,TP!$X:$X,$X$5,TP!$AD:$AD,$X$9,TP!$AF:$AF,$X$32,TP!$Q:$Q,$Y$4,TP!$AG:$AG,$Y$5,TP!$V:$V,$X$7,TP!AL:AL,1,TP!$AN:$AN,Parkki!$Y$16,TP!$L:$L,$X$31,TP!$I:$I,$V$29,TP!$J:$J,$V$30,TP!$F:$F,Parkki!$Y$9)+AN326+AR326</f>
        <v>0</v>
      </c>
      <c r="F326" s="419">
        <f>SUMIFS(TP!$P:$P,TP!$AI:$AI,$W$7,TP!$R:$R,$X$9,TP!$U:$U,$AK326,TP!$W:$W,$X$8,TP!$X:$X,$X$5,TP!$AD:$AD,$X$9,TP!$AF:$AF,$X$32,TP!$Q:$Q,$Y$4,TP!$AG:$AG,$Y$5,TP!$V:$V,$Y$7,TP!AL:AL,1,TP!$AN:$AN,Parkki!$Y$16,TP!$L:$L,$X$31,TP!$I:$I,$V$29,TP!$J:$J,$V$30,TP!$F:$F,Parkki!$Y$9)+AO326+AS326</f>
        <v>0</v>
      </c>
      <c r="G326" s="555" t="str">
        <f t="shared" si="38"/>
        <v>Ohjattu opiskelupaikan haussa</v>
      </c>
      <c r="H326" s="556" t="str">
        <f t="shared" si="39"/>
        <v>-</v>
      </c>
      <c r="I326" s="675"/>
      <c r="J326" s="675"/>
      <c r="K326" s="675"/>
      <c r="L326" s="260"/>
      <c r="AH326" s="656"/>
      <c r="AI326" s="701" t="s">
        <v>1445</v>
      </c>
      <c r="AK326" s="686" t="s">
        <v>1238</v>
      </c>
      <c r="AL326" s="704" t="s">
        <v>298</v>
      </c>
      <c r="AM326" s="683">
        <f>SUMIFS(TP!$P:$P,TP!$AI:$AI,$W$7,TP!$R:$R,$X$9,TP!$U:$U,$AL326,TP!$W:$W,$X$8,TP!$X:$X,$X$5,TP!$AD:$AD,$X$9,TP!$AF:$AF,$X$32,TP!$Q:$Q,$Y$4,TP!$AG:$AG,$Y$5,TP!AL:AL,1,TP!$AN:$AN,Parkki!$Y$16,TP!$L:$L,$X$31,TP!$I:$I,$V$29,TP!$J:$J,$V$30,TP!$F:$F,Parkki!$Y$9)</f>
        <v>0</v>
      </c>
      <c r="AN326" s="683">
        <f>SUMIFS(TP!$P:$P,TP!$AI:$AI,$W$7,TP!$R:$R,$X$9,TP!$U:$U,$AL326,TP!$W:$W,$X$8,TP!$X:$X,$X$5,TP!$AD:$AD,$X$9,TP!$AF:$AF,$X$32,TP!$Q:$Q,$Y$4,TP!$AG:$AG,$Y$5,TP!$V:$V,$X$7,TP!AL:AL,1,TP!$AN:$AN,Parkki!$Y$16,TP!$L:$L,$X$31,TP!$I:$I,$V$29,TP!$J:$J,$V$30,TP!$F:$F,Parkki!$Y$9)</f>
        <v>0</v>
      </c>
      <c r="AO326" s="683">
        <f>SUMIFS(TP!$P:$P,TP!$AI:$AI,$W$7,TP!$R:$R,$X$9,TP!$U:$U,$AL326,TP!$W:$W,$X$8,TP!$X:$X,$X$5,TP!$AD:$AD,$X$9,TP!$AF:$AF,$X$32,TP!$Q:$Q,$Y$4,TP!$AG:$AG,$Y$5,TP!$V:$V,$Y$7,TP!AL:AL,1,TP!$AN:$AN,Parkki!$Y$16,TP!$L:$L,$X$31,TP!$I:$I,$V$29,TP!$J:$J,$V$30,TP!$F:$F,Parkki!$Y$9)</f>
        <v>0</v>
      </c>
      <c r="AQ326" s="683">
        <f>SUMIFS(TP!$P:$P,TP!$AI:$AI,$W$7,TP!$R:$R,$X$9,TP!$U:$U,$AP326,TP!$W:$W,$X$8,TP!$X:$X,$X$5,TP!$AD:$AD,$X$9,TP!$AF:$AF,$X$32,TP!$Q:$Q,$Y$4,TP!$AG:$AG,$Y$5,TP!AL:AL,1,TP!$AN:$AN,Parkki!$Y$16,TP!$L:$L,$X$31,TP!$I:$I,$V$29,TP!$J:$J,$V$30,TP!$F:$F,Parkki!$Y$9)</f>
        <v>0</v>
      </c>
      <c r="AR326" s="111">
        <f>SUMIFS(TP!$P:$P,TP!$AI:$AI,$W$7,TP!$R:$R,$X$9,TP!$U:$U,$AP326,TP!$W:$W,$X$8,TP!$X:$X,$X$5,TP!$AD:$AD,$X$9,TP!$AF:$AF,$X$32,TP!$Q:$Q,$Y$4,TP!$AG:$AG,$Y$5,TP!$V:$V,$X$7,TP!AL:AL,1,TP!$AN:$AN,Parkki!$Y$16,TP!$L:$L,$X$31,TP!$I:$I,$V$29,TP!$J:$J,$V$30,TP!$F:$F,Parkki!$Y$9)</f>
        <v>0</v>
      </c>
      <c r="AS326" s="111">
        <f>SUMIFS(TP!$P:$P,TP!$AI:$AI,$W$7,TP!$R:$R,$X$9,TP!$U:$U,$AP326,TP!$W:$W,$X$8,TP!$X:$X,$X$5,TP!$AD:$AD,$X$9,TP!$AF:$AF,$X$32,TP!$Q:$Q,$Y$4,TP!$AG:$AG,$Y$5,TP!$V:$V,$Y$7,TP!AL:AL,1,TP!$AN:$AN,Parkki!$Y$16,TP!$L:$L,$X$31,TP!$I:$I,$V$29,TP!$J:$J,$V$30,TP!$F:$F,Parkki!$Y$9)</f>
        <v>0</v>
      </c>
    </row>
    <row r="327" spans="1:45" x14ac:dyDescent="0.25">
      <c r="A327" s="801"/>
      <c r="B327" s="518" t="s">
        <v>1446</v>
      </c>
      <c r="C327" s="419">
        <f>SUMIFS(TP!$P:$P,TP!$AI:$AI,$W$7,TP!$R:$R,$X$9,TP!$U:$U,$AK327,TP!$W:$W,$X$8,TP!$X:$X,$X$5,TP!$AD:$AD,$X$9,TP!$AF:$AF,$X$32,TP!$Q:$Q,$Y$4,TP!$AG:$AG,$Y$5,TP!AL:AL,1,TP!$AN:$AN,Parkki!$Y$16,TP!$L:$L,$X$31,TP!$I:$I,$V$29,TP!$J:$J,$V$30,TP!$F:$F,Parkki!$Y$9)+AM327+AQ327</f>
        <v>0</v>
      </c>
      <c r="D327" s="552" t="str">
        <f t="shared" si="37"/>
        <v>-</v>
      </c>
      <c r="E327" s="419">
        <f>SUMIFS(TP!$P:$P,TP!$AI:$AI,$W$7,TP!$R:$R,$X$9,TP!$U:$U,$AK327,TP!$W:$W,$X$8,TP!$X:$X,$X$5,TP!$AD:$AD,$X$9,TP!$AF:$AF,$X$32,TP!$Q:$Q,$Y$4,TP!$AG:$AG,$Y$5,TP!$V:$V,$X$7,TP!AL:AL,1,TP!$AN:$AN,Parkki!$Y$16,TP!$L:$L,$X$31,TP!$I:$I,$V$29,TP!$J:$J,$V$30,TP!$F:$F,Parkki!$Y$9)+AN327+AR327</f>
        <v>0</v>
      </c>
      <c r="F327" s="419">
        <f>SUMIFS(TP!$P:$P,TP!$AI:$AI,$W$7,TP!$R:$R,$X$9,TP!$U:$U,$AK327,TP!$W:$W,$X$8,TP!$X:$X,$X$5,TP!$AD:$AD,$X$9,TP!$AF:$AF,$X$32,TP!$Q:$Q,$Y$4,TP!$AG:$AG,$Y$5,TP!$V:$V,$Y$7,TP!AL:AL,1,TP!$AN:$AN,Parkki!$Y$16,TP!$L:$L,$X$31,TP!$I:$I,$V$29,TP!$J:$J,$V$30,TP!$F:$F,Parkki!$Y$9)+AO327+AS327</f>
        <v>0</v>
      </c>
      <c r="G327" s="555" t="str">
        <f t="shared" si="38"/>
        <v>Asumiseen liittyvä tuki</v>
      </c>
      <c r="H327" s="556" t="str">
        <f t="shared" si="39"/>
        <v>-</v>
      </c>
      <c r="I327" s="675"/>
      <c r="J327" s="675"/>
      <c r="K327" s="675"/>
      <c r="L327" s="260"/>
      <c r="AH327" s="656"/>
      <c r="AI327" s="701" t="s">
        <v>1446</v>
      </c>
      <c r="AK327" s="15" t="s">
        <v>1239</v>
      </c>
      <c r="AL327" s="688" t="s">
        <v>282</v>
      </c>
      <c r="AM327" s="683">
        <f>SUMIFS(TP!$P:$P,TP!$AI:$AI,$W$7,TP!$R:$R,$X$9,TP!$U:$U,$AL327,TP!$W:$W,$X$8,TP!$X:$X,$X$5,TP!$AD:$AD,$X$9,TP!$AF:$AF,$X$32,TP!$Q:$Q,$Y$4,TP!$AG:$AG,$Y$5,TP!AL:AL,1,TP!$AN:$AN,Parkki!$Y$16,TP!$L:$L,$X$31,TP!$I:$I,$V$29,TP!$J:$J,$V$30,TP!$F:$F,Parkki!$Y$9)</f>
        <v>0</v>
      </c>
      <c r="AN327" s="683">
        <f>SUMIFS(TP!$P:$P,TP!$AI:$AI,$W$7,TP!$R:$R,$X$9,TP!$U:$U,$AL327,TP!$W:$W,$X$8,TP!$X:$X,$X$5,TP!$AD:$AD,$X$9,TP!$AF:$AF,$X$32,TP!$Q:$Q,$Y$4,TP!$AG:$AG,$Y$5,TP!$V:$V,$X$7,TP!AL:AL,1,TP!$AN:$AN,Parkki!$Y$16,TP!$L:$L,$X$31,TP!$I:$I,$V$29,TP!$J:$J,$V$30,TP!$F:$F,Parkki!$Y$9)</f>
        <v>0</v>
      </c>
      <c r="AO327" s="683">
        <f>SUMIFS(TP!$P:$P,TP!$AI:$AI,$W$7,TP!$R:$R,$X$9,TP!$U:$U,$AL327,TP!$W:$W,$X$8,TP!$X:$X,$X$5,TP!$AD:$AD,$X$9,TP!$AF:$AF,$X$32,TP!$Q:$Q,$Y$4,TP!$AG:$AG,$Y$5,TP!$V:$V,$Y$7,TP!AL:AL,1,TP!$AN:$AN,Parkki!$Y$16,TP!$L:$L,$X$31,TP!$I:$I,$V$29,TP!$J:$J,$V$30,TP!$F:$F,Parkki!$Y$9)</f>
        <v>0</v>
      </c>
      <c r="AQ327" s="683">
        <f>SUMIFS(TP!$P:$P,TP!$AI:$AI,$W$7,TP!$R:$R,$X$9,TP!$U:$U,$AP327,TP!$W:$W,$X$8,TP!$X:$X,$X$5,TP!$AD:$AD,$X$9,TP!$AF:$AF,$X$32,TP!$Q:$Q,$Y$4,TP!$AG:$AG,$Y$5,TP!AL:AL,1,TP!$AN:$AN,Parkki!$Y$16,TP!$L:$L,$X$31,TP!$I:$I,$V$29,TP!$J:$J,$V$30,TP!$F:$F,Parkki!$Y$9)</f>
        <v>0</v>
      </c>
      <c r="AR327" s="111">
        <f>SUMIFS(TP!$P:$P,TP!$AI:$AI,$W$7,TP!$R:$R,$X$9,TP!$U:$U,$AP327,TP!$W:$W,$X$8,TP!$X:$X,$X$5,TP!$AD:$AD,$X$9,TP!$AF:$AF,$X$32,TP!$Q:$Q,$Y$4,TP!$AG:$AG,$Y$5,TP!$V:$V,$X$7,TP!AL:AL,1,TP!$AN:$AN,Parkki!$Y$16,TP!$L:$L,$X$31,TP!$I:$I,$V$29,TP!$J:$J,$V$30,TP!$F:$F,Parkki!$Y$9)</f>
        <v>0</v>
      </c>
      <c r="AS327" s="111">
        <f>SUMIFS(TP!$P:$P,TP!$AI:$AI,$W$7,TP!$R:$R,$X$9,TP!$U:$U,$AP327,TP!$W:$W,$X$8,TP!$X:$X,$X$5,TP!$AD:$AD,$X$9,TP!$AF:$AF,$X$32,TP!$Q:$Q,$Y$4,TP!$AG:$AG,$Y$5,TP!$V:$V,$Y$7,TP!AL:AL,1,TP!$AN:$AN,Parkki!$Y$16,TP!$L:$L,$X$31,TP!$I:$I,$V$29,TP!$J:$J,$V$30,TP!$F:$F,Parkki!$Y$9)</f>
        <v>0</v>
      </c>
    </row>
    <row r="328" spans="1:45" x14ac:dyDescent="0.25">
      <c r="A328" s="801"/>
      <c r="B328" s="518" t="s">
        <v>1159</v>
      </c>
      <c r="C328" s="419">
        <f>SUMIFS(TP!$P:$P,TP!$AI:$AI,$W$7,TP!$R:$R,$X$9,TP!$U:$U,$AK328,TP!$W:$W,$X$8,TP!$X:$X,$X$5,TP!$AD:$AD,$X$9,TP!$AF:$AF,$X$32,TP!$Q:$Q,$Y$4,TP!$AG:$AG,$Y$5,TP!AL:AL,1,TP!$AN:$AN,Parkki!$Y$16,TP!$L:$L,$X$31,TP!$I:$I,$V$29,TP!$J:$J,$V$30,TP!$F:$F,Parkki!$Y$9)+AM328+AQ328</f>
        <v>0</v>
      </c>
      <c r="D328" s="552" t="str">
        <f t="shared" si="37"/>
        <v>-</v>
      </c>
      <c r="E328" s="419">
        <f>SUMIFS(TP!$P:$P,TP!$AI:$AI,$W$7,TP!$R:$R,$X$9,TP!$U:$U,$AK328,TP!$W:$W,$X$8,TP!$X:$X,$X$5,TP!$AD:$AD,$X$9,TP!$AF:$AF,$X$32,TP!$Q:$Q,$Y$4,TP!$AG:$AG,$Y$5,TP!$V:$V,$X$7,TP!AL:AL,1,TP!$AN:$AN,Parkki!$Y$16,TP!$L:$L,$X$31,TP!$I:$I,$V$29,TP!$J:$J,$V$30,TP!$F:$F,Parkki!$Y$9)+AN328+AR328</f>
        <v>0</v>
      </c>
      <c r="F328" s="419">
        <f>SUMIFS(TP!$P:$P,TP!$AI:$AI,$W$7,TP!$R:$R,$X$9,TP!$U:$U,$AK328,TP!$W:$W,$X$8,TP!$X:$X,$X$5,TP!$AD:$AD,$X$9,TP!$AF:$AF,$X$32,TP!$Q:$Q,$Y$4,TP!$AG:$AG,$Y$5,TP!$V:$V,$Y$7,TP!AL:AL,1,TP!$AN:$AN,Parkki!$Y$16,TP!$L:$L,$X$31,TP!$I:$I,$V$29,TP!$J:$J,$V$30,TP!$F:$F,Parkki!$Y$9)+AO328+AS328</f>
        <v>0</v>
      </c>
      <c r="G328" s="555" t="str">
        <f t="shared" si="38"/>
        <v>Työnhaun ohjaus ja neuvonta</v>
      </c>
      <c r="H328" s="556" t="str">
        <f t="shared" si="39"/>
        <v>-</v>
      </c>
      <c r="I328" s="675"/>
      <c r="J328" s="675"/>
      <c r="K328" s="675"/>
      <c r="L328" s="260"/>
      <c r="AH328" s="656"/>
      <c r="AI328" s="702" t="s">
        <v>1159</v>
      </c>
      <c r="AK328" s="703" t="s">
        <v>1126</v>
      </c>
      <c r="AL328" s="686"/>
      <c r="AM328" s="683">
        <f>SUMIFS(TP!$P:$P,TP!$AI:$AI,$W$7,TP!$R:$R,$X$9,TP!$U:$U,$AL328,TP!$W:$W,$X$8,TP!$X:$X,$X$5,TP!$AD:$AD,$X$9,TP!$AF:$AF,$X$32,TP!$Q:$Q,$Y$4,TP!$AG:$AG,$Y$5,TP!AL:AL,1,TP!$AN:$AN,Parkki!$Y$16,TP!$L:$L,$X$31,TP!$I:$I,$V$29,TP!$J:$J,$V$30,TP!$F:$F,Parkki!$Y$9)</f>
        <v>0</v>
      </c>
      <c r="AN328" s="683">
        <f>SUMIFS(TP!$P:$P,TP!$AI:$AI,$W$7,TP!$R:$R,$X$9,TP!$U:$U,$AL328,TP!$W:$W,$X$8,TP!$X:$X,$X$5,TP!$AD:$AD,$X$9,TP!$AF:$AF,$X$32,TP!$Q:$Q,$Y$4,TP!$AG:$AG,$Y$5,TP!$V:$V,$X$7,TP!AL:AL,1,TP!$AN:$AN,Parkki!$Y$16,TP!$L:$L,$X$31,TP!$I:$I,$V$29,TP!$J:$J,$V$30,TP!$F:$F,Parkki!$Y$9)</f>
        <v>0</v>
      </c>
      <c r="AO328" s="683">
        <f>SUMIFS(TP!$P:$P,TP!$AI:$AI,$W$7,TP!$R:$R,$X$9,TP!$U:$U,$AL328,TP!$W:$W,$X$8,TP!$X:$X,$X$5,TP!$AD:$AD,$X$9,TP!$AF:$AF,$X$32,TP!$Q:$Q,$Y$4,TP!$AG:$AG,$Y$5,TP!$V:$V,$Y$7,TP!AL:AL,1,TP!$AN:$AN,Parkki!$Y$16,TP!$L:$L,$X$31,TP!$I:$I,$V$29,TP!$J:$J,$V$30,TP!$F:$F,Parkki!$Y$9)</f>
        <v>0</v>
      </c>
      <c r="AQ328" s="683">
        <f>SUMIFS(TP!$P:$P,TP!$AI:$AI,$W$7,TP!$R:$R,$X$9,TP!$U:$U,$AP328,TP!$W:$W,$X$8,TP!$X:$X,$X$5,TP!$AD:$AD,$X$9,TP!$AF:$AF,$X$32,TP!$Q:$Q,$Y$4,TP!$AG:$AG,$Y$5,TP!AL:AL,1,TP!$AN:$AN,Parkki!$Y$16,TP!$L:$L,$X$31,TP!$I:$I,$V$29,TP!$J:$J,$V$30,TP!$F:$F,Parkki!$Y$9)</f>
        <v>0</v>
      </c>
      <c r="AR328" s="111">
        <f>SUMIFS(TP!$P:$P,TP!$AI:$AI,$W$7,TP!$R:$R,$X$9,TP!$U:$U,$AP328,TP!$W:$W,$X$8,TP!$X:$X,$X$5,TP!$AD:$AD,$X$9,TP!$AF:$AF,$X$32,TP!$Q:$Q,$Y$4,TP!$AG:$AG,$Y$5,TP!$V:$V,$X$7,TP!AL:AL,1,TP!$AN:$AN,Parkki!$Y$16,TP!$L:$L,$X$31,TP!$I:$I,$V$29,TP!$J:$J,$V$30,TP!$F:$F,Parkki!$Y$9)</f>
        <v>0</v>
      </c>
      <c r="AS328" s="111">
        <f>SUMIFS(TP!$P:$P,TP!$AI:$AI,$W$7,TP!$R:$R,$X$9,TP!$U:$U,$AP328,TP!$W:$W,$X$8,TP!$X:$X,$X$5,TP!$AD:$AD,$X$9,TP!$AF:$AF,$X$32,TP!$Q:$Q,$Y$4,TP!$AG:$AG,$Y$5,TP!$V:$V,$Y$7,TP!AL:AL,1,TP!$AN:$AN,Parkki!$Y$16,TP!$L:$L,$X$31,TP!$I:$I,$V$29,TP!$J:$J,$V$30,TP!$F:$F,Parkki!$Y$9)</f>
        <v>0</v>
      </c>
    </row>
    <row r="329" spans="1:45" x14ac:dyDescent="0.25">
      <c r="A329" s="801"/>
      <c r="B329" s="518" t="s">
        <v>1447</v>
      </c>
      <c r="C329" s="419">
        <f>SUMIFS(TP!$P:$P,TP!$AI:$AI,$W$7,TP!$R:$R,$X$9,TP!$U:$U,$AK329,TP!$W:$W,$X$8,TP!$X:$X,$X$5,TP!$AD:$AD,$X$9,TP!$AF:$AF,$X$32,TP!$Q:$Q,$Y$4,TP!$AG:$AG,$Y$5,TP!AL:AL,1,TP!$AN:$AN,Parkki!$Y$16,TP!$L:$L,$X$31,TP!$I:$I,$V$29,TP!$J:$J,$V$30,TP!$F:$F,Parkki!$Y$9)+AM329+AQ329</f>
        <v>0</v>
      </c>
      <c r="D329" s="552" t="str">
        <f>IFERROR(C329/$C$300,"-")</f>
        <v>-</v>
      </c>
      <c r="E329" s="419">
        <f>SUMIFS(TP!$P:$P,TP!$AI:$AI,$W$7,TP!$R:$R,$X$9,TP!$U:$U,$AK329,TP!$W:$W,$X$8,TP!$X:$X,$X$5,TP!$AD:$AD,$X$9,TP!$AF:$AF,$X$32,TP!$Q:$Q,$Y$4,TP!$AG:$AG,$Y$5,TP!$V:$V,$X$7,TP!AL:AL,1,TP!$AN:$AN,Parkki!$Y$16,TP!$L:$L,$X$31,TP!$I:$I,$V$29,TP!$J:$J,$V$30,TP!$F:$F,Parkki!$Y$9)+AN329+AR329</f>
        <v>0</v>
      </c>
      <c r="F329" s="419">
        <f>SUMIFS(TP!$P:$P,TP!$AI:$AI,$W$7,TP!$R:$R,$X$9,TP!$U:$U,$AK329,TP!$W:$W,$X$8,TP!$X:$X,$X$5,TP!$AD:$AD,$X$9,TP!$AF:$AF,$X$32,TP!$Q:$Q,$Y$4,TP!$AG:$AG,$Y$5,TP!$V:$V,$Y$7,TP!AL:AL,1,TP!$AN:$AN,Parkki!$Y$16,TP!$L:$L,$X$31,TP!$I:$I,$V$29,TP!$J:$J,$V$30,TP!$F:$F,Parkki!$Y$9)+AO329+AS329</f>
        <v>0</v>
      </c>
      <c r="G329" s="555" t="str">
        <f t="shared" si="38"/>
        <v>Yhteiset tutustumiskäynnit</v>
      </c>
      <c r="H329" s="556" t="str">
        <f t="shared" si="39"/>
        <v>-</v>
      </c>
      <c r="I329" s="675"/>
      <c r="J329" s="675"/>
      <c r="K329" s="675"/>
      <c r="L329" s="260"/>
      <c r="AH329" s="656"/>
      <c r="AI329" s="701" t="s">
        <v>1447</v>
      </c>
      <c r="AK329" s="15" t="s">
        <v>1235</v>
      </c>
      <c r="AL329" s="688" t="s">
        <v>1125</v>
      </c>
      <c r="AM329" s="683">
        <f>SUMIFS(TP!$P:$P,TP!$AI:$AI,$W$7,TP!$R:$R,$X$9,TP!$U:$U,$AL329,TP!$W:$W,$X$8,TP!$X:$X,$X$5,TP!$AD:$AD,$X$9,TP!$AF:$AF,$X$32,TP!$Q:$Q,$Y$4,TP!$AG:$AG,$Y$5,TP!AL:AL,1,TP!$AN:$AN,Parkki!$Y$16,TP!$L:$L,$X$31,TP!$I:$I,$V$29,TP!$J:$J,$V$30,TP!$F:$F,Parkki!$Y$9)</f>
        <v>0</v>
      </c>
      <c r="AN329" s="683">
        <f>SUMIFS(TP!$P:$P,TP!$AI:$AI,$W$7,TP!$R:$R,$X$9,TP!$U:$U,$AL329,TP!$W:$W,$X$8,TP!$X:$X,$X$5,TP!$AD:$AD,$X$9,TP!$AF:$AF,$X$32,TP!$Q:$Q,$Y$4,TP!$AG:$AG,$Y$5,TP!$V:$V,$X$7,TP!AL:AL,1,TP!$AN:$AN,Parkki!$Y$16,TP!$L:$L,$X$31,TP!$I:$I,$V$29,TP!$J:$J,$V$30,TP!$F:$F,Parkki!$Y$9)</f>
        <v>0</v>
      </c>
      <c r="AO329" s="683">
        <f>SUMIFS(TP!$P:$P,TP!$AI:$AI,$W$7,TP!$R:$R,$X$9,TP!$U:$U,$AL329,TP!$W:$W,$X$8,TP!$X:$X,$X$5,TP!$AD:$AD,$X$9,TP!$AF:$AF,$X$32,TP!$Q:$Q,$Y$4,TP!$AG:$AG,$Y$5,TP!$V:$V,$Y$7,TP!AL:AL,1,TP!$AN:$AN,Parkki!$Y$16,TP!$L:$L,$X$31,TP!$I:$I,$V$29,TP!$J:$J,$V$30,TP!$F:$F,Parkki!$Y$9)</f>
        <v>0</v>
      </c>
      <c r="AQ329" s="683">
        <f>SUMIFS(TP!$P:$P,TP!$AI:$AI,$W$7,TP!$R:$R,$X$9,TP!$U:$U,$AP329,TP!$W:$W,$X$8,TP!$X:$X,$X$5,TP!$AD:$AD,$X$9,TP!$AF:$AF,$X$32,TP!$Q:$Q,$Y$4,TP!$AG:$AG,$Y$5,TP!AL:AL,1,TP!$AN:$AN,Parkki!$Y$16,TP!$L:$L,$X$31,TP!$I:$I,$V$29,TP!$J:$J,$V$30,TP!$F:$F,Parkki!$Y$9)</f>
        <v>0</v>
      </c>
      <c r="AR329" s="111">
        <f>SUMIFS(TP!$P:$P,TP!$AI:$AI,$W$7,TP!$R:$R,$X$9,TP!$U:$U,$AP329,TP!$W:$W,$X$8,TP!$X:$X,$X$5,TP!$AD:$AD,$X$9,TP!$AF:$AF,$X$32,TP!$Q:$Q,$Y$4,TP!$AG:$AG,$Y$5,TP!$V:$V,$X$7,TP!AL:AL,1,TP!$AN:$AN,Parkki!$Y$16,TP!$L:$L,$X$31,TP!$I:$I,$V$29,TP!$J:$J,$V$30,TP!$F:$F,Parkki!$Y$9)</f>
        <v>0</v>
      </c>
      <c r="AS329" s="111">
        <f>SUMIFS(TP!$P:$P,TP!$AI:$AI,$W$7,TP!$R:$R,$X$9,TP!$U:$U,$AP329,TP!$W:$W,$X$8,TP!$X:$X,$X$5,TP!$AD:$AD,$X$9,TP!$AF:$AF,$X$32,TP!$Q:$Q,$Y$4,TP!$AG:$AG,$Y$5,TP!$V:$V,$Y$7,TP!AL:AL,1,TP!$AN:$AN,Parkki!$Y$16,TP!$L:$L,$X$31,TP!$I:$I,$V$29,TP!$J:$J,$V$30,TP!$F:$F,Parkki!$Y$9)</f>
        <v>0</v>
      </c>
    </row>
    <row r="330" spans="1:45" x14ac:dyDescent="0.25">
      <c r="A330" s="801"/>
      <c r="B330" s="518" t="s">
        <v>86</v>
      </c>
      <c r="C330" s="419">
        <f>SUMIFS(TP!$P:$P,TP!$AI:$AI,$W$7,TP!$R:$R,$X$9,TP!$U:$U,$AK330,TP!$W:$W,$X$8,TP!$X:$X,$X$5,TP!$AD:$AD,$X$9,TP!$AF:$AF,$X$32,TP!$Q:$Q,$Y$4,TP!$AG:$AG,$Y$5,TP!AL:AL,1,TP!$AN:$AN,Parkki!$Y$16,TP!$L:$L,$X$31,TP!$I:$I,$V$29,TP!$J:$J,$V$30,TP!$F:$F,Parkki!$Y$9)+AM330+AQ330</f>
        <v>0</v>
      </c>
      <c r="D330" s="552" t="str">
        <f t="shared" si="37"/>
        <v>-</v>
      </c>
      <c r="E330" s="419">
        <f>SUMIFS(TP!$P:$P,TP!$AI:$AI,$W$7,TP!$R:$R,$X$9,TP!$U:$U,$AK330,TP!$W:$W,$X$8,TP!$X:$X,$X$5,TP!$AD:$AD,$X$9,TP!$AF:$AF,$X$32,TP!$Q:$Q,$Y$4,TP!$AG:$AG,$Y$5,TP!$V:$V,$X$7,TP!AL:AL,1,TP!$AN:$AN,Parkki!$Y$16,TP!$L:$L,$X$31,TP!$I:$I,$V$29,TP!$J:$J,$V$30,TP!$F:$F,Parkki!$Y$9)+AN330+AR330</f>
        <v>0</v>
      </c>
      <c r="F330" s="419">
        <f>SUMIFS(TP!$P:$P,TP!$AI:$AI,$W$7,TP!$R:$R,$X$9,TP!$U:$U,$AK330,TP!$W:$W,$X$8,TP!$X:$X,$X$5,TP!$AD:$AD,$X$9,TP!$AF:$AF,$X$32,TP!$Q:$Q,$Y$4,TP!$AG:$AG,$Y$5,TP!$V:$V,$Y$7,TP!AL:AL,1,TP!$AN:$AN,Parkki!$Y$16,TP!$L:$L,$X$31,TP!$I:$I,$V$29,TP!$J:$J,$V$30,TP!$F:$F,Parkki!$Y$9)+AO330+AS330</f>
        <v>0</v>
      </c>
      <c r="G330" s="555" t="str">
        <f t="shared" si="38"/>
        <v>Ohjaus toisille etsiville</v>
      </c>
      <c r="H330" s="556" t="str">
        <f t="shared" si="39"/>
        <v>-</v>
      </c>
      <c r="I330" s="675"/>
      <c r="J330" s="675"/>
      <c r="K330" s="675"/>
      <c r="L330" s="260"/>
      <c r="AH330" s="656"/>
      <c r="AI330" s="702" t="s">
        <v>86</v>
      </c>
      <c r="AK330" s="700" t="s">
        <v>300</v>
      </c>
      <c r="AL330" s="686"/>
      <c r="AM330" s="683">
        <f>SUMIFS(TP!$P:$P,TP!$AI:$AI,$W$7,TP!$R:$R,$X$9,TP!$U:$U,$AL330,TP!$W:$W,$X$8,TP!$X:$X,$X$5,TP!$AD:$AD,$X$9,TP!$AF:$AF,$X$32,TP!$Q:$Q,$Y$4,TP!$AG:$AG,$Y$5,TP!AL:AL,1,TP!$AN:$AN,Parkki!$Y$16,TP!$L:$L,$X$31,TP!$I:$I,$V$29,TP!$J:$J,$V$30,TP!$F:$F,Parkki!$Y$9)</f>
        <v>0</v>
      </c>
      <c r="AN330" s="683">
        <f>SUMIFS(TP!$P:$P,TP!$AI:$AI,$W$7,TP!$R:$R,$X$9,TP!$U:$U,$AL330,TP!$W:$W,$X$8,TP!$X:$X,$X$5,TP!$AD:$AD,$X$9,TP!$AF:$AF,$X$32,TP!$Q:$Q,$Y$4,TP!$AG:$AG,$Y$5,TP!$V:$V,$X$7,TP!AL:AL,1,TP!$AN:$AN,Parkki!$Y$16,TP!$L:$L,$X$31,TP!$I:$I,$V$29,TP!$J:$J,$V$30,TP!$F:$F,Parkki!$Y$9)</f>
        <v>0</v>
      </c>
      <c r="AO330" s="683">
        <f>SUMIFS(TP!$P:$P,TP!$AI:$AI,$W$7,TP!$R:$R,$X$9,TP!$U:$U,$AL330,TP!$W:$W,$X$8,TP!$X:$X,$X$5,TP!$AD:$AD,$X$9,TP!$AF:$AF,$X$32,TP!$Q:$Q,$Y$4,TP!$AG:$AG,$Y$5,TP!$V:$V,$Y$7,TP!AL:AL,1,TP!$AN:$AN,Parkki!$Y$16,TP!$L:$L,$X$31,TP!$I:$I,$V$29,TP!$J:$J,$V$30,TP!$F:$F,Parkki!$Y$9)</f>
        <v>0</v>
      </c>
      <c r="AQ330" s="683">
        <f>SUMIFS(TP!$P:$P,TP!$AI:$AI,$W$7,TP!$R:$R,$X$9,TP!$U:$U,$AP330,TP!$W:$W,$X$8,TP!$X:$X,$X$5,TP!$AD:$AD,$X$9,TP!$AF:$AF,$X$32,TP!$Q:$Q,$Y$4,TP!$AG:$AG,$Y$5,TP!AL:AL,1,TP!$AN:$AN,Parkki!$Y$16,TP!$L:$L,$X$31,TP!$I:$I,$V$29,TP!$J:$J,$V$30,TP!$F:$F,Parkki!$Y$9)</f>
        <v>0</v>
      </c>
      <c r="AR330" s="111">
        <f>SUMIFS(TP!$P:$P,TP!$AI:$AI,$W$7,TP!$R:$R,$X$9,TP!$U:$U,$AP330,TP!$W:$W,$X$8,TP!$X:$X,$X$5,TP!$AD:$AD,$X$9,TP!$AF:$AF,$X$32,TP!$Q:$Q,$Y$4,TP!$AG:$AG,$Y$5,TP!$V:$V,$X$7,TP!AL:AL,1,TP!$AN:$AN,Parkki!$Y$16,TP!$L:$L,$X$31,TP!$I:$I,$V$29,TP!$J:$J,$V$30,TP!$F:$F,Parkki!$Y$9)</f>
        <v>0</v>
      </c>
      <c r="AS330" s="111">
        <f>SUMIFS(TP!$P:$P,TP!$AI:$AI,$W$7,TP!$R:$R,$X$9,TP!$U:$U,$AP330,TP!$W:$W,$X$8,TP!$X:$X,$X$5,TP!$AD:$AD,$X$9,TP!$AF:$AF,$X$32,TP!$Q:$Q,$Y$4,TP!$AG:$AG,$Y$5,TP!$V:$V,$Y$7,TP!AL:AL,1,TP!$AN:$AN,Parkki!$Y$16,TP!$L:$L,$X$31,TP!$I:$I,$V$29,TP!$J:$J,$V$30,TP!$F:$F,Parkki!$Y$9)</f>
        <v>0</v>
      </c>
    </row>
    <row r="331" spans="1:45" x14ac:dyDescent="0.25">
      <c r="A331" s="802"/>
      <c r="B331" s="518" t="s">
        <v>1161</v>
      </c>
      <c r="C331" s="419">
        <f>SUMIFS(TP!$P:$P,TP!$AI:$AI,$W$7,TP!$R:$R,$X$9,TP!$U:$U,$AK331,TP!$W:$W,$X$8,TP!$X:$X,$X$5,TP!$AD:$AD,$X$9,TP!$AF:$AF,$X$32,TP!$Q:$Q,$Y$4,TP!$AG:$AG,$Y$5,TP!AL:AL,1,TP!$AN:$AN,Parkki!$Y$16,TP!$L:$L,$X$31,TP!$I:$I,$V$29,TP!$J:$J,$V$30,TP!$F:$F,Parkki!$Y$9)+AM331+AQ331</f>
        <v>0</v>
      </c>
      <c r="D331" s="552" t="str">
        <f t="shared" ref="D331" si="40">IFERROR(C331/$C$300,"-")</f>
        <v>-</v>
      </c>
      <c r="E331" s="419">
        <f>SUMIFS(TP!$P:$P,TP!$AI:$AI,$W$7,TP!$R:$R,$X$9,TP!$U:$U,$AK331,TP!$W:$W,$X$8,TP!$X:$X,$X$5,TP!$AD:$AD,$X$9,TP!$AF:$AF,$X$32,TP!$Q:$Q,$Y$4,TP!$AG:$AG,$Y$5,TP!$V:$V,$X$7,TP!AL:AL,1,TP!$AN:$AN,Parkki!$Y$16,TP!$L:$L,$X$31,TP!$I:$I,$V$29,TP!$J:$J,$V$30,TP!$F:$F,Parkki!$Y$9)+AN331+AR331</f>
        <v>0</v>
      </c>
      <c r="F331" s="419">
        <f>SUMIFS(TP!$P:$P,TP!$AI:$AI,$W$7,TP!$R:$R,$X$9,TP!$U:$U,$AK331,TP!$W:$W,$X$8,TP!$X:$X,$X$5,TP!$AD:$AD,$X$9,TP!$AF:$AF,$X$32,TP!$Q:$Q,$Y$4,TP!$AG:$AG,$Y$5,TP!$V:$V,$Y$7,TP!AL:AL,1,TP!$AN:$AN,Parkki!$Y$16,TP!$L:$L,$X$31,TP!$I:$I,$V$29,TP!$J:$J,$V$30,TP!$F:$F,Parkki!$Y$9)+AO331+AS331</f>
        <v>0</v>
      </c>
      <c r="G331" s="555" t="str">
        <f t="shared" si="38"/>
        <v>Sovari-kysely toimitettu nuorelle</v>
      </c>
      <c r="H331" s="556" t="str">
        <f t="shared" si="39"/>
        <v>-</v>
      </c>
      <c r="I331" s="676"/>
      <c r="J331" s="676"/>
      <c r="K331" s="676"/>
      <c r="L331" s="502"/>
      <c r="AH331" s="658"/>
      <c r="AI331" s="702" t="s">
        <v>1161</v>
      </c>
      <c r="AK331" s="703" t="s">
        <v>1160</v>
      </c>
      <c r="AL331" s="687" t="s">
        <v>516</v>
      </c>
      <c r="AM331" s="683">
        <f>SUMIFS(TP!$P:$P,TP!$AI:$AI,$W$7,TP!$R:$R,$X$9,TP!$U:$U,$AL331,TP!$W:$W,$X$8,TP!$X:$X,$X$5,TP!$AD:$AD,$X$9,TP!$AF:$AF,$X$32,TP!$Q:$Q,$Y$4,TP!$AG:$AG,$Y$5,TP!AL:AL,1,TP!$AN:$AN,Parkki!$Y$16,TP!$L:$L,$X$31,TP!$I:$I,$V$29,TP!$J:$J,$V$30,TP!$F:$F,Parkki!$Y$9)</f>
        <v>0</v>
      </c>
      <c r="AN331" s="683">
        <f>SUMIFS(TP!$P:$P,TP!$AI:$AI,$W$7,TP!$R:$R,$X$9,TP!$U:$U,$AL331,TP!$W:$W,$X$8,TP!$X:$X,$X$5,TP!$AD:$AD,$X$9,TP!$AF:$AF,$X$32,TP!$Q:$Q,$Y$4,TP!$AG:$AG,$Y$5,TP!$V:$V,$X$7,TP!AL:AL,1,TP!$AN:$AN,Parkki!$Y$16,TP!$L:$L,$X$31,TP!$I:$I,$V$29,TP!$J:$J,$V$30,TP!$F:$F,Parkki!$Y$9)</f>
        <v>0</v>
      </c>
      <c r="AO331" s="683">
        <f>SUMIFS(TP!$P:$P,TP!$AI:$AI,$W$7,TP!$R:$R,$X$9,TP!$U:$U,$AL331,TP!$W:$W,$X$8,TP!$X:$X,$X$5,TP!$AD:$AD,$X$9,TP!$AF:$AF,$X$32,TP!$Q:$Q,$Y$4,TP!$AG:$AG,$Y$5,TP!$V:$V,$Y$7,TP!AL:AL,1,TP!$AN:$AN,Parkki!$Y$16,TP!$L:$L,$X$31,TP!$I:$I,$V$29,TP!$J:$J,$V$30,TP!$F:$F,Parkki!$Y$9)</f>
        <v>0</v>
      </c>
      <c r="AQ331" s="683">
        <f>SUMIFS(TP!$P:$P,TP!$AI:$AI,$W$7,TP!$R:$R,$X$9,TP!$U:$U,$AP331,TP!$W:$W,$X$8,TP!$X:$X,$X$5,TP!$AD:$AD,$X$9,TP!$AF:$AF,$X$32,TP!$Q:$Q,$Y$4,TP!$AG:$AG,$Y$5,TP!AL:AL,1,TP!$AN:$AN,Parkki!$Y$16,TP!$L:$L,$X$31,TP!$I:$I,$V$29,TP!$J:$J,$V$30,TP!$F:$F,Parkki!$Y$9)</f>
        <v>0</v>
      </c>
      <c r="AR331" s="111">
        <f>SUMIFS(TP!$P:$P,TP!$AI:$AI,$W$7,TP!$R:$R,$X$9,TP!$U:$U,$AP331,TP!$W:$W,$X$8,TP!$X:$X,$X$5,TP!$AD:$AD,$X$9,TP!$AF:$AF,$X$32,TP!$Q:$Q,$Y$4,TP!$AG:$AG,$Y$5,TP!$V:$V,$X$7,TP!AL:AL,1,TP!$AN:$AN,Parkki!$Y$16,TP!$L:$L,$X$31,TP!$I:$I,$V$29,TP!$J:$J,$V$30,TP!$F:$F,Parkki!$Y$9)</f>
        <v>0</v>
      </c>
      <c r="AS331" s="111">
        <f>SUMIFS(TP!$P:$P,TP!$AI:$AI,$W$7,TP!$R:$R,$X$9,TP!$U:$U,$AP331,TP!$W:$W,$X$8,TP!$X:$X,$X$5,TP!$AD:$AD,$X$9,TP!$AF:$AF,$X$32,TP!$Q:$Q,$Y$4,TP!$AG:$AG,$Y$5,TP!$V:$V,$Y$7,TP!AL:AL,1,TP!$AN:$AN,Parkki!$Y$16,TP!$L:$L,$X$31,TP!$I:$I,$V$29,TP!$J:$J,$V$30,TP!$F:$F,Parkki!$Y$9)</f>
        <v>0</v>
      </c>
    </row>
    <row r="332" spans="1:45" x14ac:dyDescent="0.25">
      <c r="A332" s="808" t="s">
        <v>932</v>
      </c>
      <c r="B332" s="809"/>
      <c r="C332" s="519">
        <f>SUM(C319:C331)</f>
        <v>0</v>
      </c>
      <c r="D332" s="519"/>
      <c r="E332" s="519">
        <f>SUM(E319:E331)</f>
        <v>0</v>
      </c>
      <c r="F332" s="519">
        <f>SUM(F319:F331)</f>
        <v>0</v>
      </c>
      <c r="G332" s="555">
        <f t="shared" ref="G332:G334" si="41">B332</f>
        <v>0</v>
      </c>
      <c r="H332" s="556">
        <f t="shared" ref="H332:H334" si="42">D332</f>
        <v>0</v>
      </c>
      <c r="I332" s="675"/>
      <c r="J332" s="675"/>
      <c r="K332" s="675"/>
      <c r="L332" s="260"/>
      <c r="AH332" s="101" t="s">
        <v>587</v>
      </c>
      <c r="AI332" s="705"/>
      <c r="AK332" s="686"/>
      <c r="AL332" s="686"/>
      <c r="AM332" s="683">
        <f>SUMIFS(TP!$P:$P,TP!$AI:$AI,$W$7,TP!$R:$R,$X$9,TP!$U:$U,$AL332,TP!$W:$W,$X$8,TP!$X:$X,$X$5,TP!$AD:$AD,$X$9,TP!$AF:$AF,$X$32,TP!$Q:$Q,$Y$4,TP!$AG:$AG,$Y$5,TP!AL:AL,1,TP!$AN:$AN,Parkki!$Y$16,TP!$L:$L,$X$31,TP!$I:$I,$V$29,TP!$J:$J,$V$30,TP!$F:$F,Parkki!$Y$9)</f>
        <v>0</v>
      </c>
      <c r="AN332" s="683">
        <f>SUMIFS(TP!$P:$P,TP!$AI:$AI,$W$7,TP!$R:$R,$X$9,TP!$U:$U,$AL332,TP!$W:$W,$X$8,TP!$X:$X,$X$5,TP!$AD:$AD,$X$9,TP!$AF:$AF,$X$32,TP!$Q:$Q,$Y$4,TP!$AG:$AG,$Y$5,TP!$V:$V,$X$7,TP!AL:AL,1,TP!$AN:$AN,Parkki!$Y$16,TP!$L:$L,$X$31,TP!$I:$I,$V$29,TP!$J:$J,$V$30,TP!$F:$F,Parkki!$Y$9)</f>
        <v>0</v>
      </c>
      <c r="AO332" s="683">
        <f>SUMIFS(TP!$P:$P,TP!$AI:$AI,$W$7,TP!$R:$R,$X$9,TP!$U:$U,$AL332,TP!$W:$W,$X$8,TP!$X:$X,$X$5,TP!$AD:$AD,$X$9,TP!$AF:$AF,$X$32,TP!$Q:$Q,$Y$4,TP!$AG:$AG,$Y$5,TP!$V:$V,$Y$7,TP!AL:AL,1,TP!$AN:$AN,Parkki!$Y$16,TP!$L:$L,$X$31,TP!$I:$I,$V$29,TP!$J:$J,$V$30,TP!$F:$F,Parkki!$Y$9)</f>
        <v>0</v>
      </c>
      <c r="AQ332" s="683">
        <f>SUMIFS(TP!$P:$P,TP!$AI:$AI,$W$7,TP!$R:$R,$X$9,TP!$U:$U,$AP332,TP!$W:$W,$X$8,TP!$X:$X,$X$5,TP!$AD:$AD,$X$9,TP!$AF:$AF,$X$32,TP!$Q:$Q,$Y$4,TP!$AG:$AG,$Y$5,TP!AL:AL,1,TP!$AN:$AN,Parkki!$Y$16,TP!$L:$L,$X$31,TP!$I:$I,$V$29,TP!$J:$J,$V$30,TP!$F:$F,Parkki!$Y$9)</f>
        <v>0</v>
      </c>
      <c r="AR332" s="111">
        <f>SUMIFS(TP!$P:$P,TP!$AI:$AI,$W$7,TP!$R:$R,$X$9,TP!$U:$U,$AP332,TP!$W:$W,$X$8,TP!$X:$X,$X$5,TP!$AD:$AD,$X$9,TP!$AF:$AF,$X$32,TP!$Q:$Q,$Y$4,TP!$AG:$AG,$Y$5,TP!$V:$V,$X$7,TP!AL:AL,1,TP!$AN:$AN,Parkki!$Y$16,TP!$L:$L,$X$31,TP!$I:$I,$V$29,TP!$J:$J,$V$30,TP!$F:$F,Parkki!$Y$9)</f>
        <v>0</v>
      </c>
      <c r="AS332" s="111">
        <f>SUMIFS(TP!$P:$P,TP!$AI:$AI,$W$7,TP!$R:$R,$X$9,TP!$U:$U,$AP332,TP!$W:$W,$X$8,TP!$X:$X,$X$5,TP!$AD:$AD,$X$9,TP!$AF:$AF,$X$32,TP!$Q:$Q,$Y$4,TP!$AG:$AG,$Y$5,TP!$V:$V,$Y$7,TP!AL:AL,1,TP!$AN:$AN,Parkki!$Y$16,TP!$L:$L,$X$31,TP!$I:$I,$V$29,TP!$J:$J,$V$30,TP!$F:$F,Parkki!$Y$9)</f>
        <v>0</v>
      </c>
    </row>
    <row r="333" spans="1:45" ht="15.75" customHeight="1" x14ac:dyDescent="0.25">
      <c r="A333" s="810" t="s">
        <v>587</v>
      </c>
      <c r="B333" s="810"/>
      <c r="C333" s="805" t="s">
        <v>114</v>
      </c>
      <c r="D333" s="805"/>
      <c r="E333" s="521" t="s">
        <v>132</v>
      </c>
      <c r="F333" s="554" t="s">
        <v>1162</v>
      </c>
      <c r="G333" s="555">
        <f t="shared" si="41"/>
        <v>0</v>
      </c>
      <c r="H333" s="556">
        <f t="shared" si="42"/>
        <v>0</v>
      </c>
      <c r="I333" s="675"/>
      <c r="J333" s="675"/>
      <c r="K333" s="675"/>
      <c r="L333" s="260"/>
      <c r="AH333" s="103"/>
      <c r="AI333" s="706" t="str">
        <f>AH332</f>
        <v>Ohjattu muihin palveluihin / toimenpiteisiin</v>
      </c>
      <c r="AK333" s="686"/>
      <c r="AL333" s="686"/>
      <c r="AM333" s="683">
        <f>SUMIFS(TP!$P:$P,TP!$AI:$AI,$W$7,TP!$R:$R,$X$9,TP!$U:$U,$AL333,TP!$W:$W,$X$8,TP!$X:$X,$X$5,TP!$AD:$AD,$X$9,TP!$AF:$AF,$X$32,TP!$Q:$Q,$Y$4,TP!$AG:$AG,$Y$5,TP!AL:AL,1,TP!$AN:$AN,Parkki!$Y$16,TP!$L:$L,$X$31,TP!$I:$I,$V$29,TP!$J:$J,$V$30,TP!$F:$F,Parkki!$Y$9)</f>
        <v>0</v>
      </c>
      <c r="AN333" s="683">
        <f>SUMIFS(TP!$P:$P,TP!$AI:$AI,$W$7,TP!$R:$R,$X$9,TP!$U:$U,$AL333,TP!$W:$W,$X$8,TP!$X:$X,$X$5,TP!$AD:$AD,$X$9,TP!$AF:$AF,$X$32,TP!$Q:$Q,$Y$4,TP!$AG:$AG,$Y$5,TP!$V:$V,$X$7,TP!AL:AL,1,TP!$AN:$AN,Parkki!$Y$16,TP!$L:$L,$X$31,TP!$I:$I,$V$29,TP!$J:$J,$V$30,TP!$F:$F,Parkki!$Y$9)</f>
        <v>0</v>
      </c>
      <c r="AO333" s="683">
        <f>SUMIFS(TP!$P:$P,TP!$AI:$AI,$W$7,TP!$R:$R,$X$9,TP!$U:$U,$AL333,TP!$W:$W,$X$8,TP!$X:$X,$X$5,TP!$AD:$AD,$X$9,TP!$AF:$AF,$X$32,TP!$Q:$Q,$Y$4,TP!$AG:$AG,$Y$5,TP!$V:$V,$Y$7,TP!AL:AL,1,TP!$AN:$AN,Parkki!$Y$16,TP!$L:$L,$X$31,TP!$I:$I,$V$29,TP!$J:$J,$V$30,TP!$F:$F,Parkki!$Y$9)</f>
        <v>0</v>
      </c>
      <c r="AP333" s="686"/>
      <c r="AQ333" s="683">
        <f>SUMIFS(TP!$P:$P,TP!$AI:$AI,$W$7,TP!$R:$R,$X$9,TP!$U:$U,$AP333,TP!$W:$W,$X$8,TP!$X:$X,$X$5,TP!$AD:$AD,$X$9,TP!$AF:$AF,$X$32,TP!$Q:$Q,$Y$4,TP!$AG:$AG,$Y$5,TP!AL:AL,1,TP!$AN:$AN,Parkki!$Y$16,TP!$L:$L,$X$31,TP!$I:$I,$V$29,TP!$J:$J,$V$30,TP!$F:$F,Parkki!$Y$9)</f>
        <v>0</v>
      </c>
      <c r="AR333" s="111">
        <f>SUMIFS(TP!$P:$P,TP!$AI:$AI,$W$7,TP!$R:$R,$X$9,TP!$U:$U,$AP333,TP!$W:$W,$X$8,TP!$X:$X,$X$5,TP!$AD:$AD,$X$9,TP!$AF:$AF,$X$32,TP!$Q:$Q,$Y$4,TP!$AG:$AG,$Y$5,TP!$V:$V,$X$7,TP!AL:AL,1,TP!$AN:$AN,Parkki!$Y$16,TP!$L:$L,$X$31,TP!$I:$I,$V$29,TP!$J:$J,$V$30,TP!$F:$F,Parkki!$Y$9)</f>
        <v>0</v>
      </c>
      <c r="AS333" s="111">
        <f>SUMIFS(TP!$P:$P,TP!$AI:$AI,$W$7,TP!$R:$R,$X$9,TP!$U:$U,$AP333,TP!$W:$W,$X$8,TP!$X:$X,$X$5,TP!$AD:$AD,$X$9,TP!$AF:$AF,$X$32,TP!$Q:$Q,$Y$4,TP!$AG:$AG,$Y$5,TP!$V:$V,$Y$7,TP!AL:AL,1,TP!$AN:$AN,Parkki!$Y$16,TP!$L:$L,$X$31,TP!$I:$I,$V$29,TP!$J:$J,$V$30,TP!$F:$F,Parkki!$Y$9)</f>
        <v>0</v>
      </c>
    </row>
    <row r="334" spans="1:45" x14ac:dyDescent="0.25">
      <c r="A334" s="810"/>
      <c r="B334" s="810"/>
      <c r="C334" s="521" t="s">
        <v>106</v>
      </c>
      <c r="D334" s="521" t="s">
        <v>1166</v>
      </c>
      <c r="E334" s="521" t="s">
        <v>106</v>
      </c>
      <c r="F334" s="521" t="s">
        <v>106</v>
      </c>
      <c r="G334" s="555">
        <f t="shared" si="41"/>
        <v>0</v>
      </c>
      <c r="H334" s="556" t="str">
        <f t="shared" si="42"/>
        <v>osuus**</v>
      </c>
      <c r="I334" s="676"/>
      <c r="J334" s="676"/>
      <c r="K334" s="676"/>
      <c r="L334" s="502"/>
      <c r="AK334" s="707"/>
      <c r="AL334" s="686"/>
      <c r="AM334" s="683">
        <f>SUMIFS(TP!$P:$P,TP!$AI:$AI,$W$7,TP!$R:$R,$X$9,TP!$U:$U,$AL334,TP!$W:$W,$X$8,TP!$X:$X,$X$5,TP!$AD:$AD,$X$9,TP!$AF:$AF,$X$32,TP!$Q:$Q,$Y$4,TP!$AG:$AG,$Y$5,TP!AL:AL,1,TP!$AN:$AN,Parkki!$Y$16,TP!$L:$L,$X$31,TP!$I:$I,$V$29,TP!$J:$J,$V$30,TP!$F:$F,Parkki!$Y$9)</f>
        <v>0</v>
      </c>
      <c r="AN334" s="683">
        <f>SUMIFS(TP!$P:$P,TP!$AI:$AI,$W$7,TP!$R:$R,$X$9,TP!$U:$U,$AL334,TP!$W:$W,$X$8,TP!$X:$X,$X$5,TP!$AD:$AD,$X$9,TP!$AF:$AF,$X$32,TP!$Q:$Q,$Y$4,TP!$AG:$AG,$Y$5,TP!$V:$V,$X$7,TP!AL:AL,1,TP!$AN:$AN,Parkki!$Y$16,TP!$L:$L,$X$31,TP!$I:$I,$V$29,TP!$J:$J,$V$30,TP!$F:$F,Parkki!$Y$9)</f>
        <v>0</v>
      </c>
      <c r="AO334" s="683">
        <f>SUMIFS(TP!$P:$P,TP!$AI:$AI,$W$7,TP!$R:$R,$X$9,TP!$U:$U,$AL334,TP!$W:$W,$X$8,TP!$X:$X,$X$5,TP!$AD:$AD,$X$9,TP!$AF:$AF,$X$32,TP!$Q:$Q,$Y$4,TP!$AG:$AG,$Y$5,TP!$V:$V,$Y$7,TP!AL:AL,1,TP!$AN:$AN,Parkki!$Y$16,TP!$L:$L,$X$31,TP!$I:$I,$V$29,TP!$J:$J,$V$30,TP!$F:$F,Parkki!$Y$9)</f>
        <v>0</v>
      </c>
      <c r="AQ334" s="683">
        <f>SUMIFS(TP!$P:$P,TP!$AI:$AI,$W$7,TP!$R:$R,$X$9,TP!$U:$U,$AP334,TP!$W:$W,$X$8,TP!$X:$X,$X$5,TP!$AD:$AD,$X$9,TP!$AF:$AF,$X$32,TP!$Q:$Q,$Y$4,TP!$AG:$AG,$Y$5,TP!AL:AL,1,TP!$AN:$AN,Parkki!$Y$16,TP!$L:$L,$X$31,TP!$I:$I,$V$29,TP!$J:$J,$V$30,TP!$F:$F,Parkki!$Y$9)</f>
        <v>0</v>
      </c>
      <c r="AR334" s="111">
        <f>SUMIFS(TP!$P:$P,TP!$AI:$AI,$W$7,TP!$R:$R,$X$9,TP!$U:$U,$AP334,TP!$W:$W,$X$8,TP!$X:$X,$X$5,TP!$AD:$AD,$X$9,TP!$AF:$AF,$X$32,TP!$Q:$Q,$Y$4,TP!$AG:$AG,$Y$5,TP!$V:$V,$X$7,TP!AL:AL,1,TP!$AN:$AN,Parkki!$Y$16,TP!$L:$L,$X$31,TP!$I:$I,$V$29,TP!$J:$J,$V$30,TP!$F:$F,Parkki!$Y$9)</f>
        <v>0</v>
      </c>
      <c r="AS334" s="111">
        <f>SUMIFS(TP!$P:$P,TP!$AI:$AI,$W$7,TP!$R:$R,$X$9,TP!$U:$U,$AP334,TP!$W:$W,$X$8,TP!$X:$X,$X$5,TP!$AD:$AD,$X$9,TP!$AF:$AF,$X$32,TP!$Q:$Q,$Y$4,TP!$AG:$AG,$Y$5,TP!$V:$V,$Y$7,TP!AL:AL,1,TP!$AN:$AN,Parkki!$Y$16,TP!$L:$L,$X$31,TP!$I:$I,$V$29,TP!$J:$J,$V$30,TP!$F:$F,Parkki!$Y$9)</f>
        <v>0</v>
      </c>
    </row>
    <row r="335" spans="1:45" ht="14.45" customHeight="1" x14ac:dyDescent="0.25">
      <c r="A335" s="796" t="s">
        <v>1263</v>
      </c>
      <c r="B335" s="518" t="s">
        <v>1355</v>
      </c>
      <c r="C335" s="419">
        <f>SUMIFS(TP!$P:$P,TP!$AI:$AI,$W$7,TP!$R:$R,$X$9,TP!$U:$U,$AK335,TP!$W:$W,$X$8,TP!$X:$X,$X$5,TP!$AD:$AD,$X$9,TP!$AF:$AF,$X$32,TP!$Q:$Q,$Y$4,TP!$AG:$AG,$Y$5,TP!AL:AL,1,TP!$AN:$AN,Parkki!$Y$16,TP!$L:$L,$X$31,TP!$I:$I,$V$29,TP!$J:$J,$V$30,TP!$F:$F,Parkki!$Y$9)+AM335+AQ335</f>
        <v>0</v>
      </c>
      <c r="D335" s="552" t="str">
        <f>IFERROR(C335/$C$300,"-")</f>
        <v>-</v>
      </c>
      <c r="E335" s="419">
        <f>SUMIFS(TP!$P:$P,TP!$AI:$AI,$W$7,TP!$R:$R,$X$9,TP!$U:$U,$AK335,TP!$W:$W,$X$8,TP!$X:$X,$X$5,TP!$AD:$AD,$X$9,TP!$AF:$AF,$X$32,TP!$Q:$Q,$Y$4,TP!$AG:$AG,$Y$5,TP!$V:$V,$X$7,TP!AL:AL,1,TP!$AN:$AN,Parkki!$Y$16,TP!$L:$L,$X$31,TP!$I:$I,$V$29,TP!$J:$J,$V$30,TP!$F:$F,Parkki!$Y$9)+AN335+AR335</f>
        <v>0</v>
      </c>
      <c r="F335" s="419">
        <f>SUMIFS(TP!$P:$P,TP!$AI:$AI,$W$7,TP!$R:$R,$X$9,TP!$U:$U,$AK335,TP!$W:$W,$X$8,TP!$X:$X,$X$5,TP!$AD:$AD,$X$9,TP!$AF:$AF,$X$32,TP!$Q:$Q,$Y$4,TP!$AG:$AG,$Y$5,TP!$V:$V,$Y$7,TP!AL:AL,1,TP!$AN:$AN,Parkki!$Y$16,TP!$L:$L,$X$31,TP!$I:$I,$V$29,TP!$J:$J,$V$30,TP!$F:$F,Parkki!$Y$9)+AO335+AS335</f>
        <v>0</v>
      </c>
      <c r="G335" s="555" t="str">
        <f t="shared" si="38"/>
        <v>Mielenterveyden hoito</v>
      </c>
      <c r="H335" s="556" t="str">
        <f t="shared" si="39"/>
        <v>-</v>
      </c>
      <c r="I335" s="675"/>
      <c r="J335" s="675"/>
      <c r="K335" s="675"/>
      <c r="L335" s="260"/>
      <c r="AH335" s="659" t="s">
        <v>1263</v>
      </c>
      <c r="AI335" s="701" t="s">
        <v>1355</v>
      </c>
      <c r="AK335" s="15" t="s">
        <v>1229</v>
      </c>
      <c r="AL335" s="688" t="s">
        <v>1127</v>
      </c>
      <c r="AM335" s="683">
        <f>SUMIFS(TP!$P:$P,TP!$AI:$AI,$W$7,TP!$R:$R,$X$9,TP!$U:$U,$AL335,TP!$W:$W,$X$8,TP!$X:$X,$X$5,TP!$AD:$AD,$X$9,TP!$AF:$AF,$X$32,TP!$Q:$Q,$Y$4,TP!$AG:$AG,$Y$5,TP!AL:AL,1,TP!$AN:$AN,Parkki!$Y$16,TP!$L:$L,$X$31,TP!$I:$I,$V$29,TP!$J:$J,$V$30,TP!$F:$F,Parkki!$Y$9)</f>
        <v>0</v>
      </c>
      <c r="AN335" s="683">
        <f>SUMIFS(TP!$P:$P,TP!$AI:$AI,$W$7,TP!$R:$R,$X$9,TP!$U:$U,$AL335,TP!$W:$W,$X$8,TP!$X:$X,$X$5,TP!$AD:$AD,$X$9,TP!$AF:$AF,$X$32,TP!$Q:$Q,$Y$4,TP!$AG:$AG,$Y$5,TP!$V:$V,$X$7,TP!AL:AL,1,TP!$AN:$AN,Parkki!$Y$16,TP!$L:$L,$X$31,TP!$I:$I,$V$29,TP!$J:$J,$V$30,TP!$F:$F,Parkki!$Y$9)</f>
        <v>0</v>
      </c>
      <c r="AO335" s="683">
        <f>SUMIFS(TP!$P:$P,TP!$AI:$AI,$W$7,TP!$R:$R,$X$9,TP!$U:$U,$AL335,TP!$W:$W,$X$8,TP!$X:$X,$X$5,TP!$AD:$AD,$X$9,TP!$AF:$AF,$X$32,TP!$Q:$Q,$Y$4,TP!$AG:$AG,$Y$5,TP!$V:$V,$Y$7,TP!AL:AL,1,TP!$AN:$AN,Parkki!$Y$16,TP!$L:$L,$X$31,TP!$I:$I,$V$29,TP!$J:$J,$V$30,TP!$F:$F,Parkki!$Y$9)</f>
        <v>0</v>
      </c>
      <c r="AP335" s="687" t="s">
        <v>272</v>
      </c>
      <c r="AQ335" s="683">
        <f>SUMIFS(TP!$P:$P,TP!$AI:$AI,$W$7,TP!$R:$R,$X$9,TP!$U:$U,$AP335,TP!$W:$W,$X$8,TP!$X:$X,$X$5,TP!$AD:$AD,$X$9,TP!$AF:$AF,$X$32,TP!$Q:$Q,$Y$4,TP!$AG:$AG,$Y$5,TP!AL:AL,1,TP!$AN:$AN,Parkki!$Y$16,TP!$L:$L,$X$31,TP!$I:$I,$V$29,TP!$J:$J,$V$30,TP!$F:$F,Parkki!$Y$9)</f>
        <v>0</v>
      </c>
      <c r="AR335" s="111">
        <f>SUMIFS(TP!$P:$P,TP!$AI:$AI,$W$7,TP!$R:$R,$X$9,TP!$U:$U,$AP335,TP!$W:$W,$X$8,TP!$X:$X,$X$5,TP!$AD:$AD,$X$9,TP!$AF:$AF,$X$32,TP!$Q:$Q,$Y$4,TP!$AG:$AG,$Y$5,TP!$V:$V,$X$7,TP!AL:AL,1,TP!$AN:$AN,Parkki!$Y$16,TP!$L:$L,$X$31,TP!$I:$I,$V$29,TP!$J:$J,$V$30,TP!$F:$F,Parkki!$Y$9)</f>
        <v>0</v>
      </c>
      <c r="AS335" s="111">
        <f>SUMIFS(TP!$P:$P,TP!$AI:$AI,$W$7,TP!$R:$R,$X$9,TP!$U:$U,$AP335,TP!$W:$W,$X$8,TP!$X:$X,$X$5,TP!$AD:$AD,$X$9,TP!$AF:$AF,$X$32,TP!$Q:$Q,$Y$4,TP!$AG:$AG,$Y$5,TP!$V:$V,$Y$7,TP!AL:AL,1,TP!$AN:$AN,Parkki!$Y$16,TP!$L:$L,$X$31,TP!$I:$I,$V$29,TP!$J:$J,$V$30,TP!$F:$F,Parkki!$Y$9)</f>
        <v>0</v>
      </c>
    </row>
    <row r="336" spans="1:45" x14ac:dyDescent="0.25">
      <c r="A336" s="797"/>
      <c r="B336" s="518" t="s">
        <v>1356</v>
      </c>
      <c r="C336" s="419">
        <f>SUMIFS(TP!$P:$P,TP!$AI:$AI,$W$7,TP!$R:$R,$X$9,TP!$U:$U,$AK336,TP!$W:$W,$X$8,TP!$X:$X,$X$5,TP!$AD:$AD,$X$9,TP!$AF:$AF,$X$32,TP!$Q:$Q,$Y$4,TP!$AG:$AG,$Y$5,TP!AL:AL,1,TP!$AN:$AN,Parkki!$Y$16,TP!$L:$L,$X$31,TP!$I:$I,$V$29,TP!$J:$J,$V$30,TP!$F:$F,Parkki!$Y$9)+AM336+AQ336</f>
        <v>0</v>
      </c>
      <c r="D336" s="552" t="str">
        <f t="shared" ref="D336:D373" si="43">IFERROR(C336/$C$300,"-")</f>
        <v>-</v>
      </c>
      <c r="E336" s="419">
        <f>SUMIFS(TP!$P:$P,TP!$AI:$AI,$W$7,TP!$R:$R,$X$9,TP!$U:$U,$AK336,TP!$W:$W,$X$8,TP!$X:$X,$X$5,TP!$AD:$AD,$X$9,TP!$AF:$AF,$X$32,TP!$Q:$Q,$Y$4,TP!$AG:$AG,$Y$5,TP!$V:$V,$X$7,TP!AL:AL,1,TP!$AN:$AN,Parkki!$Y$16,TP!$L:$L,$X$31,TP!$I:$I,$V$29,TP!$J:$J,$V$30,TP!$F:$F,Parkki!$Y$9)+AN336+AR336</f>
        <v>0</v>
      </c>
      <c r="F336" s="419">
        <f>SUMIFS(TP!$P:$P,TP!$AI:$AI,$W$7,TP!$R:$R,$X$9,TP!$U:$U,$AK336,TP!$W:$W,$X$8,TP!$X:$X,$X$5,TP!$AD:$AD,$X$9,TP!$AF:$AF,$X$32,TP!$Q:$Q,$Y$4,TP!$AG:$AG,$Y$5,TP!$V:$V,$Y$7,TP!AL:AL,1,TP!$AN:$AN,Parkki!$Y$16,TP!$L:$L,$X$31,TP!$I:$I,$V$29,TP!$J:$J,$V$30,TP!$F:$F,Parkki!$Y$9)+AO336+AS336</f>
        <v>0</v>
      </c>
      <c r="G336" s="555" t="str">
        <f t="shared" si="38"/>
        <v>Päihde- ja riippuvuushoito</v>
      </c>
      <c r="H336" s="556" t="str">
        <f t="shared" si="39"/>
        <v>-</v>
      </c>
      <c r="I336" s="675"/>
      <c r="J336" s="675"/>
      <c r="K336" s="675"/>
      <c r="L336" s="260"/>
      <c r="AH336" s="660"/>
      <c r="AI336" s="701" t="s">
        <v>1356</v>
      </c>
      <c r="AK336" s="15" t="s">
        <v>1228</v>
      </c>
      <c r="AL336" s="688" t="s">
        <v>1128</v>
      </c>
      <c r="AM336" s="683">
        <f>SUMIFS(TP!$P:$P,TP!$AI:$AI,$W$7,TP!$R:$R,$X$9,TP!$U:$U,$AL336,TP!$W:$W,$X$8,TP!$X:$X,$X$5,TP!$AD:$AD,$X$9,TP!$AF:$AF,$X$32,TP!$Q:$Q,$Y$4,TP!$AG:$AG,$Y$5,TP!AL:AL,1,TP!$AN:$AN,Parkki!$Y$16,TP!$L:$L,$X$31,TP!$I:$I,$V$29,TP!$J:$J,$V$30,TP!$F:$F,Parkki!$Y$9)</f>
        <v>0</v>
      </c>
      <c r="AN336" s="683">
        <f>SUMIFS(TP!$P:$P,TP!$AI:$AI,$W$7,TP!$R:$R,$X$9,TP!$U:$U,$AL336,TP!$W:$W,$X$8,TP!$X:$X,$X$5,TP!$AD:$AD,$X$9,TP!$AF:$AF,$X$32,TP!$Q:$Q,$Y$4,TP!$AG:$AG,$Y$5,TP!$V:$V,$X$7,TP!AL:AL,1,TP!$AN:$AN,Parkki!$Y$16,TP!$L:$L,$X$31,TP!$I:$I,$V$29,TP!$J:$J,$V$30,TP!$F:$F,Parkki!$Y$9)</f>
        <v>0</v>
      </c>
      <c r="AO336" s="683">
        <f>SUMIFS(TP!$P:$P,TP!$AI:$AI,$W$7,TP!$R:$R,$X$9,TP!$U:$U,$AL336,TP!$W:$W,$X$8,TP!$X:$X,$X$5,TP!$AD:$AD,$X$9,TP!$AF:$AF,$X$32,TP!$Q:$Q,$Y$4,TP!$AG:$AG,$Y$5,TP!$V:$V,$Y$7,TP!AL:AL,1,TP!$AN:$AN,Parkki!$Y$16,TP!$L:$L,$X$31,TP!$I:$I,$V$29,TP!$J:$J,$V$30,TP!$F:$F,Parkki!$Y$9)</f>
        <v>0</v>
      </c>
      <c r="AP336" s="687" t="s">
        <v>273</v>
      </c>
      <c r="AQ336" s="683">
        <f>SUMIFS(TP!$P:$P,TP!$AI:$AI,$W$7,TP!$R:$R,$X$9,TP!$U:$U,$AP336,TP!$W:$W,$X$8,TP!$X:$X,$X$5,TP!$AD:$AD,$X$9,TP!$AF:$AF,$X$32,TP!$Q:$Q,$Y$4,TP!$AG:$AG,$Y$5,TP!AL:AL,1,TP!$AN:$AN,Parkki!$Y$16,TP!$L:$L,$X$31,TP!$I:$I,$V$29,TP!$J:$J,$V$30,TP!$F:$F,Parkki!$Y$9)</f>
        <v>0</v>
      </c>
      <c r="AR336" s="111">
        <f>SUMIFS(TP!$P:$P,TP!$AI:$AI,$W$7,TP!$R:$R,$X$9,TP!$U:$U,$AP336,TP!$W:$W,$X$8,TP!$X:$X,$X$5,TP!$AD:$AD,$X$9,TP!$AF:$AF,$X$32,TP!$Q:$Q,$Y$4,TP!$AG:$AG,$Y$5,TP!$V:$V,$X$7,TP!AL:AL,1,TP!$AN:$AN,Parkki!$Y$16,TP!$L:$L,$X$31,TP!$I:$I,$V$29,TP!$J:$J,$V$30,TP!$F:$F,Parkki!$Y$9)</f>
        <v>0</v>
      </c>
      <c r="AS336" s="111">
        <f>SUMIFS(TP!$P:$P,TP!$AI:$AI,$W$7,TP!$R:$R,$X$9,TP!$U:$U,$AP336,TP!$W:$W,$X$8,TP!$X:$X,$X$5,TP!$AD:$AD,$X$9,TP!$AF:$AF,$X$32,TP!$Q:$Q,$Y$4,TP!$AG:$AG,$Y$5,TP!$V:$V,$Y$7,TP!AL:AL,1,TP!$AN:$AN,Parkki!$Y$16,TP!$L:$L,$X$31,TP!$I:$I,$V$29,TP!$J:$J,$V$30,TP!$F:$F,Parkki!$Y$9)</f>
        <v>0</v>
      </c>
    </row>
    <row r="337" spans="1:45" x14ac:dyDescent="0.25">
      <c r="A337" s="797"/>
      <c r="B337" s="518" t="s">
        <v>1389</v>
      </c>
      <c r="C337" s="419">
        <f>SUMIFS(TP!$P:$P,TP!$AI:$AI,$W$7,TP!$R:$R,$X$9,TP!$U:$U,$AK337,TP!$W:$W,$X$8,TP!$X:$X,$X$5,TP!$AD:$AD,$X$9,TP!$AF:$AF,$X$32,TP!$Q:$Q,$Y$4,TP!$AG:$AG,$Y$5,TP!AL:AL,1,TP!$AN:$AN,Parkki!$Y$16,TP!$L:$L,$X$31,TP!$I:$I,$V$29,TP!$J:$J,$V$30,TP!$F:$F,Parkki!$Y$9)+AM337+AQ337</f>
        <v>0</v>
      </c>
      <c r="D337" s="552" t="str">
        <f t="shared" si="43"/>
        <v>-</v>
      </c>
      <c r="E337" s="419">
        <f>SUMIFS(TP!$P:$P,TP!$AI:$AI,$W$7,TP!$R:$R,$X$9,TP!$U:$U,$AK337,TP!$W:$W,$X$8,TP!$X:$X,$X$5,TP!$AD:$AD,$X$9,TP!$AF:$AF,$X$32,TP!$Q:$Q,$Y$4,TP!$AG:$AG,$Y$5,TP!$V:$V,$X$7,TP!AL:AL,1,TP!$AN:$AN,Parkki!$Y$16,TP!$L:$L,$X$31,TP!$I:$I,$V$29,TP!$J:$J,$V$30,TP!$F:$F,Parkki!$Y$9)+AN337+AR337</f>
        <v>0</v>
      </c>
      <c r="F337" s="419">
        <f>SUMIFS(TP!$P:$P,TP!$AI:$AI,$W$7,TP!$R:$R,$X$9,TP!$U:$U,$AK337,TP!$W:$W,$X$8,TP!$X:$X,$X$5,TP!$AD:$AD,$X$9,TP!$AF:$AF,$X$32,TP!$Q:$Q,$Y$4,TP!$AG:$AG,$Y$5,TP!$V:$V,$Y$7,TP!AL:AL,1,TP!$AN:$AN,Parkki!$Y$16,TP!$L:$L,$X$31,TP!$I:$I,$V$29,TP!$J:$J,$V$30,TP!$F:$F,Parkki!$Y$9)+AO337+AS337</f>
        <v>0</v>
      </c>
      <c r="G337" s="555" t="str">
        <f t="shared" si="38"/>
        <v>Matalan kynnyksen apu mielenterveyteen ja/tai päihdeongelmiin</v>
      </c>
      <c r="H337" s="556" t="str">
        <f t="shared" si="39"/>
        <v>-</v>
      </c>
      <c r="I337" s="675"/>
      <c r="J337" s="675"/>
      <c r="K337" s="675"/>
      <c r="L337" s="260"/>
      <c r="AH337" s="660"/>
      <c r="AI337" s="708" t="s">
        <v>1389</v>
      </c>
      <c r="AK337" s="15" t="s">
        <v>1231</v>
      </c>
      <c r="AM337" s="683">
        <f>SUMIFS(TP!$P:$P,TP!$AI:$AI,$W$7,TP!$R:$R,$X$9,TP!$U:$U,$AL337,TP!$W:$W,$X$8,TP!$X:$X,$X$5,TP!$AD:$AD,$X$9,TP!$AF:$AF,$X$32,TP!$Q:$Q,$Y$4,TP!$AG:$AG,$Y$5,TP!AL:AL,1,TP!$AN:$AN,Parkki!$Y$16,TP!$L:$L,$X$31,TP!$I:$I,$V$29,TP!$J:$J,$V$30,TP!$F:$F,Parkki!$Y$9)</f>
        <v>0</v>
      </c>
      <c r="AN337" s="683">
        <f>SUMIFS(TP!$P:$P,TP!$AI:$AI,$W$7,TP!$R:$R,$X$9,TP!$U:$U,$AL337,TP!$W:$W,$X$8,TP!$X:$X,$X$5,TP!$AD:$AD,$X$9,TP!$AF:$AF,$X$32,TP!$Q:$Q,$Y$4,TP!$AG:$AG,$Y$5,TP!$V:$V,$X$7,TP!AL:AL,1,TP!$AN:$AN,Parkki!$Y$16,TP!$L:$L,$X$31,TP!$I:$I,$V$29,TP!$J:$J,$V$30,TP!$F:$F,Parkki!$Y$9)</f>
        <v>0</v>
      </c>
      <c r="AO337" s="683">
        <f>SUMIFS(TP!$P:$P,TP!$AI:$AI,$W$7,TP!$R:$R,$X$9,TP!$U:$U,$AL337,TP!$W:$W,$X$8,TP!$X:$X,$X$5,TP!$AD:$AD,$X$9,TP!$AF:$AF,$X$32,TP!$Q:$Q,$Y$4,TP!$AG:$AG,$Y$5,TP!$V:$V,$Y$7,TP!AL:AL,1,TP!$AN:$AN,Parkki!$Y$16,TP!$L:$L,$X$31,TP!$I:$I,$V$29,TP!$J:$J,$V$30,TP!$F:$F,Parkki!$Y$9)</f>
        <v>0</v>
      </c>
      <c r="AQ337" s="683">
        <f>SUMIFS(TP!$P:$P,TP!$AI:$AI,$W$7,TP!$R:$R,$X$9,TP!$U:$U,$AP337,TP!$W:$W,$X$8,TP!$X:$X,$X$5,TP!$AD:$AD,$X$9,TP!$AF:$AF,$X$32,TP!$Q:$Q,$Y$4,TP!$AG:$AG,$Y$5,TP!AL:AL,1,TP!$AN:$AN,Parkki!$Y$16,TP!$L:$L,$X$31,TP!$I:$I,$V$29,TP!$J:$J,$V$30,TP!$F:$F,Parkki!$Y$9)</f>
        <v>0</v>
      </c>
      <c r="AR337" s="111">
        <f>SUMIFS(TP!$P:$P,TP!$AI:$AI,$W$7,TP!$R:$R,$X$9,TP!$U:$U,$AP337,TP!$W:$W,$X$8,TP!$X:$X,$X$5,TP!$AD:$AD,$X$9,TP!$AF:$AF,$X$32,TP!$Q:$Q,$Y$4,TP!$AG:$AG,$Y$5,TP!$V:$V,$X$7,TP!AL:AL,1,TP!$AN:$AN,Parkki!$Y$16,TP!$L:$L,$X$31,TP!$I:$I,$V$29,TP!$J:$J,$V$30,TP!$F:$F,Parkki!$Y$9)</f>
        <v>0</v>
      </c>
      <c r="AS337" s="111">
        <f>SUMIFS(TP!$P:$P,TP!$AI:$AI,$W$7,TP!$R:$R,$X$9,TP!$U:$U,$AP337,TP!$W:$W,$X$8,TP!$X:$X,$X$5,TP!$AD:$AD,$X$9,TP!$AF:$AF,$X$32,TP!$Q:$Q,$Y$4,TP!$AG:$AG,$Y$5,TP!$V:$V,$Y$7,TP!AL:AL,1,TP!$AN:$AN,Parkki!$Y$16,TP!$L:$L,$X$31,TP!$I:$I,$V$29,TP!$J:$J,$V$30,TP!$F:$F,Parkki!$Y$9)</f>
        <v>0</v>
      </c>
    </row>
    <row r="338" spans="1:45" x14ac:dyDescent="0.25">
      <c r="A338" s="797"/>
      <c r="B338" s="518" t="s">
        <v>1144</v>
      </c>
      <c r="C338" s="419">
        <f>SUMIFS(TP!$P:$P,TP!$AI:$AI,$W$7,TP!$R:$R,$X$9,TP!$U:$U,$AK338,TP!$W:$W,$X$8,TP!$X:$X,$X$5,TP!$AD:$AD,$X$9,TP!$AF:$AF,$X$32,TP!$Q:$Q,$Y$4,TP!$AG:$AG,$Y$5,TP!AL:AL,1,TP!$AN:$AN,Parkki!$Y$16,TP!$L:$L,$X$31,TP!$I:$I,$V$29,TP!$J:$J,$V$30,TP!$F:$F,Parkki!$Y$9)+AM338+AQ338</f>
        <v>0</v>
      </c>
      <c r="D338" s="552" t="str">
        <f t="shared" si="43"/>
        <v>-</v>
      </c>
      <c r="E338" s="419">
        <f>SUMIFS(TP!$P:$P,TP!$AI:$AI,$W$7,TP!$R:$R,$X$9,TP!$U:$U,$AK338,TP!$W:$W,$X$8,TP!$X:$X,$X$5,TP!$AD:$AD,$X$9,TP!$AF:$AF,$X$32,TP!$Q:$Q,$Y$4,TP!$AG:$AG,$Y$5,TP!$V:$V,$X$7,TP!AL:AL,1,TP!$AN:$AN,Parkki!$Y$16,TP!$L:$L,$X$31,TP!$I:$I,$V$29,TP!$J:$J,$V$30,TP!$F:$F,Parkki!$Y$9)+AN338+AR338</f>
        <v>0</v>
      </c>
      <c r="F338" s="419">
        <f>SUMIFS(TP!$P:$P,TP!$AI:$AI,$W$7,TP!$R:$R,$X$9,TP!$U:$U,$AK338,TP!$W:$W,$X$8,TP!$X:$X,$X$5,TP!$AD:$AD,$X$9,TP!$AF:$AF,$X$32,TP!$Q:$Q,$Y$4,TP!$AG:$AG,$Y$5,TP!$V:$V,$Y$7,TP!AL:AL,1,TP!$AN:$AN,Parkki!$Y$16,TP!$L:$L,$X$31,TP!$I:$I,$V$29,TP!$J:$J,$V$30,TP!$F:$F,Parkki!$Y$9)+AO338+AS338</f>
        <v>0</v>
      </c>
      <c r="G338" s="555" t="str">
        <f t="shared" si="38"/>
        <v>Muut terveyteen liittyvät palvelut</v>
      </c>
      <c r="H338" s="556" t="str">
        <f t="shared" si="39"/>
        <v>-</v>
      </c>
      <c r="I338" s="675"/>
      <c r="J338" s="675"/>
      <c r="K338" s="675"/>
      <c r="L338" s="260"/>
      <c r="AH338" s="660"/>
      <c r="AI338" s="702" t="s">
        <v>1144</v>
      </c>
      <c r="AK338" s="703" t="s">
        <v>1129</v>
      </c>
      <c r="AL338" s="687" t="s">
        <v>274</v>
      </c>
      <c r="AM338" s="683">
        <f>SUMIFS(TP!$P:$P,TP!$AI:$AI,$W$7,TP!$R:$R,$X$9,TP!$U:$U,$AL338,TP!$W:$W,$X$8,TP!$X:$X,$X$5,TP!$AD:$AD,$X$9,TP!$AF:$AF,$X$32,TP!$Q:$Q,$Y$4,TP!$AG:$AG,$Y$5,TP!AL:AL,1,TP!$AN:$AN,Parkki!$Y$16,TP!$L:$L,$X$31,TP!$I:$I,$V$29,TP!$J:$J,$V$30,TP!$F:$F,Parkki!$Y$9)</f>
        <v>0</v>
      </c>
      <c r="AN338" s="683">
        <f>SUMIFS(TP!$P:$P,TP!$AI:$AI,$W$7,TP!$R:$R,$X$9,TP!$U:$U,$AL338,TP!$W:$W,$X$8,TP!$X:$X,$X$5,TP!$AD:$AD,$X$9,TP!$AF:$AF,$X$32,TP!$Q:$Q,$Y$4,TP!$AG:$AG,$Y$5,TP!$V:$V,$X$7,TP!AL:AL,1,TP!$AN:$AN,Parkki!$Y$16,TP!$L:$L,$X$31,TP!$I:$I,$V$29,TP!$J:$J,$V$30,TP!$F:$F,Parkki!$Y$9)</f>
        <v>0</v>
      </c>
      <c r="AO338" s="683">
        <f>SUMIFS(TP!$P:$P,TP!$AI:$AI,$W$7,TP!$R:$R,$X$9,TP!$U:$U,$AL338,TP!$W:$W,$X$8,TP!$X:$X,$X$5,TP!$AD:$AD,$X$9,TP!$AF:$AF,$X$32,TP!$Q:$Q,$Y$4,TP!$AG:$AG,$Y$5,TP!$V:$V,$Y$7,TP!AL:AL,1,TP!$AN:$AN,Parkki!$Y$16,TP!$L:$L,$X$31,TP!$I:$I,$V$29,TP!$J:$J,$V$30,TP!$F:$F,Parkki!$Y$9)</f>
        <v>0</v>
      </c>
      <c r="AQ338" s="683">
        <f>SUMIFS(TP!$P:$P,TP!$AI:$AI,$W$7,TP!$R:$R,$X$9,TP!$U:$U,$AP338,TP!$W:$W,$X$8,TP!$X:$X,$X$5,TP!$AD:$AD,$X$9,TP!$AF:$AF,$X$32,TP!$Q:$Q,$Y$4,TP!$AG:$AG,$Y$5,TP!AL:AL,1,TP!$AN:$AN,Parkki!$Y$16,TP!$L:$L,$X$31,TP!$I:$I,$V$29,TP!$J:$J,$V$30,TP!$F:$F,Parkki!$Y$9)</f>
        <v>0</v>
      </c>
      <c r="AR338" s="111">
        <f>SUMIFS(TP!$P:$P,TP!$AI:$AI,$W$7,TP!$R:$R,$X$9,TP!$U:$U,$AP338,TP!$W:$W,$X$8,TP!$X:$X,$X$5,TP!$AD:$AD,$X$9,TP!$AF:$AF,$X$32,TP!$Q:$Q,$Y$4,TP!$AG:$AG,$Y$5,TP!$V:$V,$X$7,TP!AL:AL,1,TP!$AN:$AN,Parkki!$Y$16,TP!$L:$L,$X$31,TP!$I:$I,$V$29,TP!$J:$J,$V$30,TP!$F:$F,Parkki!$Y$9)</f>
        <v>0</v>
      </c>
      <c r="AS338" s="111">
        <f>SUMIFS(TP!$P:$P,TP!$AI:$AI,$W$7,TP!$R:$R,$X$9,TP!$U:$U,$AP338,TP!$W:$W,$X$8,TP!$X:$X,$X$5,TP!$AD:$AD,$X$9,TP!$AF:$AF,$X$32,TP!$Q:$Q,$Y$4,TP!$AG:$AG,$Y$5,TP!$V:$V,$Y$7,TP!AL:AL,1,TP!$AN:$AN,Parkki!$Y$16,TP!$L:$L,$X$31,TP!$I:$I,$V$29,TP!$J:$J,$V$30,TP!$F:$F,Parkki!$Y$9)</f>
        <v>0</v>
      </c>
    </row>
    <row r="339" spans="1:45" x14ac:dyDescent="0.25">
      <c r="A339" s="797"/>
      <c r="B339" s="518" t="s">
        <v>1145</v>
      </c>
      <c r="C339" s="419">
        <f>SUMIFS(TP!$P:$P,TP!$AI:$AI,$W$7,TP!$R:$R,$X$9,TP!$U:$U,$AK339,TP!$W:$W,$X$8,TP!$X:$X,$X$5,TP!$AD:$AD,$X$9,TP!$AF:$AF,$X$32,TP!$Q:$Q,$Y$4,TP!$AG:$AG,$Y$5,TP!AL:AL,1,TP!$AN:$AN,Parkki!$Y$16,TP!$L:$L,$X$31,TP!$I:$I,$V$29,TP!$J:$J,$V$30,TP!$F:$F,Parkki!$Y$9)+AM339+AQ339</f>
        <v>0</v>
      </c>
      <c r="D339" s="552" t="str">
        <f t="shared" si="43"/>
        <v>-</v>
      </c>
      <c r="E339" s="419">
        <f>SUMIFS(TP!$P:$P,TP!$AI:$AI,$W$7,TP!$R:$R,$X$9,TP!$U:$U,$AK339,TP!$W:$W,$X$8,TP!$X:$X,$X$5,TP!$AD:$AD,$X$9,TP!$AF:$AF,$X$32,TP!$Q:$Q,$Y$4,TP!$AG:$AG,$Y$5,TP!$V:$V,$X$7,TP!AL:AL,1,TP!$AN:$AN,Parkki!$Y$16,TP!$L:$L,$X$31,TP!$I:$I,$V$29,TP!$J:$J,$V$30,TP!$F:$F,Parkki!$Y$9)+AN339+AR339</f>
        <v>0</v>
      </c>
      <c r="F339" s="419">
        <f>SUMIFS(TP!$P:$P,TP!$AI:$AI,$W$7,TP!$R:$R,$X$9,TP!$U:$U,$AK339,TP!$W:$W,$X$8,TP!$X:$X,$X$5,TP!$AD:$AD,$X$9,TP!$AF:$AF,$X$32,TP!$Q:$Q,$Y$4,TP!$AG:$AG,$Y$5,TP!$V:$V,$Y$7,TP!AL:AL,1,TP!$AN:$AN,Parkki!$Y$16,TP!$L:$L,$X$31,TP!$I:$I,$V$29,TP!$J:$J,$V$30,TP!$F:$F,Parkki!$Y$9)+AO339+AS339</f>
        <v>0</v>
      </c>
      <c r="G339" s="555" t="str">
        <f t="shared" si="38"/>
        <v>Toimeentuloon liittyvät palvelut</v>
      </c>
      <c r="H339" s="556" t="str">
        <f t="shared" si="39"/>
        <v>-</v>
      </c>
      <c r="I339" s="675"/>
      <c r="J339" s="675"/>
      <c r="K339" s="675"/>
      <c r="L339" s="260"/>
      <c r="AH339" s="660"/>
      <c r="AI339" s="702" t="s">
        <v>1145</v>
      </c>
      <c r="AK339" s="700" t="s">
        <v>276</v>
      </c>
      <c r="AL339" s="686"/>
      <c r="AM339" s="683">
        <f>SUMIFS(TP!$P:$P,TP!$AI:$AI,$W$7,TP!$R:$R,$X$9,TP!$U:$U,$AL339,TP!$W:$W,$X$8,TP!$X:$X,$X$5,TP!$AD:$AD,$X$9,TP!$AF:$AF,$X$32,TP!$Q:$Q,$Y$4,TP!$AG:$AG,$Y$5,TP!AL:AL,1,TP!$AN:$AN,Parkki!$Y$16,TP!$L:$L,$X$31,TP!$I:$I,$V$29,TP!$J:$J,$V$30,TP!$F:$F,Parkki!$Y$9)</f>
        <v>0</v>
      </c>
      <c r="AN339" s="683">
        <f>SUMIFS(TP!$P:$P,TP!$AI:$AI,$W$7,TP!$R:$R,$X$9,TP!$U:$U,$AL339,TP!$W:$W,$X$8,TP!$X:$X,$X$5,TP!$AD:$AD,$X$9,TP!$AF:$AF,$X$32,TP!$Q:$Q,$Y$4,TP!$AG:$AG,$Y$5,TP!$V:$V,$X$7,TP!AL:AL,1,TP!$AN:$AN,Parkki!$Y$16,TP!$L:$L,$X$31,TP!$I:$I,$V$29,TP!$J:$J,$V$30,TP!$F:$F,Parkki!$Y$9)</f>
        <v>0</v>
      </c>
      <c r="AO339" s="683">
        <f>SUMIFS(TP!$P:$P,TP!$AI:$AI,$W$7,TP!$R:$R,$X$9,TP!$U:$U,$AL339,TP!$W:$W,$X$8,TP!$X:$X,$X$5,TP!$AD:$AD,$X$9,TP!$AF:$AF,$X$32,TP!$Q:$Q,$Y$4,TP!$AG:$AG,$Y$5,TP!$V:$V,$Y$7,TP!AL:AL,1,TP!$AN:$AN,Parkki!$Y$16,TP!$L:$L,$X$31,TP!$I:$I,$V$29,TP!$J:$J,$V$30,TP!$F:$F,Parkki!$Y$9)</f>
        <v>0</v>
      </c>
      <c r="AQ339" s="683">
        <f>SUMIFS(TP!$P:$P,TP!$AI:$AI,$W$7,TP!$R:$R,$X$9,TP!$U:$U,$AP339,TP!$W:$W,$X$8,TP!$X:$X,$X$5,TP!$AD:$AD,$X$9,TP!$AF:$AF,$X$32,TP!$Q:$Q,$Y$4,TP!$AG:$AG,$Y$5,TP!AL:AL,1,TP!$AN:$AN,Parkki!$Y$16,TP!$L:$L,$X$31,TP!$I:$I,$V$29,TP!$J:$J,$V$30,TP!$F:$F,Parkki!$Y$9)</f>
        <v>0</v>
      </c>
      <c r="AR339" s="111">
        <f>SUMIFS(TP!$P:$P,TP!$AI:$AI,$W$7,TP!$R:$R,$X$9,TP!$U:$U,$AP339,TP!$W:$W,$X$8,TP!$X:$X,$X$5,TP!$AD:$AD,$X$9,TP!$AF:$AF,$X$32,TP!$Q:$Q,$Y$4,TP!$AG:$AG,$Y$5,TP!$V:$V,$X$7,TP!AL:AL,1,TP!$AN:$AN,Parkki!$Y$16,TP!$L:$L,$X$31,TP!$I:$I,$V$29,TP!$J:$J,$V$30,TP!$F:$F,Parkki!$Y$9)</f>
        <v>0</v>
      </c>
      <c r="AS339" s="111">
        <f>SUMIFS(TP!$P:$P,TP!$AI:$AI,$W$7,TP!$R:$R,$X$9,TP!$U:$U,$AP339,TP!$W:$W,$X$8,TP!$X:$X,$X$5,TP!$AD:$AD,$X$9,TP!$AF:$AF,$X$32,TP!$Q:$Q,$Y$4,TP!$AG:$AG,$Y$5,TP!$V:$V,$Y$7,TP!AL:AL,1,TP!$AN:$AN,Parkki!$Y$16,TP!$L:$L,$X$31,TP!$I:$I,$V$29,TP!$J:$J,$V$30,TP!$F:$F,Parkki!$Y$9)</f>
        <v>0</v>
      </c>
    </row>
    <row r="340" spans="1:45" x14ac:dyDescent="0.25">
      <c r="A340" s="797"/>
      <c r="B340" s="518" t="s">
        <v>1146</v>
      </c>
      <c r="C340" s="419">
        <f>SUMIFS(TP!$P:$P,TP!$AI:$AI,$W$7,TP!$R:$R,$X$9,TP!$U:$U,$AK340,TP!$W:$W,$X$8,TP!$X:$X,$X$5,TP!$AD:$AD,$X$9,TP!$AF:$AF,$X$32,TP!$Q:$Q,$Y$4,TP!$AG:$AG,$Y$5,TP!AL:AL,1,TP!$AN:$AN,Parkki!$Y$16,TP!$L:$L,$X$31,TP!$I:$I,$V$29,TP!$J:$J,$V$30,TP!$F:$F,Parkki!$Y$9)+AM340+AQ340</f>
        <v>0</v>
      </c>
      <c r="D340" s="552" t="str">
        <f t="shared" si="43"/>
        <v>-</v>
      </c>
      <c r="E340" s="419">
        <f>SUMIFS(TP!$P:$P,TP!$AI:$AI,$W$7,TP!$R:$R,$X$9,TP!$U:$U,$AK340,TP!$W:$W,$X$8,TP!$X:$X,$X$5,TP!$AD:$AD,$X$9,TP!$AF:$AF,$X$32,TP!$Q:$Q,$Y$4,TP!$AG:$AG,$Y$5,TP!$V:$V,$X$7,TP!AL:AL,1,TP!$AN:$AN,Parkki!$Y$16,TP!$L:$L,$X$31,TP!$I:$I,$V$29,TP!$J:$J,$V$30,TP!$F:$F,Parkki!$Y$9)+AN340+AR340</f>
        <v>0</v>
      </c>
      <c r="F340" s="419">
        <f>SUMIFS(TP!$P:$P,TP!$AI:$AI,$W$7,TP!$R:$R,$X$9,TP!$U:$U,$AK340,TP!$W:$W,$X$8,TP!$X:$X,$X$5,TP!$AD:$AD,$X$9,TP!$AF:$AF,$X$32,TP!$Q:$Q,$Y$4,TP!$AG:$AG,$Y$5,TP!$V:$V,$Y$7,TP!AL:AL,1,TP!$AN:$AN,Parkki!$Y$16,TP!$L:$L,$X$31,TP!$I:$I,$V$29,TP!$J:$J,$V$30,TP!$F:$F,Parkki!$Y$9)+AO340+AS340</f>
        <v>0</v>
      </c>
      <c r="G340" s="555" t="str">
        <f t="shared" si="38"/>
        <v>Velkaneuvonta ja muu talouteen liittyvä neuvonta</v>
      </c>
      <c r="H340" s="556" t="str">
        <f t="shared" si="39"/>
        <v>-</v>
      </c>
      <c r="I340" s="675"/>
      <c r="J340" s="675"/>
      <c r="K340" s="675"/>
      <c r="L340" s="260"/>
      <c r="AH340" s="660"/>
      <c r="AI340" s="702" t="s">
        <v>1146</v>
      </c>
      <c r="AK340" s="703" t="s">
        <v>1130</v>
      </c>
      <c r="AL340" s="687" t="s">
        <v>286</v>
      </c>
      <c r="AM340" s="683">
        <f>SUMIFS(TP!$P:$P,TP!$AI:$AI,$W$7,TP!$R:$R,$X$9,TP!$U:$U,$AL340,TP!$W:$W,$X$8,TP!$X:$X,$X$5,TP!$AD:$AD,$X$9,TP!$AF:$AF,$X$32,TP!$Q:$Q,$Y$4,TP!$AG:$AG,$Y$5,TP!AL:AL,1,TP!$AN:$AN,Parkki!$Y$16,TP!$L:$L,$X$31,TP!$I:$I,$V$29,TP!$J:$J,$V$30,TP!$F:$F,Parkki!$Y$9)</f>
        <v>0</v>
      </c>
      <c r="AN340" s="683">
        <f>SUMIFS(TP!$P:$P,TP!$AI:$AI,$W$7,TP!$R:$R,$X$9,TP!$U:$U,$AL340,TP!$W:$W,$X$8,TP!$X:$X,$X$5,TP!$AD:$AD,$X$9,TP!$AF:$AF,$X$32,TP!$Q:$Q,$Y$4,TP!$AG:$AG,$Y$5,TP!$V:$V,$X$7,TP!AL:AL,1,TP!$AN:$AN,Parkki!$Y$16,TP!$L:$L,$X$31,TP!$I:$I,$V$29,TP!$J:$J,$V$30,TP!$F:$F,Parkki!$Y$9)</f>
        <v>0</v>
      </c>
      <c r="AO340" s="683">
        <f>SUMIFS(TP!$P:$P,TP!$AI:$AI,$W$7,TP!$R:$R,$X$9,TP!$U:$U,$AL340,TP!$W:$W,$X$8,TP!$X:$X,$X$5,TP!$AD:$AD,$X$9,TP!$AF:$AF,$X$32,TP!$Q:$Q,$Y$4,TP!$AG:$AG,$Y$5,TP!$V:$V,$Y$7,TP!AL:AL,1,TP!$AN:$AN,Parkki!$Y$16,TP!$L:$L,$X$31,TP!$I:$I,$V$29,TP!$J:$J,$V$30,TP!$F:$F,Parkki!$Y$9)</f>
        <v>0</v>
      </c>
      <c r="AQ340" s="683">
        <f>SUMIFS(TP!$P:$P,TP!$AI:$AI,$W$7,TP!$R:$R,$X$9,TP!$U:$U,$AP340,TP!$W:$W,$X$8,TP!$X:$X,$X$5,TP!$AD:$AD,$X$9,TP!$AF:$AF,$X$32,TP!$Q:$Q,$Y$4,TP!$AG:$AG,$Y$5,TP!AL:AL,1,TP!$AN:$AN,Parkki!$Y$16,TP!$L:$L,$X$31,TP!$I:$I,$V$29,TP!$J:$J,$V$30,TP!$F:$F,Parkki!$Y$9)</f>
        <v>0</v>
      </c>
      <c r="AR340" s="111">
        <f>SUMIFS(TP!$P:$P,TP!$AI:$AI,$W$7,TP!$R:$R,$X$9,TP!$U:$U,$AP340,TP!$W:$W,$X$8,TP!$X:$X,$X$5,TP!$AD:$AD,$X$9,TP!$AF:$AF,$X$32,TP!$Q:$Q,$Y$4,TP!$AG:$AG,$Y$5,TP!$V:$V,$X$7,TP!AL:AL,1,TP!$AN:$AN,Parkki!$Y$16,TP!$L:$L,$X$31,TP!$I:$I,$V$29,TP!$J:$J,$V$30,TP!$F:$F,Parkki!$Y$9)</f>
        <v>0</v>
      </c>
      <c r="AS340" s="111">
        <f>SUMIFS(TP!$P:$P,TP!$AI:$AI,$W$7,TP!$R:$R,$X$9,TP!$U:$U,$AP340,TP!$W:$W,$X$8,TP!$X:$X,$X$5,TP!$AD:$AD,$X$9,TP!$AF:$AF,$X$32,TP!$Q:$Q,$Y$4,TP!$AG:$AG,$Y$5,TP!$V:$V,$Y$7,TP!AL:AL,1,TP!$AN:$AN,Parkki!$Y$16,TP!$L:$L,$X$31,TP!$I:$I,$V$29,TP!$J:$J,$V$30,TP!$F:$F,Parkki!$Y$9)</f>
        <v>0</v>
      </c>
    </row>
    <row r="341" spans="1:45" x14ac:dyDescent="0.25">
      <c r="A341" s="797"/>
      <c r="B341" s="518" t="s">
        <v>1448</v>
      </c>
      <c r="C341" s="419">
        <f>SUMIFS(TP!$P:$P,TP!$AI:$AI,$W$7,TP!$R:$R,$X$9,TP!$U:$U,$AK341,TP!$W:$W,$X$8,TP!$X:$X,$X$5,TP!$AD:$AD,$X$9,TP!$AF:$AF,$X$32,TP!$Q:$Q,$Y$4,TP!$AG:$AG,$Y$5,TP!AL:AL,1,TP!$AN:$AN,Parkki!$Y$16,TP!$L:$L,$X$31,TP!$I:$I,$V$29,TP!$J:$J,$V$30,TP!$F:$F,Parkki!$Y$9)+AM341+AQ341</f>
        <v>0</v>
      </c>
      <c r="D341" s="552" t="str">
        <f t="shared" si="43"/>
        <v>-</v>
      </c>
      <c r="E341" s="419">
        <f>SUMIFS(TP!$P:$P,TP!$AI:$AI,$W$7,TP!$R:$R,$X$9,TP!$U:$U,$AK341,TP!$W:$W,$X$8,TP!$X:$X,$X$5,TP!$AD:$AD,$X$9,TP!$AF:$AF,$X$32,TP!$Q:$Q,$Y$4,TP!$AG:$AG,$Y$5,TP!$V:$V,$X$7,TP!AL:AL,1,TP!$AN:$AN,Parkki!$Y$16,TP!$L:$L,$X$31,TP!$I:$I,$V$29,TP!$J:$J,$V$30,TP!$F:$F,Parkki!$Y$9)+AN341+AR341</f>
        <v>0</v>
      </c>
      <c r="F341" s="419">
        <f>SUMIFS(TP!$P:$P,TP!$AI:$AI,$W$7,TP!$R:$R,$X$9,TP!$U:$U,$AK341,TP!$W:$W,$X$8,TP!$X:$X,$X$5,TP!$AD:$AD,$X$9,TP!$AF:$AF,$X$32,TP!$Q:$Q,$Y$4,TP!$AG:$AG,$Y$5,TP!$V:$V,$Y$7,TP!AL:AL,1,TP!$AN:$AN,Parkki!$Y$16,TP!$L:$L,$X$31,TP!$I:$I,$V$29,TP!$J:$J,$V$30,TP!$F:$F,Parkki!$Y$9)+AO341+AS341</f>
        <v>0</v>
      </c>
      <c r="G341" s="555" t="str">
        <f t="shared" si="38"/>
        <v>Lastensuojelu ja jälkihuolto</v>
      </c>
      <c r="H341" s="556" t="str">
        <f t="shared" si="39"/>
        <v>-</v>
      </c>
      <c r="I341" s="675"/>
      <c r="J341" s="675"/>
      <c r="K341" s="675"/>
      <c r="L341" s="260"/>
      <c r="AH341" s="660"/>
      <c r="AI341" s="701" t="s">
        <v>1448</v>
      </c>
      <c r="AK341" s="15" t="s">
        <v>1232</v>
      </c>
      <c r="AL341" s="688" t="s">
        <v>293</v>
      </c>
      <c r="AM341" s="683">
        <f>SUMIFS(TP!$P:$P,TP!$AI:$AI,$W$7,TP!$R:$R,$X$9,TP!$U:$U,$AL341,TP!$W:$W,$X$8,TP!$X:$X,$X$5,TP!$AD:$AD,$X$9,TP!$AF:$AF,$X$32,TP!$Q:$Q,$Y$4,TP!$AG:$AG,$Y$5,TP!AL:AL,1,TP!$AN:$AN,Parkki!$Y$16,TP!$L:$L,$X$31,TP!$I:$I,$V$29,TP!$J:$J,$V$30,TP!$F:$F,Parkki!$Y$9)</f>
        <v>0</v>
      </c>
      <c r="AN341" s="683">
        <f>SUMIFS(TP!$P:$P,TP!$AI:$AI,$W$7,TP!$R:$R,$X$9,TP!$U:$U,$AL341,TP!$W:$W,$X$8,TP!$X:$X,$X$5,TP!$AD:$AD,$X$9,TP!$AF:$AF,$X$32,TP!$Q:$Q,$Y$4,TP!$AG:$AG,$Y$5,TP!$V:$V,$X$7,TP!AL:AL,1,TP!$AN:$AN,Parkki!$Y$16,TP!$L:$L,$X$31,TP!$I:$I,$V$29,TP!$J:$J,$V$30,TP!$F:$F,Parkki!$Y$9)</f>
        <v>0</v>
      </c>
      <c r="AO341" s="683">
        <f>SUMIFS(TP!$P:$P,TP!$AI:$AI,$W$7,TP!$R:$R,$X$9,TP!$U:$U,$AL341,TP!$W:$W,$X$8,TP!$X:$X,$X$5,TP!$AD:$AD,$X$9,TP!$AF:$AF,$X$32,TP!$Q:$Q,$Y$4,TP!$AG:$AG,$Y$5,TP!$V:$V,$Y$7,TP!AL:AL,1,TP!$AN:$AN,Parkki!$Y$16,TP!$L:$L,$X$31,TP!$I:$I,$V$29,TP!$J:$J,$V$30,TP!$F:$F,Parkki!$Y$9)</f>
        <v>0</v>
      </c>
      <c r="AQ341" s="683">
        <f>SUMIFS(TP!$P:$P,TP!$AI:$AI,$W$7,TP!$R:$R,$X$9,TP!$U:$U,$AP341,TP!$W:$W,$X$8,TP!$X:$X,$X$5,TP!$AD:$AD,$X$9,TP!$AF:$AF,$X$32,TP!$Q:$Q,$Y$4,TP!$AG:$AG,$Y$5,TP!AL:AL,1,TP!$AN:$AN,Parkki!$Y$16,TP!$L:$L,$X$31,TP!$I:$I,$V$29,TP!$J:$J,$V$30,TP!$F:$F,Parkki!$Y$9)</f>
        <v>0</v>
      </c>
      <c r="AR341" s="111">
        <f>SUMIFS(TP!$P:$P,TP!$AI:$AI,$W$7,TP!$R:$R,$X$9,TP!$U:$U,$AP341,TP!$W:$W,$X$8,TP!$X:$X,$X$5,TP!$AD:$AD,$X$9,TP!$AF:$AF,$X$32,TP!$Q:$Q,$Y$4,TP!$AG:$AG,$Y$5,TP!$V:$V,$X$7,TP!AL:AL,1,TP!$AN:$AN,Parkki!$Y$16,TP!$L:$L,$X$31,TP!$I:$I,$V$29,TP!$J:$J,$V$30,TP!$F:$F,Parkki!$Y$9)</f>
        <v>0</v>
      </c>
      <c r="AS341" s="111">
        <f>SUMIFS(TP!$P:$P,TP!$AI:$AI,$W$7,TP!$R:$R,$X$9,TP!$U:$U,$AP341,TP!$W:$W,$X$8,TP!$X:$X,$X$5,TP!$AD:$AD,$X$9,TP!$AF:$AF,$X$32,TP!$Q:$Q,$Y$4,TP!$AG:$AG,$Y$5,TP!$V:$V,$Y$7,TP!AL:AL,1,TP!$AN:$AN,Parkki!$Y$16,TP!$L:$L,$X$31,TP!$I:$I,$V$29,TP!$J:$J,$V$30,TP!$F:$F,Parkki!$Y$9)</f>
        <v>0</v>
      </c>
    </row>
    <row r="342" spans="1:45" x14ac:dyDescent="0.25">
      <c r="A342" s="797"/>
      <c r="B342" s="518" t="s">
        <v>1449</v>
      </c>
      <c r="C342" s="419">
        <f>SUMIFS(TP!$P:$P,TP!$AI:$AI,$W$7,TP!$R:$R,$X$9,TP!$U:$U,$AK342,TP!$W:$W,$X$8,TP!$X:$X,$X$5,TP!$AD:$AD,$X$9,TP!$AF:$AF,$X$32,TP!$Q:$Q,$Y$4,TP!$AG:$AG,$Y$5,TP!AL:AL,1,TP!$AN:$AN,Parkki!$Y$16,TP!$L:$L,$X$31,TP!$I:$I,$V$29,TP!$J:$J,$V$30,TP!$F:$F,Parkki!$Y$9)+AM342+AQ342</f>
        <v>0</v>
      </c>
      <c r="D342" s="552" t="str">
        <f t="shared" si="43"/>
        <v>-</v>
      </c>
      <c r="E342" s="419">
        <f>SUMIFS(TP!$P:$P,TP!$AI:$AI,$W$7,TP!$R:$R,$X$9,TP!$U:$U,$AK342,TP!$W:$W,$X$8,TP!$X:$X,$X$5,TP!$AD:$AD,$X$9,TP!$AF:$AF,$X$32,TP!$Q:$Q,$Y$4,TP!$AG:$AG,$Y$5,TP!$V:$V,$X$7,TP!AL:AL,1,TP!$AN:$AN,Parkki!$Y$16,TP!$L:$L,$X$31,TP!$I:$I,$V$29,TP!$J:$J,$V$30,TP!$F:$F,Parkki!$Y$9)+AN342+AR342</f>
        <v>0</v>
      </c>
      <c r="F342" s="419">
        <f>SUMIFS(TP!$P:$P,TP!$AI:$AI,$W$7,TP!$R:$R,$X$9,TP!$U:$U,$AK342,TP!$W:$W,$X$8,TP!$X:$X,$X$5,TP!$AD:$AD,$X$9,TP!$AF:$AF,$X$32,TP!$Q:$Q,$Y$4,TP!$AG:$AG,$Y$5,TP!$V:$V,$Y$7,TP!AL:AL,1,TP!$AN:$AN,Parkki!$Y$16,TP!$L:$L,$X$31,TP!$I:$I,$V$29,TP!$J:$J,$V$30,TP!$F:$F,Parkki!$Y$9)+AO342+AS342</f>
        <v>0</v>
      </c>
      <c r="G342" s="555" t="str">
        <f t="shared" si="38"/>
        <v>Muu sosiaalityön palvelu</v>
      </c>
      <c r="H342" s="556" t="str">
        <f t="shared" si="39"/>
        <v>-</v>
      </c>
      <c r="I342" s="675"/>
      <c r="J342" s="675"/>
      <c r="K342" s="675"/>
      <c r="L342" s="260"/>
      <c r="AH342" s="660"/>
      <c r="AI342" s="701" t="s">
        <v>1449</v>
      </c>
      <c r="AK342" s="15" t="s">
        <v>1438</v>
      </c>
      <c r="AL342" s="688" t="s">
        <v>278</v>
      </c>
      <c r="AM342" s="683">
        <f>SUMIFS(TP!$P:$P,TP!$AI:$AI,$W$7,TP!$R:$R,$X$9,TP!$U:$U,$AL342,TP!$W:$W,$X$8,TP!$X:$X,$X$5,TP!$AD:$AD,$X$9,TP!$AF:$AF,$X$32,TP!$Q:$Q,$Y$4,TP!$AG:$AG,$Y$5,TP!AL:AL,1,TP!$AN:$AN,Parkki!$Y$16,TP!$L:$L,$X$31,TP!$I:$I,$V$29,TP!$J:$J,$V$30,TP!$F:$F,Parkki!$Y$9)</f>
        <v>0</v>
      </c>
      <c r="AN342" s="683">
        <f>SUMIFS(TP!$P:$P,TP!$AI:$AI,$W$7,TP!$R:$R,$X$9,TP!$U:$U,$AL342,TP!$W:$W,$X$8,TP!$X:$X,$X$5,TP!$AD:$AD,$X$9,TP!$AF:$AF,$X$32,TP!$Q:$Q,$Y$4,TP!$AG:$AG,$Y$5,TP!$V:$V,$X$7,TP!AL:AL,1,TP!$AN:$AN,Parkki!$Y$16,TP!$L:$L,$X$31,TP!$I:$I,$V$29,TP!$J:$J,$V$30,TP!$F:$F,Parkki!$Y$9)</f>
        <v>0</v>
      </c>
      <c r="AO342" s="683">
        <f>SUMIFS(TP!$P:$P,TP!$AI:$AI,$W$7,TP!$R:$R,$X$9,TP!$U:$U,$AL342,TP!$W:$W,$X$8,TP!$X:$X,$X$5,TP!$AD:$AD,$X$9,TP!$AF:$AF,$X$32,TP!$Q:$Q,$Y$4,TP!$AG:$AG,$Y$5,TP!$V:$V,$Y$7,TP!AL:AL,1,TP!$AN:$AN,Parkki!$Y$16,TP!$L:$L,$X$31,TP!$I:$I,$V$29,TP!$J:$J,$V$30,TP!$F:$F,Parkki!$Y$9)</f>
        <v>0</v>
      </c>
      <c r="AQ342" s="683">
        <f>SUMIFS(TP!$P:$P,TP!$AI:$AI,$W$7,TP!$R:$R,$X$9,TP!$U:$U,$AP342,TP!$W:$W,$X$8,TP!$X:$X,$X$5,TP!$AD:$AD,$X$9,TP!$AF:$AF,$X$32,TP!$Q:$Q,$Y$4,TP!$AG:$AG,$Y$5,TP!AL:AL,1,TP!$AN:$AN,Parkki!$Y$16,TP!$L:$L,$X$31,TP!$I:$I,$V$29,TP!$J:$J,$V$30,TP!$F:$F,Parkki!$Y$9)</f>
        <v>0</v>
      </c>
      <c r="AR342" s="111">
        <f>SUMIFS(TP!$P:$P,TP!$AI:$AI,$W$7,TP!$R:$R,$X$9,TP!$U:$U,$AP342,TP!$W:$W,$X$8,TP!$X:$X,$X$5,TP!$AD:$AD,$X$9,TP!$AF:$AF,$X$32,TP!$Q:$Q,$Y$4,TP!$AG:$AG,$Y$5,TP!$V:$V,$X$7,TP!AL:AL,1,TP!$AN:$AN,Parkki!$Y$16,TP!$L:$L,$X$31,TP!$I:$I,$V$29,TP!$J:$J,$V$30,TP!$F:$F,Parkki!$Y$9)</f>
        <v>0</v>
      </c>
      <c r="AS342" s="111">
        <f>SUMIFS(TP!$P:$P,TP!$AI:$AI,$W$7,TP!$R:$R,$X$9,TP!$U:$U,$AP342,TP!$W:$W,$X$8,TP!$X:$X,$X$5,TP!$AD:$AD,$X$9,TP!$AF:$AF,$X$32,TP!$Q:$Q,$Y$4,TP!$AG:$AG,$Y$5,TP!$V:$V,$Y$7,TP!AL:AL,1,TP!$AN:$AN,Parkki!$Y$16,TP!$L:$L,$X$31,TP!$I:$I,$V$29,TP!$J:$J,$V$30,TP!$F:$F,Parkki!$Y$9)</f>
        <v>0</v>
      </c>
    </row>
    <row r="343" spans="1:45" ht="15.75" customHeight="1" x14ac:dyDescent="0.25">
      <c r="A343" s="797"/>
      <c r="B343" s="518" t="s">
        <v>1419</v>
      </c>
      <c r="C343" s="419">
        <f>SUMIFS(TP!$P:$P,TP!$AI:$AI,$W$7,TP!$R:$R,$X$9,TP!$U:$U,$AK343,TP!$W:$W,$X$8,TP!$X:$X,$X$5,TP!$AD:$AD,$X$9,TP!$AF:$AF,$X$32,TP!$Q:$Q,$Y$4,TP!$AG:$AG,$Y$5,TP!AL:AL,1,TP!$AN:$AN,Parkki!$Y$16,TP!$L:$L,$X$31,TP!$I:$I,$V$29,TP!$J:$J,$V$30,TP!$F:$F,Parkki!$Y$9)+AM343+AQ343</f>
        <v>0</v>
      </c>
      <c r="D343" s="552" t="str">
        <f t="shared" si="43"/>
        <v>-</v>
      </c>
      <c r="E343" s="419">
        <f>SUMIFS(TP!$P:$P,TP!$AI:$AI,$W$7,TP!$R:$R,$X$9,TP!$U:$U,$AK343,TP!$W:$W,$X$8,TP!$X:$X,$X$5,TP!$AD:$AD,$X$9,TP!$AF:$AF,$X$32,TP!$Q:$Q,$Y$4,TP!$AG:$AG,$Y$5,TP!$V:$V,$X$7,TP!AL:AL,1,TP!$AN:$AN,Parkki!$Y$16,TP!$L:$L,$X$31,TP!$I:$I,$V$29,TP!$J:$J,$V$30,TP!$F:$F,Parkki!$Y$9)+AN343+AR343</f>
        <v>0</v>
      </c>
      <c r="F343" s="419">
        <f>SUMIFS(TP!$P:$P,TP!$AI:$AI,$W$7,TP!$R:$R,$X$9,TP!$U:$U,$AK343,TP!$W:$W,$X$8,TP!$X:$X,$X$5,TP!$AD:$AD,$X$9,TP!$AF:$AF,$X$32,TP!$Q:$Q,$Y$4,TP!$AG:$AG,$Y$5,TP!$V:$V,$Y$7,TP!AL:AL,1,TP!$AN:$AN,Parkki!$Y$16,TP!$L:$L,$X$31,TP!$I:$I,$V$29,TP!$J:$J,$V$30,TP!$F:$F,Parkki!$Y$9)+AO343+AS343</f>
        <v>0</v>
      </c>
      <c r="G343" s="555" t="str">
        <f t="shared" si="38"/>
        <v>Kelan ammatillinen kuntoutus</v>
      </c>
      <c r="H343" s="556" t="str">
        <f t="shared" si="39"/>
        <v>-</v>
      </c>
      <c r="I343" s="675"/>
      <c r="J343" s="675"/>
      <c r="K343" s="675"/>
      <c r="L343" s="260"/>
      <c r="AH343" s="660"/>
      <c r="AI343" s="702" t="s">
        <v>1419</v>
      </c>
      <c r="AK343" s="703" t="s">
        <v>1132</v>
      </c>
      <c r="AL343" s="688" t="s">
        <v>1131</v>
      </c>
      <c r="AM343" s="683">
        <f>SUMIFS(TP!$P:$P,TP!$AI:$AI,$W$7,TP!$R:$R,$X$9,TP!$U:$U,$AL343,TP!$W:$W,$X$8,TP!$X:$X,$X$5,TP!$AD:$AD,$X$9,TP!$AF:$AF,$X$32,TP!$Q:$Q,$Y$4,TP!$AG:$AG,$Y$5,TP!AL:AL,1,TP!$AN:$AN,Parkki!$Y$16,TP!$L:$L,$X$31,TP!$I:$I,$V$29,TP!$J:$J,$V$30,TP!$F:$F,Parkki!$Y$9)</f>
        <v>0</v>
      </c>
      <c r="AN343" s="683">
        <f>SUMIFS(TP!$P:$P,TP!$AI:$AI,$W$7,TP!$R:$R,$X$9,TP!$U:$U,$AL343,TP!$W:$W,$X$8,TP!$X:$X,$X$5,TP!$AD:$AD,$X$9,TP!$AF:$AF,$X$32,TP!$Q:$Q,$Y$4,TP!$AG:$AG,$Y$5,TP!$V:$V,$X$7,TP!AL:AL,1,TP!$AN:$AN,Parkki!$Y$16,TP!$L:$L,$X$31,TP!$I:$I,$V$29,TP!$J:$J,$V$30,TP!$F:$F,Parkki!$Y$9)</f>
        <v>0</v>
      </c>
      <c r="AO343" s="683">
        <f>SUMIFS(TP!$P:$P,TP!$AI:$AI,$W$7,TP!$R:$R,$X$9,TP!$U:$U,$AL343,TP!$W:$W,$X$8,TP!$X:$X,$X$5,TP!$AD:$AD,$X$9,TP!$AF:$AF,$X$32,TP!$Q:$Q,$Y$4,TP!$AG:$AG,$Y$5,TP!$V:$V,$Y$7,TP!AL:AL,1,TP!$AN:$AN,Parkki!$Y$16,TP!$L:$L,$X$31,TP!$I:$I,$V$29,TP!$J:$J,$V$30,TP!$F:$F,Parkki!$Y$9)</f>
        <v>0</v>
      </c>
      <c r="AP343" s="688" t="s">
        <v>1133</v>
      </c>
      <c r="AQ343" s="683">
        <f>SUMIFS(TP!$P:$P,TP!$AI:$AI,$W$7,TP!$R:$R,$X$9,TP!$U:$U,$AP343,TP!$W:$W,$X$8,TP!$X:$X,$X$5,TP!$AD:$AD,$X$9,TP!$AF:$AF,$X$32,TP!$Q:$Q,$Y$4,TP!$AG:$AG,$Y$5,TP!AL:AL,1,TP!$AN:$AN,Parkki!$Y$16,TP!$L:$L,$X$31,TP!$I:$I,$V$29,TP!$J:$J,$V$30,TP!$F:$F,Parkki!$Y$9)</f>
        <v>0</v>
      </c>
      <c r="AR343" s="111">
        <f>SUMIFS(TP!$P:$P,TP!$AI:$AI,$W$7,TP!$R:$R,$X$9,TP!$U:$U,$AP343,TP!$W:$W,$X$8,TP!$X:$X,$X$5,TP!$AD:$AD,$X$9,TP!$AF:$AF,$X$32,TP!$Q:$Q,$Y$4,TP!$AG:$AG,$Y$5,TP!$V:$V,$X$7,TP!AL:AL,1,TP!$AN:$AN,Parkki!$Y$16,TP!$L:$L,$X$31,TP!$I:$I,$V$29,TP!$J:$J,$V$30,TP!$F:$F,Parkki!$Y$9)</f>
        <v>0</v>
      </c>
      <c r="AS343" s="111">
        <f>SUMIFS(TP!$P:$P,TP!$AI:$AI,$W$7,TP!$R:$R,$X$9,TP!$U:$U,$AP343,TP!$W:$W,$X$8,TP!$X:$X,$X$5,TP!$AD:$AD,$X$9,TP!$AF:$AF,$X$32,TP!$Q:$Q,$Y$4,TP!$AG:$AG,$Y$5,TP!$V:$V,$Y$7,TP!AL:AL,1,TP!$AN:$AN,Parkki!$Y$16,TP!$L:$L,$X$31,TP!$I:$I,$V$29,TP!$J:$J,$V$30,TP!$F:$F,Parkki!$Y$9)</f>
        <v>0</v>
      </c>
    </row>
    <row r="344" spans="1:45" x14ac:dyDescent="0.25">
      <c r="A344" s="798"/>
      <c r="B344" s="518" t="s">
        <v>1450</v>
      </c>
      <c r="C344" s="419">
        <f>SUMIFS(TP!$P:$P,TP!$AI:$AI,$W$7,TP!$R:$R,$X$9,TP!$U:$U,$AK344,TP!$W:$W,$X$8,TP!$X:$X,$X$5,TP!$AD:$AD,$X$9,TP!$AF:$AF,$X$32,TP!$Q:$Q,$Y$4,TP!$AG:$AG,$Y$5,TP!AL:AL,1,TP!$AN:$AN,Parkki!$Y$16,TP!$L:$L,$X$31,TP!$I:$I,$V$29,TP!$J:$J,$V$30,TP!$F:$F,Parkki!$Y$9)+AM344+AQ344</f>
        <v>0</v>
      </c>
      <c r="D344" s="552" t="str">
        <f t="shared" si="43"/>
        <v>-</v>
      </c>
      <c r="E344" s="419">
        <f>SUMIFS(TP!$P:$P,TP!$AI:$AI,$W$7,TP!$R:$R,$X$9,TP!$U:$U,$AK344,TP!$W:$W,$X$8,TP!$X:$X,$X$5,TP!$AD:$AD,$X$9,TP!$AF:$AF,$X$32,TP!$Q:$Q,$Y$4,TP!$AG:$AG,$Y$5,TP!$V:$V,$X$7,TP!AL:AL,1,TP!$AN:$AN,Parkki!$Y$16,TP!$L:$L,$X$31,TP!$I:$I,$V$29,TP!$J:$J,$V$30,TP!$F:$F,Parkki!$Y$9)+AN344+AR344</f>
        <v>0</v>
      </c>
      <c r="F344" s="419">
        <f>SUMIFS(TP!$P:$P,TP!$AI:$AI,$W$7,TP!$R:$R,$X$9,TP!$U:$U,$AK344,TP!$W:$W,$X$8,TP!$X:$X,$X$5,TP!$AD:$AD,$X$9,TP!$AF:$AF,$X$32,TP!$Q:$Q,$Y$4,TP!$AG:$AG,$Y$5,TP!$V:$V,$Y$7,TP!AL:AL,1,TP!$AN:$AN,Parkki!$Y$16,TP!$L:$L,$X$31,TP!$I:$I,$V$29,TP!$J:$J,$V$30,TP!$F:$F,Parkki!$Y$9)+AO344+AS344</f>
        <v>0</v>
      </c>
      <c r="G344" s="555" t="str">
        <f t="shared" si="38"/>
        <v>Muu kuntoutus</v>
      </c>
      <c r="H344" s="556" t="str">
        <f t="shared" si="39"/>
        <v>-</v>
      </c>
      <c r="I344" s="675"/>
      <c r="J344" s="675"/>
      <c r="K344" s="675"/>
      <c r="L344" s="260"/>
      <c r="AH344" s="661"/>
      <c r="AI344" s="708" t="s">
        <v>1450</v>
      </c>
      <c r="AK344" s="15" t="s">
        <v>1230</v>
      </c>
      <c r="AL344" s="686"/>
      <c r="AM344" s="683">
        <f>SUMIFS(TP!$P:$P,TP!$AI:$AI,$W$7,TP!$R:$R,$X$9,TP!$U:$U,$AL344,TP!$W:$W,$X$8,TP!$X:$X,$X$5,TP!$AD:$AD,$X$9,TP!$AF:$AF,$X$32,TP!$Q:$Q,$Y$4,TP!$AG:$AG,$Y$5,TP!AL:AL,1,TP!$AN:$AN,Parkki!$Y$16,TP!$L:$L,$X$31,TP!$I:$I,$V$29,TP!$J:$J,$V$30,TP!$F:$F,Parkki!$Y$9)</f>
        <v>0</v>
      </c>
      <c r="AN344" s="683">
        <f>SUMIFS(TP!$P:$P,TP!$AI:$AI,$W$7,TP!$R:$R,$X$9,TP!$U:$U,$AL344,TP!$W:$W,$X$8,TP!$X:$X,$X$5,TP!$AD:$AD,$X$9,TP!$AF:$AF,$X$32,TP!$Q:$Q,$Y$4,TP!$AG:$AG,$Y$5,TP!$V:$V,$X$7,TP!AL:AL,1,TP!$AN:$AN,Parkki!$Y$16,TP!$L:$L,$X$31,TP!$I:$I,$V$29,TP!$J:$J,$V$30,TP!$F:$F,Parkki!$Y$9)</f>
        <v>0</v>
      </c>
      <c r="AO344" s="683">
        <f>SUMIFS(TP!$P:$P,TP!$AI:$AI,$W$7,TP!$R:$R,$X$9,TP!$U:$U,$AL344,TP!$W:$W,$X$8,TP!$X:$X,$X$5,TP!$AD:$AD,$X$9,TP!$AF:$AF,$X$32,TP!$Q:$Q,$Y$4,TP!$AG:$AG,$Y$5,TP!$V:$V,$Y$7,TP!AL:AL,1,TP!$AN:$AN,Parkki!$Y$16,TP!$L:$L,$X$31,TP!$I:$I,$V$29,TP!$J:$J,$V$30,TP!$F:$F,Parkki!$Y$9)</f>
        <v>0</v>
      </c>
      <c r="AQ344" s="683">
        <f>SUMIFS(TP!$P:$P,TP!$AI:$AI,$W$7,TP!$R:$R,$X$9,TP!$U:$U,$AP344,TP!$W:$W,$X$8,TP!$X:$X,$X$5,TP!$AD:$AD,$X$9,TP!$AF:$AF,$X$32,TP!$Q:$Q,$Y$4,TP!$AG:$AG,$Y$5,TP!AL:AL,1,TP!$AN:$AN,Parkki!$Y$16,TP!$L:$L,$X$31,TP!$I:$I,$V$29,TP!$J:$J,$V$30,TP!$F:$F,Parkki!$Y$9)</f>
        <v>0</v>
      </c>
      <c r="AR344" s="111">
        <f>SUMIFS(TP!$P:$P,TP!$AI:$AI,$W$7,TP!$R:$R,$X$9,TP!$U:$U,$AP344,TP!$W:$W,$X$8,TP!$X:$X,$X$5,TP!$AD:$AD,$X$9,TP!$AF:$AF,$X$32,TP!$Q:$Q,$Y$4,TP!$AG:$AG,$Y$5,TP!$V:$V,$X$7,TP!AL:AL,1,TP!$AN:$AN,Parkki!$Y$16,TP!$L:$L,$X$31,TP!$I:$I,$V$29,TP!$J:$J,$V$30,TP!$F:$F,Parkki!$Y$9)</f>
        <v>0</v>
      </c>
      <c r="AS344" s="111">
        <f>SUMIFS(TP!$P:$P,TP!$AI:$AI,$W$7,TP!$R:$R,$X$9,TP!$U:$U,$AP344,TP!$W:$W,$X$8,TP!$X:$X,$X$5,TP!$AD:$AD,$X$9,TP!$AF:$AF,$X$32,TP!$Q:$Q,$Y$4,TP!$AG:$AG,$Y$5,TP!$V:$V,$Y$7,TP!AL:AL,1,TP!$AN:$AN,Parkki!$Y$16,TP!$L:$L,$X$31,TP!$I:$I,$V$29,TP!$J:$J,$V$30,TP!$F:$F,Parkki!$Y$9)</f>
        <v>0</v>
      </c>
    </row>
    <row r="345" spans="1:45" ht="14.45" customHeight="1" x14ac:dyDescent="0.25">
      <c r="A345" s="796" t="s">
        <v>1422</v>
      </c>
      <c r="B345" s="518" t="s">
        <v>1147</v>
      </c>
      <c r="C345" s="419">
        <f>SUMIFS(TP!$P:$P,TP!$AI:$AI,$W$7,TP!$R:$R,$X$9,TP!$U:$U,$AK345,TP!$W:$W,$X$8,TP!$X:$X,$X$5,TP!$AD:$AD,$X$9,TP!$AF:$AF,$X$32,TP!$Q:$Q,$Y$4,TP!$AG:$AG,$Y$5,TP!AL:AL,1,TP!$AN:$AN,Parkki!$Y$16,TP!$L:$L,$X$31,TP!$I:$I,$V$29,TP!$J:$J,$V$30,TP!$F:$F,Parkki!$Y$9)+AM345+AQ345</f>
        <v>0</v>
      </c>
      <c r="D345" s="552" t="str">
        <f t="shared" si="43"/>
        <v>-</v>
      </c>
      <c r="E345" s="419">
        <f>SUMIFS(TP!$P:$P,TP!$AI:$AI,$W$7,TP!$R:$R,$X$9,TP!$U:$U,$AK345,TP!$W:$W,$X$8,TP!$X:$X,$X$5,TP!$AD:$AD,$X$9,TP!$AF:$AF,$X$32,TP!$Q:$Q,$Y$4,TP!$AG:$AG,$Y$5,TP!$V:$V,$X$7,TP!AL:AL,1,TP!$AN:$AN,Parkki!$Y$16,TP!$L:$L,$X$31,TP!$I:$I,$V$29,TP!$J:$J,$V$30,TP!$F:$F,Parkki!$Y$9)+AN345+AR345</f>
        <v>0</v>
      </c>
      <c r="F345" s="419">
        <f>SUMIFS(TP!$P:$P,TP!$AI:$AI,$W$7,TP!$R:$R,$X$9,TP!$U:$U,$AK345,TP!$W:$W,$X$8,TP!$X:$X,$X$5,TP!$AD:$AD,$X$9,TP!$AF:$AF,$X$32,TP!$Q:$Q,$Y$4,TP!$AG:$AG,$Y$5,TP!$V:$V,$Y$7,TP!AL:AL,1,TP!$AN:$AN,Parkki!$Y$16,TP!$L:$L,$X$31,TP!$I:$I,$V$29,TP!$J:$J,$V$30,TP!$F:$F,Parkki!$Y$9)+AO345+AS345</f>
        <v>0</v>
      </c>
      <c r="G345" s="555" t="str">
        <f t="shared" si="38"/>
        <v>Nuorisotoimen palvelut</v>
      </c>
      <c r="H345" s="556" t="str">
        <f t="shared" si="39"/>
        <v>-</v>
      </c>
      <c r="I345" s="675"/>
      <c r="J345" s="675"/>
      <c r="K345" s="675"/>
      <c r="L345" s="260"/>
      <c r="AH345" s="662" t="s">
        <v>1422</v>
      </c>
      <c r="AI345" s="702" t="s">
        <v>1147</v>
      </c>
      <c r="AK345" s="700" t="s">
        <v>288</v>
      </c>
      <c r="AL345" s="686"/>
      <c r="AM345" s="683">
        <f>SUMIFS(TP!$P:$P,TP!$AI:$AI,$W$7,TP!$R:$R,$X$9,TP!$U:$U,$AL345,TP!$W:$W,$X$8,TP!$X:$X,$X$5,TP!$AD:$AD,$X$9,TP!$AF:$AF,$X$32,TP!$Q:$Q,$Y$4,TP!$AG:$AG,$Y$5,TP!AL:AL,1,TP!$AN:$AN,Parkki!$Y$16,TP!$L:$L,$X$31,TP!$I:$I,$V$29,TP!$J:$J,$V$30,TP!$F:$F,Parkki!$Y$9)</f>
        <v>0</v>
      </c>
      <c r="AN345" s="683">
        <f>SUMIFS(TP!$P:$P,TP!$AI:$AI,$W$7,TP!$R:$R,$X$9,TP!$U:$U,$AL345,TP!$W:$W,$X$8,TP!$X:$X,$X$5,TP!$AD:$AD,$X$9,TP!$AF:$AF,$X$32,TP!$Q:$Q,$Y$4,TP!$AG:$AG,$Y$5,TP!$V:$V,$X$7,TP!AL:AL,1,TP!$AN:$AN,Parkki!$Y$16,TP!$L:$L,$X$31,TP!$I:$I,$V$29,TP!$J:$J,$V$30,TP!$F:$F,Parkki!$Y$9)</f>
        <v>0</v>
      </c>
      <c r="AO345" s="683">
        <f>SUMIFS(TP!$P:$P,TP!$AI:$AI,$W$7,TP!$R:$R,$X$9,TP!$U:$U,$AL345,TP!$W:$W,$X$8,TP!$X:$X,$X$5,TP!$AD:$AD,$X$9,TP!$AF:$AF,$X$32,TP!$Q:$Q,$Y$4,TP!$AG:$AG,$Y$5,TP!$V:$V,$Y$7,TP!AL:AL,1,TP!$AN:$AN,Parkki!$Y$16,TP!$L:$L,$X$31,TP!$I:$I,$V$29,TP!$J:$J,$V$30,TP!$F:$F,Parkki!$Y$9)</f>
        <v>0</v>
      </c>
      <c r="AQ345" s="683">
        <f>SUMIFS(TP!$P:$P,TP!$AI:$AI,$W$7,TP!$R:$R,$X$9,TP!$U:$U,$AP345,TP!$W:$W,$X$8,TP!$X:$X,$X$5,TP!$AD:$AD,$X$9,TP!$AF:$AF,$X$32,TP!$Q:$Q,$Y$4,TP!$AG:$AG,$Y$5,TP!AL:AL,1,TP!$AN:$AN,Parkki!$Y$16,TP!$L:$L,$X$31,TP!$I:$I,$V$29,TP!$J:$J,$V$30,TP!$F:$F,Parkki!$Y$9)</f>
        <v>0</v>
      </c>
      <c r="AR345" s="111">
        <f>SUMIFS(TP!$P:$P,TP!$AI:$AI,$W$7,TP!$R:$R,$X$9,TP!$U:$U,$AP345,TP!$W:$W,$X$8,TP!$X:$X,$X$5,TP!$AD:$AD,$X$9,TP!$AF:$AF,$X$32,TP!$Q:$Q,$Y$4,TP!$AG:$AG,$Y$5,TP!$V:$V,$X$7,TP!AL:AL,1,TP!$AN:$AN,Parkki!$Y$16,TP!$L:$L,$X$31,TP!$I:$I,$V$29,TP!$J:$J,$V$30,TP!$F:$F,Parkki!$Y$9)</f>
        <v>0</v>
      </c>
      <c r="AS345" s="111">
        <f>SUMIFS(TP!$P:$P,TP!$AI:$AI,$W$7,TP!$R:$R,$X$9,TP!$U:$U,$AP345,TP!$W:$W,$X$8,TP!$X:$X,$X$5,TP!$AD:$AD,$X$9,TP!$AF:$AF,$X$32,TP!$Q:$Q,$Y$4,TP!$AG:$AG,$Y$5,TP!$V:$V,$Y$7,TP!AL:AL,1,TP!$AN:$AN,Parkki!$Y$16,TP!$L:$L,$X$31,TP!$I:$I,$V$29,TP!$J:$J,$V$30,TP!$F:$F,Parkki!$Y$9)</f>
        <v>0</v>
      </c>
    </row>
    <row r="346" spans="1:45" x14ac:dyDescent="0.25">
      <c r="A346" s="797"/>
      <c r="B346" s="518" t="s">
        <v>1451</v>
      </c>
      <c r="C346" s="419">
        <f>SUMIFS(TP!$P:$P,TP!$AI:$AI,$W$7,TP!$R:$R,$X$9,TP!$U:$U,$AK346,TP!$W:$W,$X$8,TP!$X:$X,$X$5,TP!$AD:$AD,$X$9,TP!$AF:$AF,$X$32,TP!$Q:$Q,$Y$4,TP!$AG:$AG,$Y$5,TP!AL:AL,1,TP!$AN:$AN,Parkki!$Y$16,TP!$L:$L,$X$31,TP!$I:$I,$V$29,TP!$J:$J,$V$30,TP!$F:$F,Parkki!$Y$9)+AM346+AQ346</f>
        <v>0</v>
      </c>
      <c r="D346" s="552" t="str">
        <f t="shared" si="43"/>
        <v>-</v>
      </c>
      <c r="E346" s="419">
        <f>SUMIFS(TP!$P:$P,TP!$AI:$AI,$W$7,TP!$R:$R,$X$9,TP!$U:$U,$AK346,TP!$W:$W,$X$8,TP!$X:$X,$X$5,TP!$AD:$AD,$X$9,TP!$AF:$AF,$X$32,TP!$Q:$Q,$Y$4,TP!$AG:$AG,$Y$5,TP!$V:$V,$X$7,TP!AL:AL,1,TP!$AN:$AN,Parkki!$Y$16,TP!$L:$L,$X$31,TP!$I:$I,$V$29,TP!$J:$J,$V$30,TP!$F:$F,Parkki!$Y$9)+AN346+AR346</f>
        <v>0</v>
      </c>
      <c r="F346" s="419">
        <f>SUMIFS(TP!$P:$P,TP!$AI:$AI,$W$7,TP!$R:$R,$X$9,TP!$U:$U,$AK346,TP!$W:$W,$X$8,TP!$X:$X,$X$5,TP!$AD:$AD,$X$9,TP!$AF:$AF,$X$32,TP!$Q:$Q,$Y$4,TP!$AG:$AG,$Y$5,TP!$V:$V,$Y$7,TP!AL:AL,1,TP!$AN:$AN,Parkki!$Y$16,TP!$L:$L,$X$31,TP!$I:$I,$V$29,TP!$J:$J,$V$30,TP!$F:$F,Parkki!$Y$9)+AO346+AS346</f>
        <v>0</v>
      </c>
      <c r="G346" s="555" t="str">
        <f t="shared" si="38"/>
        <v>Kulttuuri- ja taidetoiminta</v>
      </c>
      <c r="H346" s="556" t="str">
        <f t="shared" si="39"/>
        <v>-</v>
      </c>
      <c r="I346" s="675"/>
      <c r="J346" s="675"/>
      <c r="K346" s="675"/>
      <c r="L346" s="260"/>
      <c r="AH346" s="660"/>
      <c r="AI346" s="708" t="s">
        <v>1451</v>
      </c>
      <c r="AK346" s="15" t="s">
        <v>1233</v>
      </c>
      <c r="AL346" s="686"/>
      <c r="AM346" s="683">
        <f>SUMIFS(TP!$P:$P,TP!$AI:$AI,$W$7,TP!$R:$R,$X$9,TP!$U:$U,$AL346,TP!$W:$W,$X$8,TP!$X:$X,$X$5,TP!$AD:$AD,$X$9,TP!$AF:$AF,$X$32,TP!$Q:$Q,$Y$4,TP!$AG:$AG,$Y$5,TP!AL:AL,1,TP!$AN:$AN,Parkki!$Y$16,TP!$L:$L,$X$31,TP!$I:$I,$V$29,TP!$J:$J,$V$30,TP!$F:$F,Parkki!$Y$9)</f>
        <v>0</v>
      </c>
      <c r="AN346" s="683">
        <f>SUMIFS(TP!$P:$P,TP!$AI:$AI,$W$7,TP!$R:$R,$X$9,TP!$U:$U,$AL346,TP!$W:$W,$X$8,TP!$X:$X,$X$5,TP!$AD:$AD,$X$9,TP!$AF:$AF,$X$32,TP!$Q:$Q,$Y$4,TP!$AG:$AG,$Y$5,TP!$V:$V,$X$7,TP!AL:AL,1,TP!$AN:$AN,Parkki!$Y$16,TP!$L:$L,$X$31,TP!$I:$I,$V$29,TP!$J:$J,$V$30,TP!$F:$F,Parkki!$Y$9)</f>
        <v>0</v>
      </c>
      <c r="AO346" s="683">
        <f>SUMIFS(TP!$P:$P,TP!$AI:$AI,$W$7,TP!$R:$R,$X$9,TP!$U:$U,$AL346,TP!$W:$W,$X$8,TP!$X:$X,$X$5,TP!$AD:$AD,$X$9,TP!$AF:$AF,$X$32,TP!$Q:$Q,$Y$4,TP!$AG:$AG,$Y$5,TP!$V:$V,$Y$7,TP!AL:AL,1,TP!$AN:$AN,Parkki!$Y$16,TP!$L:$L,$X$31,TP!$I:$I,$V$29,TP!$J:$J,$V$30,TP!$F:$F,Parkki!$Y$9)</f>
        <v>0</v>
      </c>
      <c r="AQ346" s="683">
        <f>SUMIFS(TP!$P:$P,TP!$AI:$AI,$W$7,TP!$R:$R,$X$9,TP!$U:$U,$AP346,TP!$W:$W,$X$8,TP!$X:$X,$X$5,TP!$AD:$AD,$X$9,TP!$AF:$AF,$X$32,TP!$Q:$Q,$Y$4,TP!$AG:$AG,$Y$5,TP!AL:AL,1,TP!$AN:$AN,Parkki!$Y$16,TP!$L:$L,$X$31,TP!$I:$I,$V$29,TP!$J:$J,$V$30,TP!$F:$F,Parkki!$Y$9)</f>
        <v>0</v>
      </c>
      <c r="AR346" s="111">
        <f>SUMIFS(TP!$P:$P,TP!$AI:$AI,$W$7,TP!$R:$R,$X$9,TP!$U:$U,$AP346,TP!$W:$W,$X$8,TP!$X:$X,$X$5,TP!$AD:$AD,$X$9,TP!$AF:$AF,$X$32,TP!$Q:$Q,$Y$4,TP!$AG:$AG,$Y$5,TP!$V:$V,$X$7,TP!AL:AL,1,TP!$AN:$AN,Parkki!$Y$16,TP!$L:$L,$X$31,TP!$I:$I,$V$29,TP!$J:$J,$V$30,TP!$F:$F,Parkki!$Y$9)</f>
        <v>0</v>
      </c>
      <c r="AS346" s="111">
        <f>SUMIFS(TP!$P:$P,TP!$AI:$AI,$W$7,TP!$R:$R,$X$9,TP!$U:$U,$AP346,TP!$W:$W,$X$8,TP!$X:$X,$X$5,TP!$AD:$AD,$X$9,TP!$AF:$AF,$X$32,TP!$Q:$Q,$Y$4,TP!$AG:$AG,$Y$5,TP!$V:$V,$Y$7,TP!AL:AL,1,TP!$AN:$AN,Parkki!$Y$16,TP!$L:$L,$X$31,TP!$I:$I,$V$29,TP!$J:$J,$V$30,TP!$F:$F,Parkki!$Y$9)</f>
        <v>0</v>
      </c>
    </row>
    <row r="347" spans="1:45" ht="15" customHeight="1" x14ac:dyDescent="0.25">
      <c r="A347" s="797"/>
      <c r="B347" s="518" t="s">
        <v>1452</v>
      </c>
      <c r="C347" s="419">
        <f>SUMIFS(TP!$P:$P,TP!$AI:$AI,$W$7,TP!$R:$R,$X$9,TP!$U:$U,$AK347,TP!$W:$W,$X$8,TP!$X:$X,$X$5,TP!$AD:$AD,$X$9,TP!$AF:$AF,$X$32,TP!$Q:$Q,$Y$4,TP!$AG:$AG,$Y$5,TP!AL:AL,1,TP!$AN:$AN,Parkki!$Y$16,TP!$L:$L,$X$31,TP!$I:$I,$V$29,TP!$J:$J,$V$30,TP!$F:$F,Parkki!$Y$9)+AM347+AQ347</f>
        <v>0</v>
      </c>
      <c r="D347" s="552" t="str">
        <f t="shared" si="43"/>
        <v>-</v>
      </c>
      <c r="E347" s="419">
        <f>SUMIFS(TP!$P:$P,TP!$AI:$AI,$W$7,TP!$R:$R,$X$9,TP!$U:$U,$AK347,TP!$W:$W,$X$8,TP!$X:$X,$X$5,TP!$AD:$AD,$X$9,TP!$AF:$AF,$X$32,TP!$Q:$Q,$Y$4,TP!$AG:$AG,$Y$5,TP!$V:$V,$X$7,TP!AL:AL,1,TP!$AN:$AN,Parkki!$Y$16,TP!$L:$L,$X$31,TP!$I:$I,$V$29,TP!$J:$J,$V$30,TP!$F:$F,Parkki!$Y$9)+AN347+AR347</f>
        <v>0</v>
      </c>
      <c r="F347" s="419">
        <f>SUMIFS(TP!$P:$P,TP!$AI:$AI,$W$7,TP!$R:$R,$X$9,TP!$U:$U,$AK347,TP!$W:$W,$X$8,TP!$X:$X,$X$5,TP!$AD:$AD,$X$9,TP!$AF:$AF,$X$32,TP!$Q:$Q,$Y$4,TP!$AG:$AG,$Y$5,TP!$V:$V,$Y$7,TP!AL:AL,1,TP!$AN:$AN,Parkki!$Y$16,TP!$L:$L,$X$31,TP!$I:$I,$V$29,TP!$J:$J,$V$30,TP!$F:$F,Parkki!$Y$9)+AO347+AS347</f>
        <v>0</v>
      </c>
      <c r="G347" s="555" t="str">
        <f t="shared" si="38"/>
        <v>Liikunta- ja ulkoilutoiminta</v>
      </c>
      <c r="H347" s="556" t="str">
        <f t="shared" si="39"/>
        <v>-</v>
      </c>
      <c r="I347" s="675"/>
      <c r="J347" s="675"/>
      <c r="K347" s="675"/>
      <c r="L347" s="260"/>
      <c r="AH347" s="660"/>
      <c r="AI347" s="701" t="s">
        <v>1452</v>
      </c>
      <c r="AK347" s="15" t="s">
        <v>1227</v>
      </c>
      <c r="AL347" s="688" t="s">
        <v>289</v>
      </c>
      <c r="AM347" s="683">
        <f>SUMIFS(TP!$P:$P,TP!$AI:$AI,$W$7,TP!$R:$R,$X$9,TP!$U:$U,$AL347,TP!$W:$W,$X$8,TP!$X:$X,$X$5,TP!$AD:$AD,$X$9,TP!$AF:$AF,$X$32,TP!$Q:$Q,$Y$4,TP!$AG:$AG,$Y$5,TP!AL:AL,1,TP!$AN:$AN,Parkki!$Y$16,TP!$L:$L,$X$31,TP!$I:$I,$V$29,TP!$J:$J,$V$30,TP!$F:$F,Parkki!$Y$9)</f>
        <v>0</v>
      </c>
      <c r="AN347" s="683">
        <f>SUMIFS(TP!$P:$P,TP!$AI:$AI,$W$7,TP!$R:$R,$X$9,TP!$U:$U,$AL347,TP!$W:$W,$X$8,TP!$X:$X,$X$5,TP!$AD:$AD,$X$9,TP!$AF:$AF,$X$32,TP!$Q:$Q,$Y$4,TP!$AG:$AG,$Y$5,TP!$V:$V,$X$7,TP!AL:AL,1,TP!$AN:$AN,Parkki!$Y$16,TP!$L:$L,$X$31,TP!$I:$I,$V$29,TP!$J:$J,$V$30,TP!$F:$F,Parkki!$Y$9)</f>
        <v>0</v>
      </c>
      <c r="AO347" s="683">
        <f>SUMIFS(TP!$P:$P,TP!$AI:$AI,$W$7,TP!$R:$R,$X$9,TP!$U:$U,$AL347,TP!$W:$W,$X$8,TP!$X:$X,$X$5,TP!$AD:$AD,$X$9,TP!$AF:$AF,$X$32,TP!$Q:$Q,$Y$4,TP!$AG:$AG,$Y$5,TP!$V:$V,$Y$7,TP!AL:AL,1,TP!$AN:$AN,Parkki!$Y$16,TP!$L:$L,$X$31,TP!$I:$I,$V$29,TP!$J:$J,$V$30,TP!$F:$F,Parkki!$Y$9)</f>
        <v>0</v>
      </c>
      <c r="AQ347" s="683">
        <f>SUMIFS(TP!$P:$P,TP!$AI:$AI,$W$7,TP!$R:$R,$X$9,TP!$U:$U,$AP347,TP!$W:$W,$X$8,TP!$X:$X,$X$5,TP!$AD:$AD,$X$9,TP!$AF:$AF,$X$32,TP!$Q:$Q,$Y$4,TP!$AG:$AG,$Y$5,TP!AL:AL,1,TP!$AN:$AN,Parkki!$Y$16,TP!$L:$L,$X$31,TP!$I:$I,$V$29,TP!$J:$J,$V$30,TP!$F:$F,Parkki!$Y$9)</f>
        <v>0</v>
      </c>
      <c r="AR347" s="111">
        <f>SUMIFS(TP!$P:$P,TP!$AI:$AI,$W$7,TP!$R:$R,$X$9,TP!$U:$U,$AP347,TP!$W:$W,$X$8,TP!$X:$X,$X$5,TP!$AD:$AD,$X$9,TP!$AF:$AF,$X$32,TP!$Q:$Q,$Y$4,TP!$AG:$AG,$Y$5,TP!$V:$V,$X$7,TP!AL:AL,1,TP!$AN:$AN,Parkki!$Y$16,TP!$L:$L,$X$31,TP!$I:$I,$V$29,TP!$J:$J,$V$30,TP!$F:$F,Parkki!$Y$9)</f>
        <v>0</v>
      </c>
      <c r="AS347" s="111">
        <f>SUMIFS(TP!$P:$P,TP!$AI:$AI,$W$7,TP!$R:$R,$X$9,TP!$U:$U,$AP347,TP!$W:$W,$X$8,TP!$X:$X,$X$5,TP!$AD:$AD,$X$9,TP!$AF:$AF,$X$32,TP!$Q:$Q,$Y$4,TP!$AG:$AG,$Y$5,TP!$V:$V,$Y$7,TP!AL:AL,1,TP!$AN:$AN,Parkki!$Y$16,TP!$L:$L,$X$31,TP!$I:$I,$V$29,TP!$J:$J,$V$30,TP!$F:$F,Parkki!$Y$9)</f>
        <v>0</v>
      </c>
    </row>
    <row r="348" spans="1:45" x14ac:dyDescent="0.25">
      <c r="A348" s="797"/>
      <c r="B348" s="518" t="s">
        <v>1453</v>
      </c>
      <c r="C348" s="419">
        <f>SUMIFS(TP!$P:$P,TP!$AI:$AI,$W$7,TP!$R:$R,$X$9,TP!$U:$U,$AK348,TP!$W:$W,$X$8,TP!$X:$X,$X$5,TP!$AD:$AD,$X$9,TP!$AF:$AF,$X$32,TP!$Q:$Q,$Y$4,TP!$AG:$AG,$Y$5,TP!AL:AL,1,TP!$AN:$AN,Parkki!$Y$16,TP!$L:$L,$X$31,TP!$I:$I,$V$29,TP!$J:$J,$V$30,TP!$F:$F,Parkki!$Y$9)+AM348+AQ348</f>
        <v>0</v>
      </c>
      <c r="D348" s="552" t="str">
        <f t="shared" si="43"/>
        <v>-</v>
      </c>
      <c r="E348" s="419">
        <f>SUMIFS(TP!$P:$P,TP!$AI:$AI,$W$7,TP!$R:$R,$X$9,TP!$U:$U,$AK348,TP!$W:$W,$X$8,TP!$X:$X,$X$5,TP!$AD:$AD,$X$9,TP!$AF:$AF,$X$32,TP!$Q:$Q,$Y$4,TP!$AG:$AG,$Y$5,TP!$V:$V,$X$7,TP!AL:AL,1,TP!$AN:$AN,Parkki!$Y$16,TP!$L:$L,$X$31,TP!$I:$I,$V$29,TP!$J:$J,$V$30,TP!$F:$F,Parkki!$Y$9)+AN348+AR348</f>
        <v>0</v>
      </c>
      <c r="F348" s="419">
        <f>SUMIFS(TP!$P:$P,TP!$AI:$AI,$W$7,TP!$R:$R,$X$9,TP!$U:$U,$AK348,TP!$W:$W,$X$8,TP!$X:$X,$X$5,TP!$AD:$AD,$X$9,TP!$AF:$AF,$X$32,TP!$Q:$Q,$Y$4,TP!$AG:$AG,$Y$5,TP!$V:$V,$Y$7,TP!AL:AL,1,TP!$AN:$AN,Parkki!$Y$16,TP!$L:$L,$X$31,TP!$I:$I,$V$29,TP!$J:$J,$V$30,TP!$F:$F,Parkki!$Y$9)+AO348+AS348</f>
        <v>0</v>
      </c>
      <c r="G348" s="555" t="str">
        <f t="shared" si="38"/>
        <v>Järjestöjen toiminta</v>
      </c>
      <c r="H348" s="556" t="str">
        <f t="shared" si="39"/>
        <v>-</v>
      </c>
      <c r="I348" s="675"/>
      <c r="J348" s="675"/>
      <c r="K348" s="675"/>
      <c r="L348" s="260"/>
      <c r="AH348" s="660"/>
      <c r="AI348" s="701" t="s">
        <v>1453</v>
      </c>
      <c r="AK348" s="15" t="s">
        <v>1226</v>
      </c>
      <c r="AL348" s="688" t="s">
        <v>290</v>
      </c>
      <c r="AM348" s="683">
        <f>SUMIFS(TP!$P:$P,TP!$AI:$AI,$W$7,TP!$R:$R,$X$9,TP!$U:$U,$AL348,TP!$W:$W,$X$8,TP!$X:$X,$X$5,TP!$AD:$AD,$X$9,TP!$AF:$AF,$X$32,TP!$Q:$Q,$Y$4,TP!$AG:$AG,$Y$5,TP!AL:AL,1,TP!$AN:$AN,Parkki!$Y$16,TP!$L:$L,$X$31,TP!$I:$I,$V$29,TP!$J:$J,$V$30,TP!$F:$F,Parkki!$Y$9)</f>
        <v>0</v>
      </c>
      <c r="AN348" s="683">
        <f>SUMIFS(TP!$P:$P,TP!$AI:$AI,$W$7,TP!$R:$R,$X$9,TP!$U:$U,$AL348,TP!$W:$W,$X$8,TP!$X:$X,$X$5,TP!$AD:$AD,$X$9,TP!$AF:$AF,$X$32,TP!$Q:$Q,$Y$4,TP!$AG:$AG,$Y$5,TP!$V:$V,$X$7,TP!AL:AL,1,TP!$AN:$AN,Parkki!$Y$16,TP!$L:$L,$X$31,TP!$I:$I,$V$29,TP!$J:$J,$V$30,TP!$F:$F,Parkki!$Y$9)</f>
        <v>0</v>
      </c>
      <c r="AO348" s="683">
        <f>SUMIFS(TP!$P:$P,TP!$AI:$AI,$W$7,TP!$R:$R,$X$9,TP!$U:$U,$AL348,TP!$W:$W,$X$8,TP!$X:$X,$X$5,TP!$AD:$AD,$X$9,TP!$AF:$AF,$X$32,TP!$Q:$Q,$Y$4,TP!$AG:$AG,$Y$5,TP!$V:$V,$Y$7,TP!AL:AL,1,TP!$AN:$AN,Parkki!$Y$16,TP!$L:$L,$X$31,TP!$I:$I,$V$29,TP!$J:$J,$V$30,TP!$F:$F,Parkki!$Y$9)</f>
        <v>0</v>
      </c>
      <c r="AQ348" s="683">
        <f>SUMIFS(TP!$P:$P,TP!$AI:$AI,$W$7,TP!$R:$R,$X$9,TP!$U:$U,$AP348,TP!$W:$W,$X$8,TP!$X:$X,$X$5,TP!$AD:$AD,$X$9,TP!$AF:$AF,$X$32,TP!$Q:$Q,$Y$4,TP!$AG:$AG,$Y$5,TP!AL:AL,1,TP!$AN:$AN,Parkki!$Y$16,TP!$L:$L,$X$31,TP!$I:$I,$V$29,TP!$J:$J,$V$30,TP!$F:$F,Parkki!$Y$9)</f>
        <v>0</v>
      </c>
      <c r="AR348" s="111">
        <f>SUMIFS(TP!$P:$P,TP!$AI:$AI,$W$7,TP!$R:$R,$X$9,TP!$U:$U,$AP348,TP!$W:$W,$X$8,TP!$X:$X,$X$5,TP!$AD:$AD,$X$9,TP!$AF:$AF,$X$32,TP!$Q:$Q,$Y$4,TP!$AG:$AG,$Y$5,TP!$V:$V,$X$7,TP!AL:AL,1,TP!$AN:$AN,Parkki!$Y$16,TP!$L:$L,$X$31,TP!$I:$I,$V$29,TP!$J:$J,$V$30,TP!$F:$F,Parkki!$Y$9)</f>
        <v>0</v>
      </c>
      <c r="AS348" s="111">
        <f>SUMIFS(TP!$P:$P,TP!$AI:$AI,$W$7,TP!$R:$R,$X$9,TP!$U:$U,$AP348,TP!$W:$W,$X$8,TP!$X:$X,$X$5,TP!$AD:$AD,$X$9,TP!$AF:$AF,$X$32,TP!$Q:$Q,$Y$4,TP!$AG:$AG,$Y$5,TP!$V:$V,$Y$7,TP!AL:AL,1,TP!$AN:$AN,Parkki!$Y$16,TP!$L:$L,$X$31,TP!$I:$I,$V$29,TP!$J:$J,$V$30,TP!$F:$F,Parkki!$Y$9)</f>
        <v>0</v>
      </c>
    </row>
    <row r="349" spans="1:45" x14ac:dyDescent="0.25">
      <c r="A349" s="798"/>
      <c r="B349" s="518" t="s">
        <v>1454</v>
      </c>
      <c r="C349" s="419">
        <f>SUMIFS(TP!$P:$P,TP!$AI:$AI,$W$7,TP!$R:$R,$X$9,TP!$U:$U,$AK349,TP!$W:$W,$X$8,TP!$X:$X,$X$5,TP!$AD:$AD,$X$9,TP!$AF:$AF,$X$32,TP!$Q:$Q,$Y$4,TP!$AG:$AG,$Y$5,TP!AL:AL,1,TP!$AN:$AN,Parkki!$Y$16,TP!$L:$L,$X$31,TP!$I:$I,$V$29,TP!$J:$J,$V$30,TP!$F:$F,Parkki!$Y$9)+AM349+AQ349</f>
        <v>0</v>
      </c>
      <c r="D349" s="552" t="str">
        <f t="shared" si="43"/>
        <v>-</v>
      </c>
      <c r="E349" s="419">
        <f>SUMIFS(TP!$P:$P,TP!$AI:$AI,$W$7,TP!$R:$R,$X$9,TP!$U:$U,$AK349,TP!$W:$W,$X$8,TP!$X:$X,$X$5,TP!$AD:$AD,$X$9,TP!$AF:$AF,$X$32,TP!$Q:$Q,$Y$4,TP!$AG:$AG,$Y$5,TP!$V:$V,$X$7,TP!AL:AL,1,TP!$AN:$AN,Parkki!$Y$16,TP!$L:$L,$X$31,TP!$I:$I,$V$29,TP!$J:$J,$V$30,TP!$F:$F,Parkki!$Y$9)+AN349+AR349</f>
        <v>0</v>
      </c>
      <c r="F349" s="419">
        <f>SUMIFS(TP!$P:$P,TP!$AI:$AI,$W$7,TP!$R:$R,$X$9,TP!$U:$U,$AK349,TP!$W:$W,$X$8,TP!$X:$X,$X$5,TP!$AD:$AD,$X$9,TP!$AF:$AF,$X$32,TP!$Q:$Q,$Y$4,TP!$AG:$AG,$Y$5,TP!$V:$V,$Y$7,TP!AL:AL,1,TP!$AN:$AN,Parkki!$Y$16,TP!$L:$L,$X$31,TP!$I:$I,$V$29,TP!$J:$J,$V$30,TP!$F:$F,Parkki!$Y$9)+AO349+AS349</f>
        <v>0</v>
      </c>
      <c r="G349" s="555" t="str">
        <f t="shared" si="38"/>
        <v>Muu vapaa-ajan toiminta</v>
      </c>
      <c r="H349" s="556" t="str">
        <f t="shared" si="39"/>
        <v>-</v>
      </c>
      <c r="I349" s="675"/>
      <c r="J349" s="675"/>
      <c r="K349" s="675"/>
      <c r="L349" s="260"/>
      <c r="AH349" s="663"/>
      <c r="AI349" s="701" t="s">
        <v>1454</v>
      </c>
      <c r="AK349" s="15" t="s">
        <v>1243</v>
      </c>
      <c r="AL349" s="688" t="s">
        <v>279</v>
      </c>
      <c r="AM349" s="683">
        <f>SUMIFS(TP!$P:$P,TP!$AI:$AI,$W$7,TP!$R:$R,$X$9,TP!$U:$U,$AL349,TP!$W:$W,$X$8,TP!$X:$X,$X$5,TP!$AD:$AD,$X$9,TP!$AF:$AF,$X$32,TP!$Q:$Q,$Y$4,TP!$AG:$AG,$Y$5,TP!AL:AL,1,TP!$AN:$AN,Parkki!$Y$16,TP!$L:$L,$X$31,TP!$I:$I,$V$29,TP!$J:$J,$V$30,TP!$F:$F,Parkki!$Y$9)</f>
        <v>0</v>
      </c>
      <c r="AN349" s="683">
        <f>SUMIFS(TP!$P:$P,TP!$AI:$AI,$W$7,TP!$R:$R,$X$9,TP!$U:$U,$AL349,TP!$W:$W,$X$8,TP!$X:$X,$X$5,TP!$AD:$AD,$X$9,TP!$AF:$AF,$X$32,TP!$Q:$Q,$Y$4,TP!$AG:$AG,$Y$5,TP!$V:$V,$X$7,TP!AL:AL,1,TP!$AN:$AN,Parkki!$Y$16,TP!$L:$L,$X$31,TP!$I:$I,$V$29,TP!$J:$J,$V$30,TP!$F:$F,Parkki!$Y$9)</f>
        <v>0</v>
      </c>
      <c r="AO349" s="683">
        <f>SUMIFS(TP!$P:$P,TP!$AI:$AI,$W$7,TP!$R:$R,$X$9,TP!$U:$U,$AL349,TP!$W:$W,$X$8,TP!$X:$X,$X$5,TP!$AD:$AD,$X$9,TP!$AF:$AF,$X$32,TP!$Q:$Q,$Y$4,TP!$AG:$AG,$Y$5,TP!$V:$V,$Y$7,TP!AL:AL,1,TP!$AN:$AN,Parkki!$Y$16,TP!$L:$L,$X$31,TP!$I:$I,$V$29,TP!$J:$J,$V$30,TP!$F:$F,Parkki!$Y$9)</f>
        <v>0</v>
      </c>
      <c r="AQ349" s="683">
        <f>SUMIFS(TP!$P:$P,TP!$AI:$AI,$W$7,TP!$R:$R,$X$9,TP!$U:$U,$AP349,TP!$W:$W,$X$8,TP!$X:$X,$X$5,TP!$AD:$AD,$X$9,TP!$AF:$AF,$X$32,TP!$Q:$Q,$Y$4,TP!$AG:$AG,$Y$5,TP!AL:AL,1,TP!$AN:$AN,Parkki!$Y$16,TP!$L:$L,$X$31,TP!$I:$I,$V$29,TP!$J:$J,$V$30,TP!$F:$F,Parkki!$Y$9)</f>
        <v>0</v>
      </c>
      <c r="AR349" s="111">
        <f>SUMIFS(TP!$P:$P,TP!$AI:$AI,$W$7,TP!$R:$R,$X$9,TP!$U:$U,$AP349,TP!$W:$W,$X$8,TP!$X:$X,$X$5,TP!$AD:$AD,$X$9,TP!$AF:$AF,$X$32,TP!$Q:$Q,$Y$4,TP!$AG:$AG,$Y$5,TP!$V:$V,$X$7,TP!AL:AL,1,TP!$AN:$AN,Parkki!$Y$16,TP!$L:$L,$X$31,TP!$I:$I,$V$29,TP!$J:$J,$V$30,TP!$F:$F,Parkki!$Y$9)</f>
        <v>0</v>
      </c>
      <c r="AS349" s="111">
        <f>SUMIFS(TP!$P:$P,TP!$AI:$AI,$W$7,TP!$R:$R,$X$9,TP!$U:$U,$AP349,TP!$W:$W,$X$8,TP!$X:$X,$X$5,TP!$AD:$AD,$X$9,TP!$AF:$AF,$X$32,TP!$Q:$Q,$Y$4,TP!$AG:$AG,$Y$5,TP!$V:$V,$Y$7,TP!AL:AL,1,TP!$AN:$AN,Parkki!$Y$16,TP!$L:$L,$X$31,TP!$I:$I,$V$29,TP!$J:$J,$V$30,TP!$F:$F,Parkki!$Y$9)</f>
        <v>0</v>
      </c>
    </row>
    <row r="350" spans="1:45" x14ac:dyDescent="0.25">
      <c r="A350" s="796" t="s">
        <v>79</v>
      </c>
      <c r="B350" s="518" t="s">
        <v>1148</v>
      </c>
      <c r="C350" s="419">
        <f>SUMIFS(TP!$P:$P,TP!$AI:$AI,$W$7,TP!$R:$R,$X$9,TP!$U:$U,$AK350,TP!$W:$W,$X$8,TP!$X:$X,$X$5,TP!$AD:$AD,$X$9,TP!$AF:$AF,$X$32,TP!$Q:$Q,$Y$4,TP!$AG:$AG,$Y$5,TP!AL:AL,1,TP!$AN:$AN,Parkki!$Y$16,TP!$L:$L,$X$31,TP!$I:$I,$V$29,TP!$J:$J,$V$30,TP!$F:$F,Parkki!$Y$9)+AM350+AQ350</f>
        <v>0</v>
      </c>
      <c r="D350" s="552" t="str">
        <f t="shared" si="43"/>
        <v>-</v>
      </c>
      <c r="E350" s="419">
        <f>SUMIFS(TP!$P:$P,TP!$AI:$AI,$W$7,TP!$R:$R,$X$9,TP!$U:$U,$AK350,TP!$W:$W,$X$8,TP!$X:$X,$X$5,TP!$AD:$AD,$X$9,TP!$AF:$AF,$X$32,TP!$Q:$Q,$Y$4,TP!$AG:$AG,$Y$5,TP!$V:$V,$X$7,TP!AL:AL,1,TP!$AN:$AN,Parkki!$Y$16,TP!$L:$L,$X$31,TP!$I:$I,$V$29,TP!$J:$J,$V$30,TP!$F:$F,Parkki!$Y$9)+AN350+AR350</f>
        <v>0</v>
      </c>
      <c r="F350" s="419">
        <f>SUMIFS(TP!$P:$P,TP!$AI:$AI,$W$7,TP!$R:$R,$X$9,TP!$U:$U,$AK350,TP!$W:$W,$X$8,TP!$X:$X,$X$5,TP!$AD:$AD,$X$9,TP!$AF:$AF,$X$32,TP!$Q:$Q,$Y$4,TP!$AG:$AG,$Y$5,TP!$V:$V,$Y$7,TP!AL:AL,1,TP!$AN:$AN,Parkki!$Y$16,TP!$L:$L,$X$31,TP!$I:$I,$V$29,TP!$J:$J,$V$30,TP!$F:$F,Parkki!$Y$9)+AO350+AS350</f>
        <v>0</v>
      </c>
      <c r="G350" s="555" t="str">
        <f t="shared" si="38"/>
        <v>Peruskoulun opinnot</v>
      </c>
      <c r="H350" s="556" t="str">
        <f t="shared" si="39"/>
        <v>-</v>
      </c>
      <c r="I350" s="675"/>
      <c r="J350" s="675"/>
      <c r="K350" s="675"/>
      <c r="L350" s="260"/>
      <c r="AH350" s="664" t="s">
        <v>79</v>
      </c>
      <c r="AI350" s="702" t="s">
        <v>1148</v>
      </c>
      <c r="AK350" s="700" t="s">
        <v>305</v>
      </c>
      <c r="AL350" s="686"/>
      <c r="AM350" s="683">
        <f>SUMIFS(TP!$P:$P,TP!$AI:$AI,$W$7,TP!$R:$R,$X$9,TP!$U:$U,$AL350,TP!$W:$W,$X$8,TP!$X:$X,$X$5,TP!$AD:$AD,$X$9,TP!$AF:$AF,$X$32,TP!$Q:$Q,$Y$4,TP!$AG:$AG,$Y$5,TP!AL:AL,1,TP!$AN:$AN,Parkki!$Y$16,TP!$L:$L,$X$31,TP!$I:$I,$V$29,TP!$J:$J,$V$30,TP!$F:$F,Parkki!$Y$9)</f>
        <v>0</v>
      </c>
      <c r="AN350" s="683">
        <f>SUMIFS(TP!$P:$P,TP!$AI:$AI,$W$7,TP!$R:$R,$X$9,TP!$U:$U,$AL350,TP!$W:$W,$X$8,TP!$X:$X,$X$5,TP!$AD:$AD,$X$9,TP!$AF:$AF,$X$32,TP!$Q:$Q,$Y$4,TP!$AG:$AG,$Y$5,TP!$V:$V,$X$7,TP!AL:AL,1,TP!$AN:$AN,Parkki!$Y$16,TP!$L:$L,$X$31,TP!$I:$I,$V$29,TP!$J:$J,$V$30,TP!$F:$F,Parkki!$Y$9)</f>
        <v>0</v>
      </c>
      <c r="AO350" s="683">
        <f>SUMIFS(TP!$P:$P,TP!$AI:$AI,$W$7,TP!$R:$R,$X$9,TP!$U:$U,$AL350,TP!$W:$W,$X$8,TP!$X:$X,$X$5,TP!$AD:$AD,$X$9,TP!$AF:$AF,$X$32,TP!$Q:$Q,$Y$4,TP!$AG:$AG,$Y$5,TP!$V:$V,$Y$7,TP!AL:AL,1,TP!$AN:$AN,Parkki!$Y$16,TP!$L:$L,$X$31,TP!$I:$I,$V$29,TP!$J:$J,$V$30,TP!$F:$F,Parkki!$Y$9)</f>
        <v>0</v>
      </c>
      <c r="AQ350" s="683">
        <f>SUMIFS(TP!$P:$P,TP!$AI:$AI,$W$7,TP!$R:$R,$X$9,TP!$U:$U,$AP350,TP!$W:$W,$X$8,TP!$X:$X,$X$5,TP!$AD:$AD,$X$9,TP!$AF:$AF,$X$32,TP!$Q:$Q,$Y$4,TP!$AG:$AG,$Y$5,TP!AL:AL,1,TP!$AN:$AN,Parkki!$Y$16,TP!$L:$L,$X$31,TP!$I:$I,$V$29,TP!$J:$J,$V$30,TP!$F:$F,Parkki!$Y$9)</f>
        <v>0</v>
      </c>
      <c r="AR350" s="111">
        <f>SUMIFS(TP!$P:$P,TP!$AI:$AI,$W$7,TP!$R:$R,$X$9,TP!$U:$U,$AP350,TP!$W:$W,$X$8,TP!$X:$X,$X$5,TP!$AD:$AD,$X$9,TP!$AF:$AF,$X$32,TP!$Q:$Q,$Y$4,TP!$AG:$AG,$Y$5,TP!$V:$V,$X$7,TP!AL:AL,1,TP!$AN:$AN,Parkki!$Y$16,TP!$L:$L,$X$31,TP!$I:$I,$V$29,TP!$J:$J,$V$30,TP!$F:$F,Parkki!$Y$9)</f>
        <v>0</v>
      </c>
      <c r="AS350" s="111">
        <f>SUMIFS(TP!$P:$P,TP!$AI:$AI,$W$7,TP!$R:$R,$X$9,TP!$U:$U,$AP350,TP!$W:$W,$X$8,TP!$X:$X,$X$5,TP!$AD:$AD,$X$9,TP!$AF:$AF,$X$32,TP!$Q:$Q,$Y$4,TP!$AG:$AG,$Y$5,TP!$V:$V,$Y$7,TP!AL:AL,1,TP!$AN:$AN,Parkki!$Y$16,TP!$L:$L,$X$31,TP!$I:$I,$V$29,TP!$J:$J,$V$30,TP!$F:$F,Parkki!$Y$9)</f>
        <v>0</v>
      </c>
    </row>
    <row r="351" spans="1:45" x14ac:dyDescent="0.25">
      <c r="A351" s="797"/>
      <c r="B351" s="518" t="s">
        <v>1250</v>
      </c>
      <c r="C351" s="419">
        <f>SUMIFS(TP!$P:$P,TP!$AI:$AI,$W$7,TP!$R:$R,$X$9,TP!$U:$U,$AK351,TP!$W:$W,$X$8,TP!$X:$X,$X$5,TP!$AD:$AD,$X$9,TP!$AF:$AF,$X$32,TP!$Q:$Q,$Y$4,TP!$AG:$AG,$Y$5,TP!AL:AL,1,TP!$AN:$AN,Parkki!$Y$16,TP!$L:$L,$X$31,TP!$I:$I,$V$29,TP!$J:$J,$V$30,TP!$F:$F,Parkki!$Y$9)+AM351+AQ351</f>
        <v>0</v>
      </c>
      <c r="D351" s="552" t="str">
        <f t="shared" si="43"/>
        <v>-</v>
      </c>
      <c r="E351" s="419">
        <f>SUMIFS(TP!$P:$P,TP!$AI:$AI,$W$7,TP!$R:$R,$X$9,TP!$U:$U,$AK351,TP!$W:$W,$X$8,TP!$X:$X,$X$5,TP!$AD:$AD,$X$9,TP!$AF:$AF,$X$32,TP!$Q:$Q,$Y$4,TP!$AG:$AG,$Y$5,TP!$V:$V,$X$7,TP!AL:AL,1,TP!$AN:$AN,Parkki!$Y$16,TP!$L:$L,$X$31,TP!$I:$I,$V$29,TP!$J:$J,$V$30,TP!$F:$F,Parkki!$Y$9)+AN351+AR351</f>
        <v>0</v>
      </c>
      <c r="F351" s="419">
        <f>SUMIFS(TP!$P:$P,TP!$AI:$AI,$W$7,TP!$R:$R,$X$9,TP!$U:$U,$AK351,TP!$W:$W,$X$8,TP!$X:$X,$X$5,TP!$AD:$AD,$X$9,TP!$AF:$AF,$X$32,TP!$Q:$Q,$Y$4,TP!$AG:$AG,$Y$5,TP!$V:$V,$Y$7,TP!AL:AL,1,TP!$AN:$AN,Parkki!$Y$16,TP!$L:$L,$X$31,TP!$I:$I,$V$29,TP!$J:$J,$V$30,TP!$F:$F,Parkki!$Y$9)+AO351+AS351</f>
        <v>0</v>
      </c>
      <c r="G351" s="555" t="str">
        <f t="shared" si="38"/>
        <v>TUVA-koulutus</v>
      </c>
      <c r="H351" s="556" t="str">
        <f t="shared" si="39"/>
        <v>-</v>
      </c>
      <c r="I351" s="675"/>
      <c r="J351" s="675"/>
      <c r="K351" s="675"/>
      <c r="L351" s="260"/>
      <c r="AH351" s="660"/>
      <c r="AI351" s="701" t="s">
        <v>1250</v>
      </c>
      <c r="AK351" s="15" t="s">
        <v>1225</v>
      </c>
      <c r="AL351" s="688" t="s">
        <v>303</v>
      </c>
      <c r="AM351" s="683">
        <f>SUMIFS(TP!$P:$P,TP!$AI:$AI,$W$7,TP!$R:$R,$X$9,TP!$U:$U,$AL351,TP!$W:$W,$X$8,TP!$X:$X,$X$5,TP!$AD:$AD,$X$9,TP!$AF:$AF,$X$32,TP!$Q:$Q,$Y$4,TP!$AG:$AG,$Y$5,TP!AL:AL,1,TP!$AN:$AN,Parkki!$Y$16,TP!$L:$L,$X$31,TP!$I:$I,$V$29,TP!$J:$J,$V$30,TP!$F:$F,Parkki!$Y$9)</f>
        <v>0</v>
      </c>
      <c r="AN351" s="683">
        <f>SUMIFS(TP!$P:$P,TP!$AI:$AI,$W$7,TP!$R:$R,$X$9,TP!$U:$U,$AL351,TP!$W:$W,$X$8,TP!$X:$X,$X$5,TP!$AD:$AD,$X$9,TP!$AF:$AF,$X$32,TP!$Q:$Q,$Y$4,TP!$AG:$AG,$Y$5,TP!$V:$V,$X$7,TP!AL:AL,1,TP!$AN:$AN,Parkki!$Y$16,TP!$L:$L,$X$31,TP!$I:$I,$V$29,TP!$J:$J,$V$30,TP!$F:$F,Parkki!$Y$9)</f>
        <v>0</v>
      </c>
      <c r="AO351" s="683">
        <f>SUMIFS(TP!$P:$P,TP!$AI:$AI,$W$7,TP!$R:$R,$X$9,TP!$U:$U,$AL351,TP!$W:$W,$X$8,TP!$X:$X,$X$5,TP!$AD:$AD,$X$9,TP!$AF:$AF,$X$32,TP!$Q:$Q,$Y$4,TP!$AG:$AG,$Y$5,TP!$V:$V,$Y$7,TP!AL:AL,1,TP!$AN:$AN,Parkki!$Y$16,TP!$L:$L,$X$31,TP!$I:$I,$V$29,TP!$J:$J,$V$30,TP!$F:$F,Parkki!$Y$9)</f>
        <v>0</v>
      </c>
      <c r="AP351" s="688" t="s">
        <v>518</v>
      </c>
      <c r="AQ351" s="683">
        <f>SUMIFS(TP!$P:$P,TP!$AI:$AI,$W$7,TP!$R:$R,$X$9,TP!$U:$U,$AP351,TP!$W:$W,$X$8,TP!$X:$X,$X$5,TP!$AD:$AD,$X$9,TP!$AF:$AF,$X$32,TP!$Q:$Q,$Y$4,TP!$AG:$AG,$Y$5,TP!AL:AL,1,TP!$AN:$AN,Parkki!$Y$16,TP!$L:$L,$X$31,TP!$I:$I,$V$29,TP!$J:$J,$V$30,TP!$F:$F,Parkki!$Y$9)</f>
        <v>0</v>
      </c>
      <c r="AR351" s="111">
        <f>SUMIFS(TP!$P:$P,TP!$AI:$AI,$W$7,TP!$R:$R,$X$9,TP!$U:$U,$AP351,TP!$W:$W,$X$8,TP!$X:$X,$X$5,TP!$AD:$AD,$X$9,TP!$AF:$AF,$X$32,TP!$Q:$Q,$Y$4,TP!$AG:$AG,$Y$5,TP!$V:$V,$X$7,TP!AL:AL,1,TP!$AN:$AN,Parkki!$Y$16,TP!$L:$L,$X$31,TP!$I:$I,$V$29,TP!$J:$J,$V$30,TP!$F:$F,Parkki!$Y$9)</f>
        <v>0</v>
      </c>
      <c r="AS351" s="111">
        <f>SUMIFS(TP!$P:$P,TP!$AI:$AI,$W$7,TP!$R:$R,$X$9,TP!$U:$U,$AP351,TP!$W:$W,$X$8,TP!$X:$X,$X$5,TP!$AD:$AD,$X$9,TP!$AF:$AF,$X$32,TP!$Q:$Q,$Y$4,TP!$AG:$AG,$Y$5,TP!$V:$V,$Y$7,TP!AL:AL,1,TP!$AN:$AN,Parkki!$Y$16,TP!$L:$L,$X$31,TP!$I:$I,$V$29,TP!$J:$J,$V$30,TP!$F:$F,Parkki!$Y$9)</f>
        <v>0</v>
      </c>
    </row>
    <row r="352" spans="1:45" ht="14.45" customHeight="1" x14ac:dyDescent="0.25">
      <c r="A352" s="797"/>
      <c r="B352" s="518" t="s">
        <v>1149</v>
      </c>
      <c r="C352" s="419">
        <f>SUMIFS(TP!$P:$P,TP!$AI:$AI,$W$7,TP!$R:$R,$X$9,TP!$U:$U,$AK352,TP!$W:$W,$X$8,TP!$X:$X,$X$5,TP!$AD:$AD,$X$9,TP!$AF:$AF,$X$32,TP!$Q:$Q,$Y$4,TP!$AG:$AG,$Y$5,TP!AL:AL,1,TP!$AN:$AN,Parkki!$Y$16,TP!$L:$L,$X$31,TP!$I:$I,$V$29,TP!$J:$J,$V$30,TP!$F:$F,Parkki!$Y$9)+AM352+AQ352</f>
        <v>0</v>
      </c>
      <c r="D352" s="552" t="str">
        <f t="shared" si="43"/>
        <v>-</v>
      </c>
      <c r="E352" s="419">
        <f>SUMIFS(TP!$P:$P,TP!$AI:$AI,$W$7,TP!$R:$R,$X$9,TP!$U:$U,$AK352,TP!$W:$W,$X$8,TP!$X:$X,$X$5,TP!$AD:$AD,$X$9,TP!$AF:$AF,$X$32,TP!$Q:$Q,$Y$4,TP!$AG:$AG,$Y$5,TP!$V:$V,$X$7,TP!AL:AL,1,TP!$AN:$AN,Parkki!$Y$16,TP!$L:$L,$X$31,TP!$I:$I,$V$29,TP!$J:$J,$V$30,TP!$F:$F,Parkki!$Y$9)+AN352+AR352</f>
        <v>0</v>
      </c>
      <c r="F352" s="419">
        <f>SUMIFS(TP!$P:$P,TP!$AI:$AI,$W$7,TP!$R:$R,$X$9,TP!$U:$U,$AK352,TP!$W:$W,$X$8,TP!$X:$X,$X$5,TP!$AD:$AD,$X$9,TP!$AF:$AF,$X$32,TP!$Q:$Q,$Y$4,TP!$AG:$AG,$Y$5,TP!$V:$V,$Y$7,TP!AL:AL,1,TP!$AN:$AN,Parkki!$Y$16,TP!$L:$L,$X$31,TP!$I:$I,$V$29,TP!$J:$J,$V$30,TP!$F:$F,Parkki!$Y$9)+AO352+AS352</f>
        <v>0</v>
      </c>
      <c r="G352" s="555" t="str">
        <f t="shared" si="38"/>
        <v>Lukion opinnot</v>
      </c>
      <c r="H352" s="556" t="str">
        <f t="shared" si="39"/>
        <v>-</v>
      </c>
      <c r="I352" s="675"/>
      <c r="J352" s="675"/>
      <c r="K352" s="675"/>
      <c r="L352" s="260"/>
      <c r="AH352" s="660"/>
      <c r="AI352" s="702" t="s">
        <v>1149</v>
      </c>
      <c r="AK352" s="700" t="s">
        <v>309</v>
      </c>
      <c r="AL352" s="686"/>
      <c r="AM352" s="683">
        <f>SUMIFS(TP!$P:$P,TP!$AI:$AI,$W$7,TP!$R:$R,$X$9,TP!$U:$U,$AL352,TP!$W:$W,$X$8,TP!$X:$X,$X$5,TP!$AD:$AD,$X$9,TP!$AF:$AF,$X$32,TP!$Q:$Q,$Y$4,TP!$AG:$AG,$Y$5,TP!AL:AL,1,TP!$AN:$AN,Parkki!$Y$16,TP!$L:$L,$X$31,TP!$I:$I,$V$29,TP!$J:$J,$V$30,TP!$F:$F,Parkki!$Y$9)</f>
        <v>0</v>
      </c>
      <c r="AN352" s="683">
        <f>SUMIFS(TP!$P:$P,TP!$AI:$AI,$W$7,TP!$R:$R,$X$9,TP!$U:$U,$AL352,TP!$W:$W,$X$8,TP!$X:$X,$X$5,TP!$AD:$AD,$X$9,TP!$AF:$AF,$X$32,TP!$Q:$Q,$Y$4,TP!$AG:$AG,$Y$5,TP!$V:$V,$X$7,TP!AL:AL,1,TP!$AN:$AN,Parkki!$Y$16,TP!$L:$L,$X$31,TP!$I:$I,$V$29,TP!$J:$J,$V$30,TP!$F:$F,Parkki!$Y$9)</f>
        <v>0</v>
      </c>
      <c r="AO352" s="683">
        <f>SUMIFS(TP!$P:$P,TP!$AI:$AI,$W$7,TP!$R:$R,$X$9,TP!$U:$U,$AL352,TP!$W:$W,$X$8,TP!$X:$X,$X$5,TP!$AD:$AD,$X$9,TP!$AF:$AF,$X$32,TP!$Q:$Q,$Y$4,TP!$AG:$AG,$Y$5,TP!$V:$V,$Y$7,TP!AL:AL,1,TP!$AN:$AN,Parkki!$Y$16,TP!$L:$L,$X$31,TP!$I:$I,$V$29,TP!$J:$J,$V$30,TP!$F:$F,Parkki!$Y$9)</f>
        <v>0</v>
      </c>
      <c r="AQ352" s="683">
        <f>SUMIFS(TP!$P:$P,TP!$AI:$AI,$W$7,TP!$R:$R,$X$9,TP!$U:$U,$AP352,TP!$W:$W,$X$8,TP!$X:$X,$X$5,TP!$AD:$AD,$X$9,TP!$AF:$AF,$X$32,TP!$Q:$Q,$Y$4,TP!$AG:$AG,$Y$5,TP!AL:AL,1,TP!$AN:$AN,Parkki!$Y$16,TP!$L:$L,$X$31,TP!$I:$I,$V$29,TP!$J:$J,$V$30,TP!$F:$F,Parkki!$Y$9)</f>
        <v>0</v>
      </c>
      <c r="AR352" s="111">
        <f>SUMIFS(TP!$P:$P,TP!$AI:$AI,$W$7,TP!$R:$R,$X$9,TP!$U:$U,$AP352,TP!$W:$W,$X$8,TP!$X:$X,$X$5,TP!$AD:$AD,$X$9,TP!$AF:$AF,$X$32,TP!$Q:$Q,$Y$4,TP!$AG:$AG,$Y$5,TP!$V:$V,$X$7,TP!AL:AL,1,TP!$AN:$AN,Parkki!$Y$16,TP!$L:$L,$X$31,TP!$I:$I,$V$29,TP!$J:$J,$V$30,TP!$F:$F,Parkki!$Y$9)</f>
        <v>0</v>
      </c>
      <c r="AS352" s="111">
        <f>SUMIFS(TP!$P:$P,TP!$AI:$AI,$W$7,TP!$R:$R,$X$9,TP!$U:$U,$AP352,TP!$W:$W,$X$8,TP!$X:$X,$X$5,TP!$AD:$AD,$X$9,TP!$AF:$AF,$X$32,TP!$Q:$Q,$Y$4,TP!$AG:$AG,$Y$5,TP!$V:$V,$Y$7,TP!AL:AL,1,TP!$AN:$AN,Parkki!$Y$16,TP!$L:$L,$X$31,TP!$I:$I,$V$29,TP!$J:$J,$V$30,TP!$F:$F,Parkki!$Y$9)</f>
        <v>0</v>
      </c>
    </row>
    <row r="353" spans="1:45" x14ac:dyDescent="0.25">
      <c r="A353" s="797"/>
      <c r="B353" s="518" t="s">
        <v>1455</v>
      </c>
      <c r="C353" s="419">
        <f>SUMIFS(TP!$P:$P,TP!$AI:$AI,$W$7,TP!$R:$R,$X$9,TP!$U:$U,$AK353,TP!$W:$W,$X$8,TP!$X:$X,$X$5,TP!$AD:$AD,$X$9,TP!$AF:$AF,$X$32,TP!$Q:$Q,$Y$4,TP!$AG:$AG,$Y$5,TP!AL:AL,1,TP!$AN:$AN,Parkki!$Y$16,TP!$L:$L,$X$31,TP!$I:$I,$V$29,TP!$J:$J,$V$30,TP!$F:$F,Parkki!$Y$9)+AM353+AQ353</f>
        <v>0</v>
      </c>
      <c r="D353" s="552" t="str">
        <f t="shared" si="43"/>
        <v>-</v>
      </c>
      <c r="E353" s="419">
        <f>SUMIFS(TP!$P:$P,TP!$AI:$AI,$W$7,TP!$R:$R,$X$9,TP!$U:$U,$AK353,TP!$W:$W,$X$8,TP!$X:$X,$X$5,TP!$AD:$AD,$X$9,TP!$AF:$AF,$X$32,TP!$Q:$Q,$Y$4,TP!$AG:$AG,$Y$5,TP!$V:$V,$X$7,TP!AL:AL,1,TP!$AN:$AN,Parkki!$Y$16,TP!$L:$L,$X$31,TP!$I:$I,$V$29,TP!$J:$J,$V$30,TP!$F:$F,Parkki!$Y$9)+AN353+AR353</f>
        <v>0</v>
      </c>
      <c r="F353" s="419">
        <f>SUMIFS(TP!$P:$P,TP!$AI:$AI,$W$7,TP!$R:$R,$X$9,TP!$U:$U,$AK353,TP!$W:$W,$X$8,TP!$X:$X,$X$5,TP!$AD:$AD,$X$9,TP!$AF:$AF,$X$32,TP!$Q:$Q,$Y$4,TP!$AG:$AG,$Y$5,TP!$V:$V,$Y$7,TP!AL:AL,1,TP!$AN:$AN,Parkki!$Y$16,TP!$L:$L,$X$31,TP!$I:$I,$V$29,TP!$J:$J,$V$30,TP!$F:$F,Parkki!$Y$9)+AO353+AS353</f>
        <v>0</v>
      </c>
      <c r="G353" s="555" t="str">
        <f t="shared" si="38"/>
        <v>Ammatilliset perusopinnot</v>
      </c>
      <c r="H353" s="556" t="str">
        <f t="shared" si="39"/>
        <v>-</v>
      </c>
      <c r="I353" s="675"/>
      <c r="J353" s="675"/>
      <c r="K353" s="675"/>
      <c r="L353" s="260"/>
      <c r="AH353" s="660"/>
      <c r="AI353" s="701" t="s">
        <v>1455</v>
      </c>
      <c r="AK353" s="15" t="s">
        <v>1240</v>
      </c>
      <c r="AL353" s="688" t="s">
        <v>310</v>
      </c>
      <c r="AM353" s="683">
        <f>SUMIFS(TP!$P:$P,TP!$AI:$AI,$W$7,TP!$R:$R,$X$9,TP!$U:$U,$AL353,TP!$W:$W,$X$8,TP!$X:$X,$X$5,TP!$AD:$AD,$X$9,TP!$AF:$AF,$X$32,TP!$Q:$Q,$Y$4,TP!$AG:$AG,$Y$5,TP!AL:AL,1,TP!$AN:$AN,Parkki!$Y$16,TP!$L:$L,$X$31,TP!$I:$I,$V$29,TP!$J:$J,$V$30,TP!$F:$F,Parkki!$Y$9)</f>
        <v>0</v>
      </c>
      <c r="AN353" s="683">
        <f>SUMIFS(TP!$P:$P,TP!$AI:$AI,$W$7,TP!$R:$R,$X$9,TP!$U:$U,$AL353,TP!$W:$W,$X$8,TP!$X:$X,$X$5,TP!$AD:$AD,$X$9,TP!$AF:$AF,$X$32,TP!$Q:$Q,$Y$4,TP!$AG:$AG,$Y$5,TP!$V:$V,$X$7,TP!AL:AL,1,TP!$AN:$AN,Parkki!$Y$16,TP!$L:$L,$X$31,TP!$I:$I,$V$29,TP!$J:$J,$V$30,TP!$F:$F,Parkki!$Y$9)</f>
        <v>0</v>
      </c>
      <c r="AO353" s="683">
        <f>SUMIFS(TP!$P:$P,TP!$AI:$AI,$W$7,TP!$R:$R,$X$9,TP!$U:$U,$AL353,TP!$W:$W,$X$8,TP!$X:$X,$X$5,TP!$AD:$AD,$X$9,TP!$AF:$AF,$X$32,TP!$Q:$Q,$Y$4,TP!$AG:$AG,$Y$5,TP!$V:$V,$Y$7,TP!AL:AL,1,TP!$AN:$AN,Parkki!$Y$16,TP!$L:$L,$X$31,TP!$I:$I,$V$29,TP!$J:$J,$V$30,TP!$F:$F,Parkki!$Y$9)</f>
        <v>0</v>
      </c>
      <c r="AP353" s="688" t="s">
        <v>297</v>
      </c>
      <c r="AQ353" s="683">
        <f>SUMIFS(TP!$P:$P,TP!$AI:$AI,$W$7,TP!$R:$R,$X$9,TP!$U:$U,$AP353,TP!$W:$W,$X$8,TP!$X:$X,$X$5,TP!$AD:$AD,$X$9,TP!$AF:$AF,$X$32,TP!$Q:$Q,$Y$4,TP!$AG:$AG,$Y$5,TP!AL:AL,1,TP!$AN:$AN,Parkki!$Y$16,TP!$L:$L,$X$31,TP!$I:$I,$V$29,TP!$J:$J,$V$30,TP!$F:$F,Parkki!$Y$9)</f>
        <v>0</v>
      </c>
      <c r="AR353" s="111">
        <f>SUMIFS(TP!$P:$P,TP!$AI:$AI,$W$7,TP!$R:$R,$X$9,TP!$U:$U,$AP353,TP!$W:$W,$X$8,TP!$X:$X,$X$5,TP!$AD:$AD,$X$9,TP!$AF:$AF,$X$32,TP!$Q:$Q,$Y$4,TP!$AG:$AG,$Y$5,TP!$V:$V,$X$7,TP!AL:AL,1,TP!$AN:$AN,Parkki!$Y$16,TP!$L:$L,$X$31,TP!$I:$I,$V$29,TP!$J:$J,$V$30,TP!$F:$F,Parkki!$Y$9)</f>
        <v>0</v>
      </c>
      <c r="AS353" s="111">
        <f>SUMIFS(TP!$P:$P,TP!$AI:$AI,$W$7,TP!$R:$R,$X$9,TP!$U:$U,$AP353,TP!$W:$W,$X$8,TP!$X:$X,$X$5,TP!$AD:$AD,$X$9,TP!$AF:$AF,$X$32,TP!$Q:$Q,$Y$4,TP!$AG:$AG,$Y$5,TP!$V:$V,$Y$7,TP!AL:AL,1,TP!$AN:$AN,Parkki!$Y$16,TP!$L:$L,$X$31,TP!$I:$I,$V$29,TP!$J:$J,$V$30,TP!$F:$F,Parkki!$Y$9)</f>
        <v>0</v>
      </c>
    </row>
    <row r="354" spans="1:45" x14ac:dyDescent="0.25">
      <c r="A354" s="797"/>
      <c r="B354" s="518" t="s">
        <v>1150</v>
      </c>
      <c r="C354" s="419">
        <f>SUMIFS(TP!$P:$P,TP!$AI:$AI,$W$7,TP!$R:$R,$X$9,TP!$U:$U,$AK354,TP!$W:$W,$X$8,TP!$X:$X,$X$5,TP!$AD:$AD,$X$9,TP!$AF:$AF,$X$32,TP!$Q:$Q,$Y$4,TP!$AG:$AG,$Y$5,TP!AL:AL,1,TP!$AN:$AN,Parkki!$Y$16,TP!$L:$L,$X$31,TP!$I:$I,$V$29,TP!$J:$J,$V$30,TP!$F:$F,Parkki!$Y$9)+AM354+AQ354</f>
        <v>0</v>
      </c>
      <c r="D354" s="552" t="str">
        <f t="shared" si="43"/>
        <v>-</v>
      </c>
      <c r="E354" s="419">
        <f>SUMIFS(TP!$P:$P,TP!$AI:$AI,$W$7,TP!$R:$R,$X$9,TP!$U:$U,$AK354,TP!$W:$W,$X$8,TP!$X:$X,$X$5,TP!$AD:$AD,$X$9,TP!$AF:$AF,$X$32,TP!$Q:$Q,$Y$4,TP!$AG:$AG,$Y$5,TP!$V:$V,$X$7,TP!AL:AL,1,TP!$AN:$AN,Parkki!$Y$16,TP!$L:$L,$X$31,TP!$I:$I,$V$29,TP!$J:$J,$V$30,TP!$F:$F,Parkki!$Y$9)+AN354+AR354</f>
        <v>0</v>
      </c>
      <c r="F354" s="419">
        <f>SUMIFS(TP!$P:$P,TP!$AI:$AI,$W$7,TP!$R:$R,$X$9,TP!$U:$U,$AK354,TP!$W:$W,$X$8,TP!$X:$X,$X$5,TP!$AD:$AD,$X$9,TP!$AF:$AF,$X$32,TP!$Q:$Q,$Y$4,TP!$AG:$AG,$Y$5,TP!$V:$V,$Y$7,TP!AL:AL,1,TP!$AN:$AN,Parkki!$Y$16,TP!$L:$L,$X$31,TP!$I:$I,$V$29,TP!$J:$J,$V$30,TP!$F:$F,Parkki!$Y$9)+AO354+AS354</f>
        <v>0</v>
      </c>
      <c r="G354" s="555" t="str">
        <f t="shared" si="38"/>
        <v>Muut ammatilliset opinnot</v>
      </c>
      <c r="H354" s="556" t="str">
        <f t="shared" si="39"/>
        <v>-</v>
      </c>
      <c r="I354" s="675"/>
      <c r="J354" s="675"/>
      <c r="K354" s="675"/>
      <c r="L354" s="260"/>
      <c r="AH354" s="660"/>
      <c r="AI354" s="702" t="s">
        <v>1150</v>
      </c>
      <c r="AK354" s="700" t="s">
        <v>307</v>
      </c>
      <c r="AL354" s="686"/>
      <c r="AM354" s="683">
        <f>SUMIFS(TP!$P:$P,TP!$AI:$AI,$W$7,TP!$R:$R,$X$9,TP!$U:$U,$AL354,TP!$W:$W,$X$8,TP!$X:$X,$X$5,TP!$AD:$AD,$X$9,TP!$AF:$AF,$X$32,TP!$Q:$Q,$Y$4,TP!$AG:$AG,$Y$5,TP!AL:AL,1,TP!$AN:$AN,Parkki!$Y$16,TP!$L:$L,$X$31,TP!$I:$I,$V$29,TP!$J:$J,$V$30,TP!$F:$F,Parkki!$Y$9)</f>
        <v>0</v>
      </c>
      <c r="AN354" s="683">
        <f>SUMIFS(TP!$P:$P,TP!$AI:$AI,$W$7,TP!$R:$R,$X$9,TP!$U:$U,$AL354,TP!$W:$W,$X$8,TP!$X:$X,$X$5,TP!$AD:$AD,$X$9,TP!$AF:$AF,$X$32,TP!$Q:$Q,$Y$4,TP!$AG:$AG,$Y$5,TP!$V:$V,$X$7,TP!AL:AL,1,TP!$AN:$AN,Parkki!$Y$16,TP!$L:$L,$X$31,TP!$I:$I,$V$29,TP!$J:$J,$V$30,TP!$F:$F,Parkki!$Y$9)</f>
        <v>0</v>
      </c>
      <c r="AO354" s="683">
        <f>SUMIFS(TP!$P:$P,TP!$AI:$AI,$W$7,TP!$R:$R,$X$9,TP!$U:$U,$AL354,TP!$W:$W,$X$8,TP!$X:$X,$X$5,TP!$AD:$AD,$X$9,TP!$AF:$AF,$X$32,TP!$Q:$Q,$Y$4,TP!$AG:$AG,$Y$5,TP!$V:$V,$Y$7,TP!AL:AL,1,TP!$AN:$AN,Parkki!$Y$16,TP!$L:$L,$X$31,TP!$I:$I,$V$29,TP!$J:$J,$V$30,TP!$F:$F,Parkki!$Y$9)</f>
        <v>0</v>
      </c>
      <c r="AQ354" s="683">
        <f>SUMIFS(TP!$P:$P,TP!$AI:$AI,$W$7,TP!$R:$R,$X$9,TP!$U:$U,$AP354,TP!$W:$W,$X$8,TP!$X:$X,$X$5,TP!$AD:$AD,$X$9,TP!$AF:$AF,$X$32,TP!$Q:$Q,$Y$4,TP!$AG:$AG,$Y$5,TP!AL:AL,1,TP!$AN:$AN,Parkki!$Y$16,TP!$L:$L,$X$31,TP!$I:$I,$V$29,TP!$J:$J,$V$30,TP!$F:$F,Parkki!$Y$9)</f>
        <v>0</v>
      </c>
      <c r="AR354" s="111">
        <f>SUMIFS(TP!$P:$P,TP!$AI:$AI,$W$7,TP!$R:$R,$X$9,TP!$U:$U,$AP354,TP!$W:$W,$X$8,TP!$X:$X,$X$5,TP!$AD:$AD,$X$9,TP!$AF:$AF,$X$32,TP!$Q:$Q,$Y$4,TP!$AG:$AG,$Y$5,TP!$V:$V,$X$7,TP!AL:AL,1,TP!$AN:$AN,Parkki!$Y$16,TP!$L:$L,$X$31,TP!$I:$I,$V$29,TP!$J:$J,$V$30,TP!$F:$F,Parkki!$Y$9)</f>
        <v>0</v>
      </c>
      <c r="AS354" s="111">
        <f>SUMIFS(TP!$P:$P,TP!$AI:$AI,$W$7,TP!$R:$R,$X$9,TP!$U:$U,$AP354,TP!$W:$W,$X$8,TP!$X:$X,$X$5,TP!$AD:$AD,$X$9,TP!$AF:$AF,$X$32,TP!$Q:$Q,$Y$4,TP!$AG:$AG,$Y$5,TP!$V:$V,$Y$7,TP!AL:AL,1,TP!$AN:$AN,Parkki!$Y$16,TP!$L:$L,$X$31,TP!$I:$I,$V$29,TP!$J:$J,$V$30,TP!$F:$F,Parkki!$Y$9)</f>
        <v>0</v>
      </c>
    </row>
    <row r="355" spans="1:45" x14ac:dyDescent="0.25">
      <c r="A355" s="797"/>
      <c r="B355" s="518" t="s">
        <v>1151</v>
      </c>
      <c r="C355" s="419">
        <f>SUMIFS(TP!$P:$P,TP!$AI:$AI,$W$7,TP!$R:$R,$X$9,TP!$U:$U,$AK355,TP!$W:$W,$X$8,TP!$X:$X,$X$5,TP!$AD:$AD,$X$9,TP!$AF:$AF,$X$32,TP!$Q:$Q,$Y$4,TP!$AG:$AG,$Y$5,TP!AL:AL,1,TP!$AN:$AN,Parkki!$Y$16,TP!$L:$L,$X$31,TP!$I:$I,$V$29,TP!$J:$J,$V$30,TP!$F:$F,Parkki!$Y$9)+AM355+AQ355</f>
        <v>0</v>
      </c>
      <c r="D355" s="552" t="str">
        <f t="shared" si="43"/>
        <v>-</v>
      </c>
      <c r="E355" s="419">
        <f>SUMIFS(TP!$P:$P,TP!$AI:$AI,$W$7,TP!$R:$R,$X$9,TP!$U:$U,$AK355,TP!$W:$W,$X$8,TP!$X:$X,$X$5,TP!$AD:$AD,$X$9,TP!$AF:$AF,$X$32,TP!$Q:$Q,$Y$4,TP!$AG:$AG,$Y$5,TP!$V:$V,$X$7,TP!AL:AL,1,TP!$AN:$AN,Parkki!$Y$16,TP!$L:$L,$X$31,TP!$I:$I,$V$29,TP!$J:$J,$V$30,TP!$F:$F,Parkki!$Y$9)+AN355+AR355</f>
        <v>0</v>
      </c>
      <c r="F355" s="419">
        <f>SUMIFS(TP!$P:$P,TP!$AI:$AI,$W$7,TP!$R:$R,$X$9,TP!$U:$U,$AK355,TP!$W:$W,$X$8,TP!$X:$X,$X$5,TP!$AD:$AD,$X$9,TP!$AF:$AF,$X$32,TP!$Q:$Q,$Y$4,TP!$AG:$AG,$Y$5,TP!$V:$V,$Y$7,TP!AL:AL,1,TP!$AN:$AN,Parkki!$Y$16,TP!$L:$L,$X$31,TP!$I:$I,$V$29,TP!$J:$J,$V$30,TP!$F:$F,Parkki!$Y$9)+AO355+AS355</f>
        <v>0</v>
      </c>
      <c r="G355" s="555" t="str">
        <f t="shared" si="38"/>
        <v>Oppisopimuskoulutus</v>
      </c>
      <c r="H355" s="556" t="str">
        <f t="shared" si="39"/>
        <v>-</v>
      </c>
      <c r="I355" s="675"/>
      <c r="J355" s="675"/>
      <c r="K355" s="675"/>
      <c r="L355" s="260"/>
      <c r="AH355" s="660"/>
      <c r="AI355" s="702" t="s">
        <v>1151</v>
      </c>
      <c r="AK355" s="700" t="s">
        <v>287</v>
      </c>
      <c r="AL355" s="686"/>
      <c r="AM355" s="683">
        <f>SUMIFS(TP!$P:$P,TP!$AI:$AI,$W$7,TP!$R:$R,$X$9,TP!$U:$U,$AL355,TP!$W:$W,$X$8,TP!$X:$X,$X$5,TP!$AD:$AD,$X$9,TP!$AF:$AF,$X$32,TP!$Q:$Q,$Y$4,TP!$AG:$AG,$Y$5,TP!AL:AL,1,TP!$AN:$AN,Parkki!$Y$16,TP!$L:$L,$X$31,TP!$I:$I,$V$29,TP!$J:$J,$V$30,TP!$F:$F,Parkki!$Y$9)</f>
        <v>0</v>
      </c>
      <c r="AN355" s="683">
        <f>SUMIFS(TP!$P:$P,TP!$AI:$AI,$W$7,TP!$R:$R,$X$9,TP!$U:$U,$AL355,TP!$W:$W,$X$8,TP!$X:$X,$X$5,TP!$AD:$AD,$X$9,TP!$AF:$AF,$X$32,TP!$Q:$Q,$Y$4,TP!$AG:$AG,$Y$5,TP!$V:$V,$X$7,TP!AL:AL,1,TP!$AN:$AN,Parkki!$Y$16,TP!$L:$L,$X$31,TP!$I:$I,$V$29,TP!$J:$J,$V$30,TP!$F:$F,Parkki!$Y$9)</f>
        <v>0</v>
      </c>
      <c r="AO355" s="683">
        <f>SUMIFS(TP!$P:$P,TP!$AI:$AI,$W$7,TP!$R:$R,$X$9,TP!$U:$U,$AL355,TP!$W:$W,$X$8,TP!$X:$X,$X$5,TP!$AD:$AD,$X$9,TP!$AF:$AF,$X$32,TP!$Q:$Q,$Y$4,TP!$AG:$AG,$Y$5,TP!$V:$V,$Y$7,TP!AL:AL,1,TP!$AN:$AN,Parkki!$Y$16,TP!$L:$L,$X$31,TP!$I:$I,$V$29,TP!$J:$J,$V$30,TP!$F:$F,Parkki!$Y$9)</f>
        <v>0</v>
      </c>
      <c r="AQ355" s="683">
        <f>SUMIFS(TP!$P:$P,TP!$AI:$AI,$W$7,TP!$R:$R,$X$9,TP!$U:$U,$AP355,TP!$W:$W,$X$8,TP!$X:$X,$X$5,TP!$AD:$AD,$X$9,TP!$AF:$AF,$X$32,TP!$Q:$Q,$Y$4,TP!$AG:$AG,$Y$5,TP!AL:AL,1,TP!$AN:$AN,Parkki!$Y$16,TP!$L:$L,$X$31,TP!$I:$I,$V$29,TP!$J:$J,$V$30,TP!$F:$F,Parkki!$Y$9)</f>
        <v>0</v>
      </c>
      <c r="AR355" s="111">
        <f>SUMIFS(TP!$P:$P,TP!$AI:$AI,$W$7,TP!$R:$R,$X$9,TP!$U:$U,$AP355,TP!$W:$W,$X$8,TP!$X:$X,$X$5,TP!$AD:$AD,$X$9,TP!$AF:$AF,$X$32,TP!$Q:$Q,$Y$4,TP!$AG:$AG,$Y$5,TP!$V:$V,$X$7,TP!AL:AL,1,TP!$AN:$AN,Parkki!$Y$16,TP!$L:$L,$X$31,TP!$I:$I,$V$29,TP!$J:$J,$V$30,TP!$F:$F,Parkki!$Y$9)</f>
        <v>0</v>
      </c>
      <c r="AS355" s="111">
        <f>SUMIFS(TP!$P:$P,TP!$AI:$AI,$W$7,TP!$R:$R,$X$9,TP!$U:$U,$AP355,TP!$W:$W,$X$8,TP!$X:$X,$X$5,TP!$AD:$AD,$X$9,TP!$AF:$AF,$X$32,TP!$Q:$Q,$Y$4,TP!$AG:$AG,$Y$5,TP!$V:$V,$Y$7,TP!AL:AL,1,TP!$AN:$AN,Parkki!$Y$16,TP!$L:$L,$X$31,TP!$I:$I,$V$29,TP!$J:$J,$V$30,TP!$F:$F,Parkki!$Y$9)</f>
        <v>0</v>
      </c>
    </row>
    <row r="356" spans="1:45" x14ac:dyDescent="0.25">
      <c r="A356" s="797"/>
      <c r="B356" s="518" t="s">
        <v>1456</v>
      </c>
      <c r="C356" s="419">
        <f>SUMIFS(TP!$P:$P,TP!$AI:$AI,$W$7,TP!$R:$R,$X$9,TP!$U:$U,$AK356,TP!$W:$W,$X$8,TP!$X:$X,$X$5,TP!$AD:$AD,$X$9,TP!$AF:$AF,$X$32,TP!$Q:$Q,$Y$4,TP!$AG:$AG,$Y$5,TP!AL:AL,1,TP!$AN:$AN,Parkki!$Y$16,TP!$L:$L,$X$31,TP!$I:$I,$V$29,TP!$J:$J,$V$30,TP!$F:$F,Parkki!$Y$9)+AM356+AQ356</f>
        <v>0</v>
      </c>
      <c r="D356" s="552" t="str">
        <f t="shared" si="43"/>
        <v>-</v>
      </c>
      <c r="E356" s="419">
        <f>SUMIFS(TP!$P:$P,TP!$AI:$AI,$W$7,TP!$R:$R,$X$9,TP!$U:$U,$AK356,TP!$W:$W,$X$8,TP!$X:$X,$X$5,TP!$AD:$AD,$X$9,TP!$AF:$AF,$X$32,TP!$Q:$Q,$Y$4,TP!$AG:$AG,$Y$5,TP!$V:$V,$X$7,TP!AL:AL,1,TP!$AN:$AN,Parkki!$Y$16,TP!$L:$L,$X$31,TP!$I:$I,$V$29,TP!$J:$J,$V$30,TP!$F:$F,Parkki!$Y$9)+AN356+AR356</f>
        <v>0</v>
      </c>
      <c r="F356" s="419">
        <f>SUMIFS(TP!$P:$P,TP!$AI:$AI,$W$7,TP!$R:$R,$X$9,TP!$U:$U,$AK356,TP!$W:$W,$X$8,TP!$X:$X,$X$5,TP!$AD:$AD,$X$9,TP!$AF:$AF,$X$32,TP!$Q:$Q,$Y$4,TP!$AG:$AG,$Y$5,TP!$V:$V,$Y$7,TP!AL:AL,1,TP!$AN:$AN,Parkki!$Y$16,TP!$L:$L,$X$31,TP!$I:$I,$V$29,TP!$J:$J,$V$30,TP!$F:$F,Parkki!$Y$9)+AO356+AS356</f>
        <v>0</v>
      </c>
      <c r="G356" s="555" t="str">
        <f t="shared" si="38"/>
        <v>Korkeakouluopinnot</v>
      </c>
      <c r="H356" s="556" t="str">
        <f t="shared" si="39"/>
        <v>-</v>
      </c>
      <c r="I356" s="675"/>
      <c r="J356" s="675"/>
      <c r="K356" s="675"/>
      <c r="L356" s="260"/>
      <c r="AH356" s="660"/>
      <c r="AI356" s="708" t="s">
        <v>1456</v>
      </c>
      <c r="AK356" s="15" t="s">
        <v>1223</v>
      </c>
      <c r="AL356" s="686"/>
      <c r="AM356" s="683">
        <f>SUMIFS(TP!$P:$P,TP!$AI:$AI,$W$7,TP!$R:$R,$X$9,TP!$U:$U,$AL356,TP!$W:$W,$X$8,TP!$X:$X,$X$5,TP!$AD:$AD,$X$9,TP!$AF:$AF,$X$32,TP!$Q:$Q,$Y$4,TP!$AG:$AG,$Y$5,TP!AL:AL,1,TP!$AN:$AN,Parkki!$Y$16,TP!$L:$L,$X$31,TP!$I:$I,$V$29,TP!$J:$J,$V$30,TP!$F:$F,Parkki!$Y$9)</f>
        <v>0</v>
      </c>
      <c r="AN356" s="683">
        <f>SUMIFS(TP!$P:$P,TP!$AI:$AI,$W$7,TP!$R:$R,$X$9,TP!$U:$U,$AL356,TP!$W:$W,$X$8,TP!$X:$X,$X$5,TP!$AD:$AD,$X$9,TP!$AF:$AF,$X$32,TP!$Q:$Q,$Y$4,TP!$AG:$AG,$Y$5,TP!$V:$V,$X$7,TP!AL:AL,1,TP!$AN:$AN,Parkki!$Y$16,TP!$L:$L,$X$31,TP!$I:$I,$V$29,TP!$J:$J,$V$30,TP!$F:$F,Parkki!$Y$9)</f>
        <v>0</v>
      </c>
      <c r="AO356" s="683">
        <f>SUMIFS(TP!$P:$P,TP!$AI:$AI,$W$7,TP!$R:$R,$X$9,TP!$U:$U,$AL356,TP!$W:$W,$X$8,TP!$X:$X,$X$5,TP!$AD:$AD,$X$9,TP!$AF:$AF,$X$32,TP!$Q:$Q,$Y$4,TP!$AG:$AG,$Y$5,TP!$V:$V,$Y$7,TP!AL:AL,1,TP!$AN:$AN,Parkki!$Y$16,TP!$L:$L,$X$31,TP!$I:$I,$V$29,TP!$J:$J,$V$30,TP!$F:$F,Parkki!$Y$9)</f>
        <v>0</v>
      </c>
      <c r="AQ356" s="683">
        <f>SUMIFS(TP!$P:$P,TP!$AI:$AI,$W$7,TP!$R:$R,$X$9,TP!$U:$U,$AP356,TP!$W:$W,$X$8,TP!$X:$X,$X$5,TP!$AD:$AD,$X$9,TP!$AF:$AF,$X$32,TP!$Q:$Q,$Y$4,TP!$AG:$AG,$Y$5,TP!AL:AL,1,TP!$AN:$AN,Parkki!$Y$16,TP!$L:$L,$X$31,TP!$I:$I,$V$29,TP!$J:$J,$V$30,TP!$F:$F,Parkki!$Y$9)</f>
        <v>0</v>
      </c>
      <c r="AR356" s="111">
        <f>SUMIFS(TP!$P:$P,TP!$AI:$AI,$W$7,TP!$R:$R,$X$9,TP!$U:$U,$AP356,TP!$W:$W,$X$8,TP!$X:$X,$X$5,TP!$AD:$AD,$X$9,TP!$AF:$AF,$X$32,TP!$Q:$Q,$Y$4,TP!$AG:$AG,$Y$5,TP!$V:$V,$X$7,TP!AL:AL,1,TP!$AN:$AN,Parkki!$Y$16,TP!$L:$L,$X$31,TP!$I:$I,$V$29,TP!$J:$J,$V$30,TP!$F:$F,Parkki!$Y$9)</f>
        <v>0</v>
      </c>
      <c r="AS356" s="111">
        <f>SUMIFS(TP!$P:$P,TP!$AI:$AI,$W$7,TP!$R:$R,$X$9,TP!$U:$U,$AP356,TP!$W:$W,$X$8,TP!$X:$X,$X$5,TP!$AD:$AD,$X$9,TP!$AF:$AF,$X$32,TP!$Q:$Q,$Y$4,TP!$AG:$AG,$Y$5,TP!$V:$V,$Y$7,TP!AL:AL,1,TP!$AN:$AN,Parkki!$Y$16,TP!$L:$L,$X$31,TP!$I:$I,$V$29,TP!$J:$J,$V$30,TP!$F:$F,Parkki!$Y$9)</f>
        <v>0</v>
      </c>
    </row>
    <row r="357" spans="1:45" x14ac:dyDescent="0.25">
      <c r="A357" s="797"/>
      <c r="B357" s="518" t="s">
        <v>1457</v>
      </c>
      <c r="C357" s="419">
        <f>SUMIFS(TP!$P:$P,TP!$AI:$AI,$W$7,TP!$R:$R,$X$9,TP!$U:$U,$AK357,TP!$W:$W,$X$8,TP!$X:$X,$X$5,TP!$AD:$AD,$X$9,TP!$AF:$AF,$X$32,TP!$Q:$Q,$Y$4,TP!$AG:$AG,$Y$5,TP!AL:AL,1,TP!$AN:$AN,Parkki!$Y$16,TP!$L:$L,$X$31,TP!$I:$I,$V$29,TP!$J:$J,$V$30,TP!$F:$F,Parkki!$Y$9)+AM357+AQ357</f>
        <v>0</v>
      </c>
      <c r="D357" s="552" t="str">
        <f t="shared" si="43"/>
        <v>-</v>
      </c>
      <c r="E357" s="419">
        <f>SUMIFS(TP!$P:$P,TP!$AI:$AI,$W$7,TP!$R:$R,$X$9,TP!$U:$U,$AK357,TP!$W:$W,$X$8,TP!$X:$X,$X$5,TP!$AD:$AD,$X$9,TP!$AF:$AF,$X$32,TP!$Q:$Q,$Y$4,TP!$AG:$AG,$Y$5,TP!$V:$V,$X$7,TP!AL:AL,1,TP!$AN:$AN,Parkki!$Y$16,TP!$L:$L,$X$31,TP!$I:$I,$V$29,TP!$J:$J,$V$30,TP!$F:$F,Parkki!$Y$9)+AN357+AR357</f>
        <v>0</v>
      </c>
      <c r="F357" s="419">
        <f>SUMIFS(TP!$P:$P,TP!$AI:$AI,$W$7,TP!$R:$R,$X$9,TP!$U:$U,$AK357,TP!$W:$W,$X$8,TP!$X:$X,$X$5,TP!$AD:$AD,$X$9,TP!$AF:$AF,$X$32,TP!$Q:$Q,$Y$4,TP!$AG:$AG,$Y$5,TP!$V:$V,$Y$7,TP!AL:AL,1,TP!$AN:$AN,Parkki!$Y$16,TP!$L:$L,$X$31,TP!$I:$I,$V$29,TP!$J:$J,$V$30,TP!$F:$F,Parkki!$Y$9)+AO357+AS357</f>
        <v>0</v>
      </c>
      <c r="G357" s="555" t="str">
        <f t="shared" si="38"/>
        <v>Kansanopiston opinnot</v>
      </c>
      <c r="H357" s="556" t="str">
        <f t="shared" si="39"/>
        <v>-</v>
      </c>
      <c r="I357" s="675"/>
      <c r="J357" s="675"/>
      <c r="K357" s="675"/>
      <c r="L357" s="260"/>
      <c r="AH357" s="660"/>
      <c r="AI357" s="708" t="s">
        <v>1457</v>
      </c>
      <c r="AK357" s="15" t="s">
        <v>1242</v>
      </c>
      <c r="AL357" s="686"/>
      <c r="AM357" s="683">
        <f>SUMIFS(TP!$P:$P,TP!$AI:$AI,$W$7,TP!$R:$R,$X$9,TP!$U:$U,$AL357,TP!$W:$W,$X$8,TP!$X:$X,$X$5,TP!$AD:$AD,$X$9,TP!$AF:$AF,$X$32,TP!$Q:$Q,$Y$4,TP!$AG:$AG,$Y$5,TP!AL:AL,1,TP!$AN:$AN,Parkki!$Y$16,TP!$L:$L,$X$31,TP!$I:$I,$V$29,TP!$J:$J,$V$30,TP!$F:$F,Parkki!$Y$9)</f>
        <v>0</v>
      </c>
      <c r="AN357" s="683">
        <f>SUMIFS(TP!$P:$P,TP!$AI:$AI,$W$7,TP!$R:$R,$X$9,TP!$U:$U,$AL357,TP!$W:$W,$X$8,TP!$X:$X,$X$5,TP!$AD:$AD,$X$9,TP!$AF:$AF,$X$32,TP!$Q:$Q,$Y$4,TP!$AG:$AG,$Y$5,TP!$V:$V,$X$7,TP!AL:AL,1,TP!$AN:$AN,Parkki!$Y$16,TP!$L:$L,$X$31,TP!$I:$I,$V$29,TP!$J:$J,$V$30,TP!$F:$F,Parkki!$Y$9)</f>
        <v>0</v>
      </c>
      <c r="AO357" s="683">
        <f>SUMIFS(TP!$P:$P,TP!$AI:$AI,$W$7,TP!$R:$R,$X$9,TP!$U:$U,$AL357,TP!$W:$W,$X$8,TP!$X:$X,$X$5,TP!$AD:$AD,$X$9,TP!$AF:$AF,$X$32,TP!$Q:$Q,$Y$4,TP!$AG:$AG,$Y$5,TP!$V:$V,$Y$7,TP!AL:AL,1,TP!$AN:$AN,Parkki!$Y$16,TP!$L:$L,$X$31,TP!$I:$I,$V$29,TP!$J:$J,$V$30,TP!$F:$F,Parkki!$Y$9)</f>
        <v>0</v>
      </c>
      <c r="AQ357" s="683">
        <f>SUMIFS(TP!$P:$P,TP!$AI:$AI,$W$7,TP!$R:$R,$X$9,TP!$U:$U,$AP357,TP!$W:$W,$X$8,TP!$X:$X,$X$5,TP!$AD:$AD,$X$9,TP!$AF:$AF,$X$32,TP!$Q:$Q,$Y$4,TP!$AG:$AG,$Y$5,TP!AL:AL,1,TP!$AN:$AN,Parkki!$Y$16,TP!$L:$L,$X$31,TP!$I:$I,$V$29,TP!$J:$J,$V$30,TP!$F:$F,Parkki!$Y$9)</f>
        <v>0</v>
      </c>
      <c r="AR357" s="111">
        <f>SUMIFS(TP!$P:$P,TP!$AI:$AI,$W$7,TP!$R:$R,$X$9,TP!$U:$U,$AP357,TP!$W:$W,$X$8,TP!$X:$X,$X$5,TP!$AD:$AD,$X$9,TP!$AF:$AF,$X$32,TP!$Q:$Q,$Y$4,TP!$AG:$AG,$Y$5,TP!$V:$V,$X$7,TP!AL:AL,1,TP!$AN:$AN,Parkki!$Y$16,TP!$L:$L,$X$31,TP!$I:$I,$V$29,TP!$J:$J,$V$30,TP!$F:$F,Parkki!$Y$9)</f>
        <v>0</v>
      </c>
      <c r="AS357" s="111">
        <f>SUMIFS(TP!$P:$P,TP!$AI:$AI,$W$7,TP!$R:$R,$X$9,TP!$U:$U,$AP357,TP!$W:$W,$X$8,TP!$X:$X,$X$5,TP!$AD:$AD,$X$9,TP!$AF:$AF,$X$32,TP!$Q:$Q,$Y$4,TP!$AG:$AG,$Y$5,TP!$V:$V,$Y$7,TP!AL:AL,1,TP!$AN:$AN,Parkki!$Y$16,TP!$L:$L,$X$31,TP!$I:$I,$V$29,TP!$J:$J,$V$30,TP!$F:$F,Parkki!$Y$9)</f>
        <v>0</v>
      </c>
    </row>
    <row r="358" spans="1:45" x14ac:dyDescent="0.25">
      <c r="A358" s="798"/>
      <c r="B358" s="518" t="s">
        <v>95</v>
      </c>
      <c r="C358" s="419">
        <f>SUMIFS(TP!$P:$P,TP!$AI:$AI,$W$7,TP!$R:$R,$X$9,TP!$U:$U,$AK358,TP!$W:$W,$X$8,TP!$X:$X,$X$5,TP!$AD:$AD,$X$9,TP!$AF:$AF,$X$32,TP!$Q:$Q,$Y$4,TP!$AG:$AG,$Y$5,TP!AL:AL,1,TP!$AN:$AN,Parkki!$Y$16,TP!$L:$L,$X$31,TP!$I:$I,$V$29,TP!$J:$J,$V$30,TP!$F:$F,Parkki!$Y$9)+AM358+AQ358</f>
        <v>0</v>
      </c>
      <c r="D358" s="552" t="str">
        <f t="shared" si="43"/>
        <v>-</v>
      </c>
      <c r="E358" s="419">
        <f>SUMIFS(TP!$P:$P,TP!$AI:$AI,$W$7,TP!$R:$R,$X$9,TP!$U:$U,$AK358,TP!$W:$W,$X$8,TP!$X:$X,$X$5,TP!$AD:$AD,$X$9,TP!$AF:$AF,$X$32,TP!$Q:$Q,$Y$4,TP!$AG:$AG,$Y$5,TP!$V:$V,$X$7,TP!AL:AL,1,TP!$AN:$AN,Parkki!$Y$16,TP!$L:$L,$X$31,TP!$I:$I,$V$29,TP!$J:$J,$V$30,TP!$F:$F,Parkki!$Y$9)+AN358+AR358</f>
        <v>0</v>
      </c>
      <c r="F358" s="419">
        <f>SUMIFS(TP!$P:$P,TP!$AI:$AI,$W$7,TP!$R:$R,$X$9,TP!$U:$U,$AK358,TP!$W:$W,$X$8,TP!$X:$X,$X$5,TP!$AD:$AD,$X$9,TP!$AF:$AF,$X$32,TP!$Q:$Q,$Y$4,TP!$AG:$AG,$Y$5,TP!$V:$V,$Y$7,TP!AL:AL,1,TP!$AN:$AN,Parkki!$Y$16,TP!$L:$L,$X$31,TP!$I:$I,$V$29,TP!$J:$J,$V$30,TP!$F:$F,Parkki!$Y$9)+AO358+AS358</f>
        <v>0</v>
      </c>
      <c r="G358" s="555" t="str">
        <f t="shared" si="38"/>
        <v>Muu opiskelu</v>
      </c>
      <c r="H358" s="556" t="str">
        <f t="shared" si="39"/>
        <v>-</v>
      </c>
      <c r="I358" s="675"/>
      <c r="J358" s="675"/>
      <c r="K358" s="675"/>
      <c r="L358" s="260"/>
      <c r="AH358" s="663"/>
      <c r="AI358" s="702" t="s">
        <v>95</v>
      </c>
      <c r="AK358" s="700" t="s">
        <v>301</v>
      </c>
      <c r="AL358" s="686"/>
      <c r="AM358" s="683">
        <f>SUMIFS(TP!$P:$P,TP!$AI:$AI,$W$7,TP!$R:$R,$X$9,TP!$U:$U,$AL358,TP!$W:$W,$X$8,TP!$X:$X,$X$5,TP!$AD:$AD,$X$9,TP!$AF:$AF,$X$32,TP!$Q:$Q,$Y$4,TP!$AG:$AG,$Y$5,TP!AL:AL,1,TP!$AN:$AN,Parkki!$Y$16,TP!$L:$L,$X$31,TP!$I:$I,$V$29,TP!$J:$J,$V$30,TP!$F:$F,Parkki!$Y$9)</f>
        <v>0</v>
      </c>
      <c r="AN358" s="683">
        <f>SUMIFS(TP!$P:$P,TP!$AI:$AI,$W$7,TP!$R:$R,$X$9,TP!$U:$U,$AL358,TP!$W:$W,$X$8,TP!$X:$X,$X$5,TP!$AD:$AD,$X$9,TP!$AF:$AF,$X$32,TP!$Q:$Q,$Y$4,TP!$AG:$AG,$Y$5,TP!$V:$V,$X$7,TP!AL:AL,1,TP!$AN:$AN,Parkki!$Y$16,TP!$L:$L,$X$31,TP!$I:$I,$V$29,TP!$J:$J,$V$30,TP!$F:$F,Parkki!$Y$9)</f>
        <v>0</v>
      </c>
      <c r="AO358" s="683">
        <f>SUMIFS(TP!$P:$P,TP!$AI:$AI,$W$7,TP!$R:$R,$X$9,TP!$U:$U,$AL358,TP!$W:$W,$X$8,TP!$X:$X,$X$5,TP!$AD:$AD,$X$9,TP!$AF:$AF,$X$32,TP!$Q:$Q,$Y$4,TP!$AG:$AG,$Y$5,TP!$V:$V,$Y$7,TP!AL:AL,1,TP!$AN:$AN,Parkki!$Y$16,TP!$L:$L,$X$31,TP!$I:$I,$V$29,TP!$J:$J,$V$30,TP!$F:$F,Parkki!$Y$9)</f>
        <v>0</v>
      </c>
      <c r="AQ358" s="683">
        <f>SUMIFS(TP!$P:$P,TP!$AI:$AI,$W$7,TP!$R:$R,$X$9,TP!$U:$U,$AP358,TP!$W:$W,$X$8,TP!$X:$X,$X$5,TP!$AD:$AD,$X$9,TP!$AF:$AF,$X$32,TP!$Q:$Q,$Y$4,TP!$AG:$AG,$Y$5,TP!AL:AL,1,TP!$AN:$AN,Parkki!$Y$16,TP!$L:$L,$X$31,TP!$I:$I,$V$29,TP!$J:$J,$V$30,TP!$F:$F,Parkki!$Y$9)</f>
        <v>0</v>
      </c>
      <c r="AR358" s="111">
        <f>SUMIFS(TP!$P:$P,TP!$AI:$AI,$W$7,TP!$R:$R,$X$9,TP!$U:$U,$AP358,TP!$W:$W,$X$8,TP!$X:$X,$X$5,TP!$AD:$AD,$X$9,TP!$AF:$AF,$X$32,TP!$Q:$Q,$Y$4,TP!$AG:$AG,$Y$5,TP!$V:$V,$X$7,TP!AL:AL,1,TP!$AN:$AN,Parkki!$Y$16,TP!$L:$L,$X$31,TP!$I:$I,$V$29,TP!$J:$J,$V$30,TP!$F:$F,Parkki!$Y$9)</f>
        <v>0</v>
      </c>
      <c r="AS358" s="111">
        <f>SUMIFS(TP!$P:$P,TP!$AI:$AI,$W$7,TP!$R:$R,$X$9,TP!$U:$U,$AP358,TP!$W:$W,$X$8,TP!$X:$X,$X$5,TP!$AD:$AD,$X$9,TP!$AF:$AF,$X$32,TP!$Q:$Q,$Y$4,TP!$AG:$AG,$Y$5,TP!$V:$V,$Y$7,TP!AL:AL,1,TP!$AN:$AN,Parkki!$Y$16,TP!$L:$L,$X$31,TP!$I:$I,$V$29,TP!$J:$J,$V$30,TP!$F:$F,Parkki!$Y$9)</f>
        <v>0</v>
      </c>
    </row>
    <row r="359" spans="1:45" ht="14.45" customHeight="1" x14ac:dyDescent="0.25">
      <c r="A359" s="796" t="s">
        <v>1370</v>
      </c>
      <c r="B359" s="518" t="s">
        <v>1152</v>
      </c>
      <c r="C359" s="419">
        <f>SUMIFS(TP!$P:$P,TP!$AI:$AI,$W$7,TP!$R:$R,$X$9,TP!$U:$U,$AK359,TP!$W:$W,$X$8,TP!$X:$X,$X$5,TP!$AD:$AD,$X$9,TP!$AF:$AF,$X$32,TP!$Q:$Q,$Y$4,TP!$AG:$AG,$Y$5,TP!AL:AL,1,TP!$AN:$AN,Parkki!$Y$16,TP!$L:$L,$X$31,TP!$I:$I,$V$29,TP!$J:$J,$V$30,TP!$F:$F,Parkki!$Y$9)+AM359+AQ359</f>
        <v>0</v>
      </c>
      <c r="D359" s="552" t="str">
        <f t="shared" si="43"/>
        <v>-</v>
      </c>
      <c r="E359" s="419">
        <f>SUMIFS(TP!$P:$P,TP!$AI:$AI,$W$7,TP!$R:$R,$X$9,TP!$U:$U,$AK359,TP!$W:$W,$X$8,TP!$X:$X,$X$5,TP!$AD:$AD,$X$9,TP!$AF:$AF,$X$32,TP!$Q:$Q,$Y$4,TP!$AG:$AG,$Y$5,TP!$V:$V,$X$7,TP!AL:AL,1,TP!$AN:$AN,Parkki!$Y$16,TP!$L:$L,$X$31,TP!$I:$I,$V$29,TP!$J:$J,$V$30,TP!$F:$F,Parkki!$Y$9)+AN359+AR359</f>
        <v>0</v>
      </c>
      <c r="F359" s="419">
        <f>SUMIFS(TP!$P:$P,TP!$AI:$AI,$W$7,TP!$R:$R,$X$9,TP!$U:$U,$AK359,TP!$W:$W,$X$8,TP!$X:$X,$X$5,TP!$AD:$AD,$X$9,TP!$AF:$AF,$X$32,TP!$Q:$Q,$Y$4,TP!$AG:$AG,$Y$5,TP!$V:$V,$Y$7,TP!AL:AL,1,TP!$AN:$AN,Parkki!$Y$16,TP!$L:$L,$X$31,TP!$I:$I,$V$29,TP!$J:$J,$V$30,TP!$F:$F,Parkki!$Y$9)+AO359+AS359</f>
        <v>0</v>
      </c>
      <c r="G359" s="555" t="str">
        <f t="shared" si="38"/>
        <v>Ilmoittautuminen työttömäksi työnhakijaksi</v>
      </c>
      <c r="H359" s="556" t="str">
        <f t="shared" si="39"/>
        <v>-</v>
      </c>
      <c r="I359" s="675"/>
      <c r="J359" s="675"/>
      <c r="K359" s="675"/>
      <c r="L359" s="260"/>
      <c r="AH359" s="659" t="s">
        <v>1370</v>
      </c>
      <c r="AI359" s="702" t="s">
        <v>1152</v>
      </c>
      <c r="AK359" s="700" t="s">
        <v>275</v>
      </c>
      <c r="AL359" s="686"/>
      <c r="AM359" s="683">
        <f>SUMIFS(TP!$P:$P,TP!$AI:$AI,$W$7,TP!$R:$R,$X$9,TP!$U:$U,$AL359,TP!$W:$W,$X$8,TP!$X:$X,$X$5,TP!$AD:$AD,$X$9,TP!$AF:$AF,$X$32,TP!$Q:$Q,$Y$4,TP!$AG:$AG,$Y$5,TP!AL:AL,1,TP!$AN:$AN,Parkki!$Y$16,TP!$L:$L,$X$31,TP!$I:$I,$V$29,TP!$J:$J,$V$30,TP!$F:$F,Parkki!$Y$9)</f>
        <v>0</v>
      </c>
      <c r="AN359" s="683">
        <f>SUMIFS(TP!$P:$P,TP!$AI:$AI,$W$7,TP!$R:$R,$X$9,TP!$U:$U,$AL359,TP!$W:$W,$X$8,TP!$X:$X,$X$5,TP!$AD:$AD,$X$9,TP!$AF:$AF,$X$32,TP!$Q:$Q,$Y$4,TP!$AG:$AG,$Y$5,TP!$V:$V,$X$7,TP!AL:AL,1,TP!$AN:$AN,Parkki!$Y$16,TP!$L:$L,$X$31,TP!$I:$I,$V$29,TP!$J:$J,$V$30,TP!$F:$F,Parkki!$Y$9)</f>
        <v>0</v>
      </c>
      <c r="AO359" s="683">
        <f>SUMIFS(TP!$P:$P,TP!$AI:$AI,$W$7,TP!$R:$R,$X$9,TP!$U:$U,$AL359,TP!$W:$W,$X$8,TP!$X:$X,$X$5,TP!$AD:$AD,$X$9,TP!$AF:$AF,$X$32,TP!$Q:$Q,$Y$4,TP!$AG:$AG,$Y$5,TP!$V:$V,$Y$7,TP!AL:AL,1,TP!$AN:$AN,Parkki!$Y$16,TP!$L:$L,$X$31,TP!$I:$I,$V$29,TP!$J:$J,$V$30,TP!$F:$F,Parkki!$Y$9)</f>
        <v>0</v>
      </c>
      <c r="AQ359" s="683">
        <f>SUMIFS(TP!$P:$P,TP!$AI:$AI,$W$7,TP!$R:$R,$X$9,TP!$U:$U,$AP359,TP!$W:$W,$X$8,TP!$X:$X,$X$5,TP!$AD:$AD,$X$9,TP!$AF:$AF,$X$32,TP!$Q:$Q,$Y$4,TP!$AG:$AG,$Y$5,TP!AL:AL,1,TP!$AN:$AN,Parkki!$Y$16,TP!$L:$L,$X$31,TP!$I:$I,$V$29,TP!$J:$J,$V$30,TP!$F:$F,Parkki!$Y$9)</f>
        <v>0</v>
      </c>
      <c r="AR359" s="111">
        <f>SUMIFS(TP!$P:$P,TP!$AI:$AI,$W$7,TP!$R:$R,$X$9,TP!$U:$U,$AP359,TP!$W:$W,$X$8,TP!$X:$X,$X$5,TP!$AD:$AD,$X$9,TP!$AF:$AF,$X$32,TP!$Q:$Q,$Y$4,TP!$AG:$AG,$Y$5,TP!$V:$V,$X$7,TP!AL:AL,1,TP!$AN:$AN,Parkki!$Y$16,TP!$L:$L,$X$31,TP!$I:$I,$V$29,TP!$J:$J,$V$30,TP!$F:$F,Parkki!$Y$9)</f>
        <v>0</v>
      </c>
      <c r="AS359" s="111">
        <f>SUMIFS(TP!$P:$P,TP!$AI:$AI,$W$7,TP!$R:$R,$X$9,TP!$U:$U,$AP359,TP!$W:$W,$X$8,TP!$X:$X,$X$5,TP!$AD:$AD,$X$9,TP!$AF:$AF,$X$32,TP!$Q:$Q,$Y$4,TP!$AG:$AG,$Y$5,TP!$V:$V,$Y$7,TP!AL:AL,1,TP!$AN:$AN,Parkki!$Y$16,TP!$L:$L,$X$31,TP!$I:$I,$V$29,TP!$J:$J,$V$30,TP!$F:$F,Parkki!$Y$9)</f>
        <v>0</v>
      </c>
    </row>
    <row r="360" spans="1:45" x14ac:dyDescent="0.25">
      <c r="A360" s="797"/>
      <c r="B360" s="518" t="s">
        <v>1153</v>
      </c>
      <c r="C360" s="419">
        <f>SUMIFS(TP!$P:$P,TP!$AI:$AI,$W$7,TP!$R:$R,$X$9,TP!$U:$U,$AK360,TP!$W:$W,$X$8,TP!$X:$X,$X$5,TP!$AD:$AD,$X$9,TP!$AF:$AF,$X$32,TP!$Q:$Q,$Y$4,TP!$AG:$AG,$Y$5,TP!AL:AL,1,TP!$AN:$AN,Parkki!$Y$16,TP!$L:$L,$X$31,TP!$I:$I,$V$29,TP!$J:$J,$V$30,TP!$F:$F,Parkki!$Y$9)+AM360+AQ360</f>
        <v>0</v>
      </c>
      <c r="D360" s="552" t="str">
        <f t="shared" si="43"/>
        <v>-</v>
      </c>
      <c r="E360" s="419">
        <f>SUMIFS(TP!$P:$P,TP!$AI:$AI,$W$7,TP!$R:$R,$X$9,TP!$U:$U,$AK360,TP!$W:$W,$X$8,TP!$X:$X,$X$5,TP!$AD:$AD,$X$9,TP!$AF:$AF,$X$32,TP!$Q:$Q,$Y$4,TP!$AG:$AG,$Y$5,TP!$V:$V,$X$7,TP!AL:AL,1,TP!$AN:$AN,Parkki!$Y$16,TP!$L:$L,$X$31,TP!$I:$I,$V$29,TP!$J:$J,$V$30,TP!$F:$F,Parkki!$Y$9)+AN360+AR360</f>
        <v>0</v>
      </c>
      <c r="F360" s="419">
        <f>SUMIFS(TP!$P:$P,TP!$AI:$AI,$W$7,TP!$R:$R,$X$9,TP!$U:$U,$AK360,TP!$W:$W,$X$8,TP!$X:$X,$X$5,TP!$AD:$AD,$X$9,TP!$AF:$AF,$X$32,TP!$Q:$Q,$Y$4,TP!$AG:$AG,$Y$5,TP!$V:$V,$Y$7,TP!AL:AL,1,TP!$AN:$AN,Parkki!$Y$16,TP!$L:$L,$X$31,TP!$I:$I,$V$29,TP!$J:$J,$V$30,TP!$F:$F,Parkki!$Y$9)+AO360+AS360</f>
        <v>0</v>
      </c>
      <c r="G360" s="555" t="str">
        <f t="shared" si="38"/>
        <v>Kuntouttava työtoiminta (muualle kuin työpajaan)</v>
      </c>
      <c r="H360" s="556" t="str">
        <f t="shared" si="39"/>
        <v>-</v>
      </c>
      <c r="I360" s="675"/>
      <c r="J360" s="675"/>
      <c r="K360" s="675"/>
      <c r="L360" s="260"/>
      <c r="AH360" s="660"/>
      <c r="AI360" s="702" t="s">
        <v>1153</v>
      </c>
      <c r="AK360" s="703" t="s">
        <v>1136</v>
      </c>
      <c r="AL360" s="687" t="s">
        <v>284</v>
      </c>
      <c r="AM360" s="683">
        <f>SUMIFS(TP!$P:$P,TP!$AI:$AI,$W$7,TP!$R:$R,$X$9,TP!$U:$U,$AL360,TP!$W:$W,$X$8,TP!$X:$X,$X$5,TP!$AD:$AD,$X$9,TP!$AF:$AF,$X$32,TP!$Q:$Q,$Y$4,TP!$AG:$AG,$Y$5,TP!AL:AL,1,TP!$AN:$AN,Parkki!$Y$16,TP!$L:$L,$X$31,TP!$I:$I,$V$29,TP!$J:$J,$V$30,TP!$F:$F,Parkki!$Y$9)</f>
        <v>0</v>
      </c>
      <c r="AN360" s="683">
        <f>SUMIFS(TP!$P:$P,TP!$AI:$AI,$W$7,TP!$R:$R,$X$9,TP!$U:$U,$AL360,TP!$W:$W,$X$8,TP!$X:$X,$X$5,TP!$AD:$AD,$X$9,TP!$AF:$AF,$X$32,TP!$Q:$Q,$Y$4,TP!$AG:$AG,$Y$5,TP!$V:$V,$X$7,TP!AL:AL,1,TP!$AN:$AN,Parkki!$Y$16,TP!$L:$L,$X$31,TP!$I:$I,$V$29,TP!$J:$J,$V$30,TP!$F:$F,Parkki!$Y$9)</f>
        <v>0</v>
      </c>
      <c r="AO360" s="683">
        <f>SUMIFS(TP!$P:$P,TP!$AI:$AI,$W$7,TP!$R:$R,$X$9,TP!$U:$U,$AL360,TP!$W:$W,$X$8,TP!$X:$X,$X$5,TP!$AD:$AD,$X$9,TP!$AF:$AF,$X$32,TP!$Q:$Q,$Y$4,TP!$AG:$AG,$Y$5,TP!$V:$V,$Y$7,TP!AL:AL,1,TP!$AN:$AN,Parkki!$Y$16,TP!$L:$L,$X$31,TP!$I:$I,$V$29,TP!$J:$J,$V$30,TP!$F:$F,Parkki!$Y$9)</f>
        <v>0</v>
      </c>
      <c r="AQ360" s="683">
        <f>SUMIFS(TP!$P:$P,TP!$AI:$AI,$W$7,TP!$R:$R,$X$9,TP!$U:$U,$AP360,TP!$W:$W,$X$8,TP!$X:$X,$X$5,TP!$AD:$AD,$X$9,TP!$AF:$AF,$X$32,TP!$Q:$Q,$Y$4,TP!$AG:$AG,$Y$5,TP!AL:AL,1,TP!$AN:$AN,Parkki!$Y$16,TP!$L:$L,$X$31,TP!$I:$I,$V$29,TP!$J:$J,$V$30,TP!$F:$F,Parkki!$Y$9)</f>
        <v>0</v>
      </c>
      <c r="AR360" s="111">
        <f>SUMIFS(TP!$P:$P,TP!$AI:$AI,$W$7,TP!$R:$R,$X$9,TP!$U:$U,$AP360,TP!$W:$W,$X$8,TP!$X:$X,$X$5,TP!$AD:$AD,$X$9,TP!$AF:$AF,$X$32,TP!$Q:$Q,$Y$4,TP!$AG:$AG,$Y$5,TP!$V:$V,$X$7,TP!AL:AL,1,TP!$AN:$AN,Parkki!$Y$16,TP!$L:$L,$X$31,TP!$I:$I,$V$29,TP!$J:$J,$V$30,TP!$F:$F,Parkki!$Y$9)</f>
        <v>0</v>
      </c>
      <c r="AS360" s="111">
        <f>SUMIFS(TP!$P:$P,TP!$AI:$AI,$W$7,TP!$R:$R,$X$9,TP!$U:$U,$AP360,TP!$W:$W,$X$8,TP!$X:$X,$X$5,TP!$AD:$AD,$X$9,TP!$AF:$AF,$X$32,TP!$Q:$Q,$Y$4,TP!$AG:$AG,$Y$5,TP!$V:$V,$Y$7,TP!AL:AL,1,TP!$AN:$AN,Parkki!$Y$16,TP!$L:$L,$X$31,TP!$I:$I,$V$29,TP!$J:$J,$V$30,TP!$F:$F,Parkki!$Y$9)</f>
        <v>0</v>
      </c>
    </row>
    <row r="361" spans="1:45" x14ac:dyDescent="0.25">
      <c r="A361" s="797"/>
      <c r="B361" s="518" t="s">
        <v>1154</v>
      </c>
      <c r="C361" s="419">
        <f>SUMIFS(TP!$P:$P,TP!$AI:$AI,$W$7,TP!$R:$R,$X$9,TP!$U:$U,$AK361,TP!$W:$W,$X$8,TP!$X:$X,$X$5,TP!$AD:$AD,$X$9,TP!$AF:$AF,$X$32,TP!$Q:$Q,$Y$4,TP!$AG:$AG,$Y$5,TP!AL:AL,1,TP!$AN:$AN,Parkki!$Y$16,TP!$L:$L,$X$31,TP!$I:$I,$V$29,TP!$J:$J,$V$30,TP!$F:$F,Parkki!$Y$9)+AM361+AQ361</f>
        <v>0</v>
      </c>
      <c r="D361" s="552" t="str">
        <f t="shared" si="43"/>
        <v>-</v>
      </c>
      <c r="E361" s="419">
        <f>SUMIFS(TP!$P:$P,TP!$AI:$AI,$W$7,TP!$R:$R,$X$9,TP!$U:$U,$AK361,TP!$W:$W,$X$8,TP!$X:$X,$X$5,TP!$AD:$AD,$X$9,TP!$AF:$AF,$X$32,TP!$Q:$Q,$Y$4,TP!$AG:$AG,$Y$5,TP!$V:$V,$X$7,TP!AL:AL,1,TP!$AN:$AN,Parkki!$Y$16,TP!$L:$L,$X$31,TP!$I:$I,$V$29,TP!$J:$J,$V$30,TP!$F:$F,Parkki!$Y$9)+AN361+AR361</f>
        <v>0</v>
      </c>
      <c r="F361" s="419">
        <f>SUMIFS(TP!$P:$P,TP!$AI:$AI,$W$7,TP!$R:$R,$X$9,TP!$U:$U,$AK361,TP!$W:$W,$X$8,TP!$X:$X,$X$5,TP!$AD:$AD,$X$9,TP!$AF:$AF,$X$32,TP!$Q:$Q,$Y$4,TP!$AG:$AG,$Y$5,TP!$V:$V,$Y$7,TP!AL:AL,1,TP!$AN:$AN,Parkki!$Y$16,TP!$L:$L,$X$31,TP!$I:$I,$V$29,TP!$J:$J,$V$30,TP!$F:$F,Parkki!$Y$9)+AO361+AS361</f>
        <v>0</v>
      </c>
      <c r="G361" s="555" t="str">
        <f t="shared" si="38"/>
        <v>Työkokeilu (muualle kuin työpajaan)</v>
      </c>
      <c r="H361" s="556" t="str">
        <f t="shared" si="39"/>
        <v>-</v>
      </c>
      <c r="I361" s="675"/>
      <c r="J361" s="675"/>
      <c r="K361" s="675"/>
      <c r="L361" s="260"/>
      <c r="AH361" s="660"/>
      <c r="AI361" s="702" t="s">
        <v>1154</v>
      </c>
      <c r="AK361" s="703" t="s">
        <v>1137</v>
      </c>
      <c r="AL361" s="687" t="s">
        <v>299</v>
      </c>
      <c r="AM361" s="683">
        <f>SUMIFS(TP!$P:$P,TP!$AI:$AI,$W$7,TP!$R:$R,$X$9,TP!$U:$U,$AL361,TP!$W:$W,$X$8,TP!$X:$X,$X$5,TP!$AD:$AD,$X$9,TP!$AF:$AF,$X$32,TP!$Q:$Q,$Y$4,TP!$AG:$AG,$Y$5,TP!AL:AL,1,TP!$AN:$AN,Parkki!$Y$16,TP!$L:$L,$X$31,TP!$I:$I,$V$29,TP!$J:$J,$V$30,TP!$F:$F,Parkki!$Y$9)</f>
        <v>0</v>
      </c>
      <c r="AN361" s="683">
        <f>SUMIFS(TP!$P:$P,TP!$AI:$AI,$W$7,TP!$R:$R,$X$9,TP!$U:$U,$AL361,TP!$W:$W,$X$8,TP!$X:$X,$X$5,TP!$AD:$AD,$X$9,TP!$AF:$AF,$X$32,TP!$Q:$Q,$Y$4,TP!$AG:$AG,$Y$5,TP!$V:$V,$X$7,TP!AL:AL,1,TP!$AN:$AN,Parkki!$Y$16,TP!$L:$L,$X$31,TP!$I:$I,$V$29,TP!$J:$J,$V$30,TP!$F:$F,Parkki!$Y$9)</f>
        <v>0</v>
      </c>
      <c r="AO361" s="683">
        <f>SUMIFS(TP!$P:$P,TP!$AI:$AI,$W$7,TP!$R:$R,$X$9,TP!$U:$U,$AL361,TP!$W:$W,$X$8,TP!$X:$X,$X$5,TP!$AD:$AD,$X$9,TP!$AF:$AF,$X$32,TP!$Q:$Q,$Y$4,TP!$AG:$AG,$Y$5,TP!$V:$V,$Y$7,TP!AL:AL,1,TP!$AN:$AN,Parkki!$Y$16,TP!$L:$L,$X$31,TP!$I:$I,$V$29,TP!$J:$J,$V$30,TP!$F:$F,Parkki!$Y$9)</f>
        <v>0</v>
      </c>
      <c r="AQ361" s="683">
        <f>SUMIFS(TP!$P:$P,TP!$AI:$AI,$W$7,TP!$R:$R,$X$9,TP!$U:$U,$AP361,TP!$W:$W,$X$8,TP!$X:$X,$X$5,TP!$AD:$AD,$X$9,TP!$AF:$AF,$X$32,TP!$Q:$Q,$Y$4,TP!$AG:$AG,$Y$5,TP!AL:AL,1,TP!$AN:$AN,Parkki!$Y$16,TP!$L:$L,$X$31,TP!$I:$I,$V$29,TP!$J:$J,$V$30,TP!$F:$F,Parkki!$Y$9)</f>
        <v>0</v>
      </c>
      <c r="AR361" s="111">
        <f>SUMIFS(TP!$P:$P,TP!$AI:$AI,$W$7,TP!$R:$R,$X$9,TP!$U:$U,$AP361,TP!$W:$W,$X$8,TP!$X:$X,$X$5,TP!$AD:$AD,$X$9,TP!$AF:$AF,$X$32,TP!$Q:$Q,$Y$4,TP!$AG:$AG,$Y$5,TP!$V:$V,$X$7,TP!AL:AL,1,TP!$AN:$AN,Parkki!$Y$16,TP!$L:$L,$X$31,TP!$I:$I,$V$29,TP!$J:$J,$V$30,TP!$F:$F,Parkki!$Y$9)</f>
        <v>0</v>
      </c>
      <c r="AS361" s="111">
        <f>SUMIFS(TP!$P:$P,TP!$AI:$AI,$W$7,TP!$R:$R,$X$9,TP!$U:$U,$AP361,TP!$W:$W,$X$8,TP!$X:$X,$X$5,TP!$AD:$AD,$X$9,TP!$AF:$AF,$X$32,TP!$Q:$Q,$Y$4,TP!$AG:$AG,$Y$5,TP!$V:$V,$Y$7,TP!AL:AL,1,TP!$AN:$AN,Parkki!$Y$16,TP!$L:$L,$X$31,TP!$I:$I,$V$29,TP!$J:$J,$V$30,TP!$F:$F,Parkki!$Y$9)</f>
        <v>0</v>
      </c>
    </row>
    <row r="362" spans="1:45" ht="14.45" customHeight="1" x14ac:dyDescent="0.25">
      <c r="A362" s="797"/>
      <c r="B362" s="518" t="s">
        <v>76</v>
      </c>
      <c r="C362" s="419">
        <f>SUMIFS(TP!$P:$P,TP!$AI:$AI,$W$7,TP!$R:$R,$X$9,TP!$U:$U,$AK362,TP!$W:$W,$X$8,TP!$X:$X,$X$5,TP!$AD:$AD,$X$9,TP!$AF:$AF,$X$32,TP!$Q:$Q,$Y$4,TP!$AG:$AG,$Y$5,TP!AL:AL,1,TP!$AN:$AN,Parkki!$Y$16,TP!$L:$L,$X$31,TP!$I:$I,$V$29,TP!$J:$J,$V$30,TP!$F:$F,Parkki!$Y$9)+AM362+AQ362</f>
        <v>0</v>
      </c>
      <c r="D362" s="552" t="str">
        <f t="shared" si="43"/>
        <v>-</v>
      </c>
      <c r="E362" s="419">
        <f>SUMIFS(TP!$P:$P,TP!$AI:$AI,$W$7,TP!$R:$R,$X$9,TP!$U:$U,$AK362,TP!$W:$W,$X$8,TP!$X:$X,$X$5,TP!$AD:$AD,$X$9,TP!$AF:$AF,$X$32,TP!$Q:$Q,$Y$4,TP!$AG:$AG,$Y$5,TP!$V:$V,$X$7,TP!AL:AL,1,TP!$AN:$AN,Parkki!$Y$16,TP!$L:$L,$X$31,TP!$I:$I,$V$29,TP!$J:$J,$V$30,TP!$F:$F,Parkki!$Y$9)+AN362+AR362</f>
        <v>0</v>
      </c>
      <c r="F362" s="419">
        <f>SUMIFS(TP!$P:$P,TP!$AI:$AI,$W$7,TP!$R:$R,$X$9,TP!$U:$U,$AK362,TP!$W:$W,$X$8,TP!$X:$X,$X$5,TP!$AD:$AD,$X$9,TP!$AF:$AF,$X$32,TP!$Q:$Q,$Y$4,TP!$AG:$AG,$Y$5,TP!$V:$V,$Y$7,TP!AL:AL,1,TP!$AN:$AN,Parkki!$Y$16,TP!$L:$L,$X$31,TP!$I:$I,$V$29,TP!$J:$J,$V$30,TP!$F:$F,Parkki!$Y$9)+AO362+AS362</f>
        <v>0</v>
      </c>
      <c r="G362" s="555" t="str">
        <f t="shared" si="38"/>
        <v>Starttivalmennus</v>
      </c>
      <c r="H362" s="556" t="str">
        <f t="shared" si="39"/>
        <v>-</v>
      </c>
      <c r="I362" s="675"/>
      <c r="J362" s="675"/>
      <c r="K362" s="675"/>
      <c r="L362" s="260"/>
      <c r="AH362" s="660"/>
      <c r="AI362" s="702" t="s">
        <v>76</v>
      </c>
      <c r="AK362" s="700" t="s">
        <v>517</v>
      </c>
      <c r="AM362" s="683">
        <f>SUMIFS(TP!$P:$P,TP!$AI:$AI,$W$7,TP!$R:$R,$X$9,TP!$U:$U,$AL362,TP!$W:$W,$X$8,TP!$X:$X,$X$5,TP!$AD:$AD,$X$9,TP!$AF:$AF,$X$32,TP!$Q:$Q,$Y$4,TP!$AG:$AG,$Y$5,TP!AL:AL,1,TP!$AN:$AN,Parkki!$Y$16,TP!$L:$L,$X$31,TP!$I:$I,$V$29,TP!$J:$J,$V$30,TP!$F:$F,Parkki!$Y$9)</f>
        <v>0</v>
      </c>
      <c r="AN362" s="683">
        <f>SUMIFS(TP!$P:$P,TP!$AI:$AI,$W$7,TP!$R:$R,$X$9,TP!$U:$U,$AL362,TP!$W:$W,$X$8,TP!$X:$X,$X$5,TP!$AD:$AD,$X$9,TP!$AF:$AF,$X$32,TP!$Q:$Q,$Y$4,TP!$AG:$AG,$Y$5,TP!$V:$V,$X$7,TP!AL:AL,1,TP!$AN:$AN,Parkki!$Y$16,TP!$L:$L,$X$31,TP!$I:$I,$V$29,TP!$J:$J,$V$30,TP!$F:$F,Parkki!$Y$9)</f>
        <v>0</v>
      </c>
      <c r="AO362" s="683">
        <f>SUMIFS(TP!$P:$P,TP!$AI:$AI,$W$7,TP!$R:$R,$X$9,TP!$U:$U,$AL362,TP!$W:$W,$X$8,TP!$X:$X,$X$5,TP!$AD:$AD,$X$9,TP!$AF:$AF,$X$32,TP!$Q:$Q,$Y$4,TP!$AG:$AG,$Y$5,TP!$V:$V,$Y$7,TP!AL:AL,1,TP!$AN:$AN,Parkki!$Y$16,TP!$L:$L,$X$31,TP!$I:$I,$V$29,TP!$J:$J,$V$30,TP!$F:$F,Parkki!$Y$9)</f>
        <v>0</v>
      </c>
      <c r="AQ362" s="683">
        <f>SUMIFS(TP!$P:$P,TP!$AI:$AI,$W$7,TP!$R:$R,$X$9,TP!$U:$U,$AP362,TP!$W:$W,$X$8,TP!$X:$X,$X$5,TP!$AD:$AD,$X$9,TP!$AF:$AF,$X$32,TP!$Q:$Q,$Y$4,TP!$AG:$AG,$Y$5,TP!AL:AL,1,TP!$AN:$AN,Parkki!$Y$16,TP!$L:$L,$X$31,TP!$I:$I,$V$29,TP!$J:$J,$V$30,TP!$F:$F,Parkki!$Y$9)</f>
        <v>0</v>
      </c>
      <c r="AR362" s="111">
        <f>SUMIFS(TP!$P:$P,TP!$AI:$AI,$W$7,TP!$R:$R,$X$9,TP!$U:$U,$AP362,TP!$W:$W,$X$8,TP!$X:$X,$X$5,TP!$AD:$AD,$X$9,TP!$AF:$AF,$X$32,TP!$Q:$Q,$Y$4,TP!$AG:$AG,$Y$5,TP!$V:$V,$X$7,TP!AL:AL,1,TP!$AN:$AN,Parkki!$Y$16,TP!$L:$L,$X$31,TP!$I:$I,$V$29,TP!$J:$J,$V$30,TP!$F:$F,Parkki!$Y$9)</f>
        <v>0</v>
      </c>
      <c r="AS362" s="111">
        <f>SUMIFS(TP!$P:$P,TP!$AI:$AI,$W$7,TP!$R:$R,$X$9,TP!$U:$U,$AP362,TP!$W:$W,$X$8,TP!$X:$X,$X$5,TP!$AD:$AD,$X$9,TP!$AF:$AF,$X$32,TP!$Q:$Q,$Y$4,TP!$AG:$AG,$Y$5,TP!$V:$V,$Y$7,TP!AL:AL,1,TP!$AN:$AN,Parkki!$Y$16,TP!$L:$L,$X$31,TP!$I:$I,$V$29,TP!$J:$J,$V$30,TP!$F:$F,Parkki!$Y$9)</f>
        <v>0</v>
      </c>
    </row>
    <row r="363" spans="1:45" ht="14.45" customHeight="1" x14ac:dyDescent="0.25">
      <c r="A363" s="797"/>
      <c r="B363" s="518" t="s">
        <v>1458</v>
      </c>
      <c r="C363" s="419">
        <f>SUMIFS(TP!$P:$P,TP!$AI:$AI,$W$7,TP!$R:$R,$X$9,TP!$U:$U,$AK363,TP!$W:$W,$X$8,TP!$X:$X,$X$5,TP!$AD:$AD,$X$9,TP!$AF:$AF,$X$32,TP!$Q:$Q,$Y$4,TP!$AG:$AG,$Y$5,TP!AL:AL,1,TP!$AN:$AN,Parkki!$Y$16,TP!$L:$L,$X$31,TP!$I:$I,$V$29,TP!$J:$J,$V$30,TP!$F:$F,Parkki!$Y$9)+AM363+AQ363</f>
        <v>0</v>
      </c>
      <c r="D363" s="552" t="str">
        <f t="shared" si="43"/>
        <v>-</v>
      </c>
      <c r="E363" s="419">
        <f>SUMIFS(TP!$P:$P,TP!$AI:$AI,$W$7,TP!$R:$R,$X$9,TP!$U:$U,$AK363,TP!$W:$W,$X$8,TP!$X:$X,$X$5,TP!$AD:$AD,$X$9,TP!$AF:$AF,$X$32,TP!$Q:$Q,$Y$4,TP!$AG:$AG,$Y$5,TP!$V:$V,$X$7,TP!AL:AL,1,TP!$AN:$AN,Parkki!$Y$16,TP!$L:$L,$X$31,TP!$I:$I,$V$29,TP!$J:$J,$V$30,TP!$F:$F,Parkki!$Y$9)+AN363+AR363</f>
        <v>0</v>
      </c>
      <c r="F363" s="419">
        <f>SUMIFS(TP!$P:$P,TP!$AI:$AI,$W$7,TP!$R:$R,$X$9,TP!$U:$U,$AK363,TP!$W:$W,$X$8,TP!$X:$X,$X$5,TP!$AD:$AD,$X$9,TP!$AF:$AF,$X$32,TP!$Q:$Q,$Y$4,TP!$AG:$AG,$Y$5,TP!$V:$V,$Y$7,TP!AL:AL,1,TP!$AN:$AN,Parkki!$Y$16,TP!$L:$L,$X$31,TP!$I:$I,$V$29,TP!$J:$J,$V$30,TP!$F:$F,Parkki!$Y$9)+AO363+AS363</f>
        <v>0</v>
      </c>
      <c r="G363" s="555" t="str">
        <f t="shared" si="38"/>
        <v>Nuorten työpajatoiminta</v>
      </c>
      <c r="H363" s="556" t="str">
        <f t="shared" si="39"/>
        <v>-</v>
      </c>
      <c r="I363" s="675"/>
      <c r="J363" s="675"/>
      <c r="K363" s="675"/>
      <c r="L363" s="260"/>
      <c r="AH363" s="660"/>
      <c r="AI363" s="701" t="s">
        <v>1458</v>
      </c>
      <c r="AK363" s="15" t="s">
        <v>1224</v>
      </c>
      <c r="AL363" s="688" t="s">
        <v>271</v>
      </c>
      <c r="AM363" s="683">
        <f>SUMIFS(TP!$P:$P,TP!$AI:$AI,$W$7,TP!$R:$R,$X$9,TP!$U:$U,$AL363,TP!$W:$W,$X$8,TP!$X:$X,$X$5,TP!$AD:$AD,$X$9,TP!$AF:$AF,$X$32,TP!$Q:$Q,$Y$4,TP!$AG:$AG,$Y$5,TP!AL:AL,1,TP!$AN:$AN,Parkki!$Y$16,TP!$L:$L,$X$31,TP!$I:$I,$V$29,TP!$J:$J,$V$30,TP!$F:$F,Parkki!$Y$9)</f>
        <v>0</v>
      </c>
      <c r="AN363" s="683">
        <f>SUMIFS(TP!$P:$P,TP!$AI:$AI,$W$7,TP!$R:$R,$X$9,TP!$U:$U,$AL363,TP!$W:$W,$X$8,TP!$X:$X,$X$5,TP!$AD:$AD,$X$9,TP!$AF:$AF,$X$32,TP!$Q:$Q,$Y$4,TP!$AG:$AG,$Y$5,TP!$V:$V,$X$7,TP!AL:AL,1,TP!$AN:$AN,Parkki!$Y$16,TP!$L:$L,$X$31,TP!$I:$I,$V$29,TP!$J:$J,$V$30,TP!$F:$F,Parkki!$Y$9)</f>
        <v>0</v>
      </c>
      <c r="AO363" s="683">
        <f>SUMIFS(TP!$P:$P,TP!$AI:$AI,$W$7,TP!$R:$R,$X$9,TP!$U:$U,$AL363,TP!$W:$W,$X$8,TP!$X:$X,$X$5,TP!$AD:$AD,$X$9,TP!$AF:$AF,$X$32,TP!$Q:$Q,$Y$4,TP!$AG:$AG,$Y$5,TP!$V:$V,$Y$7,TP!AL:AL,1,TP!$AN:$AN,Parkki!$Y$16,TP!$L:$L,$X$31,TP!$I:$I,$V$29,TP!$J:$J,$V$30,TP!$F:$F,Parkki!$Y$9)</f>
        <v>0</v>
      </c>
      <c r="AQ363" s="683">
        <f>SUMIFS(TP!$P:$P,TP!$AI:$AI,$W$7,TP!$R:$R,$X$9,TP!$U:$U,$AP363,TP!$W:$W,$X$8,TP!$X:$X,$X$5,TP!$AD:$AD,$X$9,TP!$AF:$AF,$X$32,TP!$Q:$Q,$Y$4,TP!$AG:$AG,$Y$5,TP!AL:AL,1,TP!$AN:$AN,Parkki!$Y$16,TP!$L:$L,$X$31,TP!$I:$I,$V$29,TP!$J:$J,$V$30,TP!$F:$F,Parkki!$Y$9)</f>
        <v>0</v>
      </c>
      <c r="AR363" s="111">
        <f>SUMIFS(TP!$P:$P,TP!$AI:$AI,$W$7,TP!$R:$R,$X$9,TP!$U:$U,$AP363,TP!$W:$W,$X$8,TP!$X:$X,$X$5,TP!$AD:$AD,$X$9,TP!$AF:$AF,$X$32,TP!$Q:$Q,$Y$4,TP!$AG:$AG,$Y$5,TP!$V:$V,$X$7,TP!AL:AL,1,TP!$AN:$AN,Parkki!$Y$16,TP!$L:$L,$X$31,TP!$I:$I,$V$29,TP!$J:$J,$V$30,TP!$F:$F,Parkki!$Y$9)</f>
        <v>0</v>
      </c>
      <c r="AS363" s="111">
        <f>SUMIFS(TP!$P:$P,TP!$AI:$AI,$W$7,TP!$R:$R,$X$9,TP!$U:$U,$AP363,TP!$W:$W,$X$8,TP!$X:$X,$X$5,TP!$AD:$AD,$X$9,TP!$AF:$AF,$X$32,TP!$Q:$Q,$Y$4,TP!$AG:$AG,$Y$5,TP!$V:$V,$Y$7,TP!AL:AL,1,TP!$AN:$AN,Parkki!$Y$16,TP!$L:$L,$X$31,TP!$I:$I,$V$29,TP!$J:$J,$V$30,TP!$F:$F,Parkki!$Y$9)</f>
        <v>0</v>
      </c>
    </row>
    <row r="364" spans="1:45" x14ac:dyDescent="0.25">
      <c r="A364" s="797"/>
      <c r="B364" s="518" t="s">
        <v>1435</v>
      </c>
      <c r="C364" s="419">
        <f>SUMIFS(TP!$P:$P,TP!$AI:$AI,$W$7,TP!$R:$R,$X$9,TP!$U:$U,$AK364,TP!$W:$W,$X$8,TP!$X:$X,$X$5,TP!$AD:$AD,$X$9,TP!$AF:$AF,$X$32,TP!$Q:$Q,$Y$4,TP!$AG:$AG,$Y$5,TP!AL:AL,1,TP!$AN:$AN,Parkki!$Y$16,TP!$L:$L,$X$31,TP!$I:$I,$V$29,TP!$J:$J,$V$30,TP!$F:$F,Parkki!$Y$9)+AM364+AQ364</f>
        <v>0</v>
      </c>
      <c r="D364" s="552" t="str">
        <f t="shared" si="43"/>
        <v>-</v>
      </c>
      <c r="E364" s="419">
        <f>SUMIFS(TP!$P:$P,TP!$AI:$AI,$W$7,TP!$R:$R,$X$9,TP!$U:$U,$AK364,TP!$W:$W,$X$8,TP!$X:$X,$X$5,TP!$AD:$AD,$X$9,TP!$AF:$AF,$X$32,TP!$Q:$Q,$Y$4,TP!$AG:$AG,$Y$5,TP!$V:$V,$X$7,TP!AL:AL,1,TP!$AN:$AN,Parkki!$Y$16,TP!$L:$L,$X$31,TP!$I:$I,$V$29,TP!$J:$J,$V$30,TP!$F:$F,Parkki!$Y$9)+AN364+AR364</f>
        <v>0</v>
      </c>
      <c r="F364" s="419">
        <f>SUMIFS(TP!$P:$P,TP!$AI:$AI,$W$7,TP!$R:$R,$X$9,TP!$U:$U,$AK364,TP!$W:$W,$X$8,TP!$X:$X,$X$5,TP!$AD:$AD,$X$9,TP!$AF:$AF,$X$32,TP!$Q:$Q,$Y$4,TP!$AG:$AG,$Y$5,TP!$V:$V,$Y$7,TP!AL:AL,1,TP!$AN:$AN,Parkki!$Y$16,TP!$L:$L,$X$31,TP!$I:$I,$V$29,TP!$J:$J,$V$30,TP!$F:$F,Parkki!$Y$9)+AO364+AS364</f>
        <v>0</v>
      </c>
      <c r="G364" s="555" t="str">
        <f t="shared" si="38"/>
        <v>Ammatinvalinta- ja uraohjaus</v>
      </c>
      <c r="H364" s="556" t="str">
        <f t="shared" si="39"/>
        <v>-</v>
      </c>
      <c r="I364" s="675"/>
      <c r="J364" s="675"/>
      <c r="K364" s="675"/>
      <c r="L364" s="260"/>
      <c r="AH364" s="660"/>
      <c r="AI364" s="701" t="s">
        <v>1435</v>
      </c>
      <c r="AK364" s="15" t="s">
        <v>1241</v>
      </c>
      <c r="AL364" s="687" t="s">
        <v>1138</v>
      </c>
      <c r="AM364" s="683">
        <f>SUMIFS(TP!$P:$P,TP!$AI:$AI,$W$7,TP!$R:$R,$X$9,TP!$U:$U,$AL364,TP!$W:$W,$X$8,TP!$X:$X,$X$5,TP!$AD:$AD,$X$9,TP!$AF:$AF,$X$32,TP!$Q:$Q,$Y$4,TP!$AG:$AG,$Y$5,TP!AL:AL,1,TP!$AN:$AN,Parkki!$Y$16,TP!$L:$L,$X$31,TP!$I:$I,$V$29,TP!$J:$J,$V$30,TP!$F:$F,Parkki!$Y$9)</f>
        <v>0</v>
      </c>
      <c r="AN364" s="683">
        <f>SUMIFS(TP!$P:$P,TP!$AI:$AI,$W$7,TP!$R:$R,$X$9,TP!$U:$U,$AL364,TP!$W:$W,$X$8,TP!$X:$X,$X$5,TP!$AD:$AD,$X$9,TP!$AF:$AF,$X$32,TP!$Q:$Q,$Y$4,TP!$AG:$AG,$Y$5,TP!$V:$V,$X$7,TP!AL:AL,1,TP!$AN:$AN,Parkki!$Y$16,TP!$L:$L,$X$31,TP!$I:$I,$V$29,TP!$J:$J,$V$30,TP!$F:$F,Parkki!$Y$9)</f>
        <v>0</v>
      </c>
      <c r="AO364" s="683">
        <f>SUMIFS(TP!$P:$P,TP!$AI:$AI,$W$7,TP!$R:$R,$X$9,TP!$U:$U,$AL364,TP!$W:$W,$X$8,TP!$X:$X,$X$5,TP!$AD:$AD,$X$9,TP!$AF:$AF,$X$32,TP!$Q:$Q,$Y$4,TP!$AG:$AG,$Y$5,TP!$V:$V,$Y$7,TP!AL:AL,1,TP!$AN:$AN,Parkki!$Y$16,TP!$L:$L,$X$31,TP!$I:$I,$V$29,TP!$J:$J,$V$30,TP!$F:$F,Parkki!$Y$9)</f>
        <v>0</v>
      </c>
      <c r="AP364" s="687" t="s">
        <v>283</v>
      </c>
      <c r="AQ364" s="683">
        <f>SUMIFS(TP!$P:$P,TP!$AI:$AI,$W$7,TP!$R:$R,$X$9,TP!$U:$U,$AP364,TP!$W:$W,$X$8,TP!$X:$X,$X$5,TP!$AD:$AD,$X$9,TP!$AF:$AF,$X$32,TP!$Q:$Q,$Y$4,TP!$AG:$AG,$Y$5,TP!AL:AL,1,TP!$AN:$AN,Parkki!$Y$16,TP!$L:$L,$X$31,TP!$I:$I,$V$29,TP!$J:$J,$V$30,TP!$F:$F,Parkki!$Y$9)</f>
        <v>0</v>
      </c>
      <c r="AR364" s="111">
        <f>SUMIFS(TP!$P:$P,TP!$AI:$AI,$W$7,TP!$R:$R,$X$9,TP!$U:$U,$AP364,TP!$W:$W,$X$8,TP!$X:$X,$X$5,TP!$AD:$AD,$X$9,TP!$AF:$AF,$X$32,TP!$Q:$Q,$Y$4,TP!$AG:$AG,$Y$5,TP!$V:$V,$X$7,TP!AL:AL,1,TP!$AN:$AN,Parkki!$Y$16,TP!$L:$L,$X$31,TP!$I:$I,$V$29,TP!$J:$J,$V$30,TP!$F:$F,Parkki!$Y$9)</f>
        <v>0</v>
      </c>
      <c r="AS364" s="111">
        <f>SUMIFS(TP!$P:$P,TP!$AI:$AI,$W$7,TP!$R:$R,$X$9,TP!$U:$U,$AP364,TP!$W:$W,$X$8,TP!$X:$X,$X$5,TP!$AD:$AD,$X$9,TP!$AF:$AF,$X$32,TP!$Q:$Q,$Y$4,TP!$AG:$AG,$Y$5,TP!$V:$V,$Y$7,TP!AL:AL,1,TP!$AN:$AN,Parkki!$Y$16,TP!$L:$L,$X$31,TP!$I:$I,$V$29,TP!$J:$J,$V$30,TP!$F:$F,Parkki!$Y$9)</f>
        <v>0</v>
      </c>
    </row>
    <row r="365" spans="1:45" x14ac:dyDescent="0.25">
      <c r="A365" s="797"/>
      <c r="B365" s="518" t="s">
        <v>1613</v>
      </c>
      <c r="C365" s="419">
        <f>SUMIFS(TP!$P:$P,TP!$AI:$AI,$W$7,TP!$R:$R,$X$9,TP!$U:$U,$AK365,TP!$W:$W,$X$8,TP!$X:$X,$X$5,TP!$AD:$AD,$X$9,TP!$AF:$AF,$X$32,TP!$Q:$Q,$Y$4,TP!$AG:$AG,$Y$5,TP!AL:AL,1,TP!$AN:$AN,Parkki!$Y$16,TP!$L:$L,$X$31,TP!$I:$I,$V$29,TP!$J:$J,$V$30,TP!$F:$F,Parkki!$Y$9)+AM365+AQ365</f>
        <v>0</v>
      </c>
      <c r="D365" s="552" t="str">
        <f t="shared" si="43"/>
        <v>-</v>
      </c>
      <c r="E365" s="419">
        <f>SUMIFS(TP!$P:$P,TP!$AI:$AI,$W$7,TP!$R:$R,$X$9,TP!$U:$U,$AK365,TP!$W:$W,$X$8,TP!$X:$X,$X$5,TP!$AD:$AD,$X$9,TP!$AF:$AF,$X$32,TP!$Q:$Q,$Y$4,TP!$AG:$AG,$Y$5,TP!$V:$V,$X$7,TP!AL:AL,1,TP!$AN:$AN,Parkki!$Y$16,TP!$L:$L,$X$31,TP!$I:$I,$V$29,TP!$J:$J,$V$30,TP!$F:$F,Parkki!$Y$9)+AN365+AR365</f>
        <v>0</v>
      </c>
      <c r="F365" s="419">
        <f>SUMIFS(TP!$P:$P,TP!$AI:$AI,$W$7,TP!$R:$R,$X$9,TP!$U:$U,$AK365,TP!$W:$W,$X$8,TP!$X:$X,$X$5,TP!$AD:$AD,$X$9,TP!$AF:$AF,$X$32,TP!$Q:$Q,$Y$4,TP!$AG:$AG,$Y$5,TP!$V:$V,$Y$7,TP!AL:AL,1,TP!$AN:$AN,Parkki!$Y$16,TP!$L:$L,$X$31,TP!$I:$I,$V$29,TP!$J:$J,$V$30,TP!$F:$F,Parkki!$Y$9)+AO365+AS365</f>
        <v>0</v>
      </c>
      <c r="G365" s="555" t="str">
        <f t="shared" si="38"/>
        <v>Kuntakokeilu (vanha)</v>
      </c>
      <c r="H365" s="556" t="str">
        <f t="shared" si="39"/>
        <v>-</v>
      </c>
      <c r="I365" s="675"/>
      <c r="J365" s="675"/>
      <c r="K365" s="675"/>
      <c r="L365" s="260"/>
      <c r="AH365" s="660"/>
      <c r="AI365" s="702" t="s">
        <v>1350</v>
      </c>
      <c r="AK365" s="703" t="s">
        <v>1135</v>
      </c>
      <c r="AM365" s="683">
        <f>SUMIFS(TP!$P:$P,TP!$AI:$AI,$W$7,TP!$R:$R,$X$9,TP!$U:$U,$AL365,TP!$W:$W,$X$8,TP!$X:$X,$X$5,TP!$AD:$AD,$X$9,TP!$AF:$AF,$X$32,TP!$Q:$Q,$Y$4,TP!$AG:$AG,$Y$5,TP!AL:AL,1,TP!$AN:$AN,Parkki!$Y$16,TP!$L:$L,$X$31,TP!$I:$I,$V$29,TP!$J:$J,$V$30,TP!$F:$F,Parkki!$Y$9)</f>
        <v>0</v>
      </c>
      <c r="AN365" s="683">
        <f>SUMIFS(TP!$P:$P,TP!$AI:$AI,$W$7,TP!$R:$R,$X$9,TP!$U:$U,$AL365,TP!$W:$W,$X$8,TP!$X:$X,$X$5,TP!$AD:$AD,$X$9,TP!$AF:$AF,$X$32,TP!$Q:$Q,$Y$4,TP!$AG:$AG,$Y$5,TP!$V:$V,$X$7,TP!AL:AL,1,TP!$AN:$AN,Parkki!$Y$16,TP!$L:$L,$X$31,TP!$I:$I,$V$29,TP!$J:$J,$V$30,TP!$F:$F,Parkki!$Y$9)</f>
        <v>0</v>
      </c>
      <c r="AO365" s="683">
        <f>SUMIFS(TP!$P:$P,TP!$AI:$AI,$W$7,TP!$R:$R,$X$9,TP!$U:$U,$AL365,TP!$W:$W,$X$8,TP!$X:$X,$X$5,TP!$AD:$AD,$X$9,TP!$AF:$AF,$X$32,TP!$Q:$Q,$Y$4,TP!$AG:$AG,$Y$5,TP!$V:$V,$Y$7,TP!AL:AL,1,TP!$AN:$AN,Parkki!$Y$16,TP!$L:$L,$X$31,TP!$I:$I,$V$29,TP!$J:$J,$V$30,TP!$F:$F,Parkki!$Y$9)</f>
        <v>0</v>
      </c>
      <c r="AQ365" s="683">
        <f>SUMIFS(TP!$P:$P,TP!$AI:$AI,$W$7,TP!$R:$R,$X$9,TP!$U:$U,$AP365,TP!$W:$W,$X$8,TP!$X:$X,$X$5,TP!$AD:$AD,$X$9,TP!$AF:$AF,$X$32,TP!$Q:$Q,$Y$4,TP!$AG:$AG,$Y$5,TP!AL:AL,1,TP!$AN:$AN,Parkki!$Y$16,TP!$L:$L,$X$31,TP!$I:$I,$V$29,TP!$J:$J,$V$30,TP!$F:$F,Parkki!$Y$9)</f>
        <v>0</v>
      </c>
      <c r="AR365" s="111">
        <f>SUMIFS(TP!$P:$P,TP!$AI:$AI,$W$7,TP!$R:$R,$X$9,TP!$U:$U,$AP365,TP!$W:$W,$X$8,TP!$X:$X,$X$5,TP!$AD:$AD,$X$9,TP!$AF:$AF,$X$32,TP!$Q:$Q,$Y$4,TP!$AG:$AG,$Y$5,TP!$V:$V,$X$7,TP!AL:AL,1,TP!$AN:$AN,Parkki!$Y$16,TP!$L:$L,$X$31,TP!$I:$I,$V$29,TP!$J:$J,$V$30,TP!$F:$F,Parkki!$Y$9)</f>
        <v>0</v>
      </c>
      <c r="AS365" s="111">
        <f>SUMIFS(TP!$P:$P,TP!$AI:$AI,$W$7,TP!$R:$R,$X$9,TP!$U:$U,$AP365,TP!$W:$W,$X$8,TP!$X:$X,$X$5,TP!$AD:$AD,$X$9,TP!$AF:$AF,$X$32,TP!$Q:$Q,$Y$4,TP!$AG:$AG,$Y$5,TP!$V:$V,$Y$7,TP!AL:AL,1,TP!$AN:$AN,Parkki!$Y$16,TP!$L:$L,$X$31,TP!$I:$I,$V$29,TP!$J:$J,$V$30,TP!$F:$F,Parkki!$Y$9)</f>
        <v>0</v>
      </c>
    </row>
    <row r="366" spans="1:45" ht="15" customHeight="1" x14ac:dyDescent="0.25">
      <c r="A366" s="797"/>
      <c r="B366" s="518" t="s">
        <v>1459</v>
      </c>
      <c r="C366" s="419">
        <f>SUMIFS(TP!$P:$P,TP!$AI:$AI,$W$7,TP!$R:$R,$X$9,TP!$U:$U,$AK366,TP!$W:$W,$X$8,TP!$X:$X,$X$5,TP!$AD:$AD,$X$9,TP!$AF:$AF,$X$32,TP!$Q:$Q,$Y$4,TP!$AG:$AG,$Y$5,TP!AL:AL,1,TP!$AN:$AN,Parkki!$Y$16,TP!$L:$L,$X$31,TP!$I:$I,$V$29,TP!$J:$J,$V$30,TP!$F:$F,Parkki!$Y$9)+AM366+AQ366</f>
        <v>0</v>
      </c>
      <c r="D366" s="552" t="str">
        <f t="shared" si="43"/>
        <v>-</v>
      </c>
      <c r="E366" s="419">
        <f>SUMIFS(TP!$P:$P,TP!$AI:$AI,$W$7,TP!$R:$R,$X$9,TP!$U:$U,$AK366,TP!$W:$W,$X$8,TP!$X:$X,$X$5,TP!$AD:$AD,$X$9,TP!$AF:$AF,$X$32,TP!$Q:$Q,$Y$4,TP!$AG:$AG,$Y$5,TP!$V:$V,$X$7,TP!AL:AL,1,TP!$AN:$AN,Parkki!$Y$16,TP!$L:$L,$X$31,TP!$I:$I,$V$29,TP!$J:$J,$V$30,TP!$F:$F,Parkki!$Y$9)+AN366+AR366</f>
        <v>0</v>
      </c>
      <c r="F366" s="419">
        <f>SUMIFS(TP!$P:$P,TP!$AI:$AI,$W$7,TP!$R:$R,$X$9,TP!$U:$U,$AK366,TP!$W:$W,$X$8,TP!$X:$X,$X$5,TP!$AD:$AD,$X$9,TP!$AF:$AF,$X$32,TP!$Q:$Q,$Y$4,TP!$AG:$AG,$Y$5,TP!$V:$V,$Y$7,TP!AL:AL,1,TP!$AN:$AN,Parkki!$Y$16,TP!$L:$L,$X$31,TP!$I:$I,$V$29,TP!$J:$J,$V$30,TP!$F:$F,Parkki!$Y$9)+AO366+AS366</f>
        <v>0</v>
      </c>
      <c r="G366" s="555" t="str">
        <f t="shared" si="38"/>
        <v>Muut työelämään liittyvät palvelut</v>
      </c>
      <c r="H366" s="556" t="str">
        <f t="shared" si="39"/>
        <v>-</v>
      </c>
      <c r="I366" s="675"/>
      <c r="J366" s="675"/>
      <c r="K366" s="675"/>
      <c r="L366" s="260"/>
      <c r="AH366" s="660"/>
      <c r="AI366" s="701" t="s">
        <v>1459</v>
      </c>
      <c r="AK366" s="15" t="s">
        <v>1234</v>
      </c>
      <c r="AL366" s="687" t="s">
        <v>1139</v>
      </c>
      <c r="AM366" s="683">
        <f>SUMIFS(TP!$P:$P,TP!$AI:$AI,$W$7,TP!$R:$R,$X$9,TP!$U:$U,$AL366,TP!$W:$W,$X$8,TP!$X:$X,$X$5,TP!$AD:$AD,$X$9,TP!$AF:$AF,$X$32,TP!$Q:$Q,$Y$4,TP!$AG:$AG,$Y$5,TP!AL:AL,1,TP!$AN:$AN,Parkki!$Y$16,TP!$L:$L,$X$31,TP!$I:$I,$V$29,TP!$J:$J,$V$30,TP!$F:$F,Parkki!$Y$9)</f>
        <v>0</v>
      </c>
      <c r="AN366" s="683">
        <f>SUMIFS(TP!$P:$P,TP!$AI:$AI,$W$7,TP!$R:$R,$X$9,TP!$U:$U,$AL366,TP!$W:$W,$X$8,TP!$X:$X,$X$5,TP!$AD:$AD,$X$9,TP!$AF:$AF,$X$32,TP!$Q:$Q,$Y$4,TP!$AG:$AG,$Y$5,TP!$V:$V,$X$7,TP!AL:AL,1,TP!$AN:$AN,Parkki!$Y$16,TP!$L:$L,$X$31,TP!$I:$I,$V$29,TP!$J:$J,$V$30,TP!$F:$F,Parkki!$Y$9)</f>
        <v>0</v>
      </c>
      <c r="AO366" s="683">
        <f>SUMIFS(TP!$P:$P,TP!$AI:$AI,$W$7,TP!$R:$R,$X$9,TP!$U:$U,$AL366,TP!$W:$W,$X$8,TP!$X:$X,$X$5,TP!$AD:$AD,$X$9,TP!$AF:$AF,$X$32,TP!$Q:$Q,$Y$4,TP!$AG:$AG,$Y$5,TP!$V:$V,$Y$7,TP!AL:AL,1,TP!$AN:$AN,Parkki!$Y$16,TP!$L:$L,$X$31,TP!$I:$I,$V$29,TP!$J:$J,$V$30,TP!$F:$F,Parkki!$Y$9)</f>
        <v>0</v>
      </c>
      <c r="AP366" s="687" t="s">
        <v>277</v>
      </c>
      <c r="AQ366" s="683">
        <f>SUMIFS(TP!$P:$P,TP!$AI:$AI,$W$7,TP!$R:$R,$X$9,TP!$U:$U,$AP366,TP!$W:$W,$X$8,TP!$X:$X,$X$5,TP!$AD:$AD,$X$9,TP!$AF:$AF,$X$32,TP!$Q:$Q,$Y$4,TP!$AG:$AG,$Y$5,TP!AL:AL,1,TP!$AN:$AN,Parkki!$Y$16,TP!$L:$L,$X$31,TP!$I:$I,$V$29,TP!$J:$J,$V$30,TP!$F:$F,Parkki!$Y$9)</f>
        <v>0</v>
      </c>
      <c r="AR366" s="111">
        <f>SUMIFS(TP!$P:$P,TP!$AI:$AI,$W$7,TP!$R:$R,$X$9,TP!$U:$U,$AP366,TP!$W:$W,$X$8,TP!$X:$X,$X$5,TP!$AD:$AD,$X$9,TP!$AF:$AF,$X$32,TP!$Q:$Q,$Y$4,TP!$AG:$AG,$Y$5,TP!$V:$V,$X$7,TP!AL:AL,1,TP!$AN:$AN,Parkki!$Y$16,TP!$L:$L,$X$31,TP!$I:$I,$V$29,TP!$J:$J,$V$30,TP!$F:$F,Parkki!$Y$9)</f>
        <v>0</v>
      </c>
      <c r="AS366" s="111">
        <f>SUMIFS(TP!$P:$P,TP!$AI:$AI,$W$7,TP!$R:$R,$X$9,TP!$U:$U,$AP366,TP!$W:$W,$X$8,TP!$X:$X,$X$5,TP!$AD:$AD,$X$9,TP!$AF:$AF,$X$32,TP!$Q:$Q,$Y$4,TP!$AG:$AG,$Y$5,TP!$V:$V,$Y$7,TP!AL:AL,1,TP!$AN:$AN,Parkki!$Y$16,TP!$L:$L,$X$31,TP!$I:$I,$V$29,TP!$J:$J,$V$30,TP!$F:$F,Parkki!$Y$9)</f>
        <v>0</v>
      </c>
    </row>
    <row r="367" spans="1:45" ht="15" customHeight="1" x14ac:dyDescent="0.25">
      <c r="A367" s="798"/>
      <c r="B367" s="518" t="s">
        <v>688</v>
      </c>
      <c r="C367" s="419">
        <f>SUMIFS(TP!$P:$P,TP!$AI:$AI,$W$7,TP!$R:$R,$X$9,TP!$U:$U,$AK367,TP!$W:$W,$X$8,TP!$X:$X,$X$5,TP!$AD:$AD,$X$9,TP!$AF:$AF,$X$32,TP!$Q:$Q,$Y$4,TP!$AG:$AG,$Y$5,TP!AL:AL,1,TP!$AN:$AN,Parkki!$Y$16,TP!$L:$L,$X$31,TP!$I:$I,$V$29,TP!$J:$J,$V$30,TP!$F:$F,Parkki!$Y$9)+AM367+AQ367</f>
        <v>0</v>
      </c>
      <c r="D367" s="552" t="str">
        <f t="shared" si="43"/>
        <v>-</v>
      </c>
      <c r="E367" s="419">
        <f>SUMIFS(TP!$P:$P,TP!$AI:$AI,$W$7,TP!$R:$R,$X$9,TP!$U:$U,$AK367,TP!$W:$W,$X$8,TP!$X:$X,$X$5,TP!$AD:$AD,$X$9,TP!$AF:$AF,$X$32,TP!$Q:$Q,$Y$4,TP!$AG:$AG,$Y$5,TP!$V:$V,$X$7,TP!AL:AL,1,TP!$AN:$AN,Parkki!$Y$16,TP!$L:$L,$X$31,TP!$I:$I,$V$29,TP!$J:$J,$V$30,TP!$F:$F,Parkki!$Y$9)+AN367+AR367</f>
        <v>0</v>
      </c>
      <c r="F367" s="419">
        <f>SUMIFS(TP!$P:$P,TP!$AI:$AI,$W$7,TP!$R:$R,$X$9,TP!$U:$U,$AK367,TP!$W:$W,$X$8,TP!$X:$X,$X$5,TP!$AD:$AD,$X$9,TP!$AF:$AF,$X$32,TP!$Q:$Q,$Y$4,TP!$AG:$AG,$Y$5,TP!$V:$V,$Y$7,TP!AL:AL,1,TP!$AN:$AN,Parkki!$Y$16,TP!$L:$L,$X$31,TP!$I:$I,$V$29,TP!$J:$J,$V$30,TP!$F:$F,Parkki!$Y$9)+AO367+AS367</f>
        <v>0</v>
      </c>
      <c r="G367" s="555" t="str">
        <f t="shared" si="38"/>
        <v>Työhön avoimille työmarkkinoille</v>
      </c>
      <c r="H367" s="556" t="str">
        <f t="shared" si="39"/>
        <v>-</v>
      </c>
      <c r="I367" s="675"/>
      <c r="J367" s="675"/>
      <c r="K367" s="675"/>
      <c r="L367" s="260"/>
      <c r="AH367" s="663"/>
      <c r="AI367" s="702" t="s">
        <v>688</v>
      </c>
      <c r="AK367" s="703" t="s">
        <v>1140</v>
      </c>
      <c r="AL367" s="687" t="s">
        <v>280</v>
      </c>
      <c r="AM367" s="683">
        <f>SUMIFS(TP!$P:$P,TP!$AI:$AI,$W$7,TP!$R:$R,$X$9,TP!$U:$U,$AL367,TP!$W:$W,$X$8,TP!$X:$X,$X$5,TP!$AD:$AD,$X$9,TP!$AF:$AF,$X$32,TP!$Q:$Q,$Y$4,TP!$AG:$AG,$Y$5,TP!AL:AL,1,TP!$AN:$AN,Parkki!$Y$16,TP!$L:$L,$X$31,TP!$I:$I,$V$29,TP!$J:$J,$V$30,TP!$F:$F,Parkki!$Y$9)</f>
        <v>0</v>
      </c>
      <c r="AN367" s="683">
        <f>SUMIFS(TP!$P:$P,TP!$AI:$AI,$W$7,TP!$R:$R,$X$9,TP!$U:$U,$AL367,TP!$W:$W,$X$8,TP!$X:$X,$X$5,TP!$AD:$AD,$X$9,TP!$AF:$AF,$X$32,TP!$Q:$Q,$Y$4,TP!$AG:$AG,$Y$5,TP!$V:$V,$X$7,TP!AL:AL,1,TP!$AN:$AN,Parkki!$Y$16,TP!$L:$L,$X$31,TP!$I:$I,$V$29,TP!$J:$J,$V$30,TP!$F:$F,Parkki!$Y$9)</f>
        <v>0</v>
      </c>
      <c r="AO367" s="683">
        <f>SUMIFS(TP!$P:$P,TP!$AI:$AI,$W$7,TP!$R:$R,$X$9,TP!$U:$U,$AL367,TP!$W:$W,$X$8,TP!$X:$X,$X$5,TP!$AD:$AD,$X$9,TP!$AF:$AF,$X$32,TP!$Q:$Q,$Y$4,TP!$AG:$AG,$Y$5,TP!$V:$V,$Y$7,TP!AL:AL,1,TP!$AN:$AN,Parkki!$Y$16,TP!$L:$L,$X$31,TP!$I:$I,$V$29,TP!$J:$J,$V$30,TP!$F:$F,Parkki!$Y$9)</f>
        <v>0</v>
      </c>
      <c r="AQ367" s="683">
        <f>SUMIFS(TP!$P:$P,TP!$AI:$AI,$W$7,TP!$R:$R,$X$9,TP!$U:$U,$AP367,TP!$W:$W,$X$8,TP!$X:$X,$X$5,TP!$AD:$AD,$X$9,TP!$AF:$AF,$X$32,TP!$Q:$Q,$Y$4,TP!$AG:$AG,$Y$5,TP!AL:AL,1,TP!$AN:$AN,Parkki!$Y$16,TP!$L:$L,$X$31,TP!$I:$I,$V$29,TP!$J:$J,$V$30,TP!$F:$F,Parkki!$Y$9)</f>
        <v>0</v>
      </c>
      <c r="AR367" s="111">
        <f>SUMIFS(TP!$P:$P,TP!$AI:$AI,$W$7,TP!$R:$R,$X$9,TP!$U:$U,$AP367,TP!$W:$W,$X$8,TP!$X:$X,$X$5,TP!$AD:$AD,$X$9,TP!$AF:$AF,$X$32,TP!$Q:$Q,$Y$4,TP!$AG:$AG,$Y$5,TP!$V:$V,$X$7,TP!AL:AL,1,TP!$AN:$AN,Parkki!$Y$16,TP!$L:$L,$X$31,TP!$I:$I,$V$29,TP!$J:$J,$V$30,TP!$F:$F,Parkki!$Y$9)</f>
        <v>0</v>
      </c>
      <c r="AS367" s="111">
        <f>SUMIFS(TP!$P:$P,TP!$AI:$AI,$W$7,TP!$R:$R,$X$9,TP!$U:$U,$AP367,TP!$W:$W,$X$8,TP!$X:$X,$X$5,TP!$AD:$AD,$X$9,TP!$AF:$AF,$X$32,TP!$Q:$Q,$Y$4,TP!$AG:$AG,$Y$5,TP!$V:$V,$Y$7,TP!AL:AL,1,TP!$AN:$AN,Parkki!$Y$16,TP!$L:$L,$X$31,TP!$I:$I,$V$29,TP!$J:$J,$V$30,TP!$F:$F,Parkki!$Y$9)</f>
        <v>0</v>
      </c>
    </row>
    <row r="368" spans="1:45" x14ac:dyDescent="0.25">
      <c r="A368" s="800" t="s">
        <v>94</v>
      </c>
      <c r="B368" s="518" t="s">
        <v>138</v>
      </c>
      <c r="C368" s="419">
        <f>SUMIFS(TP!$P:$P,TP!$AI:$AI,$W$7,TP!$R:$R,$X$9,TP!$U:$U,$AK368,TP!$W:$W,$X$8,TP!$X:$X,$X$5,TP!$AD:$AD,$X$9,TP!$AF:$AF,$X$32,TP!$Q:$Q,$Y$4,TP!$AG:$AG,$Y$5,TP!AL:AL,1,TP!$AN:$AN,Parkki!$Y$16,TP!$L:$L,$X$31,TP!$I:$I,$V$29,TP!$J:$J,$V$30,TP!$F:$F,Parkki!$Y$9)+AM368+AQ368</f>
        <v>0</v>
      </c>
      <c r="D368" s="552" t="str">
        <f t="shared" si="43"/>
        <v>-</v>
      </c>
      <c r="E368" s="419">
        <f>SUMIFS(TP!$P:$P,TP!$AI:$AI,$W$7,TP!$R:$R,$X$9,TP!$U:$U,$AK368,TP!$W:$W,$X$8,TP!$X:$X,$X$5,TP!$AD:$AD,$X$9,TP!$AF:$AF,$X$32,TP!$Q:$Q,$Y$4,TP!$AG:$AG,$Y$5,TP!$V:$V,$X$7,TP!AL:AL,1,TP!$AN:$AN,Parkki!$Y$16,TP!$L:$L,$X$31,TP!$I:$I,$V$29,TP!$J:$J,$V$30,TP!$F:$F,Parkki!$Y$9)+AN368+AR368</f>
        <v>0</v>
      </c>
      <c r="F368" s="419">
        <f>SUMIFS(TP!$P:$P,TP!$AI:$AI,$W$7,TP!$R:$R,$X$9,TP!$U:$U,$AK368,TP!$W:$W,$X$8,TP!$X:$X,$X$5,TP!$AD:$AD,$X$9,TP!$AF:$AF,$X$32,TP!$Q:$Q,$Y$4,TP!$AG:$AG,$Y$5,TP!$V:$V,$Y$7,TP!AL:AL,1,TP!$AN:$AN,Parkki!$Y$16,TP!$L:$L,$X$31,TP!$I:$I,$V$29,TP!$J:$J,$V$30,TP!$F:$F,Parkki!$Y$9)+AO368+AS368</f>
        <v>0</v>
      </c>
      <c r="G368" s="555" t="str">
        <f t="shared" si="38"/>
        <v>Ohjaamo</v>
      </c>
      <c r="H368" s="556" t="str">
        <f t="shared" si="39"/>
        <v>-</v>
      </c>
      <c r="I368" s="675"/>
      <c r="J368" s="675"/>
      <c r="K368" s="675"/>
      <c r="L368" s="260"/>
      <c r="AH368" s="659" t="s">
        <v>94</v>
      </c>
      <c r="AI368" s="702" t="s">
        <v>138</v>
      </c>
      <c r="AK368" s="700" t="s">
        <v>519</v>
      </c>
      <c r="AL368" s="686"/>
      <c r="AM368" s="683">
        <f>SUMIFS(TP!$P:$P,TP!$AI:$AI,$W$7,TP!$R:$R,$X$9,TP!$U:$U,$AL368,TP!$W:$W,$X$8,TP!$X:$X,$X$5,TP!$AD:$AD,$X$9,TP!$AF:$AF,$X$32,TP!$Q:$Q,$Y$4,TP!$AG:$AG,$Y$5,TP!AL:AL,1,TP!$AN:$AN,Parkki!$Y$16,TP!$L:$L,$X$31,TP!$I:$I,$V$29,TP!$J:$J,$V$30,TP!$F:$F,Parkki!$Y$9)</f>
        <v>0</v>
      </c>
      <c r="AN368" s="683">
        <f>SUMIFS(TP!$P:$P,TP!$AI:$AI,$W$7,TP!$R:$R,$X$9,TP!$U:$U,$AL368,TP!$W:$W,$X$8,TP!$X:$X,$X$5,TP!$AD:$AD,$X$9,TP!$AF:$AF,$X$32,TP!$Q:$Q,$Y$4,TP!$AG:$AG,$Y$5,TP!$V:$V,$X$7,TP!AL:AL,1,TP!$AN:$AN,Parkki!$Y$16,TP!$L:$L,$X$31,TP!$I:$I,$V$29,TP!$J:$J,$V$30,TP!$F:$F,Parkki!$Y$9)</f>
        <v>0</v>
      </c>
      <c r="AO368" s="683">
        <f>SUMIFS(TP!$P:$P,TP!$AI:$AI,$W$7,TP!$R:$R,$X$9,TP!$U:$U,$AL368,TP!$W:$W,$X$8,TP!$X:$X,$X$5,TP!$AD:$AD,$X$9,TP!$AF:$AF,$X$32,TP!$Q:$Q,$Y$4,TP!$AG:$AG,$Y$5,TP!$V:$V,$Y$7,TP!AL:AL,1,TP!$AN:$AN,Parkki!$Y$16,TP!$L:$L,$X$31,TP!$I:$I,$V$29,TP!$J:$J,$V$30,TP!$F:$F,Parkki!$Y$9)</f>
        <v>0</v>
      </c>
      <c r="AQ368" s="683">
        <f>SUMIFS(TP!$P:$P,TP!$AI:$AI,$W$7,TP!$R:$R,$X$9,TP!$U:$U,$AP368,TP!$W:$W,$X$8,TP!$X:$X,$X$5,TP!$AD:$AD,$X$9,TP!$AF:$AF,$X$32,TP!$Q:$Q,$Y$4,TP!$AG:$AG,$Y$5,TP!AL:AL,1,TP!$AN:$AN,Parkki!$Y$16,TP!$L:$L,$X$31,TP!$I:$I,$V$29,TP!$J:$J,$V$30,TP!$F:$F,Parkki!$Y$9)</f>
        <v>0</v>
      </c>
      <c r="AR368" s="111">
        <f>SUMIFS(TP!$P:$P,TP!$AI:$AI,$W$7,TP!$R:$R,$X$9,TP!$U:$U,$AP368,TP!$W:$W,$X$8,TP!$X:$X,$X$5,TP!$AD:$AD,$X$9,TP!$AF:$AF,$X$32,TP!$Q:$Q,$Y$4,TP!$AG:$AG,$Y$5,TP!$V:$V,$X$7,TP!AL:AL,1,TP!$AN:$AN,Parkki!$Y$16,TP!$L:$L,$X$31,TP!$I:$I,$V$29,TP!$J:$J,$V$30,TP!$F:$F,Parkki!$Y$9)</f>
        <v>0</v>
      </c>
      <c r="AS368" s="111">
        <f>SUMIFS(TP!$P:$P,TP!$AI:$AI,$W$7,TP!$R:$R,$X$9,TP!$U:$U,$AP368,TP!$W:$W,$X$8,TP!$X:$X,$X$5,TP!$AD:$AD,$X$9,TP!$AF:$AF,$X$32,TP!$Q:$Q,$Y$4,TP!$AG:$AG,$Y$5,TP!$V:$V,$Y$7,TP!AL:AL,1,TP!$AN:$AN,Parkki!$Y$16,TP!$L:$L,$X$31,TP!$I:$I,$V$29,TP!$J:$J,$V$30,TP!$F:$F,Parkki!$Y$9)</f>
        <v>0</v>
      </c>
    </row>
    <row r="369" spans="1:45" x14ac:dyDescent="0.25">
      <c r="A369" s="801"/>
      <c r="B369" s="518" t="s">
        <v>1155</v>
      </c>
      <c r="C369" s="419">
        <f>SUMIFS(TP!$P:$P,TP!$AI:$AI,$W$7,TP!$R:$R,$X$9,TP!$U:$U,$AK369,TP!$W:$W,$X$8,TP!$X:$X,$X$5,TP!$AD:$AD,$X$9,TP!$AF:$AF,$X$32,TP!$Q:$Q,$Y$4,TP!$AG:$AG,$Y$5,TP!AL:AL,1,TP!$AN:$AN,Parkki!$Y$16,TP!$L:$L,$X$31,TP!$I:$I,$V$29,TP!$J:$J,$V$30,TP!$F:$F,Parkki!$Y$9)+AM369+AQ369</f>
        <v>0</v>
      </c>
      <c r="D369" s="552" t="str">
        <f t="shared" si="43"/>
        <v>-</v>
      </c>
      <c r="E369" s="419">
        <f>SUMIFS(TP!$P:$P,TP!$AI:$AI,$W$7,TP!$R:$R,$X$9,TP!$U:$U,$AK369,TP!$W:$W,$X$8,TP!$X:$X,$X$5,TP!$AD:$AD,$X$9,TP!$AF:$AF,$X$32,TP!$Q:$Q,$Y$4,TP!$AG:$AG,$Y$5,TP!$V:$V,$X$7,TP!AL:AL,1,TP!$AN:$AN,Parkki!$Y$16,TP!$L:$L,$X$31,TP!$I:$I,$V$29,TP!$J:$J,$V$30,TP!$F:$F,Parkki!$Y$9)+AN369+AR369</f>
        <v>0</v>
      </c>
      <c r="F369" s="419">
        <f>SUMIFS(TP!$P:$P,TP!$AI:$AI,$W$7,TP!$R:$R,$X$9,TP!$U:$U,$AK369,TP!$W:$W,$X$8,TP!$X:$X,$X$5,TP!$AD:$AD,$X$9,TP!$AF:$AF,$X$32,TP!$Q:$Q,$Y$4,TP!$AG:$AG,$Y$5,TP!$V:$V,$Y$7,TP!AL:AL,1,TP!$AN:$AN,Parkki!$Y$16,TP!$L:$L,$X$31,TP!$I:$I,$V$29,TP!$J:$J,$V$30,TP!$F:$F,Parkki!$Y$9)+AO369+AS369</f>
        <v>0</v>
      </c>
      <c r="G369" s="555" t="str">
        <f t="shared" si="38"/>
        <v>Ohjaaminen kotouttamistoimenpiteisiin</v>
      </c>
      <c r="H369" s="556" t="str">
        <f t="shared" si="39"/>
        <v>-</v>
      </c>
      <c r="I369" s="675"/>
      <c r="J369" s="675"/>
      <c r="K369" s="675"/>
      <c r="L369" s="260"/>
      <c r="AH369" s="665"/>
      <c r="AI369" s="702" t="s">
        <v>1155</v>
      </c>
      <c r="AK369" s="700" t="s">
        <v>291</v>
      </c>
      <c r="AL369" s="686"/>
      <c r="AM369" s="683">
        <f>SUMIFS(TP!$P:$P,TP!$AI:$AI,$W$7,TP!$R:$R,$X$9,TP!$U:$U,$AL369,TP!$W:$W,$X$8,TP!$X:$X,$X$5,TP!$AD:$AD,$X$9,TP!$AF:$AF,$X$32,TP!$Q:$Q,$Y$4,TP!$AG:$AG,$Y$5,TP!AL:AL,1,TP!$AN:$AN,Parkki!$Y$16,TP!$L:$L,$X$31,TP!$I:$I,$V$29,TP!$J:$J,$V$30,TP!$F:$F,Parkki!$Y$9)</f>
        <v>0</v>
      </c>
      <c r="AN369" s="683">
        <f>SUMIFS(TP!$P:$P,TP!$AI:$AI,$W$7,TP!$R:$R,$X$9,TP!$U:$U,$AL369,TP!$W:$W,$X$8,TP!$X:$X,$X$5,TP!$AD:$AD,$X$9,TP!$AF:$AF,$X$32,TP!$Q:$Q,$Y$4,TP!$AG:$AG,$Y$5,TP!$V:$V,$X$7,TP!AL:AL,1,TP!$AN:$AN,Parkki!$Y$16,TP!$L:$L,$X$31,TP!$I:$I,$V$29,TP!$J:$J,$V$30,TP!$F:$F,Parkki!$Y$9)</f>
        <v>0</v>
      </c>
      <c r="AO369" s="683">
        <f>SUMIFS(TP!$P:$P,TP!$AI:$AI,$W$7,TP!$R:$R,$X$9,TP!$U:$U,$AL369,TP!$W:$W,$X$8,TP!$X:$X,$X$5,TP!$AD:$AD,$X$9,TP!$AF:$AF,$X$32,TP!$Q:$Q,$Y$4,TP!$AG:$AG,$Y$5,TP!$V:$V,$Y$7,TP!AL:AL,1,TP!$AN:$AN,Parkki!$Y$16,TP!$L:$L,$X$31,TP!$I:$I,$V$29,TP!$J:$J,$V$30,TP!$F:$F,Parkki!$Y$9)</f>
        <v>0</v>
      </c>
      <c r="AQ369" s="683">
        <f>SUMIFS(TP!$P:$P,TP!$AI:$AI,$W$7,TP!$R:$R,$X$9,TP!$U:$U,$AP369,TP!$W:$W,$X$8,TP!$X:$X,$X$5,TP!$AD:$AD,$X$9,TP!$AF:$AF,$X$32,TP!$Q:$Q,$Y$4,TP!$AG:$AG,$Y$5,TP!AL:AL,1,TP!$AN:$AN,Parkki!$Y$16,TP!$L:$L,$X$31,TP!$I:$I,$V$29,TP!$J:$J,$V$30,TP!$F:$F,Parkki!$Y$9)</f>
        <v>0</v>
      </c>
      <c r="AR369" s="111">
        <f>SUMIFS(TP!$P:$P,TP!$AI:$AI,$W$7,TP!$R:$R,$X$9,TP!$U:$U,$AP369,TP!$W:$W,$X$8,TP!$X:$X,$X$5,TP!$AD:$AD,$X$9,TP!$AF:$AF,$X$32,TP!$Q:$Q,$Y$4,TP!$AG:$AG,$Y$5,TP!$V:$V,$X$7,TP!AL:AL,1,TP!$AN:$AN,Parkki!$Y$16,TP!$L:$L,$X$31,TP!$I:$I,$V$29,TP!$J:$J,$V$30,TP!$F:$F,Parkki!$Y$9)</f>
        <v>0</v>
      </c>
      <c r="AS369" s="111">
        <f>SUMIFS(TP!$P:$P,TP!$AI:$AI,$W$7,TP!$R:$R,$X$9,TP!$U:$U,$AP369,TP!$W:$W,$X$8,TP!$X:$X,$X$5,TP!$AD:$AD,$X$9,TP!$AF:$AF,$X$32,TP!$Q:$Q,$Y$4,TP!$AG:$AG,$Y$5,TP!$V:$V,$Y$7,TP!AL:AL,1,TP!$AN:$AN,Parkki!$Y$16,TP!$L:$L,$X$31,TP!$I:$I,$V$29,TP!$J:$J,$V$30,TP!$F:$F,Parkki!$Y$9)</f>
        <v>0</v>
      </c>
    </row>
    <row r="370" spans="1:45" x14ac:dyDescent="0.25">
      <c r="A370" s="801"/>
      <c r="B370" s="518" t="s">
        <v>691</v>
      </c>
      <c r="C370" s="419">
        <f>SUMIFS(TP!$P:$P,TP!$AI:$AI,$W$7,TP!$R:$R,$X$9,TP!$U:$U,$AK370,TP!$W:$W,$X$8,TP!$X:$X,$X$5,TP!$AD:$AD,$X$9,TP!$AF:$AF,$X$32,TP!$Q:$Q,$Y$4,TP!$AG:$AG,$Y$5,TP!AL:AL,1,TP!$AN:$AN,Parkki!$Y$16,TP!$L:$L,$X$31,TP!$I:$I,$V$29,TP!$J:$J,$V$30,TP!$F:$F,Parkki!$Y$9)+AM370+AQ370</f>
        <v>0</v>
      </c>
      <c r="D370" s="552" t="str">
        <f t="shared" si="43"/>
        <v>-</v>
      </c>
      <c r="E370" s="419">
        <f>SUMIFS(TP!$P:$P,TP!$AI:$AI,$W$7,TP!$R:$R,$X$9,TP!$U:$U,$AK370,TP!$W:$W,$X$8,TP!$X:$X,$X$5,TP!$AD:$AD,$X$9,TP!$AF:$AF,$X$32,TP!$Q:$Q,$Y$4,TP!$AG:$AG,$Y$5,TP!$V:$V,$X$7,TP!AL:AL,1,TP!$AN:$AN,Parkki!$Y$16,TP!$L:$L,$X$31,TP!$I:$I,$V$29,TP!$J:$J,$V$30,TP!$F:$F,Parkki!$Y$9)+AN370+AR370</f>
        <v>0</v>
      </c>
      <c r="F370" s="419">
        <f>SUMIFS(TP!$P:$P,TP!$AI:$AI,$W$7,TP!$R:$R,$X$9,TP!$U:$U,$AK370,TP!$W:$W,$X$8,TP!$X:$X,$X$5,TP!$AD:$AD,$X$9,TP!$AF:$AF,$X$32,TP!$Q:$Q,$Y$4,TP!$AG:$AG,$Y$5,TP!$V:$V,$Y$7,TP!AL:AL,1,TP!$AN:$AN,Parkki!$Y$16,TP!$L:$L,$X$31,TP!$I:$I,$V$29,TP!$J:$J,$V$30,TP!$F:$F,Parkki!$Y$9)+AO370+AS370</f>
        <v>0</v>
      </c>
      <c r="G370" s="555" t="str">
        <f t="shared" si="38"/>
        <v>Varusmiespalvelu</v>
      </c>
      <c r="H370" s="556" t="str">
        <f t="shared" si="39"/>
        <v>-</v>
      </c>
      <c r="I370" s="675"/>
      <c r="J370" s="675"/>
      <c r="K370" s="675"/>
      <c r="L370" s="260"/>
      <c r="AH370" s="665"/>
      <c r="AI370" s="702" t="s">
        <v>691</v>
      </c>
      <c r="AK370" s="700" t="s">
        <v>294</v>
      </c>
      <c r="AL370" s="686"/>
      <c r="AM370" s="683">
        <f>SUMIFS(TP!$P:$P,TP!$AI:$AI,$W$7,TP!$R:$R,$X$9,TP!$U:$U,$AL370,TP!$W:$W,$X$8,TP!$X:$X,$X$5,TP!$AD:$AD,$X$9,TP!$AF:$AF,$X$32,TP!$Q:$Q,$Y$4,TP!$AG:$AG,$Y$5,TP!AL:AL,1,TP!$AN:$AN,Parkki!$Y$16,TP!$L:$L,$X$31,TP!$I:$I,$V$29,TP!$J:$J,$V$30,TP!$F:$F,Parkki!$Y$9)</f>
        <v>0</v>
      </c>
      <c r="AN370" s="683">
        <f>SUMIFS(TP!$P:$P,TP!$AI:$AI,$W$7,TP!$R:$R,$X$9,TP!$U:$U,$AL370,TP!$W:$W,$X$8,TP!$X:$X,$X$5,TP!$AD:$AD,$X$9,TP!$AF:$AF,$X$32,TP!$Q:$Q,$Y$4,TP!$AG:$AG,$Y$5,TP!$V:$V,$X$7,TP!AL:AL,1,TP!$AN:$AN,Parkki!$Y$16,TP!$L:$L,$X$31,TP!$I:$I,$V$29,TP!$J:$J,$V$30,TP!$F:$F,Parkki!$Y$9)</f>
        <v>0</v>
      </c>
      <c r="AO370" s="683">
        <f>SUMIFS(TP!$P:$P,TP!$AI:$AI,$W$7,TP!$R:$R,$X$9,TP!$U:$U,$AL370,TP!$W:$W,$X$8,TP!$X:$X,$X$5,TP!$AD:$AD,$X$9,TP!$AF:$AF,$X$32,TP!$Q:$Q,$Y$4,TP!$AG:$AG,$Y$5,TP!$V:$V,$Y$7,TP!AL:AL,1,TP!$AN:$AN,Parkki!$Y$16,TP!$L:$L,$X$31,TP!$I:$I,$V$29,TP!$J:$J,$V$30,TP!$F:$F,Parkki!$Y$9)</f>
        <v>0</v>
      </c>
      <c r="AQ370" s="683">
        <f>SUMIFS(TP!$P:$P,TP!$AI:$AI,$W$7,TP!$R:$R,$X$9,TP!$U:$U,$AP370,TP!$W:$W,$X$8,TP!$X:$X,$X$5,TP!$AD:$AD,$X$9,TP!$AF:$AF,$X$32,TP!$Q:$Q,$Y$4,TP!$AG:$AG,$Y$5,TP!AL:AL,1,TP!$AN:$AN,Parkki!$Y$16,TP!$L:$L,$X$31,TP!$I:$I,$V$29,TP!$J:$J,$V$30,TP!$F:$F,Parkki!$Y$9)</f>
        <v>0</v>
      </c>
      <c r="AR370" s="111">
        <f>SUMIFS(TP!$P:$P,TP!$AI:$AI,$W$7,TP!$R:$R,$X$9,TP!$U:$U,$AP370,TP!$W:$W,$X$8,TP!$X:$X,$X$5,TP!$AD:$AD,$X$9,TP!$AF:$AF,$X$32,TP!$Q:$Q,$Y$4,TP!$AG:$AG,$Y$5,TP!$V:$V,$X$7,TP!AL:AL,1,TP!$AN:$AN,Parkki!$Y$16,TP!$L:$L,$X$31,TP!$I:$I,$V$29,TP!$J:$J,$V$30,TP!$F:$F,Parkki!$Y$9)</f>
        <v>0</v>
      </c>
      <c r="AS370" s="111">
        <f>SUMIFS(TP!$P:$P,TP!$AI:$AI,$W$7,TP!$R:$R,$X$9,TP!$U:$U,$AP370,TP!$W:$W,$X$8,TP!$X:$X,$X$5,TP!$AD:$AD,$X$9,TP!$AF:$AF,$X$32,TP!$Q:$Q,$Y$4,TP!$AG:$AG,$Y$5,TP!$V:$V,$Y$7,TP!AL:AL,1,TP!$AN:$AN,Parkki!$Y$16,TP!$L:$L,$X$31,TP!$I:$I,$V$29,TP!$J:$J,$V$30,TP!$F:$F,Parkki!$Y$9)</f>
        <v>0</v>
      </c>
    </row>
    <row r="371" spans="1:45" x14ac:dyDescent="0.25">
      <c r="A371" s="801"/>
      <c r="B371" s="518" t="s">
        <v>692</v>
      </c>
      <c r="C371" s="419">
        <f>SUMIFS(TP!$P:$P,TP!$AI:$AI,$W$7,TP!$R:$R,$X$9,TP!$U:$U,$AK371,TP!$W:$W,$X$8,TP!$X:$X,$X$5,TP!$AD:$AD,$X$9,TP!$AF:$AF,$X$32,TP!$Q:$Q,$Y$4,TP!$AG:$AG,$Y$5,TP!AL:AL,1,TP!$AN:$AN,Parkki!$Y$16,TP!$L:$L,$X$31,TP!$I:$I,$V$29,TP!$J:$J,$V$30,TP!$F:$F,Parkki!$Y$9)+AM371+AQ371</f>
        <v>0</v>
      </c>
      <c r="D371" s="552" t="str">
        <f t="shared" si="43"/>
        <v>-</v>
      </c>
      <c r="E371" s="419">
        <f>SUMIFS(TP!$P:$P,TP!$AI:$AI,$W$7,TP!$R:$R,$X$9,TP!$U:$U,$AK371,TP!$W:$W,$X$8,TP!$X:$X,$X$5,TP!$AD:$AD,$X$9,TP!$AF:$AF,$X$32,TP!$Q:$Q,$Y$4,TP!$AG:$AG,$Y$5,TP!$V:$V,$X$7,TP!AL:AL,1,TP!$AN:$AN,Parkki!$Y$16,TP!$L:$L,$X$31,TP!$I:$I,$V$29,TP!$J:$J,$V$30,TP!$F:$F,Parkki!$Y$9)+AN371+AR371</f>
        <v>0</v>
      </c>
      <c r="F371" s="419">
        <f>SUMIFS(TP!$P:$P,TP!$AI:$AI,$W$7,TP!$R:$R,$X$9,TP!$U:$U,$AK371,TP!$W:$W,$X$8,TP!$X:$X,$X$5,TP!$AD:$AD,$X$9,TP!$AF:$AF,$X$32,TP!$Q:$Q,$Y$4,TP!$AG:$AG,$Y$5,TP!$V:$V,$Y$7,TP!AL:AL,1,TP!$AN:$AN,Parkki!$Y$16,TP!$L:$L,$X$31,TP!$I:$I,$V$29,TP!$J:$J,$V$30,TP!$F:$F,Parkki!$Y$9)+AO371+AS371</f>
        <v>0</v>
      </c>
      <c r="G371" s="555" t="str">
        <f t="shared" si="38"/>
        <v>Siviilipalvelu</v>
      </c>
      <c r="H371" s="556" t="str">
        <f t="shared" si="39"/>
        <v>-</v>
      </c>
      <c r="I371" s="675"/>
      <c r="J371" s="675"/>
      <c r="K371" s="675"/>
      <c r="L371" s="260"/>
      <c r="AH371" s="665"/>
      <c r="AI371" s="702" t="s">
        <v>692</v>
      </c>
      <c r="AK371" s="700" t="s">
        <v>520</v>
      </c>
      <c r="AL371" s="686"/>
      <c r="AM371" s="683">
        <f>SUMIFS(TP!$P:$P,TP!$AI:$AI,$W$7,TP!$R:$R,$X$9,TP!$U:$U,$AL371,TP!$W:$W,$X$8,TP!$X:$X,$X$5,TP!$AD:$AD,$X$9,TP!$AF:$AF,$X$32,TP!$Q:$Q,$Y$4,TP!$AG:$AG,$Y$5,TP!AL:AL,1,TP!$AN:$AN,Parkki!$Y$16,TP!$L:$L,$X$31,TP!$I:$I,$V$29,TP!$J:$J,$V$30,TP!$F:$F,Parkki!$Y$9)</f>
        <v>0</v>
      </c>
      <c r="AN371" s="683">
        <f>SUMIFS(TP!$P:$P,TP!$AI:$AI,$W$7,TP!$R:$R,$X$9,TP!$U:$U,$AL371,TP!$W:$W,$X$8,TP!$X:$X,$X$5,TP!$AD:$AD,$X$9,TP!$AF:$AF,$X$32,TP!$Q:$Q,$Y$4,TP!$AG:$AG,$Y$5,TP!$V:$V,$X$7,TP!AL:AL,1,TP!$AN:$AN,Parkki!$Y$16,TP!$L:$L,$X$31,TP!$I:$I,$V$29,TP!$J:$J,$V$30,TP!$F:$F,Parkki!$Y$9)</f>
        <v>0</v>
      </c>
      <c r="AO371" s="683">
        <f>SUMIFS(TP!$P:$P,TP!$AI:$AI,$W$7,TP!$R:$R,$X$9,TP!$U:$U,$AL371,TP!$W:$W,$X$8,TP!$X:$X,$X$5,TP!$AD:$AD,$X$9,TP!$AF:$AF,$X$32,TP!$Q:$Q,$Y$4,TP!$AG:$AG,$Y$5,TP!$V:$V,$Y$7,TP!AL:AL,1,TP!$AN:$AN,Parkki!$Y$16,TP!$L:$L,$X$31,TP!$I:$I,$V$29,TP!$J:$J,$V$30,TP!$F:$F,Parkki!$Y$9)</f>
        <v>0</v>
      </c>
      <c r="AQ371" s="683">
        <f>SUMIFS(TP!$P:$P,TP!$AI:$AI,$W$7,TP!$R:$R,$X$9,TP!$U:$U,$AP371,TP!$W:$W,$X$8,TP!$X:$X,$X$5,TP!$AD:$AD,$X$9,TP!$AF:$AF,$X$32,TP!$Q:$Q,$Y$4,TP!$AG:$AG,$Y$5,TP!AL:AL,1,TP!$AN:$AN,Parkki!$Y$16,TP!$L:$L,$X$31,TP!$I:$I,$V$29,TP!$J:$J,$V$30,TP!$F:$F,Parkki!$Y$9)</f>
        <v>0</v>
      </c>
      <c r="AR371" s="111">
        <f>SUMIFS(TP!$P:$P,TP!$AI:$AI,$W$7,TP!$R:$R,$X$9,TP!$U:$U,$AP371,TP!$W:$W,$X$8,TP!$X:$X,$X$5,TP!$AD:$AD,$X$9,TP!$AF:$AF,$X$32,TP!$Q:$Q,$Y$4,TP!$AG:$AG,$Y$5,TP!$V:$V,$X$7,TP!AL:AL,1,TP!$AN:$AN,Parkki!$Y$16,TP!$L:$L,$X$31,TP!$I:$I,$V$29,TP!$J:$J,$V$30,TP!$F:$F,Parkki!$Y$9)</f>
        <v>0</v>
      </c>
      <c r="AS371" s="111">
        <f>SUMIFS(TP!$P:$P,TP!$AI:$AI,$W$7,TP!$R:$R,$X$9,TP!$U:$U,$AP371,TP!$W:$W,$X$8,TP!$X:$X,$X$5,TP!$AD:$AD,$X$9,TP!$AF:$AF,$X$32,TP!$Q:$Q,$Y$4,TP!$AG:$AG,$Y$5,TP!$V:$V,$Y$7,TP!AL:AL,1,TP!$AN:$AN,Parkki!$Y$16,TP!$L:$L,$X$31,TP!$I:$I,$V$29,TP!$J:$J,$V$30,TP!$F:$F,Parkki!$Y$9)</f>
        <v>0</v>
      </c>
    </row>
    <row r="372" spans="1:45" x14ac:dyDescent="0.25">
      <c r="A372" s="801"/>
      <c r="B372" s="518" t="s">
        <v>1156</v>
      </c>
      <c r="C372" s="419">
        <f>SUMIFS(TP!$P:$P,TP!$AI:$AI,$W$7,TP!$R:$R,$X$9,TP!$U:$U,$AK372,TP!$W:$W,$X$8,TP!$X:$X,$X$5,TP!$AD:$AD,$X$9,TP!$AF:$AF,$X$32,TP!$Q:$Q,$Y$4,TP!$AG:$AG,$Y$5,TP!AL:AL,1,TP!$AN:$AN,Parkki!$Y$16,TP!$L:$L,$X$31,TP!$I:$I,$V$29,TP!$J:$J,$V$30,TP!$F:$F,Parkki!$Y$9)+AM372+AQ372</f>
        <v>0</v>
      </c>
      <c r="D372" s="552" t="str">
        <f t="shared" si="43"/>
        <v>-</v>
      </c>
      <c r="E372" s="419">
        <f>SUMIFS(TP!$P:$P,TP!$AI:$AI,$W$7,TP!$R:$R,$X$9,TP!$U:$U,$AK372,TP!$W:$W,$X$8,TP!$X:$X,$X$5,TP!$AD:$AD,$X$9,TP!$AF:$AF,$X$32,TP!$Q:$Q,$Y$4,TP!$AG:$AG,$Y$5,TP!$V:$V,$X$7,TP!AL:AL,1,TP!$AN:$AN,Parkki!$Y$16,TP!$L:$L,$X$31,TP!$I:$I,$V$29,TP!$J:$J,$V$30,TP!$F:$F,Parkki!$Y$9)+AN372+AR372</f>
        <v>0</v>
      </c>
      <c r="F372" s="419">
        <f>SUMIFS(TP!$P:$P,TP!$AI:$AI,$W$7,TP!$R:$R,$X$9,TP!$U:$U,$AK372,TP!$W:$W,$X$8,TP!$X:$X,$X$5,TP!$AD:$AD,$X$9,TP!$AF:$AF,$X$32,TP!$Q:$Q,$Y$4,TP!$AG:$AG,$Y$5,TP!$V:$V,$Y$7,TP!AL:AL,1,TP!$AN:$AN,Parkki!$Y$16,TP!$L:$L,$X$31,TP!$I:$I,$V$29,TP!$J:$J,$V$30,TP!$F:$F,Parkki!$Y$9)+AO372+AS372</f>
        <v>0</v>
      </c>
      <c r="G372" s="555" t="str">
        <f t="shared" si="38"/>
        <v>Poliisi</v>
      </c>
      <c r="H372" s="556" t="str">
        <f t="shared" si="39"/>
        <v>-</v>
      </c>
      <c r="I372" s="675"/>
      <c r="J372" s="675"/>
      <c r="K372" s="675"/>
      <c r="L372" s="260"/>
      <c r="AH372" s="665"/>
      <c r="AI372" s="702" t="s">
        <v>1156</v>
      </c>
      <c r="AK372" s="700" t="s">
        <v>292</v>
      </c>
      <c r="AL372" s="686"/>
      <c r="AM372" s="683">
        <f>SUMIFS(TP!$P:$P,TP!$AI:$AI,$W$7,TP!$R:$R,$X$9,TP!$U:$U,$AL372,TP!$W:$W,$X$8,TP!$X:$X,$X$5,TP!$AD:$AD,$X$9,TP!$AF:$AF,$X$32,TP!$Q:$Q,$Y$4,TP!$AG:$AG,$Y$5,TP!AL:AL,1,TP!$AN:$AN,Parkki!$Y$16,TP!$L:$L,$X$31,TP!$I:$I,$V$29,TP!$J:$J,$V$30,TP!$F:$F,Parkki!$Y$9)</f>
        <v>0</v>
      </c>
      <c r="AN372" s="683">
        <f>SUMIFS(TP!$P:$P,TP!$AI:$AI,$W$7,TP!$R:$R,$X$9,TP!$U:$U,$AL372,TP!$W:$W,$X$8,TP!$X:$X,$X$5,TP!$AD:$AD,$X$9,TP!$AF:$AF,$X$32,TP!$Q:$Q,$Y$4,TP!$AG:$AG,$Y$5,TP!$V:$V,$X$7,TP!AL:AL,1,TP!$AN:$AN,Parkki!$Y$16,TP!$L:$L,$X$31,TP!$I:$I,$V$29,TP!$J:$J,$V$30,TP!$F:$F,Parkki!$Y$9)</f>
        <v>0</v>
      </c>
      <c r="AO372" s="683">
        <f>SUMIFS(TP!$P:$P,TP!$AI:$AI,$W$7,TP!$R:$R,$X$9,TP!$U:$U,$AL372,TP!$W:$W,$X$8,TP!$X:$X,$X$5,TP!$AD:$AD,$X$9,TP!$AF:$AF,$X$32,TP!$Q:$Q,$Y$4,TP!$AG:$AG,$Y$5,TP!$V:$V,$Y$7,TP!AL:AL,1,TP!$AN:$AN,Parkki!$Y$16,TP!$L:$L,$X$31,TP!$I:$I,$V$29,TP!$J:$J,$V$30,TP!$F:$F,Parkki!$Y$9)</f>
        <v>0</v>
      </c>
      <c r="AQ372" s="683">
        <f>SUMIFS(TP!$P:$P,TP!$AI:$AI,$W$7,TP!$R:$R,$X$9,TP!$U:$U,$AP372,TP!$W:$W,$X$8,TP!$X:$X,$X$5,TP!$AD:$AD,$X$9,TP!$AF:$AF,$X$32,TP!$Q:$Q,$Y$4,TP!$AG:$AG,$Y$5,TP!AL:AL,1,TP!$AN:$AN,Parkki!$Y$16,TP!$L:$L,$X$31,TP!$I:$I,$V$29,TP!$J:$J,$V$30,TP!$F:$F,Parkki!$Y$9)</f>
        <v>0</v>
      </c>
      <c r="AR372" s="111">
        <f>SUMIFS(TP!$P:$P,TP!$AI:$AI,$W$7,TP!$R:$R,$X$9,TP!$U:$U,$AP372,TP!$W:$W,$X$8,TP!$X:$X,$X$5,TP!$AD:$AD,$X$9,TP!$AF:$AF,$X$32,TP!$Q:$Q,$Y$4,TP!$AG:$AG,$Y$5,TP!$V:$V,$X$7,TP!AL:AL,1,TP!$AN:$AN,Parkki!$Y$16,TP!$L:$L,$X$31,TP!$I:$I,$V$29,TP!$J:$J,$V$30,TP!$F:$F,Parkki!$Y$9)</f>
        <v>0</v>
      </c>
      <c r="AS372" s="111">
        <f>SUMIFS(TP!$P:$P,TP!$AI:$AI,$W$7,TP!$R:$R,$X$9,TP!$U:$U,$AP372,TP!$W:$W,$X$8,TP!$X:$X,$X$5,TP!$AD:$AD,$X$9,TP!$AF:$AF,$X$32,TP!$Q:$Q,$Y$4,TP!$AG:$AG,$Y$5,TP!$V:$V,$Y$7,TP!AL:AL,1,TP!$AN:$AN,Parkki!$Y$16,TP!$L:$L,$X$31,TP!$I:$I,$V$29,TP!$J:$J,$V$30,TP!$F:$F,Parkki!$Y$9)</f>
        <v>0</v>
      </c>
    </row>
    <row r="373" spans="1:45" x14ac:dyDescent="0.25">
      <c r="A373" s="802"/>
      <c r="B373" s="518" t="s">
        <v>94</v>
      </c>
      <c r="C373" s="419">
        <f>SUMIFS(TP!$P:$P,TP!$AI:$AI,$W$7,TP!$R:$R,$X$9,TP!$U:$U,$AK373,TP!$W:$W,$X$8,TP!$X:$X,$X$5,TP!$AD:$AD,$X$9,TP!$AF:$AF,$X$32,TP!$Q:$Q,$Y$4,TP!$AG:$AG,$Y$5,TP!AL:AL,1,TP!$AN:$AN,Parkki!$Y$16,TP!$L:$L,$X$31,TP!$I:$I,$V$29,TP!$J:$J,$V$30,TP!$F:$F,Parkki!$Y$9)+AM373+AQ373</f>
        <v>0</v>
      </c>
      <c r="D373" s="552" t="str">
        <f t="shared" si="43"/>
        <v>-</v>
      </c>
      <c r="E373" s="419">
        <f>SUMIFS(TP!$P:$P,TP!$AI:$AI,$W$7,TP!$R:$R,$X$9,TP!$U:$U,$AK373,TP!$W:$W,$X$8,TP!$X:$X,$X$5,TP!$AD:$AD,$X$9,TP!$AF:$AF,$X$32,TP!$Q:$Q,$Y$4,TP!$AG:$AG,$Y$5,TP!$V:$V,$X$7,TP!AL:AL,1,TP!$AN:$AN,Parkki!$Y$16,TP!$L:$L,$X$31,TP!$I:$I,$V$29,TP!$J:$J,$V$30,TP!$F:$F,Parkki!$Y$9)+AN373+AR373</f>
        <v>0</v>
      </c>
      <c r="F373" s="419">
        <f>SUMIFS(TP!$P:$P,TP!$AI:$AI,$W$7,TP!$R:$R,$X$9,TP!$U:$U,$AK373,TP!$W:$W,$X$8,TP!$X:$X,$X$5,TP!$AD:$AD,$X$9,TP!$AF:$AF,$X$32,TP!$Q:$Q,$Y$4,TP!$AG:$AG,$Y$5,TP!$V:$V,$Y$7,TP!AL:AL,1,TP!$AN:$AN,Parkki!$Y$16,TP!$L:$L,$X$31,TP!$I:$I,$V$29,TP!$J:$J,$V$30,TP!$F:$F,Parkki!$Y$9)+AO373+AS373</f>
        <v>0</v>
      </c>
      <c r="G373" s="555" t="str">
        <f t="shared" si="38"/>
        <v>Muut toimenpiteet</v>
      </c>
      <c r="H373" s="556" t="str">
        <f t="shared" si="39"/>
        <v>-</v>
      </c>
      <c r="I373" s="675"/>
      <c r="J373" s="675"/>
      <c r="K373" s="675"/>
      <c r="L373" s="260"/>
      <c r="AH373" s="665"/>
      <c r="AI373" s="702" t="s">
        <v>94</v>
      </c>
      <c r="AK373" s="700" t="s">
        <v>281</v>
      </c>
      <c r="AL373" s="686"/>
      <c r="AM373" s="683">
        <f>SUMIFS(TP!$P:$P,TP!$AI:$AI,$W$7,TP!$R:$R,$X$9,TP!$U:$U,$AL373,TP!$W:$W,$X$8,TP!$X:$X,$X$5,TP!$AD:$AD,$X$9,TP!$AF:$AF,$X$32,TP!$Q:$Q,$Y$4,TP!$AG:$AG,$Y$5,TP!AL:AL,1,TP!$AN:$AN,Parkki!$Y$16,TP!$L:$L,$X$31,TP!$I:$I,$V$29,TP!$J:$J,$V$30,TP!$F:$F,Parkki!$Y$9)</f>
        <v>0</v>
      </c>
      <c r="AN373" s="683">
        <f>SUMIFS(TP!$P:$P,TP!$AI:$AI,$W$7,TP!$R:$R,$X$9,TP!$U:$U,$AL373,TP!$W:$W,$X$8,TP!$X:$X,$X$5,TP!$AD:$AD,$X$9,TP!$AF:$AF,$X$32,TP!$Q:$Q,$Y$4,TP!$AG:$AG,$Y$5,TP!$V:$V,$X$7,TP!AL:AL,1,TP!$AN:$AN,Parkki!$Y$16,TP!$L:$L,$X$31,TP!$I:$I,$V$29,TP!$J:$J,$V$30,TP!$F:$F,Parkki!$Y$9)</f>
        <v>0</v>
      </c>
      <c r="AO373" s="683">
        <f>SUMIFS(TP!$P:$P,TP!$AI:$AI,$W$7,TP!$R:$R,$X$9,TP!$U:$U,$AL373,TP!$W:$W,$X$8,TP!$X:$X,$X$5,TP!$AD:$AD,$X$9,TP!$AF:$AF,$X$32,TP!$Q:$Q,$Y$4,TP!$AG:$AG,$Y$5,TP!$V:$V,$Y$7,TP!AL:AL,1,TP!$AN:$AN,Parkki!$Y$16,TP!$L:$L,$X$31,TP!$I:$I,$V$29,TP!$J:$J,$V$30,TP!$F:$F,Parkki!$Y$9)</f>
        <v>0</v>
      </c>
      <c r="AQ373" s="683">
        <f>SUMIFS(TP!$P:$P,TP!$AI:$AI,$W$7,TP!$R:$R,$X$9,TP!$U:$U,$AP373,TP!$W:$W,$X$8,TP!$X:$X,$X$5,TP!$AD:$AD,$X$9,TP!$AF:$AF,$X$32,TP!$Q:$Q,$Y$4,TP!$AG:$AG,$Y$5,TP!AL:AL,1,TP!$AN:$AN,Parkki!$Y$16,TP!$L:$L,$X$31,TP!$I:$I,$V$29,TP!$J:$J,$V$30,TP!$F:$F,Parkki!$Y$9)</f>
        <v>0</v>
      </c>
      <c r="AR373" s="111">
        <f>SUMIFS(TP!$P:$P,TP!$AI:$AI,$W$7,TP!$R:$R,$X$9,TP!$U:$U,$AP373,TP!$W:$W,$X$8,TP!$X:$X,$X$5,TP!$AD:$AD,$X$9,TP!$AF:$AF,$X$32,TP!$Q:$Q,$Y$4,TP!$AG:$AG,$Y$5,TP!$V:$V,$X$7,TP!AL:AL,1,TP!$AN:$AN,Parkki!$Y$16,TP!$L:$L,$X$31,TP!$I:$I,$V$29,TP!$J:$J,$V$30,TP!$F:$F,Parkki!$Y$9)</f>
        <v>0</v>
      </c>
      <c r="AS373" s="111">
        <f>SUMIFS(TP!$P:$P,TP!$AI:$AI,$W$7,TP!$R:$R,$X$9,TP!$U:$U,$AP373,TP!$W:$W,$X$8,TP!$X:$X,$X$5,TP!$AD:$AD,$X$9,TP!$AF:$AF,$X$32,TP!$Q:$Q,$Y$4,TP!$AG:$AG,$Y$5,TP!$V:$V,$Y$7,TP!AL:AL,1,TP!$AN:$AN,Parkki!$Y$16,TP!$L:$L,$X$31,TP!$I:$I,$V$29,TP!$J:$J,$V$30,TP!$F:$F,Parkki!$Y$9)</f>
        <v>0</v>
      </c>
    </row>
    <row r="374" spans="1:45" x14ac:dyDescent="0.25">
      <c r="A374" s="794" t="s">
        <v>933</v>
      </c>
      <c r="B374" s="795"/>
      <c r="C374" s="519">
        <f>SUM(C335:C373)</f>
        <v>0</v>
      </c>
      <c r="D374" s="519"/>
      <c r="E374" s="519">
        <f>SUM(E335:E373)</f>
        <v>0</v>
      </c>
      <c r="F374" s="519">
        <f>SUM(F335:F373)</f>
        <v>0</v>
      </c>
      <c r="G374" s="673"/>
      <c r="H374" s="674"/>
      <c r="I374" s="675"/>
      <c r="J374" s="675"/>
      <c r="K374" s="675"/>
      <c r="L374" s="260"/>
    </row>
    <row r="375" spans="1:45" ht="26.25" customHeight="1" x14ac:dyDescent="0.25">
      <c r="A375" s="523" t="s">
        <v>1113</v>
      </c>
      <c r="B375" s="558"/>
      <c r="C375" s="558"/>
      <c r="D375" s="558"/>
      <c r="E375" s="558"/>
      <c r="F375" s="558"/>
    </row>
    <row r="376" spans="1:45" ht="27" customHeight="1" x14ac:dyDescent="0.25">
      <c r="A376" s="807" t="str">
        <f>"*miehistä muun sukupuolisia (N: "&amp;$W$23&amp;")"&amp;", **Osuus on laskettu suhteessa tavoitettuihin nuoriin (N: "&amp;C300&amp;"), vastaten kysymykseen: Kuinka monelle tavoitetulle nuorelle on annettu kyseistä palvelua / ohjausta?"</f>
        <v>*miehistä muun sukupuolisia (N: 0), **Osuus on laskettu suhteessa tavoitettuihin nuoriin (N: 0), vastaten kysymykseen: Kuinka monelle tavoitetulle nuorelle on annettu kyseistä palvelua / ohjausta?</v>
      </c>
      <c r="B376" s="807"/>
      <c r="C376" s="807"/>
      <c r="D376" s="807"/>
      <c r="E376" s="807"/>
      <c r="F376" s="807"/>
      <c r="AG376" s="485"/>
    </row>
    <row r="377" spans="1:45" x14ac:dyDescent="0.25">
      <c r="A377" s="806" t="s">
        <v>1167</v>
      </c>
      <c r="B377" s="806"/>
      <c r="C377" s="806"/>
      <c r="D377" s="806"/>
      <c r="E377" s="806"/>
      <c r="F377" s="806"/>
    </row>
    <row r="378" spans="1:45" x14ac:dyDescent="0.25">
      <c r="A378" s="352" t="s">
        <v>746</v>
      </c>
    </row>
    <row r="382" spans="1:45" ht="15.75" x14ac:dyDescent="0.25">
      <c r="A382" s="722" t="s">
        <v>1499</v>
      </c>
    </row>
    <row r="383" spans="1:45" x14ac:dyDescent="0.25">
      <c r="A383" s="353" t="s">
        <v>1507</v>
      </c>
    </row>
  </sheetData>
  <sheetProtection sheet="1"/>
  <mergeCells count="98">
    <mergeCell ref="A35:A42"/>
    <mergeCell ref="A173:A175"/>
    <mergeCell ref="A78:A85"/>
    <mergeCell ref="C96:D96"/>
    <mergeCell ref="A96:B97"/>
    <mergeCell ref="A139:B139"/>
    <mergeCell ref="A150:A155"/>
    <mergeCell ref="A156:A160"/>
    <mergeCell ref="A165:A171"/>
    <mergeCell ref="B77:E77"/>
    <mergeCell ref="A129:A132"/>
    <mergeCell ref="A133:A136"/>
    <mergeCell ref="A137:A138"/>
    <mergeCell ref="A98:A106"/>
    <mergeCell ref="A107:A112"/>
    <mergeCell ref="A113:A116"/>
    <mergeCell ref="G304:M304"/>
    <mergeCell ref="G55:M55"/>
    <mergeCell ref="A206:D206"/>
    <mergeCell ref="C183:D183"/>
    <mergeCell ref="A201:A202"/>
    <mergeCell ref="A203:B203"/>
    <mergeCell ref="A144:B145"/>
    <mergeCell ref="A183:B184"/>
    <mergeCell ref="A185:A187"/>
    <mergeCell ref="A177:B177"/>
    <mergeCell ref="A161:A164"/>
    <mergeCell ref="A182:F182"/>
    <mergeCell ref="C207:D207"/>
    <mergeCell ref="C232:D232"/>
    <mergeCell ref="B232:B233"/>
    <mergeCell ref="B231:D231"/>
    <mergeCell ref="G1:M1"/>
    <mergeCell ref="B11:E11"/>
    <mergeCell ref="C144:D144"/>
    <mergeCell ref="A146:A149"/>
    <mergeCell ref="G34:M34"/>
    <mergeCell ref="G15:M15"/>
    <mergeCell ref="B15:E15"/>
    <mergeCell ref="A56:A63"/>
    <mergeCell ref="B34:E34"/>
    <mergeCell ref="B55:E55"/>
    <mergeCell ref="G10:K10"/>
    <mergeCell ref="B10:F10"/>
    <mergeCell ref="A95:F95"/>
    <mergeCell ref="A143:F143"/>
    <mergeCell ref="B26:E26"/>
    <mergeCell ref="B88:E88"/>
    <mergeCell ref="A227:B227"/>
    <mergeCell ref="A207:B208"/>
    <mergeCell ref="A225:A226"/>
    <mergeCell ref="A209:A211"/>
    <mergeCell ref="A212:A224"/>
    <mergeCell ref="C252:D252"/>
    <mergeCell ref="A377:F377"/>
    <mergeCell ref="A335:A344"/>
    <mergeCell ref="B274:B275"/>
    <mergeCell ref="C274:D274"/>
    <mergeCell ref="A376:F376"/>
    <mergeCell ref="A368:A373"/>
    <mergeCell ref="A332:B332"/>
    <mergeCell ref="C317:D317"/>
    <mergeCell ref="A333:B334"/>
    <mergeCell ref="C333:D333"/>
    <mergeCell ref="A317:B318"/>
    <mergeCell ref="G317:L318"/>
    <mergeCell ref="A374:B374"/>
    <mergeCell ref="A188:A191"/>
    <mergeCell ref="A192:A194"/>
    <mergeCell ref="A195:A197"/>
    <mergeCell ref="B251:D251"/>
    <mergeCell ref="B273:D273"/>
    <mergeCell ref="A316:E316"/>
    <mergeCell ref="B304:E304"/>
    <mergeCell ref="B292:E292"/>
    <mergeCell ref="A319:A331"/>
    <mergeCell ref="A198:A200"/>
    <mergeCell ref="A345:A349"/>
    <mergeCell ref="A350:A358"/>
    <mergeCell ref="A359:A367"/>
    <mergeCell ref="B252:B253"/>
    <mergeCell ref="Q50:Q52"/>
    <mergeCell ref="B66:E66"/>
    <mergeCell ref="R50:R52"/>
    <mergeCell ref="B7:F7"/>
    <mergeCell ref="P16:P18"/>
    <mergeCell ref="Q16:Q18"/>
    <mergeCell ref="R16:R18"/>
    <mergeCell ref="O16:O18"/>
    <mergeCell ref="B45:E45"/>
    <mergeCell ref="O14:R15"/>
    <mergeCell ref="A117:A121"/>
    <mergeCell ref="A122:A128"/>
    <mergeCell ref="G77:M77"/>
    <mergeCell ref="O50:O52"/>
    <mergeCell ref="P50:P52"/>
    <mergeCell ref="G96:H96"/>
    <mergeCell ref="I96:J96"/>
  </mergeCells>
  <phoneticPr fontId="64" type="noConversion"/>
  <conditionalFormatting sqref="G1">
    <cfRule type="containsText" dxfId="75" priority="68" operator="containsText" text="Tarkista">
      <formula>NOT(ISERROR(SEARCH("Tarkista",G1)))</formula>
    </cfRule>
  </conditionalFormatting>
  <conditionalFormatting sqref="O20:R21">
    <cfRule type="expression" dxfId="74" priority="2">
      <formula>$S$21=0</formula>
    </cfRule>
  </conditionalFormatting>
  <conditionalFormatting sqref="O22:R22">
    <cfRule type="expression" dxfId="73" priority="37">
      <formula>$S$22=0</formula>
    </cfRule>
  </conditionalFormatting>
  <conditionalFormatting sqref="O23:R23">
    <cfRule type="expression" dxfId="72" priority="38">
      <formula>$S$23=0</formula>
    </cfRule>
  </conditionalFormatting>
  <conditionalFormatting sqref="O24:R24">
    <cfRule type="expression" dxfId="71" priority="39">
      <formula>$S$24=0</formula>
    </cfRule>
  </conditionalFormatting>
  <conditionalFormatting sqref="O25:R25">
    <cfRule type="expression" dxfId="70" priority="40">
      <formula>$S$25=0</formula>
    </cfRule>
  </conditionalFormatting>
  <conditionalFormatting sqref="O26:R26">
    <cfRule type="expression" dxfId="69" priority="41">
      <formula>$S$26=0</formula>
    </cfRule>
  </conditionalFormatting>
  <conditionalFormatting sqref="O27:R27">
    <cfRule type="expression" dxfId="68" priority="63">
      <formula>$S$27=0</formula>
    </cfRule>
  </conditionalFormatting>
  <conditionalFormatting sqref="O28:R28">
    <cfRule type="expression" dxfId="67" priority="62">
      <formula>$S$28=0</formula>
    </cfRule>
  </conditionalFormatting>
  <conditionalFormatting sqref="O29:R29">
    <cfRule type="expression" dxfId="66" priority="61">
      <formula>$S$29=0</formula>
    </cfRule>
  </conditionalFormatting>
  <conditionalFormatting sqref="O30:R30">
    <cfRule type="expression" dxfId="65" priority="60">
      <formula>$S$30=0</formula>
    </cfRule>
  </conditionalFormatting>
  <conditionalFormatting sqref="O31:R31">
    <cfRule type="expression" dxfId="64" priority="59">
      <formula>$S$31=0</formula>
    </cfRule>
  </conditionalFormatting>
  <conditionalFormatting sqref="O32:R32">
    <cfRule type="expression" dxfId="63" priority="58">
      <formula>$S$32=0</formula>
    </cfRule>
  </conditionalFormatting>
  <conditionalFormatting sqref="O33:R33">
    <cfRule type="expression" dxfId="62" priority="57">
      <formula>$S$33=0</formula>
    </cfRule>
  </conditionalFormatting>
  <conditionalFormatting sqref="O34:R34">
    <cfRule type="expression" dxfId="61" priority="56">
      <formula>$S$34=0</formula>
    </cfRule>
  </conditionalFormatting>
  <conditionalFormatting sqref="O35:R35">
    <cfRule type="expression" dxfId="60" priority="55">
      <formula>$S$35=0</formula>
    </cfRule>
  </conditionalFormatting>
  <conditionalFormatting sqref="O36:R36">
    <cfRule type="expression" dxfId="59" priority="54">
      <formula>$S$36=0</formula>
    </cfRule>
  </conditionalFormatting>
  <conditionalFormatting sqref="O37:R37">
    <cfRule type="expression" dxfId="58" priority="53">
      <formula>$S$37=0</formula>
    </cfRule>
  </conditionalFormatting>
  <conditionalFormatting sqref="O38:R38">
    <cfRule type="expression" dxfId="57" priority="52">
      <formula>$S$38=0</formula>
    </cfRule>
  </conditionalFormatting>
  <conditionalFormatting sqref="O39:R39">
    <cfRule type="expression" dxfId="56" priority="51">
      <formula>$S$39=0</formula>
    </cfRule>
  </conditionalFormatting>
  <conditionalFormatting sqref="O40:R40">
    <cfRule type="expression" dxfId="55" priority="50">
      <formula>$S$40=0</formula>
    </cfRule>
  </conditionalFormatting>
  <conditionalFormatting sqref="O41:R41">
    <cfRule type="expression" dxfId="54" priority="49">
      <formula>$S$41=0</formula>
    </cfRule>
  </conditionalFormatting>
  <conditionalFormatting sqref="O42:R42">
    <cfRule type="expression" dxfId="53" priority="48">
      <formula>$S$42=0</formula>
    </cfRule>
  </conditionalFormatting>
  <conditionalFormatting sqref="O43:R43">
    <cfRule type="expression" dxfId="52" priority="47">
      <formula>$S$43=0</formula>
    </cfRule>
  </conditionalFormatting>
  <conditionalFormatting sqref="O44:R44">
    <cfRule type="expression" dxfId="51" priority="46">
      <formula>$S$44=0</formula>
    </cfRule>
  </conditionalFormatting>
  <conditionalFormatting sqref="O45:R45">
    <cfRule type="expression" dxfId="50" priority="45">
      <formula>$S$45=0</formula>
    </cfRule>
  </conditionalFormatting>
  <conditionalFormatting sqref="O46:R46">
    <cfRule type="expression" dxfId="49" priority="44">
      <formula>$S$46=0</formula>
    </cfRule>
  </conditionalFormatting>
  <conditionalFormatting sqref="O47:R47">
    <cfRule type="expression" dxfId="48" priority="43">
      <formula>$S$47=0</formula>
    </cfRule>
  </conditionalFormatting>
  <conditionalFormatting sqref="O48:R48">
    <cfRule type="expression" dxfId="47" priority="34">
      <formula>$S$48=0</formula>
    </cfRule>
  </conditionalFormatting>
  <conditionalFormatting sqref="O54:R54">
    <cfRule type="expression" dxfId="46" priority="31">
      <formula>$S$54=0</formula>
    </cfRule>
  </conditionalFormatting>
  <conditionalFormatting sqref="O55:R55">
    <cfRule type="expression" dxfId="45" priority="30">
      <formula>$S$55=0</formula>
    </cfRule>
  </conditionalFormatting>
  <conditionalFormatting sqref="O56:R56">
    <cfRule type="expression" dxfId="44" priority="29">
      <formula>$S$56=0</formula>
    </cfRule>
  </conditionalFormatting>
  <conditionalFormatting sqref="O57:R57">
    <cfRule type="expression" dxfId="43" priority="28">
      <formula>$S$57=0</formula>
    </cfRule>
  </conditionalFormatting>
  <conditionalFormatting sqref="O58:R58">
    <cfRule type="expression" dxfId="42" priority="27">
      <formula>$S$58=0</formula>
    </cfRule>
  </conditionalFormatting>
  <conditionalFormatting sqref="O59:R59">
    <cfRule type="expression" dxfId="41" priority="26">
      <formula>$S$59=0</formula>
    </cfRule>
  </conditionalFormatting>
  <conditionalFormatting sqref="O60:R60">
    <cfRule type="expression" dxfId="40" priority="25">
      <formula>$S$60=0</formula>
    </cfRule>
  </conditionalFormatting>
  <conditionalFormatting sqref="O61:R61">
    <cfRule type="expression" dxfId="39" priority="24">
      <formula>$S$61=0</formula>
    </cfRule>
  </conditionalFormatting>
  <conditionalFormatting sqref="O62:R62">
    <cfRule type="expression" dxfId="38" priority="23">
      <formula>$S$62=0</formula>
    </cfRule>
  </conditionalFormatting>
  <conditionalFormatting sqref="O63:R63">
    <cfRule type="expression" dxfId="37" priority="22">
      <formula>$S$63=0</formula>
    </cfRule>
  </conditionalFormatting>
  <conditionalFormatting sqref="O64:R64">
    <cfRule type="expression" dxfId="36" priority="21">
      <formula>$S$64=0</formula>
    </cfRule>
  </conditionalFormatting>
  <conditionalFormatting sqref="O65:R65">
    <cfRule type="expression" dxfId="35" priority="20">
      <formula>$S$65=0</formula>
    </cfRule>
  </conditionalFormatting>
  <conditionalFormatting sqref="O66:R66">
    <cfRule type="expression" dxfId="34" priority="19">
      <formula>$S$66=0</formula>
    </cfRule>
  </conditionalFormatting>
  <conditionalFormatting sqref="O67:R67">
    <cfRule type="expression" dxfId="33" priority="18">
      <formula>$S$67=0</formula>
    </cfRule>
  </conditionalFormatting>
  <conditionalFormatting sqref="O68:R68">
    <cfRule type="expression" dxfId="32" priority="17">
      <formula>$S$68=0</formula>
    </cfRule>
  </conditionalFormatting>
  <conditionalFormatting sqref="O69:R69">
    <cfRule type="expression" dxfId="31" priority="16">
      <formula>$S$69=0</formula>
    </cfRule>
  </conditionalFormatting>
  <conditionalFormatting sqref="O70:R70">
    <cfRule type="expression" dxfId="30" priority="15">
      <formula>$S$70=0</formula>
    </cfRule>
  </conditionalFormatting>
  <conditionalFormatting sqref="O71:R71">
    <cfRule type="expression" dxfId="29" priority="14">
      <formula>$S$71=0</formula>
    </cfRule>
  </conditionalFormatting>
  <conditionalFormatting sqref="O72:R72">
    <cfRule type="expression" dxfId="28" priority="13">
      <formula>$S$72=0</formula>
    </cfRule>
  </conditionalFormatting>
  <conditionalFormatting sqref="O73:R73">
    <cfRule type="expression" dxfId="27" priority="12">
      <formula>$S$73=0</formula>
    </cfRule>
  </conditionalFormatting>
  <conditionalFormatting sqref="O74:R74">
    <cfRule type="expression" dxfId="26" priority="11">
      <formula>$S$74=0</formula>
    </cfRule>
  </conditionalFormatting>
  <conditionalFormatting sqref="O75:R75">
    <cfRule type="expression" dxfId="25" priority="10">
      <formula>$S$75=0</formula>
    </cfRule>
  </conditionalFormatting>
  <conditionalFormatting sqref="O76:R76">
    <cfRule type="expression" dxfId="24" priority="9">
      <formula>$S$76=0</formula>
    </cfRule>
  </conditionalFormatting>
  <conditionalFormatting sqref="O77:R77">
    <cfRule type="expression" dxfId="23" priority="8">
      <formula>$S$77=0</formula>
    </cfRule>
  </conditionalFormatting>
  <conditionalFormatting sqref="O78:R78">
    <cfRule type="expression" dxfId="22" priority="7">
      <formula>$S$78=0</formula>
    </cfRule>
  </conditionalFormatting>
  <conditionalFormatting sqref="O79:R79">
    <cfRule type="expression" dxfId="21" priority="6">
      <formula>$S$79=0</formula>
    </cfRule>
  </conditionalFormatting>
  <conditionalFormatting sqref="O80:R80">
    <cfRule type="expression" dxfId="20" priority="5">
      <formula>$S$80=0</formula>
    </cfRule>
  </conditionalFormatting>
  <conditionalFormatting sqref="O81:R81">
    <cfRule type="expression" dxfId="19" priority="4">
      <formula>$S$81=0</formula>
    </cfRule>
  </conditionalFormatting>
  <conditionalFormatting sqref="O82:R82">
    <cfRule type="expression" dxfId="18" priority="3">
      <formula>$S$82=0</formula>
    </cfRule>
  </conditionalFormatting>
  <conditionalFormatting sqref="P53:P82">
    <cfRule type="expression" dxfId="17" priority="1">
      <formula>$S$19=0</formula>
    </cfRule>
  </conditionalFormatting>
  <dataValidations count="7">
    <dataValidation type="date" allowBlank="1" showInputMessage="1" showErrorMessage="1" error="Kirjoita päivämäärä muodossa _x000a_pp.kk.vvvv_x000a__x000a_Päivämäärän on oltava _x000a_suurempi kuin 01.01.2008 ja _x000a_pienempi kuin 31.12.2020" sqref="A2:A3" xr:uid="{60CD09EC-03D7-49E9-AC1A-890C134FA533}">
      <formula1>39448</formula1>
      <formula2>44196</formula2>
    </dataValidation>
    <dataValidation type="list" allowBlank="1" showInputMessage="1" showErrorMessage="1" sqref="A6" xr:uid="{7A14450C-0B1E-4100-B779-2A030055A6CE}">
      <formula1>$Y$1:$Y$3</formula1>
    </dataValidation>
    <dataValidation type="list" allowBlank="1" showInputMessage="1" showErrorMessage="1" sqref="A5" xr:uid="{AB8F1369-BE79-42A4-B3FA-7485249F117D}">
      <formula1>$O$53:$O$82</formula1>
    </dataValidation>
    <dataValidation type="list" allowBlank="1" showInputMessage="1" showErrorMessage="1" sqref="A4" xr:uid="{8BC7C9AA-F4F5-46CD-9908-AA6A21B6D8A0}">
      <formula1>$O$19:$O$48</formula1>
    </dataValidation>
    <dataValidation type="list" allowBlank="1" showInputMessage="1" showErrorMessage="1" sqref="C4:C5" xr:uid="{BEA42284-095B-42AB-8B37-AFDC7DA709F1}">
      <formula1>$V$2:$V$3</formula1>
    </dataValidation>
    <dataValidation type="list" allowBlank="1" showInputMessage="1" showErrorMessage="1" sqref="C6" xr:uid="{CA9F76F8-2C4F-4348-BEF4-E524C997D43B}">
      <formula1>$X$16:$X$21</formula1>
    </dataValidation>
    <dataValidation type="list" allowBlank="1" showInputMessage="1" showErrorMessage="1" sqref="A7" xr:uid="{C0FE14E1-E3AB-43F6-9499-B0B7610755E5}">
      <formula1>$AE$97:$AE$136</formula1>
    </dataValidation>
  </dataValidations>
  <hyperlinks>
    <hyperlink ref="A2" location="Asiakastilastot!A2" display="Asiakastilastot!A2" xr:uid="{AF646ECF-CB15-4FA3-A10D-8FEA8EF76769}"/>
    <hyperlink ref="A3" location="Asiakastilastot!A3" display="Asiakastilastot!A3" xr:uid="{E4549D0A-CB0F-415B-B7EE-D4FD33B62A9D}"/>
    <hyperlink ref="A378" location="Parkki!A1" display="Sivun alkuun" xr:uid="{E22DF028-07F4-4693-9E9D-DD85B32D1823}"/>
    <hyperlink ref="A290" location="Parkki!A1" display="Sivun alkuun" xr:uid="{8B08F003-25C4-47AD-8CBA-7A2E70E4AAD5}"/>
    <hyperlink ref="A229" location="Parkki!A1" display="Sivun alkuun" xr:uid="{E6950B0A-9149-4FAB-B06B-A0DBF0E4B239}"/>
    <hyperlink ref="A75" location="Parkki!A1" display="Sivun alkuun" xr:uid="{DA8B5F6E-FE56-4D2D-AE10-DBD9B46B0623}"/>
    <hyperlink ref="A383" location="'Päättäminen, tila, kesto'!A127" display="Tarkastele asiakkuuksien kestoja täältä" xr:uid="{77C2F1B9-FB59-4A60-999C-E84760B5A482}"/>
  </hyperlinks>
  <pageMargins left="0.70866141732283472" right="0.70866141732283472" top="0.74803149606299213" bottom="0.83333333333333337" header="0" footer="0"/>
  <pageSetup paperSize="9" scale="85" orientation="portrait" horizontalDpi="300" r:id="rId1"/>
  <headerFooter>
    <oddFooter>&amp;L 
Etsivä org
Etsivätie 1
01000, E-kunta&amp;C&amp;G&amp;R&amp;P/&amp;N</oddFooter>
  </headerFooter>
  <rowBreaks count="7" manualBreakCount="7">
    <brk id="53" max="16383" man="1"/>
    <brk id="94" max="16383" man="1"/>
    <brk id="142" max="16383" man="1"/>
    <brk id="180" max="16383" man="1"/>
    <brk id="228" max="16383" man="1"/>
    <brk id="271" max="16383" man="1"/>
    <brk id="314" max="16383" man="1"/>
  </rowBreaks>
  <ignoredErrors>
    <ignoredError sqref="D175 C312:E312 C300:E300" formula="1"/>
  </ignoredError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ul5"/>
  <dimension ref="A1:A15"/>
  <sheetViews>
    <sheetView showGridLines="0" workbookViewId="0">
      <selection activeCell="A5" sqref="A5"/>
    </sheetView>
  </sheetViews>
  <sheetFormatPr defaultRowHeight="15" x14ac:dyDescent="0.25"/>
  <cols>
    <col min="1" max="1" width="81" customWidth="1"/>
  </cols>
  <sheetData>
    <row r="1" spans="1:1" x14ac:dyDescent="0.25">
      <c r="A1" t="s">
        <v>1660</v>
      </c>
    </row>
    <row r="3" spans="1:1" x14ac:dyDescent="0.25">
      <c r="A3" s="1" t="s">
        <v>748</v>
      </c>
    </row>
    <row r="4" spans="1:1" ht="120" x14ac:dyDescent="0.25">
      <c r="A4" s="53" t="s">
        <v>1650</v>
      </c>
    </row>
    <row r="5" spans="1:1" x14ac:dyDescent="0.25">
      <c r="A5" s="1" t="s">
        <v>913</v>
      </c>
    </row>
    <row r="6" spans="1:1" ht="105" x14ac:dyDescent="0.25">
      <c r="A6" s="53" t="s">
        <v>912</v>
      </c>
    </row>
    <row r="7" spans="1:1" x14ac:dyDescent="0.25">
      <c r="A7" s="1"/>
    </row>
    <row r="8" spans="1:1" x14ac:dyDescent="0.25">
      <c r="A8" s="53"/>
    </row>
    <row r="9" spans="1:1" x14ac:dyDescent="0.25">
      <c r="A9" s="1" t="s">
        <v>911</v>
      </c>
    </row>
    <row r="10" spans="1:1" ht="105" x14ac:dyDescent="0.25">
      <c r="A10" s="53" t="s">
        <v>1593</v>
      </c>
    </row>
    <row r="11" spans="1:1" x14ac:dyDescent="0.25">
      <c r="A11" s="1" t="s">
        <v>914</v>
      </c>
    </row>
    <row r="12" spans="1:1" ht="45" x14ac:dyDescent="0.25">
      <c r="A12" s="53" t="s">
        <v>1467</v>
      </c>
    </row>
    <row r="14" spans="1:1" x14ac:dyDescent="0.25">
      <c r="A14" s="1" t="s">
        <v>1651</v>
      </c>
    </row>
    <row r="15" spans="1:1" x14ac:dyDescent="0.25">
      <c r="A15" t="s">
        <v>1652</v>
      </c>
    </row>
  </sheetData>
  <sheetProtection sheet="1" selectLockedCells="1"/>
  <pageMargins left="0.7" right="0.7" top="0.75" bottom="0.83333333333333337" header="0" footer="0"/>
  <pageSetup paperSize="9" orientation="portrait" horizontalDpi="300" r:id="rId1"/>
  <headerFooter>
    <oddFooter>&amp;L 
Etsivä org
Etsivätie 1
01000, E-kunta&amp;C&amp;G&amp;R&amp;P/&amp;N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FFC000"/>
  </sheetPr>
  <dimension ref="A1:BP4"/>
  <sheetViews>
    <sheetView zoomScale="80" zoomScaleNormal="80" workbookViewId="0">
      <pane xSplit="2" ySplit="2" topLeftCell="AX3" activePane="bottomRight" state="frozen"/>
      <selection activeCell="A3" sqref="A3"/>
      <selection pane="topRight" activeCell="A3" sqref="A3"/>
      <selection pane="bottomLeft" activeCell="A3" sqref="A3"/>
      <selection pane="bottomRight" activeCell="A3" sqref="A3"/>
    </sheetView>
  </sheetViews>
  <sheetFormatPr defaultColWidth="9.140625" defaultRowHeight="15" x14ac:dyDescent="0.25"/>
  <cols>
    <col min="1" max="2" width="11.42578125" customWidth="1"/>
    <col min="3" max="3" width="35.140625" bestFit="1" customWidth="1"/>
    <col min="4" max="4" width="41.42578125" bestFit="1" customWidth="1"/>
    <col min="5" max="5" width="36.85546875" customWidth="1"/>
    <col min="6" max="6" width="35.7109375" bestFit="1" customWidth="1"/>
    <col min="7" max="8" width="11.42578125" customWidth="1"/>
    <col min="9" max="9" width="20" customWidth="1"/>
    <col min="10" max="10" width="23.42578125" customWidth="1"/>
    <col min="11" max="11" width="36.7109375" customWidth="1"/>
    <col min="12" max="12" width="11.42578125" customWidth="1"/>
    <col min="13" max="13" width="11.85546875" style="20" customWidth="1"/>
    <col min="14" max="14" width="11.42578125" style="20" customWidth="1"/>
    <col min="15" max="15" width="11.42578125" customWidth="1"/>
    <col min="16" max="16" width="43.42578125" customWidth="1"/>
    <col min="17" max="17" width="11.42578125" style="20" customWidth="1"/>
    <col min="18" max="19" width="20.28515625" style="394" customWidth="1"/>
    <col min="20" max="22" width="11.42578125" customWidth="1"/>
    <col min="25" max="25" width="8.5703125" style="371" customWidth="1"/>
    <col min="27" max="27" width="8.5703125" style="371" customWidth="1"/>
    <col min="28" max="28" width="9.140625" style="51"/>
    <col min="29" max="29" width="25.85546875" style="141" bestFit="1" customWidth="1"/>
    <col min="30" max="30" width="16.5703125" style="19" customWidth="1"/>
    <col min="31" max="31" width="15.7109375" style="3" bestFit="1" customWidth="1"/>
    <col min="32" max="32" width="27.7109375" style="3" bestFit="1" customWidth="1"/>
    <col min="33" max="45" width="9.140625" style="3"/>
    <col min="46" max="46" width="40.5703125" style="3" customWidth="1"/>
    <col min="47" max="47" width="12" style="3" bestFit="1" customWidth="1"/>
    <col min="48" max="48" width="41.42578125" style="3" bestFit="1" customWidth="1"/>
    <col min="49" max="49" width="36" style="3" bestFit="1" customWidth="1"/>
    <col min="50" max="50" width="51.7109375" style="3" customWidth="1"/>
    <col min="51" max="51" width="9" style="3" customWidth="1"/>
    <col min="52" max="52" width="9.140625" style="3"/>
    <col min="53" max="54" width="38.5703125" style="3" bestFit="1" customWidth="1"/>
    <col min="55" max="55" width="9.140625" style="3"/>
    <col min="56" max="56" width="27" style="3" bestFit="1" customWidth="1"/>
    <col min="57" max="57" width="12" style="3" bestFit="1" customWidth="1"/>
    <col min="58" max="58" width="9.140625" style="3"/>
    <col min="59" max="59" width="12" style="3" bestFit="1" customWidth="1"/>
    <col min="60" max="60" width="9.140625" style="3"/>
    <col min="61" max="61" width="11.7109375" style="3" customWidth="1"/>
    <col min="62" max="62" width="10.7109375" style="3" customWidth="1"/>
    <col min="63" max="64" width="9.140625" style="3"/>
    <col min="65" max="65" width="16.7109375" style="3" bestFit="1" customWidth="1"/>
    <col min="66" max="16384" width="9.140625" style="3"/>
  </cols>
  <sheetData>
    <row r="1" spans="1:68" customFormat="1" x14ac:dyDescent="0.25">
      <c r="A1" s="13" t="s">
        <v>408</v>
      </c>
      <c r="B1" s="13" t="s">
        <v>408</v>
      </c>
      <c r="C1" s="128" t="s">
        <v>408</v>
      </c>
      <c r="D1" s="13" t="s">
        <v>408</v>
      </c>
      <c r="E1" s="13" t="s">
        <v>408</v>
      </c>
      <c r="F1" s="13" t="s">
        <v>408</v>
      </c>
      <c r="G1" s="13" t="s">
        <v>408</v>
      </c>
      <c r="H1" s="13" t="s">
        <v>408</v>
      </c>
      <c r="I1" s="13" t="s">
        <v>213</v>
      </c>
      <c r="J1" s="2" t="s">
        <v>961</v>
      </c>
      <c r="K1" s="13" t="s">
        <v>408</v>
      </c>
      <c r="L1" s="13" t="s">
        <v>408</v>
      </c>
      <c r="M1" s="408" t="s">
        <v>408</v>
      </c>
      <c r="N1" s="408" t="s">
        <v>408</v>
      </c>
      <c r="O1" s="128" t="s">
        <v>408</v>
      </c>
      <c r="P1" s="128" t="s">
        <v>408</v>
      </c>
      <c r="Q1" s="408" t="s">
        <v>408</v>
      </c>
      <c r="R1" s="410"/>
      <c r="S1" s="410"/>
      <c r="T1" s="13" t="s">
        <v>408</v>
      </c>
      <c r="U1" s="13" t="s">
        <v>211</v>
      </c>
      <c r="V1" s="9"/>
      <c r="W1" s="17">
        <v>1</v>
      </c>
      <c r="Y1" s="371"/>
      <c r="AA1" s="373" t="s">
        <v>486</v>
      </c>
      <c r="AB1" s="138"/>
      <c r="AC1" s="193">
        <f>Asiakastilastot!$A$2</f>
        <v>45658</v>
      </c>
      <c r="AD1" s="193">
        <f>Asiakastilastot!$A$3</f>
        <v>45777</v>
      </c>
      <c r="AE1" s="302">
        <f>AC1-365</f>
        <v>45293</v>
      </c>
      <c r="AF1" s="302">
        <f>AD1-365</f>
        <v>45412</v>
      </c>
      <c r="AG1" s="17"/>
      <c r="AH1" s="17"/>
      <c r="AI1" s="13" t="s">
        <v>505</v>
      </c>
      <c r="AJ1" s="17" t="s">
        <v>564</v>
      </c>
      <c r="AK1" s="17" t="s">
        <v>564</v>
      </c>
      <c r="AL1" s="17" t="s">
        <v>564</v>
      </c>
      <c r="AM1" s="17" t="s">
        <v>564</v>
      </c>
      <c r="AN1" s="17" t="s">
        <v>564</v>
      </c>
      <c r="AO1" s="17" t="s">
        <v>580</v>
      </c>
      <c r="AP1" s="17" t="s">
        <v>580</v>
      </c>
      <c r="AQ1" s="17" t="s">
        <v>580</v>
      </c>
      <c r="AR1" s="17" t="s">
        <v>580</v>
      </c>
      <c r="AS1" s="17" t="s">
        <v>580</v>
      </c>
      <c r="AT1" s="25" t="s">
        <v>234</v>
      </c>
      <c r="AU1" s="197" t="s">
        <v>205</v>
      </c>
      <c r="AV1" s="197" t="s">
        <v>212</v>
      </c>
      <c r="AW1" s="197" t="s">
        <v>543</v>
      </c>
      <c r="AX1" s="197" t="s">
        <v>233</v>
      </c>
      <c r="AY1" s="17" t="s">
        <v>700</v>
      </c>
      <c r="AZ1" s="17"/>
      <c r="BA1" s="279" t="s">
        <v>218</v>
      </c>
      <c r="BB1" s="279" t="s">
        <v>206</v>
      </c>
      <c r="BC1" s="17"/>
      <c r="BD1" s="17"/>
      <c r="BG1" s="9" t="s">
        <v>777</v>
      </c>
      <c r="BH1" s="9"/>
      <c r="BI1" s="364"/>
      <c r="BJ1" s="364"/>
      <c r="BK1" s="9"/>
      <c r="BO1" t="s">
        <v>818</v>
      </c>
    </row>
    <row r="2" spans="1:68" s="12" customFormat="1" ht="75" x14ac:dyDescent="0.25">
      <c r="A2" s="5" t="s">
        <v>185</v>
      </c>
      <c r="B2" s="5" t="s">
        <v>186</v>
      </c>
      <c r="C2" s="5" t="s">
        <v>187</v>
      </c>
      <c r="D2" s="5" t="s">
        <v>188</v>
      </c>
      <c r="E2" s="5" t="s">
        <v>189</v>
      </c>
      <c r="F2" s="747" t="s">
        <v>1589</v>
      </c>
      <c r="G2" s="5" t="s">
        <v>191</v>
      </c>
      <c r="H2" s="4" t="s">
        <v>1571</v>
      </c>
      <c r="I2" s="5" t="s">
        <v>193</v>
      </c>
      <c r="J2" s="5" t="s">
        <v>194</v>
      </c>
      <c r="K2" s="2" t="s">
        <v>1572</v>
      </c>
      <c r="L2" s="747" t="s">
        <v>1588</v>
      </c>
      <c r="M2" s="409" t="s">
        <v>196</v>
      </c>
      <c r="N2" s="409" t="s">
        <v>197</v>
      </c>
      <c r="O2" s="5" t="s">
        <v>198</v>
      </c>
      <c r="P2" s="5" t="s">
        <v>199</v>
      </c>
      <c r="Q2" s="409" t="s">
        <v>200</v>
      </c>
      <c r="R2" s="411" t="s">
        <v>201</v>
      </c>
      <c r="S2" s="411" t="s">
        <v>202</v>
      </c>
      <c r="T2" s="544" t="s">
        <v>203</v>
      </c>
      <c r="U2" s="129" t="s">
        <v>204</v>
      </c>
      <c r="V2" s="129"/>
      <c r="W2" s="130" t="s">
        <v>479</v>
      </c>
      <c r="X2" s="360" t="s">
        <v>815</v>
      </c>
      <c r="Y2" s="372" t="s">
        <v>706</v>
      </c>
      <c r="Z2" s="139" t="s">
        <v>706</v>
      </c>
      <c r="AA2" s="372" t="s">
        <v>496</v>
      </c>
      <c r="AB2" s="369" t="s">
        <v>754</v>
      </c>
      <c r="AC2" s="140" t="s">
        <v>480</v>
      </c>
      <c r="AD2" s="131" t="s">
        <v>491</v>
      </c>
      <c r="AE2" s="130" t="s">
        <v>492</v>
      </c>
      <c r="AF2" s="130" t="s">
        <v>493</v>
      </c>
      <c r="AG2" s="132" t="s">
        <v>497</v>
      </c>
      <c r="AH2" s="132" t="s">
        <v>546</v>
      </c>
      <c r="AI2" s="132" t="s">
        <v>545</v>
      </c>
      <c r="AJ2" s="130" t="s">
        <v>562</v>
      </c>
      <c r="AK2" s="130" t="s">
        <v>563</v>
      </c>
      <c r="AL2" s="130" t="s">
        <v>560</v>
      </c>
      <c r="AM2" s="130" t="s">
        <v>389</v>
      </c>
      <c r="AN2" s="130" t="s">
        <v>561</v>
      </c>
      <c r="AO2" s="130" t="s">
        <v>562</v>
      </c>
      <c r="AP2" s="130" t="s">
        <v>563</v>
      </c>
      <c r="AQ2" s="130" t="s">
        <v>560</v>
      </c>
      <c r="AR2" s="130" t="s">
        <v>389</v>
      </c>
      <c r="AS2" s="130" t="s">
        <v>561</v>
      </c>
      <c r="AT2" s="132" t="s">
        <v>31</v>
      </c>
      <c r="AU2" s="132" t="s">
        <v>616</v>
      </c>
      <c r="AV2" s="132" t="s">
        <v>740</v>
      </c>
      <c r="AW2" s="731" t="s">
        <v>642</v>
      </c>
      <c r="AX2" s="132" t="s">
        <v>697</v>
      </c>
      <c r="AY2" s="418" t="s">
        <v>701</v>
      </c>
      <c r="AZ2" s="417" t="s">
        <v>916</v>
      </c>
      <c r="BA2" s="132" t="s">
        <v>927</v>
      </c>
      <c r="BB2" s="132" t="s">
        <v>917</v>
      </c>
      <c r="BC2" s="132" t="s">
        <v>702</v>
      </c>
      <c r="BD2" s="132" t="s">
        <v>702</v>
      </c>
      <c r="BE2" s="132" t="s">
        <v>717</v>
      </c>
      <c r="BF2" s="132" t="s">
        <v>724</v>
      </c>
      <c r="BG2" s="365" t="s">
        <v>778</v>
      </c>
      <c r="BH2" s="365" t="s">
        <v>779</v>
      </c>
      <c r="BI2" s="366" t="s">
        <v>780</v>
      </c>
      <c r="BJ2" s="366" t="s">
        <v>781</v>
      </c>
      <c r="BK2" s="365" t="s">
        <v>814</v>
      </c>
      <c r="BM2" s="12" t="s">
        <v>806</v>
      </c>
      <c r="BN2" s="12" t="s">
        <v>817</v>
      </c>
      <c r="BO2" s="12" t="s">
        <v>817</v>
      </c>
      <c r="BP2" s="12" t="s">
        <v>1190</v>
      </c>
    </row>
    <row r="3" spans="1:68" ht="15.75" x14ac:dyDescent="0.25">
      <c r="A3" t="str">
        <f>IF(Data_Asiakasnimi!A2="0","",IF(Data_Asiakasnimi!A2="","",Data_Asiakasnimi!A2))</f>
        <v/>
      </c>
      <c r="B3" t="str">
        <f>IF(Data_Asiakasnimi!B2="0","",IF(Data_Asiakasnimi!B2="","",Data_Asiakasnimi!B2))</f>
        <v/>
      </c>
      <c r="C3" t="str">
        <f>IF(Data_Asiakasnimi!C2="0","",IF(Data_Asiakasnimi!C2="","",Data_Asiakasnimi!C2))</f>
        <v/>
      </c>
      <c r="D3" t="str">
        <f>IF(Data_Asiakasnimi!D2="0","",IF(Data_Asiakasnimi!D2="","",Data_Asiakasnimi!D2))</f>
        <v/>
      </c>
      <c r="E3" t="str">
        <f>IF(Data_Asiakasnimi!E2="0","",IF(Data_Asiakasnimi!E2="","",Data_Asiakasnimi!E2))</f>
        <v/>
      </c>
      <c r="F3" t="str">
        <f>IF(COUNTIFS(JA!$W:$W,AS!$A3&amp;"OK",JA!$N:$N,Parkki!$X$29)&gt;0,"OK","EI")</f>
        <v>EI</v>
      </c>
      <c r="G3" t="str">
        <f>IF(Data_Asiakasnimi!G2="0","",IF(Data_Asiakasnimi!G2="","",Data_Asiakasnimi!G2))</f>
        <v/>
      </c>
      <c r="H3" t="str">
        <f>IFERROR(INDEX(JA!$AJ:$AJ,MATCH(A3,JA!C:C,0)),"")</f>
        <v>EI</v>
      </c>
      <c r="I3" t="str">
        <f>IF(Data_Asiakasnimi!I2="0",$I$1,IF(Data_Asiakasnimi!I2="",$I$1,IF(Data_Asiakasnimi!I2=$J$1,$I$1,Data_Asiakasnimi!I2)))</f>
        <v>OptionButton_EtMies</v>
      </c>
      <c r="J3" t="str">
        <f>IF(Data_Asiakasnimi!J2="0","",IF(Data_Asiakasnimi!J2="","",Data_Asiakasnimi!J2))</f>
        <v/>
      </c>
      <c r="K3" t="str">
        <f>IF(Data_Asiakasnimi!K2="0","tyhja",IF(Data_Asiakasnimi!K2="","tyhja",IF(LEFT(Data_Asiakasnimi!K2,5)&lt;&gt;"Combo","muut",Data_Asiakasnimi!K2)))</f>
        <v>tyhja</v>
      </c>
      <c r="L3" t="str">
        <f>IF(COUNTIFS(JA!$W:$W,AS!$A3&amp;"OK",JA!$L:$L,Parkki!$X$30)&gt;0,"OK","EI")</f>
        <v>EI</v>
      </c>
      <c r="M3" s="20" t="str">
        <f>IFERROR(VALUE(IF(Data_Asiakasnimi!M2="0","",IF(Data_Asiakasnimi!M2="","",Data_Asiakasnimi!M2))),"")</f>
        <v/>
      </c>
      <c r="N3" s="20" t="str">
        <f>IFERROR(VALUE(IF(Data_Asiakasnimi!N2="0","",IF(Data_Asiakasnimi!N2="","",Data_Asiakasnimi!N2))),"")</f>
        <v/>
      </c>
      <c r="O3" t="str">
        <f>IF(Data_Asiakasnimi!O2="0","",IF(Data_Asiakasnimi!O2="","",Data_Asiakasnimi!O2))</f>
        <v/>
      </c>
      <c r="P3" t="str">
        <f>IF(Data_Asiakasnimi!P2="0","",IF(Data_Asiakasnimi!P2="","",Data_Asiakasnimi!P2))</f>
        <v/>
      </c>
      <c r="Q3" s="20" t="str">
        <f>IFERROR(VALUE(IF(Data_Asiakasnimi!Q2="0","",IF(Data_Asiakasnimi!Q2="","",Data_Asiakasnimi!Q2))),"")</f>
        <v/>
      </c>
      <c r="R3" s="394" t="str">
        <f>IFERROR(VALUE(IF(Data_Asiakasnimi!R2="0","",IF(Data_Asiakasnimi!R2="","",Data_Asiakasnimi!R2))),"")</f>
        <v/>
      </c>
      <c r="S3" s="394" t="str">
        <f>IFERROR(VALUE(IF(Data_Asiakasnimi!S2="0","",IF(Data_Asiakasnimi!S2="","",Data_Asiakasnimi!S2))),"")</f>
        <v/>
      </c>
      <c r="T3" t="str">
        <f>IF(Data_Asiakasnimi!I2="0","",IF(Data_Asiakasnimi!I2="","",Data_Asiakasnimi!I2))</f>
        <v/>
      </c>
      <c r="U3" t="str">
        <f>IF(Data_Asiakasnimi!U2="0","",IF(Data_Asiakasnimi!U2="","",Data_Asiakasnimi!U2))</f>
        <v/>
      </c>
      <c r="V3" t="str">
        <f>IF(Data_Asiakasnimi!V2="0","",IF(Data_Asiakasnimi!V2="","",Data_Asiakasnimi!V2))</f>
        <v/>
      </c>
      <c r="W3">
        <f>$W$1</f>
        <v>1</v>
      </c>
      <c r="X3" t="str">
        <f ca="1">IFERROR(BK3,AB3)</f>
        <v>EI</v>
      </c>
      <c r="Y3" s="371" t="str">
        <f>IFERROR(INDEX(JA!AH:AH,MATCH(A3,JA!C:C,0)),0)</f>
        <v>EI</v>
      </c>
      <c r="Z3" s="370" t="str">
        <f>IF(Y3=0,IF(V3="E",IF(AC3&gt;=$AE$1,IF(AC3&lt;=$AF$1,$AA$1,"EI"),"EI"),IF(V3="Y",IF(AC3&gt;=$AE$1,IF(AC3&lt;=$AF$1,$AA$1,"EI"),"EI"),"EI")),Y3)</f>
        <v>EI</v>
      </c>
      <c r="AA3" s="371" t="str">
        <f>IFERROR(INDEX(JA!AF:AF,MATCH(A3,JA!C:C,0)),0)</f>
        <v>EI</v>
      </c>
      <c r="AB3" s="51" t="str">
        <f>IF(AA3=0,IF(V3="E",IF(AC3&gt;=$AC$1,IF(AC3&lt;=$AD$1,$AA$1,"EI"),"EI"),IF(V3="Y",IF(AC3&gt;=$AC$1,IF(AC3&lt;=$AD$1,$AA$1,"EI"),"EI"),"EI")),AA3)</f>
        <v>EI</v>
      </c>
      <c r="AC3" s="141" t="str">
        <f>IFERROR(IF(N3&lt;&gt;"",VALUE(N3),IF(M3&lt;&gt;"",VALUE(M3),VALUE(R3))),"")</f>
        <v/>
      </c>
      <c r="AD3" s="19" t="str">
        <f>IFERROR(IF(VALUE(G3)=0,"",VALUE(G3)),"")</f>
        <v/>
      </c>
      <c r="AE3" s="24" t="str">
        <f>IFERROR(DATEDIF(AD3,AC3,"y"),"EI")</f>
        <v>EI</v>
      </c>
      <c r="AF3" s="24" t="str">
        <f>IFERROR(IF(DATEDIF(AD3,$AC$1,"y") &gt; DATEDIF(AD3,AC3,"y"),DATEDIF(AD3,$AC$1,"y"),DATEDIF(AD3,AC3,"y")),"EI")</f>
        <v>EI</v>
      </c>
      <c r="AG3" t="str">
        <f>IF(AF3="EI",AF3,IF(AF3&lt;7,"alle 7",IF(AF3&lt;16,"alle 16",IF(AF3&lt;18,"16-17",IF(AF3&lt;21,"18-20",IF(AF3&lt;26,"21-25",IF(AF3&lt;29,"26-28",IF(AF3&gt;28,"yli 28",AF3))))))))</f>
        <v>EI</v>
      </c>
      <c r="AH3" t="str">
        <f>IF(AG3="EI","nuori",IF(AG3="yli 28","vanha","nuori"))</f>
        <v>nuori</v>
      </c>
      <c r="AI3" t="str">
        <f>IF(LEFT(J3,5)="Combo",J3,IF(J3="","ei kirjattu",$AI$1))</f>
        <v>ei kirjattu</v>
      </c>
      <c r="AJ3" t="str">
        <f ca="1">IFERROR(INDEX(TI!$Z:$Z,MATCH($A3,TI!$C:$C,0)),"")</f>
        <v/>
      </c>
      <c r="AK3" t="str">
        <f ca="1">IFERROR(INDEX(TI!AA:AA,MATCH($A3,TI!$C:$C,0)),"")</f>
        <v/>
      </c>
      <c r="AL3" t="str">
        <f ca="1">IFERROR(INDEX(TI!AB:AB,MATCH($A3,TI!$C:$C,0)),"")</f>
        <v/>
      </c>
      <c r="AM3" t="str">
        <f ca="1">IFERROR(INDEX(TI!AC:AC,MATCH($A3,TI!$C:$C,0)),"")</f>
        <v/>
      </c>
      <c r="AN3" t="str">
        <f ca="1">IFERROR(INDEX(TI!AD:AD,MATCH($A3,TI!$C:$C,0)),"")</f>
        <v/>
      </c>
      <c r="AO3" t="str">
        <f ca="1">IFERROR(INDEX(TI!AE:AE,MATCH($A3,TI!$C:$C,0)),"")</f>
        <v/>
      </c>
      <c r="AP3" t="str">
        <f ca="1">IFERROR(INDEX(TI!AF:AF,MATCH($A3,TI!$C:$C,0)),"")</f>
        <v/>
      </c>
      <c r="AQ3" t="str">
        <f ca="1">IFERROR(INDEX(TI!AG:AG,MATCH($A3,TI!$C:$C,0)),"")</f>
        <v/>
      </c>
      <c r="AR3" t="str">
        <f ca="1">IFERROR(INDEX(TI!AH:AH,MATCH($A3,TI!$C:$C,0)),"")</f>
        <v/>
      </c>
      <c r="AS3" t="str">
        <f ca="1">IFERROR(INDEX(TI!AI:AI,MATCH($A3,TI!$C:$C,0)),"")</f>
        <v/>
      </c>
      <c r="AT3" t="str">
        <f>IFERROR(INDEX(JA!$AQ:$AQ,MATCH(A3&amp;"OK",JA!W:W,0)),"")</f>
        <v/>
      </c>
      <c r="AU3">
        <f>IFERROR(MATCH(A3,TP!C:C,0),"")</f>
        <v>3</v>
      </c>
      <c r="AV3" t="str">
        <f>IF(AU3&lt;&gt;"",$AV$1,IF(D3="",$AU$1,D3))</f>
        <v>ComboBox_EtStatus#tavoitettu</v>
      </c>
      <c r="AW3" t="str">
        <f>IF(Data_Asiakasnimi!F2="0","tyhja",IF(Data_Asiakasnimi!F2="","tyhja",IF(LEFT(Data_Asiakasnimi!F2,5)&lt;&gt;"Combo","muut",Data_Asiakasnimi!F2)))</f>
        <v>tyhja</v>
      </c>
      <c r="AX3" t="str">
        <f>TRIM(IF(P3="",$AW$1,IF(LEFT(P3,5)="Combo",P3,$AX$1)))</f>
        <v>ComboBox_Etpaatos_syy#ei tietoa</v>
      </c>
      <c r="AY3" t="str">
        <f>IFERROR(INDEX(JA!AS:AS,MATCH(A3,JA!C:C,0)),"")</f>
        <v>ComboBox_Etpaatos_syy#ei tietoa</v>
      </c>
      <c r="AZ3" t="str">
        <f>IF(Q3="","A",IF(VALUE(Q3)&gt;$AD$1,"A","P"))</f>
        <v>A</v>
      </c>
      <c r="BA3" t="str">
        <f>IF(U3="D",$BA$1,IF(AZ3="P",$BA$1,IF(E3=$BA$1,$BB$1,E3)))</f>
        <v/>
      </c>
      <c r="BB3" t="str">
        <f>BA3</f>
        <v/>
      </c>
      <c r="BC3">
        <f>IFERROR(INDEX(JA!AM:AM,MATCH($A3,JA!$C:$C,0)),"EI")</f>
        <v>0</v>
      </c>
      <c r="BD3" t="str">
        <f>IFERROR(INDEX(JA!AN:AN,MATCH($A3,JA!$C:$C,0)),"tyhja")</f>
        <v>EI</v>
      </c>
      <c r="BE3">
        <f>IF(IFERROR(MATCH(A3,TP!C:C,0),1)=1,1,0)</f>
        <v>0</v>
      </c>
      <c r="BF3" t="str">
        <f>IFERROR(INDEX(JA!$G:$G,MATCH($A3,JA!$C:$C,0)),"EI")</f>
        <v/>
      </c>
      <c r="BG3">
        <f>MATCH($A3,JA!$C:$C,0)</f>
        <v>3</v>
      </c>
      <c r="BH3" t="e">
        <f ca="1">INDEX(JA!AW:AW,AS!BG3)</f>
        <v>#VALUE!</v>
      </c>
      <c r="BI3" s="20" t="e">
        <f ca="1">INDEX(JA!AT:AT,AS!BH3)</f>
        <v>#VALUE!</v>
      </c>
      <c r="BJ3" s="20" t="e">
        <f ca="1">INDEX(JA!AV:AV,AS!BH3)</f>
        <v>#VALUE!</v>
      </c>
      <c r="BK3" t="e">
        <f ca="1">IF(BJ3&gt;=$AC$1,IF(BJ3&lt;=$AD$1,$AA$1,"Ei"),"EI")</f>
        <v>#VALUE!</v>
      </c>
      <c r="BL3" t="e">
        <f ca="1">IF(BJ3=AC3,0,1)</f>
        <v>#VALUE!</v>
      </c>
      <c r="BM3" t="str">
        <f>INDEX(TP!I:I,MATCH(A3,TP!C:C,0))</f>
        <v>EI</v>
      </c>
      <c r="BN3" s="383" t="str">
        <f>INDEX(JA!AJ:AJ,MATCH(A3,JA!C:C,0))</f>
        <v>EI</v>
      </c>
      <c r="BO3" t="str">
        <f>IFERROR(BN3,AB3)</f>
        <v>EI</v>
      </c>
      <c r="BP3" t="str">
        <f>IFERROR(IF(Data_Asiakasnimi!W2&lt;&gt;"",1,""),"")</f>
        <v/>
      </c>
    </row>
    <row r="4" spans="1:68" ht="15.75" x14ac:dyDescent="0.25">
      <c r="A4" t="str">
        <f>IF(Data_Asiakasnimi!A3="0","",IF(Data_Asiakasnimi!A3="","",Data_Asiakasnimi!A3))</f>
        <v/>
      </c>
      <c r="B4" t="str">
        <f>IF(Data_Asiakasnimi!B3="0","",IF(Data_Asiakasnimi!B3="","",Data_Asiakasnimi!B3))</f>
        <v/>
      </c>
      <c r="C4" t="str">
        <f>IF(Data_Asiakasnimi!C3="0","",IF(Data_Asiakasnimi!C3="","",Data_Asiakasnimi!C3))</f>
        <v/>
      </c>
      <c r="D4" t="str">
        <f>IF(Data_Asiakasnimi!D3="0","",IF(Data_Asiakasnimi!D3="","",Data_Asiakasnimi!D3))</f>
        <v/>
      </c>
      <c r="E4" t="str">
        <f>IF(Data_Asiakasnimi!E3="0","",IF(Data_Asiakasnimi!E3="","",Data_Asiakasnimi!E3))</f>
        <v/>
      </c>
      <c r="F4" t="str">
        <f>IF(COUNTIFS(JA!$W:$W,AS!$A4&amp;"OK",JA!$N:$N,Parkki!$X$29)&gt;0,"OK","EI")</f>
        <v>EI</v>
      </c>
      <c r="G4" t="str">
        <f>IF(Data_Asiakasnimi!G3="0","",IF(Data_Asiakasnimi!G3="","",Data_Asiakasnimi!G3))</f>
        <v/>
      </c>
      <c r="H4" t="str">
        <f>IFERROR(INDEX(JA!$AJ:$AJ,MATCH(A4,JA!C:C,0)),"")</f>
        <v>EI</v>
      </c>
      <c r="I4" t="str">
        <f>IF(Data_Asiakasnimi!I3="0",$I$1,IF(Data_Asiakasnimi!I3="",$I$1,IF(Data_Asiakasnimi!I3=$J$1,$I$1,Data_Asiakasnimi!I3)))</f>
        <v>OptionButton_EtMies</v>
      </c>
      <c r="J4" t="str">
        <f>IF(Data_Asiakasnimi!J3="0","",IF(Data_Asiakasnimi!J3="","",Data_Asiakasnimi!J3))</f>
        <v/>
      </c>
      <c r="K4" t="str">
        <f>IF(Data_Asiakasnimi!K3="0","tyhja",IF(Data_Asiakasnimi!K3="","tyhja",IF(LEFT(Data_Asiakasnimi!K3,5)&lt;&gt;"Combo","muut",Data_Asiakasnimi!K3)))</f>
        <v>tyhja</v>
      </c>
      <c r="L4" t="str">
        <f>IF(COUNTIFS(JA!$W:$W,AS!$A4&amp;"OK",JA!$L:$L,Parkki!$X$30)&gt;0,"OK","EI")</f>
        <v>EI</v>
      </c>
      <c r="M4" s="20" t="str">
        <f>IFERROR(VALUE(IF(Data_Asiakasnimi!M3="0","",IF(Data_Asiakasnimi!M3="","",Data_Asiakasnimi!M3))),"")</f>
        <v/>
      </c>
      <c r="N4" s="20" t="str">
        <f>IFERROR(VALUE(IF(Data_Asiakasnimi!N3="0","",IF(Data_Asiakasnimi!N3="","",Data_Asiakasnimi!N3))),"")</f>
        <v/>
      </c>
      <c r="O4" t="str">
        <f>IF(Data_Asiakasnimi!O3="0","",IF(Data_Asiakasnimi!O3="","",Data_Asiakasnimi!O3))</f>
        <v/>
      </c>
      <c r="P4" t="str">
        <f>IF(Data_Asiakasnimi!P3="0","",IF(Data_Asiakasnimi!P3="","",Data_Asiakasnimi!P3))</f>
        <v/>
      </c>
      <c r="Q4" s="20" t="str">
        <f>IFERROR(VALUE(IF(Data_Asiakasnimi!Q3="0","",IF(Data_Asiakasnimi!Q3="","",Data_Asiakasnimi!Q3))),"")</f>
        <v/>
      </c>
      <c r="R4" s="394" t="str">
        <f>IFERROR(VALUE(IF(Data_Asiakasnimi!R3="0","",IF(Data_Asiakasnimi!R3="","",Data_Asiakasnimi!R3))),"")</f>
        <v/>
      </c>
      <c r="S4" s="394" t="str">
        <f>IFERROR(VALUE(IF(Data_Asiakasnimi!S3="0","",IF(Data_Asiakasnimi!S3="","",Data_Asiakasnimi!S3))),"")</f>
        <v/>
      </c>
      <c r="T4" t="str">
        <f>IF(Data_Asiakasnimi!I3="0","",IF(Data_Asiakasnimi!I3="","",Data_Asiakasnimi!I3))</f>
        <v/>
      </c>
      <c r="U4" t="str">
        <f>IF(Data_Asiakasnimi!U3="0","",IF(Data_Asiakasnimi!U3="","",Data_Asiakasnimi!U3))</f>
        <v/>
      </c>
      <c r="V4" t="str">
        <f>IF(Data_Asiakasnimi!V3="0","",IF(Data_Asiakasnimi!V3="","",Data_Asiakasnimi!V3))</f>
        <v/>
      </c>
      <c r="W4">
        <f t="shared" ref="W4" si="0">$W$1</f>
        <v>1</v>
      </c>
      <c r="X4" t="str">
        <f t="shared" ref="X4" ca="1" si="1">IFERROR(BK4,AB4)</f>
        <v>EI</v>
      </c>
      <c r="Y4" s="371" t="str">
        <f>IFERROR(INDEX(JA!AH:AH,MATCH(A4,JA!C:C,0)),0)</f>
        <v>EI</v>
      </c>
      <c r="Z4" s="370" t="str">
        <f t="shared" ref="Z4" si="2">IF(Y4=0,IF(V4="E",IF(AC4&gt;=$AE$1,IF(AC4&lt;=$AF$1,$AA$1,"EI"),"EI"),IF(V4="Y",IF(AC4&gt;=$AE$1,IF(AC4&lt;=$AF$1,$AA$1,"EI"),"EI"),"EI")),Y4)</f>
        <v>EI</v>
      </c>
      <c r="AA4" s="371" t="str">
        <f>IFERROR(INDEX(JA!AF:AF,MATCH(A4,JA!C:C,0)),0)</f>
        <v>EI</v>
      </c>
      <c r="AB4" s="51" t="str">
        <f t="shared" ref="AB4" si="3">IF(AA4=0,IF(V4="E",IF(AC4&gt;=$AC$1,IF(AC4&lt;=$AD$1,$AA$1,"EI"),"EI"),IF(V4="Y",IF(AC4&gt;=$AC$1,IF(AC4&lt;=$AD$1,$AA$1,"EI"),"EI"),"EI")),AA4)</f>
        <v>EI</v>
      </c>
      <c r="AC4" s="141" t="str">
        <f t="shared" ref="AC4" si="4">IFERROR(IF(N4&lt;&gt;"",VALUE(N4),IF(M4&lt;&gt;"",VALUE(M4),VALUE(R4))),"")</f>
        <v/>
      </c>
      <c r="AD4" s="19" t="str">
        <f t="shared" ref="AD4" si="5">IFERROR(IF(VALUE(G4)=0,"",VALUE(G4)),"")</f>
        <v/>
      </c>
      <c r="AE4" s="24" t="str">
        <f t="shared" ref="AE4" si="6">IFERROR(DATEDIF(AD4,AC4,"y"),"EI")</f>
        <v>EI</v>
      </c>
      <c r="AF4" s="24" t="str">
        <f t="shared" ref="AF4" si="7">IFERROR(IF(DATEDIF(AD4,$AC$1,"y") &gt; DATEDIF(AD4,AC4,"y"),DATEDIF(AD4,$AC$1,"y"),DATEDIF(AD4,AC4,"y")),"EI")</f>
        <v>EI</v>
      </c>
      <c r="AG4" t="str">
        <f t="shared" ref="AG4" si="8">IF(AF4="EI",AF4,IF(AF4&lt;7,"alle 7",IF(AF4&lt;16,"alle 16",IF(AF4&lt;18,"16-17",IF(AF4&lt;21,"18-20",IF(AF4&lt;26,"21-25",IF(AF4&lt;29,"26-28",IF(AF4&gt;28,"yli 28",AF4))))))))</f>
        <v>EI</v>
      </c>
      <c r="AH4" t="str">
        <f t="shared" ref="AH4" si="9">IF(AG4="EI","nuori",IF(AG4="yli 28","vanha","nuori"))</f>
        <v>nuori</v>
      </c>
      <c r="AI4" t="str">
        <f t="shared" ref="AI4" si="10">IF(LEFT(J4,5)="Combo",J4,IF(J4="","ei kirjattu",$AI$1))</f>
        <v>ei kirjattu</v>
      </c>
      <c r="AJ4" t="str">
        <f ca="1">IFERROR(INDEX(TI!$Z:$Z,MATCH($A4,TI!$C:$C,0)),"")</f>
        <v/>
      </c>
      <c r="AK4" t="str">
        <f ca="1">IFERROR(INDEX(TI!AA:AA,MATCH($A4,TI!$C:$C,0)),"")</f>
        <v/>
      </c>
      <c r="AL4" t="str">
        <f ca="1">IFERROR(INDEX(TI!AB:AB,MATCH($A4,TI!$C:$C,0)),"")</f>
        <v/>
      </c>
      <c r="AM4" t="str">
        <f ca="1">IFERROR(INDEX(TI!AC:AC,MATCH($A4,TI!$C:$C,0)),"")</f>
        <v/>
      </c>
      <c r="AN4" t="str">
        <f ca="1">IFERROR(INDEX(TI!AD:AD,MATCH($A4,TI!$C:$C,0)),"")</f>
        <v/>
      </c>
      <c r="AO4" t="str">
        <f ca="1">IFERROR(INDEX(TI!AE:AE,MATCH($A4,TI!$C:$C,0)),"")</f>
        <v/>
      </c>
      <c r="AP4" t="str">
        <f ca="1">IFERROR(INDEX(TI!AF:AF,MATCH($A4,TI!$C:$C,0)),"")</f>
        <v/>
      </c>
      <c r="AQ4" t="str">
        <f ca="1">IFERROR(INDEX(TI!AG:AG,MATCH($A4,TI!$C:$C,0)),"")</f>
        <v/>
      </c>
      <c r="AR4" t="str">
        <f ca="1">IFERROR(INDEX(TI!AH:AH,MATCH($A4,TI!$C:$C,0)),"")</f>
        <v/>
      </c>
      <c r="AS4" t="str">
        <f ca="1">IFERROR(INDEX(TI!AI:AI,MATCH($A4,TI!$C:$C,0)),"")</f>
        <v/>
      </c>
      <c r="AT4" t="str">
        <f>IFERROR(INDEX(JA!$AQ:$AQ,MATCH(A4&amp;"OK",JA!W:W,0)),"")</f>
        <v/>
      </c>
      <c r="AU4">
        <f>IFERROR(MATCH(A4,TP!C:C,0),"")</f>
        <v>3</v>
      </c>
      <c r="AV4" t="str">
        <f t="shared" ref="AV4" si="11">IF(AU4&lt;&gt;"",$AV$1,IF(D4="",$AU$1,D4))</f>
        <v>ComboBox_EtStatus#tavoitettu</v>
      </c>
      <c r="AW4" t="str">
        <f>IF(Data_Asiakasnimi!F3="0","tyhja",IF(Data_Asiakasnimi!F3="","tyhja",IF(LEFT(Data_Asiakasnimi!F3,5)&lt;&gt;"Combo","muut",Data_Asiakasnimi!F3)))</f>
        <v>tyhja</v>
      </c>
      <c r="AX4" t="str">
        <f t="shared" ref="AX4" si="12">TRIM(IF(P4="",$AW$1,IF(LEFT(P4,5)="Combo",P4,$AX$1)))</f>
        <v>ComboBox_Etpaatos_syy#ei tietoa</v>
      </c>
      <c r="AY4" t="str">
        <f>IFERROR(INDEX(JA!AS:AS,MATCH(A4,JA!C:C,0)),"")</f>
        <v>ComboBox_Etpaatos_syy#ei tietoa</v>
      </c>
      <c r="AZ4" t="str">
        <f t="shared" ref="AZ4" si="13">IF(Q4="","A",IF(VALUE(Q4)&gt;$AD$1,"A","P"))</f>
        <v>A</v>
      </c>
      <c r="BA4" t="str">
        <f t="shared" ref="BA4" si="14">IF(U4="D",$BA$1,IF(AZ4="P",$BA$1,IF(E4=$BA$1,$BB$1,E4)))</f>
        <v/>
      </c>
      <c r="BB4" t="str">
        <f t="shared" ref="BB4" si="15">BA4</f>
        <v/>
      </c>
      <c r="BC4">
        <f>IFERROR(INDEX(JA!AM:AM,MATCH($A4,JA!$C:$C,0)),"EI")</f>
        <v>0</v>
      </c>
      <c r="BD4" t="str">
        <f>IFERROR(INDEX(JA!AN:AN,MATCH($A4,JA!$C:$C,0)),"tyhja")</f>
        <v>EI</v>
      </c>
      <c r="BE4">
        <f>IF(IFERROR(MATCH(A4,TP!C:C,0),1)=1,1,0)</f>
        <v>0</v>
      </c>
      <c r="BF4" t="str">
        <f>IFERROR(INDEX(JA!$G:$G,MATCH($A4,JA!$C:$C,0)),"EI")</f>
        <v/>
      </c>
      <c r="BG4">
        <f>MATCH($A4,JA!$C:$C,0)</f>
        <v>3</v>
      </c>
      <c r="BH4" t="e">
        <f ca="1">INDEX(JA!AW:AW,AS!BG4)</f>
        <v>#VALUE!</v>
      </c>
      <c r="BI4" s="20" t="e">
        <f ca="1">INDEX(JA!AT:AT,AS!BH4)</f>
        <v>#VALUE!</v>
      </c>
      <c r="BJ4" s="20" t="e">
        <f ca="1">INDEX(JA!AV:AV,AS!BH4)</f>
        <v>#VALUE!</v>
      </c>
      <c r="BK4" t="e">
        <f t="shared" ref="BK4" ca="1" si="16">IF(BJ4&gt;=$AC$1,IF(BJ4&lt;=$AD$1,$AA$1,"Ei"),"EI")</f>
        <v>#VALUE!</v>
      </c>
      <c r="BL4" t="e">
        <f t="shared" ref="BL4" ca="1" si="17">IF(BJ4=AC4,0,1)</f>
        <v>#VALUE!</v>
      </c>
      <c r="BM4" t="str">
        <f>INDEX(TP!I:I,MATCH(A4,TP!C:C,0))</f>
        <v>EI</v>
      </c>
      <c r="BN4" s="383" t="str">
        <f>INDEX(JA!AJ:AJ,MATCH(A4,JA!C:C,0))</f>
        <v>EI</v>
      </c>
      <c r="BO4" t="str">
        <f t="shared" ref="BO4" si="18">IFERROR(BN4,AB4)</f>
        <v>EI</v>
      </c>
      <c r="BP4" t="str">
        <f>IFERROR(IF(Data_Asiakasnimi!W3&lt;&gt;"",1,""),"")</f>
        <v/>
      </c>
    </row>
  </sheetData>
  <autoFilter ref="A2:BP1420" xr:uid="{00000000-0001-0000-0700-000000000000}"/>
  <phoneticPr fontId="64" type="noConversion"/>
  <pageMargins left="0.7" right="0.7" top="0.75" bottom="0.83333333333333337" header="0" footer="0"/>
  <pageSetup paperSize="9" orientation="portrait" r:id="rId1"/>
  <headerFooter>
    <oddFooter>&amp;L 
Etsivä org
Etsivätie 1
01000, E-kunta&amp;C&amp;G&amp;R&amp;P/&amp;N</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ul31">
    <tabColor rgb="FFFFC000"/>
  </sheetPr>
  <dimension ref="A1:BC4"/>
  <sheetViews>
    <sheetView zoomScale="80" zoomScaleNormal="80" workbookViewId="0">
      <pane xSplit="3" ySplit="2" topLeftCell="D3" activePane="bottomRight" state="frozen"/>
      <selection activeCell="A3" sqref="A3"/>
      <selection pane="topRight" activeCell="A3" sqref="A3"/>
      <selection pane="bottomLeft" activeCell="A3" sqref="A3"/>
      <selection pane="bottomRight" activeCell="A3" sqref="A3"/>
    </sheetView>
  </sheetViews>
  <sheetFormatPr defaultColWidth="10" defaultRowHeight="15" x14ac:dyDescent="0.25"/>
  <cols>
    <col min="1" max="1" width="20" style="3" customWidth="1"/>
    <col min="2" max="2" width="10" style="3"/>
    <col min="3" max="3" width="12.7109375" style="3" customWidth="1"/>
    <col min="4" max="4" width="74.85546875" style="3" bestFit="1" customWidth="1"/>
    <col min="5" max="6" width="14" style="19" customWidth="1"/>
    <col min="7" max="8" width="10" style="3"/>
    <col min="9" max="9" width="14" style="19" customWidth="1"/>
    <col min="10" max="10" width="25.42578125" style="3" customWidth="1"/>
    <col min="11" max="11" width="10.42578125" style="3" customWidth="1"/>
    <col min="12" max="12" width="36" style="3" customWidth="1"/>
    <col min="13" max="13" width="10" style="3"/>
    <col min="14" max="14" width="39.85546875" style="3" customWidth="1"/>
    <col min="15" max="16" width="20.42578125" style="394" customWidth="1"/>
    <col min="17" max="17" width="10" style="3"/>
    <col min="18" max="18" width="43.42578125" style="735" customWidth="1"/>
    <col min="19" max="21" width="10" style="3"/>
    <col min="22" max="22" width="13.5703125" style="3" customWidth="1"/>
    <col min="23" max="23" width="16.5703125" style="3" customWidth="1"/>
    <col min="24" max="24" width="35.140625" style="3" customWidth="1"/>
    <col min="25" max="27" width="10" style="3"/>
    <col min="28" max="29" width="11.5703125" style="19" customWidth="1"/>
    <col min="30" max="30" width="11.5703125" style="23" customWidth="1"/>
    <col min="31" max="31" width="11.5703125" style="3" customWidth="1"/>
    <col min="32" max="32" width="10" style="3"/>
    <col min="33" max="34" width="10" style="304"/>
    <col min="35" max="36" width="10" style="367"/>
    <col min="37" max="38" width="10" style="3"/>
    <col min="39" max="39" width="11.5703125" style="23" customWidth="1"/>
    <col min="40" max="40" width="10" style="3"/>
    <col min="41" max="41" width="11.5703125" style="23" customWidth="1"/>
    <col min="42" max="44" width="10" style="3"/>
    <col min="45" max="45" width="31.28515625" style="3" bestFit="1" customWidth="1"/>
    <col min="46" max="46" width="10" style="3"/>
    <col min="47" max="47" width="12" style="3" bestFit="1" customWidth="1"/>
    <col min="48" max="48" width="12" style="3" customWidth="1"/>
    <col min="49" max="49" width="11.5703125" style="3" customWidth="1"/>
    <col min="50" max="50" width="12" style="3" bestFit="1" customWidth="1"/>
    <col min="51" max="51" width="10" style="3"/>
    <col min="56" max="16384" width="10" style="3"/>
  </cols>
  <sheetData>
    <row r="1" spans="1:54" customFormat="1" x14ac:dyDescent="0.25">
      <c r="A1" s="14" t="s">
        <v>408</v>
      </c>
      <c r="B1" s="14" t="s">
        <v>408</v>
      </c>
      <c r="C1" s="14" t="s">
        <v>408</v>
      </c>
      <c r="D1" s="14" t="s">
        <v>408</v>
      </c>
      <c r="E1" s="412" t="s">
        <v>408</v>
      </c>
      <c r="F1" s="412" t="s">
        <v>408</v>
      </c>
      <c r="G1" s="14" t="s">
        <v>408</v>
      </c>
      <c r="H1" s="14" t="s">
        <v>408</v>
      </c>
      <c r="I1" s="412" t="s">
        <v>408</v>
      </c>
      <c r="J1" s="14" t="s">
        <v>408</v>
      </c>
      <c r="K1" s="5" t="s">
        <v>1573</v>
      </c>
      <c r="L1" s="748">
        <v>1</v>
      </c>
      <c r="M1" s="5" t="s">
        <v>1574</v>
      </c>
      <c r="N1" s="748">
        <v>1</v>
      </c>
      <c r="O1" s="414" t="s">
        <v>408</v>
      </c>
      <c r="P1" s="414" t="s">
        <v>408</v>
      </c>
      <c r="Q1" s="16" t="s">
        <v>408</v>
      </c>
      <c r="R1" s="745" t="s">
        <v>1498</v>
      </c>
      <c r="S1" s="5" t="s">
        <v>1573</v>
      </c>
      <c r="T1" s="5" t="s">
        <v>1573</v>
      </c>
      <c r="U1" s="5" t="s">
        <v>1573</v>
      </c>
      <c r="V1" s="5" t="s">
        <v>1573</v>
      </c>
      <c r="W1" s="751" t="s">
        <v>1580</v>
      </c>
      <c r="X1" s="14"/>
      <c r="Y1" s="14"/>
      <c r="Z1" s="17" t="s">
        <v>482</v>
      </c>
      <c r="AA1" s="279">
        <v>1</v>
      </c>
      <c r="AB1" s="193">
        <f>Asiakastilastot!$A$2</f>
        <v>45658</v>
      </c>
      <c r="AC1" s="193">
        <f>Asiakastilastot!$A$3</f>
        <v>45777</v>
      </c>
      <c r="AD1" s="302">
        <f>AB1-365</f>
        <v>45293</v>
      </c>
      <c r="AE1" s="302">
        <f>AC1-365</f>
        <v>45412</v>
      </c>
      <c r="AF1" s="17" t="s">
        <v>486</v>
      </c>
      <c r="AG1" s="303" t="s">
        <v>705</v>
      </c>
      <c r="AH1" s="303"/>
      <c r="AI1" s="368" t="s">
        <v>486</v>
      </c>
      <c r="AJ1" s="368" t="s">
        <v>486</v>
      </c>
      <c r="AK1" s="20"/>
      <c r="AL1" s="20"/>
      <c r="AM1" s="21"/>
      <c r="AO1" s="21"/>
      <c r="AP1" t="s">
        <v>752</v>
      </c>
      <c r="AQ1" s="25" t="s">
        <v>234</v>
      </c>
      <c r="AR1" s="25"/>
      <c r="AS1" s="197" t="s">
        <v>543</v>
      </c>
      <c r="AT1" s="197" t="s">
        <v>233</v>
      </c>
      <c r="AX1" s="359" t="s">
        <v>783</v>
      </c>
      <c r="AY1" s="2" t="s">
        <v>767</v>
      </c>
      <c r="AZ1" s="690" t="s">
        <v>1578</v>
      </c>
      <c r="BA1" s="690" t="s">
        <v>1578</v>
      </c>
      <c r="BB1" s="690" t="s">
        <v>1578</v>
      </c>
    </row>
    <row r="2" spans="1:54" x14ac:dyDescent="0.25">
      <c r="A2" s="5" t="s">
        <v>312</v>
      </c>
      <c r="B2" s="5" t="s">
        <v>313</v>
      </c>
      <c r="C2" s="5" t="s">
        <v>314</v>
      </c>
      <c r="D2" s="5" t="s">
        <v>315</v>
      </c>
      <c r="E2" s="413" t="s">
        <v>316</v>
      </c>
      <c r="F2" s="413" t="s">
        <v>317</v>
      </c>
      <c r="G2" s="5" t="s">
        <v>318</v>
      </c>
      <c r="H2" s="5" t="s">
        <v>319</v>
      </c>
      <c r="I2" s="413" t="s">
        <v>320</v>
      </c>
      <c r="J2" s="5" t="s">
        <v>321</v>
      </c>
      <c r="K2" s="15" t="s">
        <v>1500</v>
      </c>
      <c r="L2" s="747" t="s">
        <v>1577</v>
      </c>
      <c r="M2" s="15" t="s">
        <v>1501</v>
      </c>
      <c r="N2" s="747" t="s">
        <v>1576</v>
      </c>
      <c r="O2" s="411" t="s">
        <v>326</v>
      </c>
      <c r="P2" s="411" t="s">
        <v>327</v>
      </c>
      <c r="Q2" s="5" t="s">
        <v>328</v>
      </c>
      <c r="R2" s="746" t="s">
        <v>1575</v>
      </c>
      <c r="S2" s="750" t="s">
        <v>1579</v>
      </c>
      <c r="T2" s="690"/>
      <c r="U2" s="15" t="s">
        <v>834</v>
      </c>
      <c r="V2" s="751"/>
      <c r="W2" s="1" t="s">
        <v>918</v>
      </c>
      <c r="X2" s="1" t="s">
        <v>31</v>
      </c>
      <c r="Y2" s="1"/>
      <c r="Z2" s="135" t="s">
        <v>481</v>
      </c>
      <c r="AA2" s="135" t="s">
        <v>571</v>
      </c>
      <c r="AB2" s="136" t="s">
        <v>483</v>
      </c>
      <c r="AC2" s="136" t="s">
        <v>484</v>
      </c>
      <c r="AD2" s="137" t="s">
        <v>485</v>
      </c>
      <c r="AE2" s="135" t="s">
        <v>495</v>
      </c>
      <c r="AF2" s="135" t="s">
        <v>755</v>
      </c>
      <c r="AG2" s="303" t="s">
        <v>756</v>
      </c>
      <c r="AH2" s="303" t="s">
        <v>757</v>
      </c>
      <c r="AI2" s="368" t="s">
        <v>784</v>
      </c>
      <c r="AJ2" s="368" t="s">
        <v>816</v>
      </c>
      <c r="AK2" s="360" t="s">
        <v>487</v>
      </c>
      <c r="AL2" s="360" t="s">
        <v>488</v>
      </c>
      <c r="AM2" s="137" t="s">
        <v>489</v>
      </c>
      <c r="AN2" s="6" t="s">
        <v>1212</v>
      </c>
      <c r="AO2" s="137" t="s">
        <v>490</v>
      </c>
      <c r="AP2" s="6"/>
      <c r="AQ2" s="130" t="s">
        <v>31</v>
      </c>
      <c r="AR2" s="130" t="s">
        <v>698</v>
      </c>
      <c r="AS2" s="6" t="s">
        <v>494</v>
      </c>
      <c r="AT2" s="2" t="s">
        <v>758</v>
      </c>
      <c r="AU2" s="2" t="s">
        <v>759</v>
      </c>
      <c r="AV2" s="2" t="s">
        <v>761</v>
      </c>
      <c r="AW2" s="2" t="s">
        <v>760</v>
      </c>
      <c r="AX2" s="359" t="s">
        <v>762</v>
      </c>
      <c r="AY2" s="2" t="s">
        <v>766</v>
      </c>
      <c r="AZ2" s="750" t="s">
        <v>1584</v>
      </c>
      <c r="BA2" s="690"/>
      <c r="BB2" s="15" t="s">
        <v>834</v>
      </c>
    </row>
    <row r="3" spans="1:54" ht="15.75" x14ac:dyDescent="0.25">
      <c r="A3" t="str">
        <f>IF(Data_Jaksot!A2="0","",IF(Data_Jaksot!A2="","",Data_Jaksot!A2))</f>
        <v/>
      </c>
      <c r="B3" t="str">
        <f>IF(Data_Jaksot!B2="0","",IF(Data_Jaksot!B2="","",Data_Jaksot!B2))</f>
        <v/>
      </c>
      <c r="C3" t="str">
        <f>IF(Data_Jaksot!C2="0","",IF(Data_Jaksot!C2="","",Data_Jaksot!C2))</f>
        <v/>
      </c>
      <c r="D3" t="str">
        <f>IF(Data_Jaksot!D2="0","",IF(Data_Jaksot!D2="","",Data_Jaksot!D2))</f>
        <v/>
      </c>
      <c r="E3" s="19" t="str">
        <f>IFERROR(VALUE(IF(Data_Jaksot!E2="0","",IF(Data_Jaksot!E2="","",Data_Jaksot!E2))),"")</f>
        <v/>
      </c>
      <c r="F3" s="19" t="str">
        <f>IFERROR(VALUE(IF(Data_Jaksot!F2="0","",IF(Data_Jaksot!F2="","",Data_Jaksot!F2))),"")</f>
        <v/>
      </c>
      <c r="G3" t="str">
        <f>IF(Data_Jaksot!G2="0","",IF(Data_Jaksot!G2="","",Data_Jaksot!G2))</f>
        <v/>
      </c>
      <c r="H3" t="str">
        <f>IF(Data_Jaksot!H2="0","",IF(Data_Jaksot!H2="","",Data_Jaksot!H2))</f>
        <v/>
      </c>
      <c r="I3" s="19" t="str">
        <f>IFERROR(VALUE(IF(Data_Jaksot!I2="0","",IF(Data_Jaksot!I2="","",Data_Jaksot!I2))),"")</f>
        <v/>
      </c>
      <c r="J3" t="str">
        <f>IF(Data_Jaksot!J2="0","",IF(Data_Jaksot!J2="","",Data_Jaksot!J2))</f>
        <v/>
      </c>
      <c r="K3" t="str">
        <f>IF(Data_Jaksot!R2="0","",IF(Data_Jaksot!R2="","",Data_Jaksot!R2))</f>
        <v/>
      </c>
      <c r="L3" t="str">
        <f>IF(IF(Data_Jaksot!S2="0","",IF(Data_Jaksot!S2="","",IF(LEFT(Data_Jaksot!S2,5)&lt;&gt;"Combo","Muut",Data_Jaksot!S2)))="",INDEX(AS!K:K,MATCH(C3,AS!A:A,0)),IF(LEFT(Data_Jaksot!S2,5)&lt;&gt;"Combo","Muut",Data_Jaksot!S2))</f>
        <v>tyhja</v>
      </c>
      <c r="M3" t="str">
        <f>INDEX(AS!AG:AG,MATCH(C3,AS!A:A,0))</f>
        <v>EI</v>
      </c>
      <c r="N3" t="str">
        <f>IF(Data_Jaksot!U2="0",R3,IF(Data_Jaksot!U2="",R3,IF(LEFT(Data_Jaksot!U2,5)&lt;&gt;"Combo","Muut",Data_Jaksot!U2)))</f>
        <v>tyhja</v>
      </c>
      <c r="O3" s="394" t="str">
        <f>IFERROR(VALUE(IF(Data_Jaksot!O2="0","",IF(Data_Jaksot!O2="","",Data_Jaksot!O2))),"")</f>
        <v/>
      </c>
      <c r="P3" s="394" t="str">
        <f>IFERROR(VALUE(IF(Data_Jaksot!P2="0","",IF(Data_Jaksot!P2="","",Data_Jaksot!P2))),"")</f>
        <v/>
      </c>
      <c r="Q3" t="str">
        <f>IF(Data_Jaksot!Q2="0","",IF(Data_Jaksot!Q2="","",Data_Jaksot!Q2))</f>
        <v/>
      </c>
      <c r="R3" s="749" t="str">
        <f>IFERROR(INDEX(AS!$AW:$AW,MATCH(C3,AS!A:A,0)),"")</f>
        <v>tyhja</v>
      </c>
      <c r="S3">
        <f>COUNTIFS(W:W,W3,L:L,L3,AE:AE,"OK")</f>
        <v>0</v>
      </c>
      <c r="T3" t="str">
        <f>TEXT(IF(S3&gt;1,COUNTIF($U$2:U3,"OK"&amp;C3&amp;L3),S3),"@")</f>
        <v>0</v>
      </c>
      <c r="U3" t="str">
        <f>AE3&amp;C3&amp;L3</f>
        <v>EItyhja</v>
      </c>
      <c r="V3" t="str">
        <f>INDEX(AS!AH:AH,MATCH(C3,AS!A:A,0))</f>
        <v>nuori</v>
      </c>
      <c r="W3" t="str">
        <f>C3&amp;AE3</f>
        <v>EI</v>
      </c>
      <c r="X3" t="str">
        <f>IF(AE3="OK",AQ3,"")</f>
        <v/>
      </c>
      <c r="Y3" t="str">
        <f>INDEX(AS!U:U,MATCH(C3,AS!A:A,0))</f>
        <v/>
      </c>
      <c r="Z3">
        <f>$AA$1</f>
        <v>1</v>
      </c>
      <c r="AA3">
        <f>ROW()</f>
        <v>3</v>
      </c>
      <c r="AB3" s="19" t="str">
        <f t="shared" ref="AB3" si="0">IFERROR(IF(F3&lt;&gt;"",VALUE(F3),IF(E3&lt;&gt;"",VALUE(E3),VALUE(O3))),"")</f>
        <v/>
      </c>
      <c r="AC3" s="19" t="str">
        <f t="shared" ref="AC3" si="1">IFERROR(IF(Y3="D",IF(I3&lt;&gt;"",VALUE(I3),VALUE(P3)),VALUE(I3)),"")</f>
        <v/>
      </c>
      <c r="AD3" s="22" t="str">
        <f>IFERROR(IF(AC3="",(ROUND(($AC$1-AB3)/30.25,1)),(ROUND((AC3-AB3)/30.25,1))),"")</f>
        <v/>
      </c>
      <c r="AE3" t="str">
        <f>IF($AB3&gt;=$AB$1,IF($AB3&lt;=$AC$1,"OK","EI"),IF($AC3&gt;=$AB$1,"OK",IF($AC3="","OK","EI")))</f>
        <v>EI</v>
      </c>
      <c r="AF3" t="str">
        <f t="shared" ref="AF3:AF4" si="2">IF(SUMIFS($Z:$Z,$C:$C,$C3,$AE:$AE,$AF$1)=0,"EI","OK")</f>
        <v>EI</v>
      </c>
      <c r="AG3" t="str">
        <f>IF($AB3&gt;=$AD$1,IF($AB3&lt;=$AE$1,"OK","EI"),IF($AC3&gt;=$AD$1,"OK",IF($AC3="","OK","EI")))</f>
        <v>EI</v>
      </c>
      <c r="AH3" t="str">
        <f t="shared" ref="AH3:AH4" si="3">IF(SUMIFS($Z:$Z,$C:$C,$C3,$AG:$AG,$AF$1)=0,"EI","OK")</f>
        <v>EI</v>
      </c>
      <c r="AI3" s="15" t="str">
        <f>IFERROR(IF(AB3&gt;=$AB$1,IF(AB3&lt;=$AC$1,"OK","EI"),"EI"),"")</f>
        <v>EI</v>
      </c>
      <c r="AJ3" s="15" t="str">
        <f>IF(SUMIFS($Z:$Z,$C:$C,$C3,$AI:$AI,$AF$1)=0,"EI","OK")</f>
        <v>EI</v>
      </c>
      <c r="AK3">
        <f>COUNTIF($C$2:C3,C3)</f>
        <v>1</v>
      </c>
      <c r="AL3">
        <f t="shared" ref="AL3" si="4">COUNTIFS(C:C,C3)</f>
        <v>1048574</v>
      </c>
      <c r="AM3" s="22">
        <f t="shared" ref="AM3" si="5">SUMIFS(AD:AD,$C:$C,$C3)</f>
        <v>0</v>
      </c>
      <c r="AN3" t="str">
        <f>IF(AF3=$AF$1,IF(AM3&lt;&gt;"",IF(AM3&lt;0.3,"alle 1vko",IF(AM3&lt;1,"alle 1kk",IF(AM3&lt;3,"alle 3kk",IF(AM3&lt;6,"alle 6kk",IF(AM3&lt;12,"alle 1vuosi",IF(AM3&lt;18,"1vuotta",IF(AM3&lt;24,"1,5vuotta",IF(AM3&lt;36,"2vuotta",IF(AM3&lt;48,"3vuotta",IF(AM3&lt;60,"4vuotta","yli5vuotta"))))))))))),"EI")</f>
        <v>EI</v>
      </c>
      <c r="AO3" s="22">
        <f t="shared" ref="AO3" si="6">SUMIFS(AD:AD,C:C,C3)</f>
        <v>0</v>
      </c>
      <c r="AP3" t="str">
        <f>IF(AO3&lt;&gt;"",IF(AO3&lt;0.3,"alle 1vko",IF(AO3&lt;1,"alle 1kk",IF(AO3&lt;3,"alle 3kk",IF(AO3&lt;6,"alle 6kk",IF(AO3&lt;12,"alle 1vuosi","yli 1vuosi"))))))</f>
        <v>alle 1vko</v>
      </c>
      <c r="AQ3" t="str">
        <f t="shared" ref="AQ3" si="7">IF(LEFT(D3,5)="Combo",D3,IF(D3="","",IF(D3=$AP$1,$AP$1,$AQ$1)))</f>
        <v/>
      </c>
      <c r="AR3" t="str">
        <f t="shared" ref="AR3" si="8">IF($C2&lt;&gt;$C3,IF(J3="","",J3),IF(J3="",IF(AR2="","",AR2),J3))</f>
        <v/>
      </c>
      <c r="AS3" t="str">
        <f>IF(AR3="",$AS$1,IF(LEFT(AR3,5)="Combo",AR3,$AT$1))</f>
        <v>ComboBox_Etpaatos_syy#ei tietoa</v>
      </c>
      <c r="AT3" t="e">
        <f>VALUE(AB3)</f>
        <v>#VALUE!</v>
      </c>
      <c r="AU3">
        <f t="shared" ref="AU3" si="9">MATCH(C3,C4:C10000,0)+ROW()</f>
        <v>4</v>
      </c>
      <c r="AV3" t="e">
        <f ca="1">IF(ISNA(AU3),AT3,IF(INDIRECT("av"&amp;AU3)&lt;AT3,INDIRECT("av"&amp;AU3),AT3))</f>
        <v>#VALUE!</v>
      </c>
      <c r="AW3" t="e">
        <f ca="1">IF(ISNA(AU3),ROW(),IF(INDIRECT("at"&amp;INDIRECT("aw"&amp;AU3))&lt;AT3,INDIRECT("aw"&amp;AU3),ROW()))</f>
        <v>#VALUE!</v>
      </c>
      <c r="AX3" t="e">
        <f ca="1">INDEX(AS!BK:BK,MATCH(C3,AS!A:A,0))</f>
        <v>#VALUE!</v>
      </c>
      <c r="AY3" t="str">
        <f ca="1">INDEX(AS!X:X,MATCH(C3,AS!A:A,0))</f>
        <v>EI</v>
      </c>
      <c r="AZ3">
        <f>COUNTIFS(U:U,U3,N:N,N3,AE:AE,"OK")</f>
        <v>0</v>
      </c>
      <c r="BA3" t="str">
        <f>TEXT(IF($AZ3&gt;1,COUNTIF($BB$2:BB3,"OK"&amp;$C3&amp;$N3),$AZ3),"@")</f>
        <v>0</v>
      </c>
      <c r="BB3" t="str">
        <f>AE3&amp;C3&amp;N3</f>
        <v>EItyhja</v>
      </c>
    </row>
    <row r="4" spans="1:54" ht="15.75" x14ac:dyDescent="0.25">
      <c r="A4" t="str">
        <f>IF(Data_Jaksot!A3="0","",IF(Data_Jaksot!A3="","",Data_Jaksot!A3))</f>
        <v/>
      </c>
      <c r="B4" t="str">
        <f>IF(Data_Jaksot!B3="0","",IF(Data_Jaksot!B3="","",Data_Jaksot!B3))</f>
        <v/>
      </c>
      <c r="C4" t="str">
        <f>IF(Data_Jaksot!C3="0","",IF(Data_Jaksot!C3="","",Data_Jaksot!C3))</f>
        <v/>
      </c>
      <c r="D4" t="str">
        <f>IF(Data_Jaksot!D3="0","",IF(Data_Jaksot!D3="","",Data_Jaksot!D3))</f>
        <v/>
      </c>
      <c r="E4" s="19" t="str">
        <f>IFERROR(VALUE(IF(Data_Jaksot!E3="0","",IF(Data_Jaksot!E3="","",Data_Jaksot!E3))),"")</f>
        <v/>
      </c>
      <c r="F4" s="19" t="str">
        <f>IFERROR(VALUE(IF(Data_Jaksot!F3="0","",IF(Data_Jaksot!F3="","",Data_Jaksot!F3))),"")</f>
        <v/>
      </c>
      <c r="G4" t="str">
        <f>IF(Data_Jaksot!G3="0","",IF(Data_Jaksot!G3="","",Data_Jaksot!G3))</f>
        <v/>
      </c>
      <c r="H4" t="str">
        <f>IF(Data_Jaksot!H3="0","",IF(Data_Jaksot!H3="","",Data_Jaksot!H3))</f>
        <v/>
      </c>
      <c r="I4" s="19" t="str">
        <f>IFERROR(VALUE(IF(Data_Jaksot!I3="0","",IF(Data_Jaksot!I3="","",Data_Jaksot!I3))),"")</f>
        <v/>
      </c>
      <c r="J4" t="str">
        <f>IF(Data_Jaksot!J3="0","",IF(Data_Jaksot!J3="","",Data_Jaksot!J3))</f>
        <v/>
      </c>
      <c r="K4" t="str">
        <f>IF(Data_Jaksot!R3="0","",IF(Data_Jaksot!R3="","",Data_Jaksot!R3))</f>
        <v/>
      </c>
      <c r="L4" t="str">
        <f>IF(IF(Data_Jaksot!S3="0","",IF(Data_Jaksot!S3="","",IF(LEFT(Data_Jaksot!S3,5)&lt;&gt;"Combo","Muut",Data_Jaksot!S3)))="",INDEX(AS!K:K,MATCH(C4,AS!A:A,0)),IF(LEFT(Data_Jaksot!S3,5)&lt;&gt;"Combo","Muut",Data_Jaksot!S3))</f>
        <v>tyhja</v>
      </c>
      <c r="M4" t="str">
        <f>INDEX(AS!AG:AG,MATCH(C4,AS!A:A,0))</f>
        <v>EI</v>
      </c>
      <c r="N4" t="str">
        <f>IF(Data_Jaksot!U3="0",R4,IF(Data_Jaksot!U3="",R4,IF(LEFT(Data_Jaksot!U3,5)&lt;&gt;"Combo","Muut",Data_Jaksot!U3)))</f>
        <v>tyhja</v>
      </c>
      <c r="O4" s="394" t="str">
        <f>IFERROR(VALUE(IF(Data_Jaksot!O3="0","",IF(Data_Jaksot!O3="","",Data_Jaksot!O3))),"")</f>
        <v/>
      </c>
      <c r="P4" s="394" t="str">
        <f>IFERROR(VALUE(IF(Data_Jaksot!P3="0","",IF(Data_Jaksot!P3="","",Data_Jaksot!P3))),"")</f>
        <v/>
      </c>
      <c r="Q4" t="str">
        <f>IF(Data_Jaksot!Q3="0","",IF(Data_Jaksot!Q3="","",Data_Jaksot!Q3))</f>
        <v/>
      </c>
      <c r="R4" s="749" t="str">
        <f>IFERROR(INDEX(AS!$AW:$AW,MATCH(C4,AS!A:A,0)),"")</f>
        <v>tyhja</v>
      </c>
      <c r="S4">
        <f t="shared" ref="S4" si="10">COUNTIFS(W:W,W4,L:L,L4,AE:AE,"OK")</f>
        <v>0</v>
      </c>
      <c r="T4" t="str">
        <f>TEXT(IF(S4&gt;1,COUNTIF($U$2:U4,"OK"&amp;C4&amp;L4),S4),"@")</f>
        <v>0</v>
      </c>
      <c r="U4" t="str">
        <f t="shared" ref="U4" si="11">AE4&amp;C4&amp;L4</f>
        <v>EItyhja</v>
      </c>
      <c r="V4" t="str">
        <f>INDEX(AS!AH:AH,MATCH(C4,AS!A:A,0))</f>
        <v>nuori</v>
      </c>
      <c r="W4" t="str">
        <f t="shared" ref="W4" si="12">C4&amp;AE4</f>
        <v>EI</v>
      </c>
      <c r="X4" t="str">
        <f t="shared" ref="X4" si="13">IF(AE4="OK",AQ4,"")</f>
        <v/>
      </c>
      <c r="Y4" t="str">
        <f>INDEX(AS!U:U,MATCH(C4,AS!A:A,0))</f>
        <v/>
      </c>
      <c r="Z4">
        <f t="shared" ref="Z4" si="14">$AA$1</f>
        <v>1</v>
      </c>
      <c r="AA4">
        <f>ROW()</f>
        <v>4</v>
      </c>
      <c r="AB4" s="19" t="str">
        <f t="shared" ref="AB4" si="15">IFERROR(IF(F4&lt;&gt;"",VALUE(F4),IF(E4&lt;&gt;"",VALUE(E4),VALUE(O4))),"")</f>
        <v/>
      </c>
      <c r="AC4" s="19" t="str">
        <f t="shared" ref="AC4" si="16">IFERROR(IF(Y4="D",IF(I4&lt;&gt;"",VALUE(I4),VALUE(P4)),VALUE(I4)),"")</f>
        <v/>
      </c>
      <c r="AD4" s="22" t="str">
        <f t="shared" ref="AD4" si="17">IFERROR(IF(AC4="",(ROUND(($AC$1-AB4)/30.25,1)),(ROUND((AC4-AB4)/30.25,1))),"")</f>
        <v/>
      </c>
      <c r="AE4" t="str">
        <f t="shared" ref="AE4" si="18">IF($AB4&gt;=$AB$1,IF($AB4&lt;=$AC$1,"OK","EI"),IF($AC4&gt;=$AB$1,"OK",IF($AC4="","OK","EI")))</f>
        <v>EI</v>
      </c>
      <c r="AF4" t="str">
        <f t="shared" si="2"/>
        <v>EI</v>
      </c>
      <c r="AG4" t="str">
        <f t="shared" ref="AG4" si="19">IF($AB4&gt;=$AD$1,IF($AB4&lt;=$AE$1,"OK","EI"),IF($AC4&gt;=$AD$1,"OK",IF($AC4="","OK","EI")))</f>
        <v>EI</v>
      </c>
      <c r="AH4" t="str">
        <f t="shared" si="3"/>
        <v>EI</v>
      </c>
      <c r="AI4" s="15" t="str">
        <f t="shared" ref="AI4" si="20">IFERROR(IF(AB4&gt;=$AB$1,IF(AB4&lt;=$AC$1,"OK","EI"),"EI"),"")</f>
        <v>EI</v>
      </c>
      <c r="AJ4" s="15" t="str">
        <f t="shared" ref="AJ4" si="21">IF(SUMIFS($Z:$Z,$C:$C,$C4,$AI:$AI,$AF$1)=0,"EI","OK")</f>
        <v>EI</v>
      </c>
      <c r="AK4">
        <f>COUNTIF($C$2:C4,C4)</f>
        <v>2</v>
      </c>
      <c r="AL4">
        <f t="shared" ref="AL4" si="22">COUNTIFS(C:C,C4)</f>
        <v>1048574</v>
      </c>
      <c r="AM4" s="22">
        <f t="shared" ref="AM4" si="23">SUMIFS(AD:AD,$C:$C,$C4)</f>
        <v>0</v>
      </c>
      <c r="AN4" t="str">
        <f t="shared" ref="AN4" si="24">IF(AF4=$AF$1,IF(AM4&lt;&gt;"",IF(AM4&lt;0.3,"alle 1vko",IF(AM4&lt;1,"alle 1kk",IF(AM4&lt;3,"alle 3kk",IF(AM4&lt;6,"alle 6kk",IF(AM4&lt;12,"alle 1vuosi",IF(AM4&lt;18,"1vuotta",IF(AM4&lt;24,"1,5vuotta",IF(AM4&lt;36,"2vuotta",IF(AM4&lt;48,"3vuotta",IF(AM4&lt;60,"4vuotta","yli5vuotta"))))))))))),"EI")</f>
        <v>EI</v>
      </c>
      <c r="AO4" s="22">
        <f t="shared" ref="AO4" si="25">SUMIFS(AD:AD,C:C,C4)</f>
        <v>0</v>
      </c>
      <c r="AP4" t="str">
        <f t="shared" ref="AP4" si="26">IF(AO4&lt;&gt;"",IF(AO4&lt;0.3,"alle 1vko",IF(AO4&lt;1,"alle 1kk",IF(AO4&lt;3,"alle 3kk",IF(AO4&lt;6,"alle 6kk",IF(AO4&lt;12,"alle 1vuosi","yli 1vuosi"))))))</f>
        <v>alle 1vko</v>
      </c>
      <c r="AQ4" t="str">
        <f t="shared" ref="AQ4" si="27">IF(LEFT(D4,5)="Combo",D4,IF(D4="","",IF(D4=$AP$1,$AP$1,$AQ$1)))</f>
        <v/>
      </c>
      <c r="AR4" t="str">
        <f t="shared" ref="AR4" si="28">IF($C3&lt;&gt;$C4,IF(J4="","",J4),IF(J4="",IF(AR3="","",AR3),J4))</f>
        <v/>
      </c>
      <c r="AS4" t="str">
        <f t="shared" ref="AS4" si="29">IF(AR4="",$AS$1,IF(LEFT(AR4,5)="Combo",AR4,$AT$1))</f>
        <v>ComboBox_Etpaatos_syy#ei tietoa</v>
      </c>
      <c r="AT4" t="e">
        <f t="shared" ref="AT4" si="30">VALUE(AB4)</f>
        <v>#VALUE!</v>
      </c>
      <c r="AU4" t="e">
        <f t="shared" ref="AU4" si="31">MATCH(C4,C5:C10001,0)+ROW()</f>
        <v>#N/A</v>
      </c>
      <c r="AV4" t="e">
        <f t="shared" ref="AV4" ca="1" si="32">IF(ISNA(AU4),AT4,IF(INDIRECT("av"&amp;AU4)&lt;AT4,INDIRECT("av"&amp;AU4),AT4))</f>
        <v>#VALUE!</v>
      </c>
      <c r="AW4">
        <f t="shared" ref="AW4" ca="1" si="33">IF(ISNA(AU4),ROW(),IF(INDIRECT("at"&amp;INDIRECT("aw"&amp;AU4))&lt;AT4,INDIRECT("aw"&amp;AU4),ROW()))</f>
        <v>4</v>
      </c>
      <c r="AX4" t="e">
        <f ca="1">INDEX(AS!BK:BK,MATCH(C4,AS!A:A,0))</f>
        <v>#VALUE!</v>
      </c>
      <c r="AY4" t="str">
        <f ca="1">INDEX(AS!X:X,MATCH(C4,AS!A:A,0))</f>
        <v>EI</v>
      </c>
      <c r="AZ4">
        <f t="shared" ref="AZ4" si="34">COUNTIFS(U:U,U4,N:N,N4,AE:AE,"OK")</f>
        <v>0</v>
      </c>
      <c r="BA4" t="str">
        <f>TEXT(IF($AZ4&gt;1,COUNTIF($BB$2:BB4,"OK"&amp;$C4&amp;$N4),$AZ4),"@")</f>
        <v>0</v>
      </c>
      <c r="BB4" t="str">
        <f t="shared" ref="BB4" si="35">AE4&amp;C4&amp;N4</f>
        <v>EItyhja</v>
      </c>
    </row>
  </sheetData>
  <autoFilter ref="A2:AY289" xr:uid="{00000000-0009-0000-0000-000009000000}"/>
  <phoneticPr fontId="64" type="noConversion"/>
  <conditionalFormatting sqref="A1:V1 X1:AA1 AF1 AU1:AX1 BC1:XFD1">
    <cfRule type="containsText" dxfId="14" priority="13" operator="containsText" text="E">
      <formula>NOT(ISERROR(SEARCH("E",A1)))</formula>
    </cfRule>
  </conditionalFormatting>
  <conditionalFormatting sqref="AD1">
    <cfRule type="containsText" dxfId="13" priority="6" operator="containsText" text="E">
      <formula>NOT(ISERROR(SEARCH("E",AD1)))</formula>
    </cfRule>
  </conditionalFormatting>
  <conditionalFormatting sqref="AE1">
    <cfRule type="containsText" dxfId="12" priority="7" operator="containsText" text="E">
      <formula>NOT(ISERROR(SEARCH("E",AE1)))</formula>
    </cfRule>
  </conditionalFormatting>
  <conditionalFormatting sqref="AH1:AO1">
    <cfRule type="containsText" dxfId="11" priority="1" operator="containsText" text="E">
      <formula>NOT(ISERROR(SEARCH("E",AH1)))</formula>
    </cfRule>
  </conditionalFormatting>
  <conditionalFormatting sqref="AQ1:AR1">
    <cfRule type="containsText" dxfId="10" priority="8" operator="containsText" text="E">
      <formula>NOT(ISERROR(SEARCH("E",AQ1)))</formula>
    </cfRule>
  </conditionalFormatting>
  <pageMargins left="0.7" right="0.7" top="0.75" bottom="0.83333333333333337" header="0" footer="0"/>
  <pageSetup paperSize="9" orientation="portrait" r:id="rId1"/>
  <headerFooter>
    <oddFooter>&amp;L 
Etsivä org
Etsivätie 1
01000, E-kunta&amp;C&amp;G&amp;R&amp;P/&amp;N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rgb="FFFFC000"/>
  </sheetPr>
  <dimension ref="A1:AO4"/>
  <sheetViews>
    <sheetView zoomScale="70" zoomScaleNormal="70" workbookViewId="0">
      <pane xSplit="3" ySplit="2" topLeftCell="U3" activePane="bottomRight" state="frozen"/>
      <selection activeCell="A3" sqref="A3"/>
      <selection pane="topRight" activeCell="A3" sqref="A3"/>
      <selection pane="bottomLeft" activeCell="A3" sqref="A3"/>
      <selection pane="bottomRight" activeCell="AN3" sqref="AN3"/>
    </sheetView>
  </sheetViews>
  <sheetFormatPr defaultColWidth="9.140625" defaultRowHeight="15" x14ac:dyDescent="0.25"/>
  <cols>
    <col min="1" max="1" width="11.140625" style="3" customWidth="1"/>
    <col min="2" max="2" width="15.140625" style="3" customWidth="1"/>
    <col min="3" max="3" width="16.28515625" style="3" bestFit="1" customWidth="1"/>
    <col min="4" max="4" width="53.140625" style="3" customWidth="1"/>
    <col min="5" max="5" width="9.28515625" style="3" customWidth="1"/>
    <col min="6" max="6" width="8.5703125" style="3" customWidth="1"/>
    <col min="7" max="7" width="16.140625" style="20" customWidth="1"/>
    <col min="8" max="8" width="22.85546875" style="3" customWidth="1"/>
    <col min="9" max="10" width="16.28515625" style="3" customWidth="1"/>
    <col min="11" max="11" width="44.140625" customWidth="1"/>
    <col min="12" max="12" width="36.85546875" style="3" customWidth="1"/>
    <col min="13" max="14" width="27" style="394" customWidth="1"/>
    <col min="15" max="15" width="18" style="3" customWidth="1"/>
    <col min="16" max="16" width="11.140625" style="3" bestFit="1" customWidth="1"/>
    <col min="17" max="17" width="12.140625" style="3" customWidth="1"/>
    <col min="18" max="18" width="11.140625" style="3" customWidth="1"/>
    <col min="19" max="19" width="29.42578125" style="19" bestFit="1" customWidth="1"/>
    <col min="20" max="20" width="13.7109375" style="19" customWidth="1"/>
    <col min="21" max="21" width="82" style="3" bestFit="1" customWidth="1"/>
    <col min="22" max="22" width="24.28515625" style="3" bestFit="1" customWidth="1"/>
    <col min="23" max="23" width="9.140625" style="3"/>
    <col min="24" max="24" width="31.7109375" style="3" bestFit="1" customWidth="1"/>
    <col min="25" max="31" width="9.140625" style="3"/>
    <col min="32" max="32" width="30.7109375" style="3" customWidth="1"/>
    <col min="33" max="35" width="9.140625" style="3"/>
    <col min="39" max="39" width="17.5703125" style="20" customWidth="1"/>
    <col min="40" max="40" width="12.85546875" bestFit="1" customWidth="1"/>
    <col min="41" max="41" width="9.140625" style="773"/>
    <col min="42" max="16384" width="9.140625" style="3"/>
  </cols>
  <sheetData>
    <row r="1" spans="1:41" x14ac:dyDescent="0.25">
      <c r="A1" s="3" t="s">
        <v>408</v>
      </c>
      <c r="B1" s="3" t="s">
        <v>408</v>
      </c>
      <c r="C1" s="3" t="s">
        <v>408</v>
      </c>
      <c r="D1" s="3" t="s">
        <v>408</v>
      </c>
      <c r="E1" s="3" t="s">
        <v>408</v>
      </c>
      <c r="F1" s="753"/>
      <c r="G1" s="20" t="s">
        <v>408</v>
      </c>
      <c r="H1" s="3" t="s">
        <v>408</v>
      </c>
      <c r="I1" s="753"/>
      <c r="J1" s="753"/>
      <c r="L1" s="133" t="s">
        <v>268</v>
      </c>
      <c r="M1" s="394" t="s">
        <v>408</v>
      </c>
      <c r="N1"/>
      <c r="O1" s="329">
        <v>1</v>
      </c>
      <c r="P1" s="193">
        <f>Asiakastilastot!$A$2</f>
        <v>45658</v>
      </c>
      <c r="Q1" s="193">
        <f>Asiakastilastot!$A$3</f>
        <v>45777</v>
      </c>
      <c r="R1" s="302">
        <f>P1-365</f>
        <v>45293</v>
      </c>
      <c r="S1" s="302">
        <f>P1-1</f>
        <v>45657</v>
      </c>
      <c r="T1" s="18"/>
      <c r="U1" s="357" t="s">
        <v>281</v>
      </c>
      <c r="V1" s="354" t="s">
        <v>747</v>
      </c>
      <c r="W1" s="355" t="s">
        <v>749</v>
      </c>
      <c r="X1" s="355" t="s">
        <v>750</v>
      </c>
      <c r="Y1" s="356" t="s">
        <v>310</v>
      </c>
      <c r="Z1" s="356" t="s">
        <v>297</v>
      </c>
      <c r="AB1" s="6" t="s">
        <v>606</v>
      </c>
      <c r="AC1" s="6"/>
      <c r="AD1" s="2"/>
      <c r="AG1" s="2" t="s">
        <v>767</v>
      </c>
      <c r="AI1" s="2"/>
      <c r="AM1" s="433"/>
    </row>
    <row r="2" spans="1:41" x14ac:dyDescent="0.25">
      <c r="A2" s="133" t="s">
        <v>257</v>
      </c>
      <c r="B2" s="133" t="s">
        <v>258</v>
      </c>
      <c r="C2" s="133" t="s">
        <v>259</v>
      </c>
      <c r="D2" s="133" t="s">
        <v>260</v>
      </c>
      <c r="E2" s="133" t="s">
        <v>261</v>
      </c>
      <c r="F2" s="731" t="s">
        <v>497</v>
      </c>
      <c r="G2" s="409" t="s">
        <v>263</v>
      </c>
      <c r="H2" s="133" t="s">
        <v>264</v>
      </c>
      <c r="I2" s="747" t="s">
        <v>1589</v>
      </c>
      <c r="J2" s="747" t="s">
        <v>1588</v>
      </c>
      <c r="L2" s="753" t="s">
        <v>1587</v>
      </c>
      <c r="M2" s="411" t="s">
        <v>269</v>
      </c>
      <c r="N2" s="411" t="s">
        <v>270</v>
      </c>
      <c r="O2" s="133" t="s">
        <v>603</v>
      </c>
      <c r="P2" s="130" t="s">
        <v>589</v>
      </c>
      <c r="Q2" s="130" t="s">
        <v>618</v>
      </c>
      <c r="R2" s="130" t="s">
        <v>941</v>
      </c>
      <c r="S2" s="134" t="s">
        <v>592</v>
      </c>
      <c r="T2" s="134" t="s">
        <v>617</v>
      </c>
      <c r="U2" s="358" t="s">
        <v>751</v>
      </c>
      <c r="V2" s="130" t="s">
        <v>590</v>
      </c>
      <c r="W2" s="130" t="s">
        <v>591</v>
      </c>
      <c r="X2" s="6" t="s">
        <v>594</v>
      </c>
      <c r="Y2" s="6" t="s">
        <v>602</v>
      </c>
      <c r="Z2" s="6" t="s">
        <v>604</v>
      </c>
      <c r="AA2" s="6" t="s">
        <v>605</v>
      </c>
      <c r="AB2" s="142">
        <v>0</v>
      </c>
      <c r="AC2" s="142">
        <v>0</v>
      </c>
      <c r="AD2" s="2" t="s">
        <v>782</v>
      </c>
      <c r="AE2" s="142">
        <v>0</v>
      </c>
      <c r="AF2" s="142" t="s">
        <v>716</v>
      </c>
      <c r="AG2" s="2" t="s">
        <v>766</v>
      </c>
      <c r="AH2" s="3" t="s">
        <v>805</v>
      </c>
      <c r="AI2" s="2" t="s">
        <v>784</v>
      </c>
      <c r="AJ2" t="s">
        <v>834</v>
      </c>
      <c r="AK2" t="s">
        <v>835</v>
      </c>
      <c r="AL2" s="389" t="s">
        <v>836</v>
      </c>
      <c r="AM2" s="433" t="s">
        <v>940</v>
      </c>
      <c r="AN2" t="s">
        <v>1157</v>
      </c>
      <c r="AO2" s="773" t="s">
        <v>1470</v>
      </c>
    </row>
    <row r="3" spans="1:41" x14ac:dyDescent="0.25">
      <c r="A3" t="str">
        <f>IF(Data_Toimenpiteet!A2="0","",IF(Data_Toimenpiteet!A2="","",Data_Toimenpiteet!A2))</f>
        <v/>
      </c>
      <c r="B3" t="str">
        <f>IF(Data_Toimenpiteet!B2="0","",IF(Data_Toimenpiteet!B2="","",Data_Toimenpiteet!B2))</f>
        <v/>
      </c>
      <c r="C3" t="str">
        <f>IF(Data_Toimenpiteet!C2="0","",IF(Data_Toimenpiteet!C2="","",Data_Toimenpiteet!C2))</f>
        <v/>
      </c>
      <c r="D3" t="str">
        <f>IF(Data_Toimenpiteet!D2="0","",IF(Data_Toimenpiteet!D2="","",Data_Toimenpiteet!D2))</f>
        <v/>
      </c>
      <c r="E3" t="str">
        <f>IF(Data_Toimenpiteet!E2="0","",IF(Data_Toimenpiteet!E2="","",Data_Toimenpiteet!E2))</f>
        <v/>
      </c>
      <c r="F3" t="str">
        <f>INDEX(AS!AG:AG,MATCH(C3,AS!A:A,0))</f>
        <v>EI</v>
      </c>
      <c r="G3" s="20" t="str">
        <f>IFERROR(VALUE(IF(Data_Toimenpiteet!G2="0","",IF(Data_Toimenpiteet!G2="","",Data_Toimenpiteet!G2))),"")</f>
        <v/>
      </c>
      <c r="H3" s="20" t="str">
        <f>IFERROR(VALUE(IF(Data_Toimenpiteet!H2="0","",IF(Data_Toimenpiteet!H2="","",Data_Toimenpiteet!H2))),"")</f>
        <v/>
      </c>
      <c r="I3" t="str">
        <f>IF(COUNTIFS(JA!$W:$W,C3&amp;"OK",JA!$N:$N,Parkki!$X$29)&gt;0,"OK","EI")</f>
        <v>EI</v>
      </c>
      <c r="J3" t="str">
        <f>IF(COUNTIFS(JA!$W:$W,C3&amp;"OK",JA!$L:$L,Parkki!$X$30)&gt;0,"OK","EI")</f>
        <v>EI</v>
      </c>
      <c r="K3" t="str">
        <f>IF(Data_Toimenpiteet!K2="0","",IF(Data_Toimenpiteet!K2="","",Data_Toimenpiteet!K2))</f>
        <v/>
      </c>
      <c r="L3" t="str">
        <f>INDEX(AS!K:K,MATCH(C3,AS!A:A,0))</f>
        <v>tyhja</v>
      </c>
      <c r="M3" s="394" t="str">
        <f>IFERROR(VALUE(IF(Data_Toimenpiteet!M2="0","",IF(Data_Toimenpiteet!M2="","",Data_Toimenpiteet!M2))),"")</f>
        <v/>
      </c>
      <c r="N3" s="394" t="str">
        <f>IFERROR(VALUE(IF(Data_Toimenpiteet!N2="0","",IF(Data_Toimenpiteet!N2="","",Data_Toimenpiteet!N2))),"")</f>
        <v/>
      </c>
      <c r="O3" t="str">
        <f>IF(Data_Toimenpiteet!O2="0","",IF(Data_Toimenpiteet!O2="","",Data_Toimenpiteet!O2))</f>
        <v/>
      </c>
      <c r="P3">
        <f>$O$1</f>
        <v>1</v>
      </c>
      <c r="Q3" t="str">
        <f>IFERROR(IF(S3&gt;=$P$1,IF(S3&lt;=$Q$1,"OK","EI"),"EI"),"")</f>
        <v>EI</v>
      </c>
      <c r="R3" s="15" t="str">
        <f>IF(S3&lt;=$Q$1,IF(T3&gt;=$P$1,"OK","EI"),"EI")</f>
        <v>EI</v>
      </c>
      <c r="S3" s="19" t="str">
        <f>IFERROR(IF(G3="",VALUE($M3),VALUE(G3)),"")</f>
        <v/>
      </c>
      <c r="T3" s="19" t="str">
        <f>IF(H3="",S3,H3)</f>
        <v/>
      </c>
      <c r="U3" t="str">
        <f>IF(LEFT(D3,5)="Combo",D3,IF(D3="","",IF(D3=$V$1,$V$1,IF(D3=$W$1,$Y$1,IF(D3=$X$1,$Z$1,$U$1)))))</f>
        <v/>
      </c>
      <c r="V3" t="str">
        <f>INDEX(AS!I:I,MATCH(C3,AS!A:A,0))</f>
        <v>OptionButton_EtMies</v>
      </c>
      <c r="W3" t="str">
        <f>INDEX(AS!AH:AH,MATCH(C3,AS!A:A,0))</f>
        <v>nuori</v>
      </c>
      <c r="X3" t="str">
        <f>INDEX(AS!AV:AV,MATCH(C3,AS!A:A,0))</f>
        <v>ComboBox_EtStatus#tavoitettu</v>
      </c>
      <c r="Y3">
        <f>COUNTIF($C$2:C3,C3)</f>
        <v>1</v>
      </c>
      <c r="Z3" t="str">
        <f>IF(IF(Data_Toimenpiteet!J2="0","",IF(Data_Toimenpiteet!J2="","",Data_Toimenpiteet!J2))="-1",1,"")</f>
        <v/>
      </c>
      <c r="AA3" t="str">
        <f>IF(IF(Data_Toimenpiteet!I2="0","",IF(Data_Toimenpiteet!I2="","",Data_Toimenpiteet!I2))="-1",1,"")</f>
        <v/>
      </c>
      <c r="AB3">
        <f>IF(C2=C3,AB2,AB2+1)</f>
        <v>1</v>
      </c>
      <c r="AC3">
        <f>IF(Q3="OK",IF(C2=C3,AC2,AC2+1),AC2)</f>
        <v>0</v>
      </c>
      <c r="AD3" t="str">
        <f>INDEX(AS!AB:AB,MATCH(C3,AS!A:A,0))</f>
        <v>EI</v>
      </c>
      <c r="AE3">
        <f>IF(AD3="OK",IF(C2=C3,AE2,AE2+1),AE2)</f>
        <v>0</v>
      </c>
      <c r="AF3" t="str">
        <f>INDEX(AS!AW:AW,MATCH(C3,AS!A:A,0))</f>
        <v>tyhja</v>
      </c>
      <c r="AG3" t="str">
        <f ca="1">INDEX(AS!X:X,MATCH(C3,AS!A:A,0))</f>
        <v>EI</v>
      </c>
      <c r="AH3" t="str">
        <f>INDEX(AS!AG:AG,MATCH(C3,AS!A:A,0))</f>
        <v>EI</v>
      </c>
      <c r="AI3" t="str">
        <f>INDEX(AS!$BO:$BO,MATCH(C3,AS!$A:$A,0))</f>
        <v>EI</v>
      </c>
      <c r="AJ3" t="str">
        <f>R3&amp;C3&amp;U3</f>
        <v>EI</v>
      </c>
      <c r="AK3">
        <f>IF(R3="OK",COUNTIFS(C:C,C3,R:R,"OK",U:U,U3),0)</f>
        <v>0</v>
      </c>
      <c r="AL3" t="str">
        <f>TEXT(IF(AK3&gt;1,COUNTIF($AJ$2:AJ3,"OK"&amp;C3&amp;U3),AK3),"@")</f>
        <v>0</v>
      </c>
      <c r="AM3" s="20" t="str">
        <f>INDEX(AS!Q:Q,MATCH(C3,AS!A:A,0))</f>
        <v/>
      </c>
      <c r="AN3" t="str">
        <f>INDEX(AS!O:O,MATCH(C3,AS!A:A,0))</f>
        <v/>
      </c>
      <c r="AO3" s="773" t="str">
        <f>INDEX(AS!K:K,MATCH(C3,AS!A:A,0))</f>
        <v>tyhja</v>
      </c>
    </row>
    <row r="4" spans="1:41" x14ac:dyDescent="0.25">
      <c r="A4" t="str">
        <f>IF(Data_Toimenpiteet!A3="0","",IF(Data_Toimenpiteet!A3="","",Data_Toimenpiteet!A3))</f>
        <v/>
      </c>
      <c r="B4" t="str">
        <f>IF(Data_Toimenpiteet!B3="0","",IF(Data_Toimenpiteet!B3="","",Data_Toimenpiteet!B3))</f>
        <v/>
      </c>
      <c r="C4" t="str">
        <f>IF(Data_Toimenpiteet!C3="0","",IF(Data_Toimenpiteet!C3="","",Data_Toimenpiteet!C3))</f>
        <v/>
      </c>
      <c r="D4" t="str">
        <f>IF(Data_Toimenpiteet!D3="0","",IF(Data_Toimenpiteet!D3="","",Data_Toimenpiteet!D3))</f>
        <v/>
      </c>
      <c r="E4" t="str">
        <f>IF(Data_Toimenpiteet!E3="0","",IF(Data_Toimenpiteet!E3="","",Data_Toimenpiteet!E3))</f>
        <v/>
      </c>
      <c r="F4" t="str">
        <f>INDEX(AS!AG:AG,MATCH(C4,AS!A:A,0))</f>
        <v>EI</v>
      </c>
      <c r="G4" s="20" t="str">
        <f>IFERROR(VALUE(IF(Data_Toimenpiteet!G3="0","",IF(Data_Toimenpiteet!G3="","",Data_Toimenpiteet!G3))),"")</f>
        <v/>
      </c>
      <c r="H4" s="20" t="str">
        <f>IFERROR(VALUE(IF(Data_Toimenpiteet!H3="0","",IF(Data_Toimenpiteet!H3="","",Data_Toimenpiteet!H3))),"")</f>
        <v/>
      </c>
      <c r="I4" t="str">
        <f>IF(COUNTIFS(JA!$W:$W,C4&amp;"OK",JA!$N:$N,Parkki!$X$29)&gt;0,"OK","EI")</f>
        <v>EI</v>
      </c>
      <c r="J4" t="str">
        <f>IF(COUNTIFS(JA!$W:$W,C4&amp;"OK",JA!$L:$L,Parkki!$X$30)&gt;0,"OK","EI")</f>
        <v>EI</v>
      </c>
      <c r="K4" t="str">
        <f>IF(Data_Toimenpiteet!K3="0","",IF(Data_Toimenpiteet!K3="","",Data_Toimenpiteet!K3))</f>
        <v/>
      </c>
      <c r="L4" t="str">
        <f>INDEX(AS!K:K,MATCH(C4,AS!A:A,0))</f>
        <v>tyhja</v>
      </c>
      <c r="M4" s="394" t="str">
        <f>IFERROR(VALUE(IF(Data_Toimenpiteet!M3="0","",IF(Data_Toimenpiteet!M3="","",Data_Toimenpiteet!M3))),"")</f>
        <v/>
      </c>
      <c r="N4" s="394" t="str">
        <f>IFERROR(VALUE(IF(Data_Toimenpiteet!N3="0","",IF(Data_Toimenpiteet!N3="","",Data_Toimenpiteet!N3))),"")</f>
        <v/>
      </c>
      <c r="O4" t="str">
        <f>IF(Data_Toimenpiteet!O3="0","",IF(Data_Toimenpiteet!O3="","",Data_Toimenpiteet!O3))</f>
        <v/>
      </c>
      <c r="P4">
        <f t="shared" ref="P4" si="0">$O$1</f>
        <v>1</v>
      </c>
      <c r="Q4" t="str">
        <f t="shared" ref="Q4" si="1">IFERROR(IF(S4&gt;=$P$1,IF(S4&lt;=$Q$1,"OK","EI"),"EI"),"")</f>
        <v>EI</v>
      </c>
      <c r="R4" s="15" t="str">
        <f t="shared" ref="R4" si="2">IF(S4&lt;=$Q$1,IF(T4&gt;=$P$1,"OK","EI"),"EI")</f>
        <v>EI</v>
      </c>
      <c r="S4" s="19" t="str">
        <f t="shared" ref="S4" si="3">IFERROR(IF(G4="",VALUE($M4),VALUE(G4)),"")</f>
        <v/>
      </c>
      <c r="T4" s="19" t="str">
        <f t="shared" ref="T4" si="4">IF(H4="",S4,H4)</f>
        <v/>
      </c>
      <c r="U4" t="str">
        <f t="shared" ref="U4" si="5">IF(LEFT(D4,5)="Combo",D4,IF(D4="","",IF(D4=$V$1,$V$1,IF(D4=$W$1,$Y$1,IF(D4=$X$1,$Z$1,$U$1)))))</f>
        <v/>
      </c>
      <c r="V4" t="str">
        <f>INDEX(AS!I:I,MATCH(C4,AS!A:A,0))</f>
        <v>OptionButton_EtMies</v>
      </c>
      <c r="W4" t="str">
        <f>INDEX(AS!AH:AH,MATCH(C4,AS!A:A,0))</f>
        <v>nuori</v>
      </c>
      <c r="X4" t="str">
        <f>INDEX(AS!AV:AV,MATCH(C4,AS!A:A,0))</f>
        <v>ComboBox_EtStatus#tavoitettu</v>
      </c>
      <c r="Y4">
        <f>COUNTIF($C$2:C4,C4)</f>
        <v>2</v>
      </c>
      <c r="Z4" t="str">
        <f>IF(IF(Data_Toimenpiteet!J3="0","",IF(Data_Toimenpiteet!J3="","",Data_Toimenpiteet!J3))="-1",1,"")</f>
        <v/>
      </c>
      <c r="AA4" t="str">
        <f>IF(IF(Data_Toimenpiteet!I3="0","",IF(Data_Toimenpiteet!I3="","",Data_Toimenpiteet!I3))="-1",1,"")</f>
        <v/>
      </c>
      <c r="AB4">
        <f t="shared" ref="AB4" si="6">IF(C3=C4,AB3,AB3+1)</f>
        <v>1</v>
      </c>
      <c r="AC4">
        <f t="shared" ref="AC4" si="7">IF(Q4="OK",IF(C3=C4,AC3,AC3+1),AC3)</f>
        <v>0</v>
      </c>
      <c r="AD4" t="str">
        <f>INDEX(AS!AB:AB,MATCH(C4,AS!A:A,0))</f>
        <v>EI</v>
      </c>
      <c r="AE4">
        <f t="shared" ref="AE4" si="8">IF(AD4="OK",IF(C3=C4,AE3,AE3+1),AE3)</f>
        <v>0</v>
      </c>
      <c r="AF4" t="str">
        <f>INDEX(AS!AW:AW,MATCH(C4,AS!A:A,0))</f>
        <v>tyhja</v>
      </c>
      <c r="AG4" t="str">
        <f ca="1">INDEX(AS!X:X,MATCH(C4,AS!A:A,0))</f>
        <v>EI</v>
      </c>
      <c r="AH4" t="str">
        <f>INDEX(AS!AG:AG,MATCH(C4,AS!A:A,0))</f>
        <v>EI</v>
      </c>
      <c r="AI4" t="str">
        <f>INDEX(AS!$BO:$BO,MATCH(C4,AS!$A:$A,0))</f>
        <v>EI</v>
      </c>
      <c r="AJ4" t="str">
        <f t="shared" ref="AJ4" si="9">R4&amp;C4&amp;U4</f>
        <v>EI</v>
      </c>
      <c r="AK4">
        <f t="shared" ref="AK4" si="10">IF(R4="OK",COUNTIFS(C:C,C4,R:R,"OK",U:U,U4),0)</f>
        <v>0</v>
      </c>
      <c r="AL4" t="str">
        <f>TEXT(IF(AK4&gt;1,COUNTIF($AJ$2:AJ4,"OK"&amp;C4&amp;U4),AK4),"@")</f>
        <v>0</v>
      </c>
      <c r="AM4" s="20" t="str">
        <f>INDEX(AS!Q:Q,MATCH(C4,AS!A:A,0))</f>
        <v/>
      </c>
      <c r="AN4" t="str">
        <f>INDEX(AS!O:O,MATCH(C4,AS!A:A,0))</f>
        <v/>
      </c>
      <c r="AO4" s="773" t="str">
        <f>INDEX(AS!K:K,MATCH(C4,AS!A:A,0))</f>
        <v>tyhja</v>
      </c>
    </row>
  </sheetData>
  <autoFilter ref="A2:AN274" xr:uid="{F6CBFE2F-0501-4077-A0C8-7E35BB242313}"/>
  <dataConsolidate link="1"/>
  <conditionalFormatting sqref="A1:J1 L1:O1">
    <cfRule type="containsText" dxfId="9" priority="1" operator="containsText" text="E">
      <formula>NOT(ISERROR(SEARCH("E",A1)))</formula>
    </cfRule>
  </conditionalFormatting>
  <pageMargins left="0.7" right="0.7" top="0.75" bottom="0.83333333333333337" header="0" footer="0"/>
  <pageSetup paperSize="9" orientation="portrait" r:id="rId1"/>
  <headerFooter>
    <oddFooter>&amp;L 
Etsivä org
Etsivätie 1
01000, E-kunta&amp;C&amp;G&amp;R&amp;P/&amp;N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ul11">
    <tabColor rgb="FFFFC000"/>
  </sheetPr>
  <dimension ref="A1:AT4"/>
  <sheetViews>
    <sheetView zoomScale="85" zoomScaleNormal="85" workbookViewId="0">
      <pane xSplit="3" ySplit="2" topLeftCell="D3" activePane="bottomRight" state="frozen"/>
      <selection activeCell="A3" sqref="A3"/>
      <selection pane="topRight" activeCell="A3" sqref="A3"/>
      <selection pane="bottomLeft" activeCell="A3" sqref="A3"/>
      <selection pane="bottomRight" activeCell="A3" sqref="A3"/>
    </sheetView>
  </sheetViews>
  <sheetFormatPr defaultColWidth="9.140625" defaultRowHeight="15" x14ac:dyDescent="0.25"/>
  <cols>
    <col min="1" max="1" width="11.42578125" style="3" customWidth="1"/>
    <col min="2" max="2" width="19.7109375" style="3" customWidth="1"/>
    <col min="3" max="3" width="16.85546875" style="3" customWidth="1"/>
    <col min="4" max="4" width="24.7109375" style="3" customWidth="1"/>
    <col min="5" max="5" width="46.85546875" style="3" customWidth="1"/>
    <col min="6" max="7" width="10.42578125" style="3" customWidth="1"/>
    <col min="8" max="10" width="40.42578125" style="3" customWidth="1"/>
    <col min="11" max="12" width="22.140625" style="394" customWidth="1"/>
    <col min="13" max="14" width="24.5703125" style="394" customWidth="1"/>
    <col min="15" max="15" width="7.140625" style="3" customWidth="1"/>
    <col min="16" max="19" width="11" style="3" customWidth="1"/>
    <col min="20" max="20" width="8.28515625" style="3" customWidth="1"/>
    <col min="21" max="21" width="17.42578125" style="3" customWidth="1"/>
    <col min="22" max="25" width="5.7109375" style="3" customWidth="1"/>
    <col min="26" max="35" width="20" style="735" customWidth="1"/>
    <col min="36" max="40" width="6.140625" style="3" customWidth="1"/>
    <col min="41" max="42" width="14.42578125" style="3" customWidth="1"/>
    <col min="43" max="43" width="5.7109375" style="3" customWidth="1"/>
    <col min="44" max="45" width="9.140625" style="3"/>
    <col min="46" max="46" width="5.7109375" style="3" customWidth="1"/>
    <col min="47" max="16384" width="9.140625" style="3"/>
  </cols>
  <sheetData>
    <row r="1" spans="1:46" customFormat="1" x14ac:dyDescent="0.25">
      <c r="A1" s="14" t="s">
        <v>408</v>
      </c>
      <c r="B1" s="14" t="s">
        <v>408</v>
      </c>
      <c r="C1" s="14" t="s">
        <v>559</v>
      </c>
      <c r="D1" s="729" t="s">
        <v>1509</v>
      </c>
      <c r="E1" s="14" t="s">
        <v>408</v>
      </c>
      <c r="F1" s="133" t="s">
        <v>337</v>
      </c>
      <c r="G1" s="133" t="s">
        <v>338</v>
      </c>
      <c r="H1" s="14" t="s">
        <v>408</v>
      </c>
      <c r="I1" s="14" t="s">
        <v>408</v>
      </c>
      <c r="J1" s="14" t="s">
        <v>408</v>
      </c>
      <c r="K1" s="12" t="s">
        <v>342</v>
      </c>
      <c r="L1" s="12" t="s">
        <v>343</v>
      </c>
      <c r="M1" s="414" t="s">
        <v>408</v>
      </c>
      <c r="N1" s="414" t="s">
        <v>408</v>
      </c>
      <c r="O1" s="25">
        <v>1</v>
      </c>
      <c r="P1" s="193">
        <f>Asiakastilastot!$A$2</f>
        <v>45658</v>
      </c>
      <c r="Q1" s="193">
        <f>Asiakastilastot!$A$3</f>
        <v>45777</v>
      </c>
      <c r="R1" s="302">
        <f>P1-365</f>
        <v>45293</v>
      </c>
      <c r="S1" s="302">
        <f>Q1-365</f>
        <v>45412</v>
      </c>
      <c r="U1" s="3"/>
      <c r="V1" s="3"/>
      <c r="W1" s="3"/>
      <c r="X1" s="3"/>
      <c r="Y1" s="3"/>
      <c r="Z1" s="733" t="s">
        <v>405</v>
      </c>
      <c r="AA1" s="734" t="s">
        <v>399</v>
      </c>
      <c r="AB1" s="733" t="s">
        <v>391</v>
      </c>
      <c r="AC1" s="733" t="s">
        <v>392</v>
      </c>
      <c r="AD1" s="733" t="s">
        <v>396</v>
      </c>
      <c r="AE1" s="733" t="s">
        <v>405</v>
      </c>
      <c r="AF1" s="734" t="s">
        <v>399</v>
      </c>
      <c r="AG1" s="733" t="s">
        <v>391</v>
      </c>
      <c r="AH1" s="733" t="s">
        <v>392</v>
      </c>
      <c r="AI1" s="733" t="s">
        <v>396</v>
      </c>
      <c r="AJ1" s="46">
        <f ca="1">SUMIF(AK:AK,1)</f>
        <v>0</v>
      </c>
      <c r="AK1" s="46">
        <f ca="1">SUMIF(AL:AL,1)</f>
        <v>0</v>
      </c>
      <c r="AL1" s="46">
        <f ca="1">SUMIF(AM:AM,1)</f>
        <v>0</v>
      </c>
      <c r="AM1" s="46">
        <f ca="1">SUMIF(AN:AN,1)</f>
        <v>0</v>
      </c>
      <c r="AN1" s="45"/>
      <c r="AO1" s="4" t="s">
        <v>335</v>
      </c>
      <c r="AP1" s="9"/>
      <c r="AQ1" s="9"/>
      <c r="AR1" s="8"/>
      <c r="AS1" s="8"/>
      <c r="AT1" s="8"/>
    </row>
    <row r="2" spans="1:46" s="12" customFormat="1" x14ac:dyDescent="0.25">
      <c r="A2" s="133" t="s">
        <v>332</v>
      </c>
      <c r="B2" s="133" t="s">
        <v>333</v>
      </c>
      <c r="C2" s="133" t="s">
        <v>334</v>
      </c>
      <c r="D2" s="133" t="s">
        <v>335</v>
      </c>
      <c r="E2" s="133" t="s">
        <v>336</v>
      </c>
      <c r="F2" s="731" t="s">
        <v>1512</v>
      </c>
      <c r="G2" s="732" t="s">
        <v>1513</v>
      </c>
      <c r="H2" s="133" t="s">
        <v>339</v>
      </c>
      <c r="I2" s="133" t="s">
        <v>340</v>
      </c>
      <c r="J2" s="133" t="s">
        <v>341</v>
      </c>
      <c r="K2" s="724" t="s">
        <v>1510</v>
      </c>
      <c r="L2" s="415" t="s">
        <v>1511</v>
      </c>
      <c r="M2" s="411" t="s">
        <v>344</v>
      </c>
      <c r="N2" s="411" t="s">
        <v>345</v>
      </c>
      <c r="O2" s="130" t="s">
        <v>481</v>
      </c>
      <c r="P2" s="130" t="s">
        <v>551</v>
      </c>
      <c r="Q2" s="130" t="s">
        <v>549</v>
      </c>
      <c r="R2" s="130" t="s">
        <v>550</v>
      </c>
      <c r="S2" s="130" t="s">
        <v>552</v>
      </c>
      <c r="T2" s="130" t="s">
        <v>553</v>
      </c>
      <c r="U2" s="142" t="s">
        <v>1600</v>
      </c>
      <c r="V2" s="133" t="s">
        <v>337</v>
      </c>
      <c r="W2" s="738" t="s">
        <v>338</v>
      </c>
      <c r="X2" s="133" t="s">
        <v>342</v>
      </c>
      <c r="Y2" s="133" t="s">
        <v>343</v>
      </c>
      <c r="Z2" s="727" t="s">
        <v>562</v>
      </c>
      <c r="AA2" s="727" t="s">
        <v>563</v>
      </c>
      <c r="AB2" s="727" t="s">
        <v>560</v>
      </c>
      <c r="AC2" s="727" t="s">
        <v>389</v>
      </c>
      <c r="AD2" s="727" t="s">
        <v>561</v>
      </c>
      <c r="AE2" s="736" t="s">
        <v>1514</v>
      </c>
      <c r="AF2" s="736" t="s">
        <v>1515</v>
      </c>
      <c r="AG2" s="736" t="s">
        <v>1516</v>
      </c>
      <c r="AH2" s="736" t="s">
        <v>1517</v>
      </c>
      <c r="AI2" s="736" t="s">
        <v>1518</v>
      </c>
      <c r="AJ2" s="130" t="s">
        <v>562</v>
      </c>
      <c r="AK2" s="130" t="s">
        <v>563</v>
      </c>
      <c r="AL2" s="130" t="s">
        <v>560</v>
      </c>
      <c r="AM2" s="130" t="s">
        <v>389</v>
      </c>
      <c r="AN2" s="130" t="s">
        <v>561</v>
      </c>
      <c r="AO2" s="132" t="s">
        <v>554</v>
      </c>
      <c r="AP2" s="132" t="s">
        <v>555</v>
      </c>
      <c r="AQ2" s="132" t="s">
        <v>556</v>
      </c>
      <c r="AR2" s="132" t="s">
        <v>557</v>
      </c>
      <c r="AS2" s="132" t="s">
        <v>558</v>
      </c>
      <c r="AT2" s="132" t="s">
        <v>556</v>
      </c>
    </row>
    <row r="3" spans="1:46" x14ac:dyDescent="0.25">
      <c r="A3" t="str">
        <f>IF(Data_Tilanne!A2="0","",IF(Data_Tilanne!A2="","",Data_Tilanne!A2))</f>
        <v/>
      </c>
      <c r="B3" t="str">
        <f>IF(Data_Tilanne!B2="0","",IF(Data_Tilanne!B2="","",Data_Tilanne!B2))</f>
        <v/>
      </c>
      <c r="C3" t="str">
        <f>IF(Data_Tilanne!C2="0","",IF(Data_Tilanne!C2="","",Data_Tilanne!C2))</f>
        <v/>
      </c>
      <c r="D3" s="728" t="str">
        <f>IF(Data_Tilanne!$C1&lt;&gt;Data_Tilanne!$C2,IF(Data_Tilanne!D2="","",Data_Tilanne!D2),IF(Data_Tilanne!D2="",IF(D2="","",D2),Data_Tilanne!D2))</f>
        <v/>
      </c>
      <c r="E3" s="728" t="str">
        <f>IF(Data_Tilanne!$C1&lt;&gt;Data_Tilanne!$C2,IF(Data_Tilanne!E2="","",Data_Tilanne!E2),IF(Data_Tilanne!E2="",IF(E2="","",E2),Data_Tilanne!E2))</f>
        <v/>
      </c>
      <c r="F3" s="730" t="e">
        <f>IF(_xlfn.DAYS($P$1,K3)&lt;0,_xlfn.DAYS($P$1,K3)*-1,_xlfn.DAYS($P$1,K3))</f>
        <v>#VALUE!</v>
      </c>
      <c r="G3" t="str">
        <f ca="1">IFERROR(MIN(INDIRECT("F"&amp;S3&amp;":F"&amp;T3)),"")</f>
        <v/>
      </c>
      <c r="H3" s="728" t="str">
        <f>IF(Data_Tilanne!$C1&lt;&gt;Data_Tilanne!$C2,IF(Data_Tilanne!H2="","",Data_Tilanne!H2),IF(Data_Tilanne!H2="",IF(H2="","",H2),Data_Tilanne!H2))</f>
        <v/>
      </c>
      <c r="I3" s="728" t="str">
        <f>IF(Data_Tilanne!$C1&lt;&gt;Data_Tilanne!$C2,IF(Data_Tilanne!I2="","",Data_Tilanne!I2),IF(Data_Tilanne!I2="",IF(I2="","",I2),Data_Tilanne!I2))</f>
        <v/>
      </c>
      <c r="J3" s="728" t="str">
        <f>IF(Data_Tilanne!$C1&lt;&gt;Data_Tilanne!$C2,IF(Data_Tilanne!J2="","",Data_Tilanne!J2),IF(Data_Tilanne!J2="",IF(J2="","",J2),Data_Tilanne!J2))</f>
        <v/>
      </c>
      <c r="K3" s="394" t="str">
        <f>IF(L3="",M3,L3)</f>
        <v/>
      </c>
      <c r="L3" s="394" t="str">
        <f>IFERROR(VALUE(IF(Data_Tilanne!O2="0","",IF(Data_Tilanne!O2="","",Data_Tilanne!O2))),"")</f>
        <v/>
      </c>
      <c r="M3" s="394" t="str">
        <f>IFERROR(VALUE(IF(Data_Tilanne!M2="0","",IF(Data_Tilanne!M2="","",Data_Tilanne!M2))),"")</f>
        <v/>
      </c>
      <c r="N3" s="394" t="str">
        <f>IFERROR(VALUE(IF(Data_Tilanne!N2="0","",IF(Data_Tilanne!N2="","",Data_Tilanne!N2))),"")</f>
        <v/>
      </c>
      <c r="O3">
        <f t="shared" ref="O3:O4" si="0">$O$1</f>
        <v>1</v>
      </c>
      <c r="P3">
        <f>ROW()</f>
        <v>3</v>
      </c>
      <c r="Q3">
        <f>COUNTIF($C$2:C3,C3)</f>
        <v>1</v>
      </c>
      <c r="R3">
        <f>COUNTIFS(C:C,C3)</f>
        <v>1048574</v>
      </c>
      <c r="S3">
        <f>SUMIFS(P:P,C:C,C3,Q:Q,1)</f>
        <v>3</v>
      </c>
      <c r="T3">
        <f>SUMIFS(P:P,C:C,C3,Q:Q,R3)</f>
        <v>0</v>
      </c>
      <c r="U3" t="str">
        <f ca="1">IFERROR(INDEX(INDIRECT(CONCATENATE("P",S3,":","P",T3)),MATCH(G3,INDIRECT(CONCATENATE("F",S3,":","F",T3)),0)),"")</f>
        <v/>
      </c>
      <c r="V3" t="str">
        <f>IF(Data_Tilanne!F2="0","",IF(Data_Tilanne!F2="","",Data_Tilanne!F2))</f>
        <v/>
      </c>
      <c r="W3" t="str">
        <f>IF(Data_Tilanne!G2="0","",IF(Data_Tilanne!G2="","",Data_Tilanne!G2))</f>
        <v/>
      </c>
      <c r="X3" t="str">
        <f>IF(Data_Tilanne!K2="0","",IF(Data_Tilanne!K2="","",Data_Tilanne!K2))</f>
        <v/>
      </c>
      <c r="Y3" t="str">
        <f>IF(Data_Tilanne!L2="0","",IF(Data_Tilanne!L2="","",Data_Tilanne!L2))</f>
        <v/>
      </c>
      <c r="Z3" s="726" t="e" cm="1">
        <f t="array" aca="1" ref="Z3" ca="1">IF(LEFT(INDEX(D:D,$U3),5)="Combo",INDEX(D:D,$U3),IF(INDEX(D:D,$U3)="","",Z$1))</f>
        <v>#VALUE!</v>
      </c>
      <c r="AA3" s="726" t="e" cm="1">
        <f t="array" aca="1" ref="AA3" ca="1">IF(LEFT(INDEX(E:E,$U3),5)="Combo",INDEX(E:E,$U3),IF(INDEX(E:E,$U3)="","",AA$1))</f>
        <v>#VALUE!</v>
      </c>
      <c r="AB3" s="726" t="e" cm="1">
        <f t="array" aca="1" ref="AB3" ca="1">IF(LEFT(INDEX(H:H,$U3),5)="Combo",INDEX(H:H,$U3),IF(INDEX(H:H,$U3)="","",AB$1))</f>
        <v>#VALUE!</v>
      </c>
      <c r="AC3" s="726" t="e" cm="1">
        <f t="array" aca="1" ref="AC3" ca="1">IF(LEFT(INDEX(I:I,$U3),5)="Combo",INDEX(I:I,$U3),IF(INDEX(I:I,$U3)="","",AC$1))</f>
        <v>#VALUE!</v>
      </c>
      <c r="AD3" s="726" t="e" cm="1">
        <f t="array" aca="1" ref="AD3" ca="1">IF(LEFT(INDEX(J:J,$U3),5)="Combo",INDEX(J:J,$U3),IF(INDEX(J:J,$U3)="","",AD$1))</f>
        <v>#VALUE!</v>
      </c>
      <c r="AE3" s="726" t="e" cm="1" vm="1">
        <f t="array" aca="1" ref="AE3" ca="1">IF(LEFT(INDEX(D:D,$T3),5)="Combo",INDEX(D:D,$T3),IF(INDEX(D:D,$T3)="","",AE$1))</f>
        <v>#VALUE!</v>
      </c>
      <c r="AF3" s="726" t="e" cm="1" vm="1">
        <f t="array" aca="1" ref="AF3" ca="1">IF(LEFT(INDEX(E:E,$T3),5)="Combo",INDEX(E:E,$T3),IF(INDEX(E:E,$T3)="","",AF$1))</f>
        <v>#VALUE!</v>
      </c>
      <c r="AG3" s="726" t="e" cm="1" vm="1">
        <f t="array" aca="1" ref="AG3" ca="1">IF(LEFT(INDEX(H:H,$T3),5)="Combo",INDEX(H:H,$T3),IF(INDEX(H:H,$T3)="","",AG$1))</f>
        <v>#VALUE!</v>
      </c>
      <c r="AH3" s="726" t="e" cm="1" vm="1">
        <f t="array" aca="1" ref="AH3" ca="1">IF(LEFT(INDEX(I:I,$T3),5)="Combo",INDEX(I:I,$T3),IF(INDEX(I:I,$T3)="","",AH$1))</f>
        <v>#VALUE!</v>
      </c>
      <c r="AI3" s="726" t="e" cm="1" vm="1">
        <f t="array" aca="1" ref="AI3" ca="1">IF(LEFT(INDEX(J:J,$T3),5)="Combo",INDEX(J:J,$T3),IF(INDEX(J:J,$T3)="","",AI$1))</f>
        <v>#VALUE!</v>
      </c>
      <c r="AJ3" t="e">
        <f ca="1">IF(Z3=AE3,0,1)</f>
        <v>#VALUE!</v>
      </c>
      <c r="AK3" t="e">
        <f ca="1">IF(AA3=AF3,0,1)</f>
        <v>#VALUE!</v>
      </c>
      <c r="AL3" t="e">
        <f ca="1">IF(AB3=AG3,0,1)</f>
        <v>#VALUE!</v>
      </c>
      <c r="AM3" t="e">
        <f ca="1">IF(AC3=AH3,0,1)</f>
        <v>#VALUE!</v>
      </c>
      <c r="AN3" t="e">
        <f ca="1">IF(AD3=AI3,0,1)</f>
        <v>#VALUE!</v>
      </c>
      <c r="AO3" t="str">
        <f t="shared" ref="AO3:AP3" si="1">INDEX($D:$D,S3)</f>
        <v/>
      </c>
      <c r="AP3" t="str">
        <f t="shared" si="1"/>
        <v/>
      </c>
      <c r="AQ3">
        <f>IF(AO3=AP3,0,1)</f>
        <v>0</v>
      </c>
      <c r="AR3" t="str">
        <f t="shared" ref="AR3:AS3" si="2">INDEX($E:$E,S3)</f>
        <v/>
      </c>
      <c r="AS3" t="str">
        <f t="shared" si="2"/>
        <v/>
      </c>
      <c r="AT3">
        <f>IF(AR3=AS3,0,1)</f>
        <v>0</v>
      </c>
    </row>
    <row r="4" spans="1:46" x14ac:dyDescent="0.25">
      <c r="A4" t="str">
        <f>IF(Data_Tilanne!A3="0","",IF(Data_Tilanne!A3="","",Data_Tilanne!A3))</f>
        <v/>
      </c>
      <c r="B4" t="str">
        <f>IF(Data_Tilanne!B3="0","",IF(Data_Tilanne!B3="","",Data_Tilanne!B3))</f>
        <v/>
      </c>
      <c r="C4" t="str">
        <f>IF(Data_Tilanne!C3="0","",IF(Data_Tilanne!C3="","",Data_Tilanne!C3))</f>
        <v/>
      </c>
      <c r="D4" s="728" t="str">
        <f>IF(Data_Tilanne!$C2&lt;&gt;Data_Tilanne!$C3,IF(Data_Tilanne!D3="","",Data_Tilanne!D3),IF(Data_Tilanne!D3="",IF(D3="","",D3),Data_Tilanne!D3))</f>
        <v/>
      </c>
      <c r="E4" s="728" t="str">
        <f>IF(Data_Tilanne!$C2&lt;&gt;Data_Tilanne!$C3,IF(Data_Tilanne!E3="","",Data_Tilanne!E3),IF(Data_Tilanne!E3="",IF(E3="","",E3),Data_Tilanne!E3))</f>
        <v/>
      </c>
      <c r="F4" s="730" t="e">
        <f t="shared" ref="F4" si="3">IF(_xlfn.DAYS($P$1,K4)&lt;0,_xlfn.DAYS($P$1,K4)*-1,_xlfn.DAYS($P$1,K4))</f>
        <v>#VALUE!</v>
      </c>
      <c r="G4" t="str">
        <f t="shared" ref="G4" ca="1" si="4">IFERROR(MIN(INDIRECT("F"&amp;S4&amp;":F"&amp;T4)),"")</f>
        <v/>
      </c>
      <c r="H4" s="728" t="str">
        <f>IF(Data_Tilanne!$C2&lt;&gt;Data_Tilanne!$C3,IF(Data_Tilanne!H3="","",Data_Tilanne!H3),IF(Data_Tilanne!H3="",IF(H3="","",H3),Data_Tilanne!H3))</f>
        <v/>
      </c>
      <c r="I4" s="728" t="str">
        <f>IF(Data_Tilanne!$C2&lt;&gt;Data_Tilanne!$C3,IF(Data_Tilanne!I3="","",Data_Tilanne!I3),IF(Data_Tilanne!I3="",IF(I3="","",I3),Data_Tilanne!I3))</f>
        <v/>
      </c>
      <c r="J4" s="728" t="str">
        <f>IF(Data_Tilanne!$C2&lt;&gt;Data_Tilanne!$C3,IF(Data_Tilanne!J3="","",Data_Tilanne!J3),IF(Data_Tilanne!J3="",IF(J3="","",J3),Data_Tilanne!J3))</f>
        <v/>
      </c>
      <c r="K4" s="394" t="str">
        <f t="shared" ref="K4" si="5">IF(L4="",M4,L4)</f>
        <v/>
      </c>
      <c r="L4" s="394" t="str">
        <f>IFERROR(VALUE(IF(Data_Tilanne!O3="0","",IF(Data_Tilanne!O3="","",Data_Tilanne!O3))),"")</f>
        <v/>
      </c>
      <c r="M4" s="394" t="str">
        <f>IFERROR(VALUE(IF(Data_Tilanne!M3="0","",IF(Data_Tilanne!M3="","",Data_Tilanne!M3))),"")</f>
        <v/>
      </c>
      <c r="N4" s="394" t="str">
        <f>IFERROR(VALUE(IF(Data_Tilanne!N3="0","",IF(Data_Tilanne!N3="","",Data_Tilanne!N3))),"")</f>
        <v/>
      </c>
      <c r="O4">
        <f t="shared" si="0"/>
        <v>1</v>
      </c>
      <c r="P4">
        <f>ROW()</f>
        <v>4</v>
      </c>
      <c r="Q4">
        <f>COUNTIF($C$2:C4,C4)</f>
        <v>2</v>
      </c>
      <c r="R4">
        <f t="shared" ref="R4" si="6">COUNTIFS(C:C,C4)</f>
        <v>1048574</v>
      </c>
      <c r="S4">
        <f t="shared" ref="S4" si="7">SUMIFS(P:P,C:C,C4,Q:Q,1)</f>
        <v>3</v>
      </c>
      <c r="T4">
        <f t="shared" ref="T4" si="8">SUMIFS(P:P,C:C,C4,Q:Q,R4)</f>
        <v>0</v>
      </c>
      <c r="U4" t="str">
        <f t="shared" ref="U4" ca="1" si="9">IFERROR(INDEX(INDIRECT(CONCATENATE("P",S4,":","P",T4)),MATCH(G4,INDIRECT(CONCATENATE("F",S4,":","F",T4)),0)),"")</f>
        <v/>
      </c>
      <c r="V4" t="str">
        <f>IF(Data_Tilanne!F3="0","",IF(Data_Tilanne!F3="","",Data_Tilanne!F3))</f>
        <v/>
      </c>
      <c r="W4" t="str">
        <f>IF(Data_Tilanne!G3="0","",IF(Data_Tilanne!G3="","",Data_Tilanne!G3))</f>
        <v/>
      </c>
      <c r="X4" t="str">
        <f>IF(Data_Tilanne!K3="0","",IF(Data_Tilanne!K3="","",Data_Tilanne!K3))</f>
        <v/>
      </c>
      <c r="Y4" t="str">
        <f>IF(Data_Tilanne!L3="0","",IF(Data_Tilanne!L3="","",Data_Tilanne!L3))</f>
        <v/>
      </c>
      <c r="Z4" s="726" t="e" cm="1">
        <f t="array" aca="1" ref="Z4" ca="1">IF(LEFT(INDEX(D:D,$U4),5)="Combo",INDEX(D:D,$U4),IF(INDEX(D:D,$U4)="","",Z$1))</f>
        <v>#VALUE!</v>
      </c>
      <c r="AA4" s="726" t="e" cm="1">
        <f t="array" aca="1" ref="AA4" ca="1">IF(LEFT(INDEX(E:E,$U4),5)="Combo",INDEX(E:E,$U4),IF(INDEX(E:E,$U4)="","",AA$1))</f>
        <v>#VALUE!</v>
      </c>
      <c r="AB4" s="726" t="e" cm="1">
        <f t="array" aca="1" ref="AB4" ca="1">IF(LEFT(INDEX(H:H,$U4),5)="Combo",INDEX(H:H,$U4),IF(INDEX(H:H,$U4)="","",AB$1))</f>
        <v>#VALUE!</v>
      </c>
      <c r="AC4" s="726" t="e" cm="1">
        <f t="array" aca="1" ref="AC4" ca="1">IF(LEFT(INDEX(I:I,$U4),5)="Combo",INDEX(I:I,$U4),IF(INDEX(I:I,$U4)="","",AC$1))</f>
        <v>#VALUE!</v>
      </c>
      <c r="AD4" s="726" t="e" cm="1">
        <f t="array" aca="1" ref="AD4" ca="1">IF(LEFT(INDEX(J:J,$U4),5)="Combo",INDEX(J:J,$U4),IF(INDEX(J:J,$U4)="","",AD$1))</f>
        <v>#VALUE!</v>
      </c>
      <c r="AE4" s="726" t="e" cm="1" vm="1">
        <f t="array" aca="1" ref="AE4" ca="1">IF(LEFT(INDEX(D:D,$T4),5)="Combo",INDEX(D:D,$T4),IF(INDEX(D:D,$T4)="","",AE$1))</f>
        <v>#VALUE!</v>
      </c>
      <c r="AF4" s="726" t="e" cm="1" vm="1">
        <f t="array" aca="1" ref="AF4" ca="1">IF(LEFT(INDEX(E:E,$T4),5)="Combo",INDEX(E:E,$T4),IF(INDEX(E:E,$T4)="","",AF$1))</f>
        <v>#VALUE!</v>
      </c>
      <c r="AG4" s="726" t="e" cm="1" vm="1">
        <f t="array" aca="1" ref="AG4" ca="1">IF(LEFT(INDEX(H:H,$T4),5)="Combo",INDEX(H:H,$T4),IF(INDEX(H:H,$T4)="","",AG$1))</f>
        <v>#VALUE!</v>
      </c>
      <c r="AH4" s="726" t="e" cm="1" vm="1">
        <f t="array" aca="1" ref="AH4" ca="1">IF(LEFT(INDEX(I:I,$T4),5)="Combo",INDEX(I:I,$T4),IF(INDEX(I:I,$T4)="","",AH$1))</f>
        <v>#VALUE!</v>
      </c>
      <c r="AI4" s="726" t="e" cm="1" vm="1">
        <f t="array" aca="1" ref="AI4" ca="1">IF(LEFT(INDEX(J:J,$T4),5)="Combo",INDEX(J:J,$T4),IF(INDEX(J:J,$T4)="","",AI$1))</f>
        <v>#VALUE!</v>
      </c>
      <c r="AJ4" t="e">
        <f t="shared" ref="AJ4" ca="1" si="10">IF(Z4=AE4,0,1)</f>
        <v>#VALUE!</v>
      </c>
      <c r="AK4" t="e">
        <f t="shared" ref="AK4" ca="1" si="11">IF(AA4=AF4,0,1)</f>
        <v>#VALUE!</v>
      </c>
      <c r="AL4" t="e">
        <f t="shared" ref="AL4" ca="1" si="12">IF(AB4=AG4,0,1)</f>
        <v>#VALUE!</v>
      </c>
      <c r="AM4" t="e">
        <f t="shared" ref="AM4" ca="1" si="13">IF(AC4=AH4,0,1)</f>
        <v>#VALUE!</v>
      </c>
      <c r="AN4" t="e">
        <f t="shared" ref="AN4" ca="1" si="14">IF(AD4=AI4,0,1)</f>
        <v>#VALUE!</v>
      </c>
      <c r="AO4" t="str">
        <f t="shared" ref="AO4" si="15">INDEX($D:$D,S4)</f>
        <v/>
      </c>
      <c r="AP4" t="str">
        <f t="shared" ref="AP4" si="16">INDEX($D:$D,T4)</f>
        <v/>
      </c>
      <c r="AQ4">
        <f t="shared" ref="AQ4" si="17">IF(AO4=AP4,0,1)</f>
        <v>0</v>
      </c>
      <c r="AR4" t="str">
        <f t="shared" ref="AR4" si="18">INDEX($E:$E,S4)</f>
        <v/>
      </c>
      <c r="AS4" t="str">
        <f t="shared" ref="AS4" si="19">INDEX($E:$E,T4)</f>
        <v/>
      </c>
      <c r="AT4">
        <f t="shared" ref="AT4" si="20">IF(AR4=AS4,0,1)</f>
        <v>0</v>
      </c>
    </row>
  </sheetData>
  <autoFilter ref="A2:AT716" xr:uid="{00000000-0009-0000-0000-00000A000000}"/>
  <conditionalFormatting sqref="A1:O1 S1:T1 Z1:AA1">
    <cfRule type="containsText" dxfId="8" priority="4" operator="containsText" text="E">
      <formula>NOT(ISERROR(SEARCH("E",A1)))</formula>
    </cfRule>
  </conditionalFormatting>
  <conditionalFormatting sqref="C1869:C1048576 C1:C2">
    <cfRule type="duplicateValues" dxfId="7" priority="121"/>
  </conditionalFormatting>
  <conditionalFormatting sqref="R1">
    <cfRule type="containsText" dxfId="6" priority="3" operator="containsText" text="E">
      <formula>NOT(ISERROR(SEARCH("E",R1)))</formula>
    </cfRule>
  </conditionalFormatting>
  <conditionalFormatting sqref="AP1:XFD1">
    <cfRule type="containsText" dxfId="5" priority="2" operator="containsText" text="E">
      <formula>NOT(ISERROR(SEARCH("E",AP1)))</formula>
    </cfRule>
  </conditionalFormatting>
  <pageMargins left="0.7" right="0.7" top="0.75" bottom="0.83333333333333337" header="0" footer="0"/>
  <pageSetup paperSize="9" orientation="portrait" r:id="rId1"/>
  <headerFooter>
    <oddFooter>&amp;L 
Etsivä org
Etsivätie 1
01000, E-kunta&amp;C&amp;G&amp;R&amp;P/&amp;N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D4D0C-0B5A-437E-9138-2FD262837BDD}">
  <sheetPr codeName="Taul2">
    <tabColor rgb="FF92D050"/>
  </sheetPr>
  <dimension ref="A1:AJ4"/>
  <sheetViews>
    <sheetView topLeftCell="F1" zoomScale="70" zoomScaleNormal="70" workbookViewId="0">
      <selection activeCell="A3" sqref="A3"/>
    </sheetView>
  </sheetViews>
  <sheetFormatPr defaultColWidth="9.140625" defaultRowHeight="15" x14ac:dyDescent="0.25"/>
  <cols>
    <col min="1" max="1" width="11.28515625" bestFit="1" customWidth="1"/>
    <col min="2" max="2" width="16.42578125" bestFit="1" customWidth="1"/>
    <col min="3" max="3" width="19.28515625" customWidth="1"/>
    <col min="4" max="4" width="19.5703125" style="19" bestFit="1" customWidth="1"/>
    <col min="6" max="6" width="30.28515625" customWidth="1"/>
    <col min="7" max="7" width="14.7109375" customWidth="1"/>
    <col min="22" max="22" width="22.5703125" style="394" customWidth="1"/>
    <col min="25" max="25" width="18.85546875" customWidth="1"/>
    <col min="31" max="31" width="23.140625" customWidth="1"/>
    <col min="32" max="32" width="22.5703125" customWidth="1"/>
    <col min="36" max="36" width="12.85546875" bestFit="1" customWidth="1"/>
  </cols>
  <sheetData>
    <row r="1" spans="1:36" x14ac:dyDescent="0.25">
      <c r="AJ1" s="142" t="s">
        <v>1653</v>
      </c>
    </row>
    <row r="2" spans="1:36" x14ac:dyDescent="0.25">
      <c r="A2" s="129" t="s">
        <v>972</v>
      </c>
      <c r="B2" s="129" t="s">
        <v>973</v>
      </c>
      <c r="C2" s="129" t="s">
        <v>974</v>
      </c>
      <c r="D2" s="526" t="s">
        <v>975</v>
      </c>
      <c r="E2" s="129" t="s">
        <v>976</v>
      </c>
      <c r="F2" s="129" t="s">
        <v>1014</v>
      </c>
      <c r="G2" s="129" t="s">
        <v>978</v>
      </c>
      <c r="H2" s="129" t="s">
        <v>1016</v>
      </c>
      <c r="I2" s="129" t="s">
        <v>980</v>
      </c>
      <c r="J2" s="129" t="s">
        <v>1018</v>
      </c>
      <c r="K2" s="129" t="s">
        <v>982</v>
      </c>
      <c r="L2" s="129" t="s">
        <v>1019</v>
      </c>
      <c r="M2" s="129" t="s">
        <v>984</v>
      </c>
      <c r="N2" s="129" t="s">
        <v>1020</v>
      </c>
      <c r="O2" s="129" t="s">
        <v>986</v>
      </c>
      <c r="P2" s="129" t="s">
        <v>1021</v>
      </c>
      <c r="Q2" s="129" t="s">
        <v>988</v>
      </c>
      <c r="R2" s="129" t="s">
        <v>1022</v>
      </c>
      <c r="S2" s="129" t="s">
        <v>1023</v>
      </c>
      <c r="T2" s="129" t="s">
        <v>1024</v>
      </c>
      <c r="U2" s="129" t="s">
        <v>1025</v>
      </c>
      <c r="V2" s="761" t="s">
        <v>1599</v>
      </c>
      <c r="W2" s="762" t="s">
        <v>546</v>
      </c>
      <c r="X2" s="129" t="s">
        <v>996</v>
      </c>
      <c r="Y2" s="129" t="s">
        <v>590</v>
      </c>
      <c r="Z2" t="s">
        <v>999</v>
      </c>
      <c r="AA2">
        <v>0</v>
      </c>
      <c r="AB2" t="s">
        <v>1000</v>
      </c>
      <c r="AC2" t="s">
        <v>1520</v>
      </c>
      <c r="AD2" t="s">
        <v>1026</v>
      </c>
      <c r="AE2" t="s">
        <v>594</v>
      </c>
      <c r="AF2" t="s">
        <v>716</v>
      </c>
      <c r="AG2" s="1" t="s">
        <v>1597</v>
      </c>
      <c r="AH2" s="369" t="s">
        <v>1028</v>
      </c>
      <c r="AI2" s="360" t="s">
        <v>1027</v>
      </c>
      <c r="AJ2" s="142" t="s">
        <v>1587</v>
      </c>
    </row>
    <row r="3" spans="1:36" x14ac:dyDescent="0.25">
      <c r="A3" s="3">
        <f>Data_tavoitteet!A2</f>
        <v>0</v>
      </c>
      <c r="B3" s="3">
        <f>Data_tavoitteet!B2</f>
        <v>0</v>
      </c>
      <c r="C3" s="3">
        <f>Data_tavoitteet!C2</f>
        <v>0</v>
      </c>
      <c r="D3" s="19">
        <f>VALUE(Data_tavoitteet!D2)</f>
        <v>0</v>
      </c>
      <c r="E3" s="3">
        <f>Data_tavoitteet!E2</f>
        <v>0</v>
      </c>
      <c r="F3" s="3">
        <f>Data_tavoitteet!F2</f>
        <v>0</v>
      </c>
      <c r="G3" s="3">
        <f>Data_tavoitteet!G2</f>
        <v>0</v>
      </c>
      <c r="H3" s="3">
        <f>Data_tavoitteet!H2</f>
        <v>0</v>
      </c>
      <c r="I3" s="3">
        <f>Data_tavoitteet!I2</f>
        <v>0</v>
      </c>
      <c r="J3" s="3">
        <f>Data_tavoitteet!J2</f>
        <v>0</v>
      </c>
      <c r="K3" s="3">
        <f>Data_tavoitteet!K2</f>
        <v>0</v>
      </c>
      <c r="L3" s="3">
        <f>Data_tavoitteet!L2</f>
        <v>0</v>
      </c>
      <c r="M3" s="3">
        <f>Data_tavoitteet!M2</f>
        <v>0</v>
      </c>
      <c r="N3" s="3">
        <f>Data_tavoitteet!N2</f>
        <v>0</v>
      </c>
      <c r="O3" s="3">
        <f>Data_tavoitteet!O2</f>
        <v>0</v>
      </c>
      <c r="P3" s="3">
        <f>Data_tavoitteet!P2</f>
        <v>0</v>
      </c>
      <c r="Q3" s="3">
        <f>Data_tavoitteet!Q2</f>
        <v>0</v>
      </c>
      <c r="R3" s="3">
        <f>Data_tavoitteet!R2</f>
        <v>0</v>
      </c>
      <c r="S3" s="3">
        <f>Data_tavoitteet!S2</f>
        <v>0</v>
      </c>
      <c r="T3" s="3">
        <f>Data_tavoitteet!T2</f>
        <v>0</v>
      </c>
      <c r="U3" s="3">
        <f>Data_tavoitteet!U2</f>
        <v>0</v>
      </c>
      <c r="V3" s="394" t="e">
        <f>INDEX(AS!V:V,MATCH(C3,AS!A:A,0))</f>
        <v>#N/A</v>
      </c>
      <c r="W3" t="e">
        <f>INDEX(AS!AH:AH,MATCH(C3,AS!A:A,0))</f>
        <v>#N/A</v>
      </c>
      <c r="X3" s="3">
        <f>Data_tavoitteet!X2</f>
        <v>0</v>
      </c>
      <c r="Y3" t="e">
        <f>INDEX(AS!I:I,MATCH(C3,AS!A:A,0))</f>
        <v>#N/A</v>
      </c>
      <c r="Z3">
        <f t="shared" ref="Z3" si="0">COUNTIF(C:C,C3)</f>
        <v>2</v>
      </c>
      <c r="AA3">
        <f t="shared" ref="AA3" si="1">IF(C2=C3,AA2,AA2+1)</f>
        <v>1</v>
      </c>
      <c r="AB3" t="str">
        <f>IF(C2=C3,"","ok")</f>
        <v>ok</v>
      </c>
      <c r="AC3">
        <v>1</v>
      </c>
      <c r="AD3" t="str">
        <f>IF(C3=C4,"","ok")</f>
        <v/>
      </c>
      <c r="AE3" t="e">
        <f>INDEX(AS!AV:AV,MATCH(C3,AS!A:A,0))</f>
        <v>#N/A</v>
      </c>
      <c r="AF3" t="e">
        <f>INDEX(AS!AW:AW,MATCH(C3,AS!A:A,0))</f>
        <v>#N/A</v>
      </c>
      <c r="AG3" t="e">
        <f>INDEX(AS!BO:BO,MATCH(C3,AS!A:A,0))</f>
        <v>#N/A</v>
      </c>
      <c r="AH3" t="e">
        <f>INDEX(AS!AB:AB,MATCH(C3,AS!A:A,0))</f>
        <v>#N/A</v>
      </c>
      <c r="AI3" t="e">
        <f>INDEX(AS!X:X,MATCH(C3,AS!A:A,0))</f>
        <v>#N/A</v>
      </c>
      <c r="AJ3" s="15" t="e">
        <f>INDEX(AS!K:K,MATCH(C3,AS!A:A,0))</f>
        <v>#N/A</v>
      </c>
    </row>
    <row r="4" spans="1:36" x14ac:dyDescent="0.25">
      <c r="A4" s="3">
        <f>Data_tavoitteet!A3</f>
        <v>0</v>
      </c>
      <c r="B4" s="3">
        <f>Data_tavoitteet!B3</f>
        <v>0</v>
      </c>
      <c r="C4" s="3">
        <f>Data_tavoitteet!C3</f>
        <v>0</v>
      </c>
      <c r="D4" s="19">
        <f>VALUE(Data_tavoitteet!D3)</f>
        <v>0</v>
      </c>
      <c r="E4" s="3">
        <f>Data_tavoitteet!E3</f>
        <v>0</v>
      </c>
      <c r="F4" s="3">
        <f>Data_tavoitteet!F3</f>
        <v>0</v>
      </c>
      <c r="G4" s="3">
        <f>Data_tavoitteet!G3</f>
        <v>0</v>
      </c>
      <c r="H4" s="3">
        <f>Data_tavoitteet!H3</f>
        <v>0</v>
      </c>
      <c r="I4" s="3">
        <f>Data_tavoitteet!I3</f>
        <v>0</v>
      </c>
      <c r="J4" s="3">
        <f>Data_tavoitteet!J3</f>
        <v>0</v>
      </c>
      <c r="K4" s="3">
        <f>Data_tavoitteet!K3</f>
        <v>0</v>
      </c>
      <c r="L4" s="3">
        <f>Data_tavoitteet!L3</f>
        <v>0</v>
      </c>
      <c r="M4" s="3">
        <f>Data_tavoitteet!M3</f>
        <v>0</v>
      </c>
      <c r="N4" s="3">
        <f>Data_tavoitteet!N3</f>
        <v>0</v>
      </c>
      <c r="O4" s="3">
        <f>Data_tavoitteet!O3</f>
        <v>0</v>
      </c>
      <c r="P4" s="3">
        <f>Data_tavoitteet!P3</f>
        <v>0</v>
      </c>
      <c r="Q4" s="3">
        <f>Data_tavoitteet!Q3</f>
        <v>0</v>
      </c>
      <c r="R4" s="3">
        <f>Data_tavoitteet!R3</f>
        <v>0</v>
      </c>
      <c r="S4" s="3">
        <f>Data_tavoitteet!S3</f>
        <v>0</v>
      </c>
      <c r="T4" s="3">
        <f>Data_tavoitteet!T3</f>
        <v>0</v>
      </c>
      <c r="U4" s="3">
        <f>Data_tavoitteet!U3</f>
        <v>0</v>
      </c>
      <c r="V4" s="394" t="e">
        <f>INDEX(AS!V:V,MATCH(C4,AS!A:A,0))</f>
        <v>#N/A</v>
      </c>
      <c r="W4" t="e">
        <f>INDEX(AS!AH:AH,MATCH(C4,AS!A:A,0))</f>
        <v>#N/A</v>
      </c>
      <c r="X4" s="3">
        <f>Data_tavoitteet!X3</f>
        <v>0</v>
      </c>
      <c r="Y4" t="e">
        <f>INDEX(AS!I:I,MATCH(C4,AS!A:A,0))</f>
        <v>#N/A</v>
      </c>
      <c r="Z4">
        <f t="shared" ref="Z4" si="2">COUNTIF(C:C,C4)</f>
        <v>2</v>
      </c>
      <c r="AA4">
        <f t="shared" ref="AA4" si="3">IF(C3=C4,AA3,AA3+1)</f>
        <v>1</v>
      </c>
      <c r="AB4" t="str">
        <f t="shared" ref="AB4" si="4">IF(C3=C4,"","ok")</f>
        <v/>
      </c>
      <c r="AC4">
        <v>2</v>
      </c>
      <c r="AD4" t="str">
        <f t="shared" ref="AD4" si="5">IF(C4=C5,"","ok")</f>
        <v/>
      </c>
      <c r="AE4" t="e">
        <f>INDEX(AS!AV:AV,MATCH(C4,AS!A:A,0))</f>
        <v>#N/A</v>
      </c>
      <c r="AF4" t="e">
        <f>INDEX(AS!AW:AW,MATCH(C4,AS!A:A,0))</f>
        <v>#N/A</v>
      </c>
      <c r="AG4" t="e">
        <f>INDEX(AS!BO:BO,MATCH(C4,AS!A:A,0))</f>
        <v>#N/A</v>
      </c>
      <c r="AH4" t="e">
        <f>INDEX(AS!AB:AB,MATCH(C4,AS!A:A,0))</f>
        <v>#N/A</v>
      </c>
      <c r="AI4" t="e">
        <f>INDEX(AS!X:X,MATCH(C4,AS!A:A,0))</f>
        <v>#N/A</v>
      </c>
      <c r="AJ4" s="15" t="e">
        <f>INDEX(AS!K:K,MATCH(C4,AS!A:A,0))</f>
        <v>#N/A</v>
      </c>
    </row>
  </sheetData>
  <autoFilter ref="A2:AI1019" xr:uid="{A08D3E76-4BFA-4186-B752-F13ECEC76111}"/>
  <pageMargins left="0.7" right="0.7" top="0.75" bottom="0.83333333333333337" header="0" footer="0"/>
  <pageSetup paperSize="9" orientation="portrait" horizontalDpi="300" r:id="rId1"/>
  <headerFooter>
    <oddFooter>&amp;L 
Etsivä org
Etsivätie 1
01000, E-kunta&amp;C&amp;G&amp;R&amp;P/&amp;N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ul12">
    <tabColor rgb="FFFF0000"/>
  </sheetPr>
  <dimension ref="A1:BC4"/>
  <sheetViews>
    <sheetView zoomScale="80" zoomScaleNormal="80" workbookViewId="0">
      <pane xSplit="2" ySplit="2" topLeftCell="C3" activePane="bottomRight" state="frozen"/>
      <selection activeCell="A3" sqref="A3"/>
      <selection pane="topRight" activeCell="A3" sqref="A3"/>
      <selection pane="bottomLeft" activeCell="A3" sqref="A3"/>
      <selection pane="bottomRight" activeCell="A3" sqref="A3"/>
    </sheetView>
  </sheetViews>
  <sheetFormatPr defaultColWidth="9.85546875" defaultRowHeight="15" x14ac:dyDescent="0.25"/>
  <cols>
    <col min="1" max="1" width="9.85546875" style="3"/>
    <col min="2" max="2" width="16.42578125" style="3" bestFit="1" customWidth="1"/>
    <col min="3" max="3" width="21.7109375" style="3" bestFit="1" customWidth="1"/>
    <col min="4" max="45" width="9.85546875" style="3"/>
    <col min="46" max="47" width="10.85546875" style="3" customWidth="1"/>
    <col min="48" max="48" width="12.28515625" style="19" customWidth="1"/>
    <col min="49" max="49" width="12.28515625" style="3" customWidth="1"/>
    <col min="50" max="50" width="68" style="3" bestFit="1" customWidth="1"/>
    <col min="51" max="51" width="12.28515625" style="195" customWidth="1"/>
    <col min="52" max="54" width="12.28515625" style="3" customWidth="1"/>
    <col min="55" max="55" width="10.7109375" style="3" customWidth="1"/>
    <col min="56" max="56" width="9.85546875" style="3" customWidth="1"/>
    <col min="57" max="16384" width="9.85546875" style="3"/>
  </cols>
  <sheetData>
    <row r="1" spans="1:55" customFormat="1" x14ac:dyDescent="0.25">
      <c r="A1" s="444" t="s">
        <v>1655</v>
      </c>
      <c r="B1" s="13" t="s">
        <v>408</v>
      </c>
      <c r="C1" s="13" t="s">
        <v>408</v>
      </c>
      <c r="D1" s="13" t="s">
        <v>408</v>
      </c>
      <c r="E1" s="13" t="s">
        <v>408</v>
      </c>
      <c r="F1" s="13" t="s">
        <v>408</v>
      </c>
      <c r="G1" s="13" t="s">
        <v>408</v>
      </c>
      <c r="H1" s="13" t="s">
        <v>408</v>
      </c>
      <c r="I1" s="13" t="s">
        <v>408</v>
      </c>
      <c r="J1" s="13" t="s">
        <v>408</v>
      </c>
      <c r="K1" s="13" t="s">
        <v>408</v>
      </c>
      <c r="L1" s="13" t="s">
        <v>408</v>
      </c>
      <c r="M1" s="13" t="s">
        <v>408</v>
      </c>
      <c r="N1" s="13" t="s">
        <v>408</v>
      </c>
      <c r="O1" s="13" t="s">
        <v>408</v>
      </c>
      <c r="P1" s="13" t="s">
        <v>408</v>
      </c>
      <c r="Q1" s="13" t="s">
        <v>408</v>
      </c>
      <c r="R1" s="13" t="s">
        <v>408</v>
      </c>
      <c r="S1" s="13" t="s">
        <v>408</v>
      </c>
      <c r="T1" s="13" t="s">
        <v>408</v>
      </c>
      <c r="U1" s="13" t="s">
        <v>408</v>
      </c>
      <c r="V1" s="13" t="s">
        <v>408</v>
      </c>
      <c r="W1" s="13" t="s">
        <v>408</v>
      </c>
      <c r="X1" s="13" t="s">
        <v>408</v>
      </c>
      <c r="Y1" s="13" t="s">
        <v>408</v>
      </c>
      <c r="Z1" s="13" t="s">
        <v>408</v>
      </c>
      <c r="AA1" s="13" t="s">
        <v>408</v>
      </c>
      <c r="AB1" s="13" t="s">
        <v>408</v>
      </c>
      <c r="AC1" s="13" t="s">
        <v>408</v>
      </c>
      <c r="AD1" s="13" t="s">
        <v>408</v>
      </c>
      <c r="AE1" s="13" t="s">
        <v>408</v>
      </c>
      <c r="AF1" s="13" t="s">
        <v>408</v>
      </c>
      <c r="AG1" s="13" t="s">
        <v>408</v>
      </c>
      <c r="AH1" s="13" t="s">
        <v>408</v>
      </c>
      <c r="AI1" s="13" t="s">
        <v>408</v>
      </c>
      <c r="AJ1" s="13" t="s">
        <v>408</v>
      </c>
      <c r="AK1" s="13" t="s">
        <v>408</v>
      </c>
      <c r="AL1" s="13" t="s">
        <v>408</v>
      </c>
      <c r="AM1" s="13" t="s">
        <v>408</v>
      </c>
      <c r="AN1" s="13" t="s">
        <v>408</v>
      </c>
      <c r="AO1" s="13" t="s">
        <v>408</v>
      </c>
      <c r="AP1" s="13" t="s">
        <v>408</v>
      </c>
      <c r="AQ1" s="13" t="s">
        <v>408</v>
      </c>
      <c r="AR1" s="13"/>
      <c r="AS1" s="13"/>
      <c r="AT1" s="329">
        <v>1</v>
      </c>
      <c r="AU1" s="3"/>
      <c r="AV1" s="193">
        <f>Asiakastilastot!$A$2</f>
        <v>45658</v>
      </c>
      <c r="AW1" s="193">
        <f>Asiakastilastot!$A$3</f>
        <v>45777</v>
      </c>
      <c r="AX1" s="189" t="s">
        <v>501</v>
      </c>
      <c r="AY1" s="195"/>
      <c r="BA1" s="390"/>
      <c r="BB1" s="391"/>
      <c r="BC1" s="392"/>
    </row>
    <row r="2" spans="1:55" s="191" customFormat="1" ht="75" x14ac:dyDescent="0.25">
      <c r="A2" s="190" t="s">
        <v>409</v>
      </c>
      <c r="B2" s="190" t="s">
        <v>410</v>
      </c>
      <c r="C2" s="190" t="s">
        <v>415</v>
      </c>
      <c r="D2" s="190" t="s">
        <v>416</v>
      </c>
      <c r="E2" s="190" t="s">
        <v>417</v>
      </c>
      <c r="F2" s="190" t="s">
        <v>418</v>
      </c>
      <c r="G2" s="190" t="s">
        <v>419</v>
      </c>
      <c r="H2" s="190" t="s">
        <v>420</v>
      </c>
      <c r="I2" s="190" t="s">
        <v>421</v>
      </c>
      <c r="J2" s="190" t="s">
        <v>422</v>
      </c>
      <c r="K2" s="190" t="s">
        <v>423</v>
      </c>
      <c r="L2" s="393" t="s">
        <v>424</v>
      </c>
      <c r="M2" s="393" t="s">
        <v>425</v>
      </c>
      <c r="N2" s="190" t="s">
        <v>426</v>
      </c>
      <c r="O2" s="190" t="s">
        <v>427</v>
      </c>
      <c r="P2" s="190" t="s">
        <v>428</v>
      </c>
      <c r="Q2" s="190" t="s">
        <v>429</v>
      </c>
      <c r="R2" s="190" t="s">
        <v>430</v>
      </c>
      <c r="S2" s="190" t="s">
        <v>437</v>
      </c>
      <c r="T2" s="190" t="s">
        <v>438</v>
      </c>
      <c r="U2" s="190" t="s">
        <v>439</v>
      </c>
      <c r="V2" s="190" t="s">
        <v>440</v>
      </c>
      <c r="W2" s="190" t="s">
        <v>441</v>
      </c>
      <c r="X2" s="190" t="s">
        <v>442</v>
      </c>
      <c r="Y2" s="190" t="s">
        <v>443</v>
      </c>
      <c r="Z2" s="190" t="s">
        <v>652</v>
      </c>
      <c r="AA2" s="190" t="s">
        <v>653</v>
      </c>
      <c r="AB2" s="190" t="s">
        <v>654</v>
      </c>
      <c r="AC2" s="190" t="s">
        <v>655</v>
      </c>
      <c r="AD2" s="190" t="s">
        <v>656</v>
      </c>
      <c r="AE2" s="190" t="s">
        <v>657</v>
      </c>
      <c r="AF2" s="190" t="s">
        <v>658</v>
      </c>
      <c r="AG2" s="190" t="s">
        <v>659</v>
      </c>
      <c r="AH2" s="191" t="s">
        <v>660</v>
      </c>
      <c r="AI2" s="191" t="s">
        <v>661</v>
      </c>
      <c r="AJ2" s="191" t="s">
        <v>662</v>
      </c>
      <c r="AK2" s="191" t="s">
        <v>663</v>
      </c>
      <c r="AL2" s="191" t="s">
        <v>664</v>
      </c>
      <c r="AM2" s="191" t="s">
        <v>665</v>
      </c>
      <c r="AN2" s="191" t="s">
        <v>666</v>
      </c>
      <c r="AO2" s="191" t="s">
        <v>667</v>
      </c>
      <c r="AP2" s="191" t="s">
        <v>668</v>
      </c>
      <c r="AQ2" s="191" t="s">
        <v>669</v>
      </c>
      <c r="AR2" s="191" t="s">
        <v>944</v>
      </c>
      <c r="AS2" s="191" t="s">
        <v>945</v>
      </c>
      <c r="AT2" s="192" t="s">
        <v>672</v>
      </c>
      <c r="AU2" s="192" t="s">
        <v>673</v>
      </c>
      <c r="AV2" s="194" t="s">
        <v>564</v>
      </c>
      <c r="AW2" s="192" t="s">
        <v>484</v>
      </c>
      <c r="AX2" s="189" t="s">
        <v>500</v>
      </c>
      <c r="AY2" s="196" t="s">
        <v>545</v>
      </c>
      <c r="AZ2" s="196" t="s">
        <v>674</v>
      </c>
      <c r="BA2" s="390" t="s">
        <v>846</v>
      </c>
      <c r="BB2" s="391" t="s">
        <v>841</v>
      </c>
      <c r="BC2" s="198" t="s">
        <v>847</v>
      </c>
    </row>
    <row r="3" spans="1:55" x14ac:dyDescent="0.25">
      <c r="Y3" s="195"/>
      <c r="AT3" s="3" t="s">
        <v>842</v>
      </c>
      <c r="AU3" t="str">
        <f>IF(AS3="-1","EI",IF(AW3&gt;=$AV$1,IF(AV3&lt;=$AW$1,"OK","EI"),"EI"))</f>
        <v>EI</v>
      </c>
      <c r="AV3" s="19">
        <f>IF(S3="",VALUE($AW$1)+1,VALUE(S3))</f>
        <v>45778</v>
      </c>
      <c r="AW3" s="19">
        <f>IF(T3="",IF(AR3="Poistettu",AV3,IF(VALUE(AV3)&gt;$AW$1,VALUE(AV3),VALUE($AW$1))),VALUE(T3))</f>
        <v>45778</v>
      </c>
      <c r="AX3" t="str">
        <f>IF(W3="",$AX$1,IF(LEFT(W3,5)="Combo",W3,$AX$2))</f>
        <v>ComboBox_TyHlo_tyosuhde#ei tietoa</v>
      </c>
      <c r="AY3" s="195" t="str">
        <f>IF(H3&lt;&gt;"0",H3,"")&amp;IF(L3="-1"," &gt;saksa ","")&amp;IF(M3="-1"," &gt;ranska ","")</f>
        <v/>
      </c>
      <c r="AZ3">
        <f>IFERROR(VALUE(Y3),"")</f>
        <v>0</v>
      </c>
      <c r="BA3" t="e">
        <f>INDEX(Data_nimet!C:C,MATCH(A3,Data_nimet!A:A,0))&amp;" "&amp;INDEX(Data_nimet!D:D,MATCH(A3,Data_nimet!A:A,0))</f>
        <v>#N/A</v>
      </c>
      <c r="BB3" t="e">
        <f>INDEX(Data_nimet!F:F,MATCH(A3,Data_nimet!A:A,0))</f>
        <v>#N/A</v>
      </c>
      <c r="BC3" t="e">
        <f>MATCH("OK",AU4:AU100,0)+ROW()</f>
        <v>#N/A</v>
      </c>
    </row>
    <row r="4" spans="1:55" customFormat="1" x14ac:dyDescent="0.25">
      <c r="A4" s="3"/>
      <c r="B4" s="3"/>
      <c r="C4" s="3"/>
      <c r="D4" s="3"/>
      <c r="E4" s="3"/>
      <c r="F4" s="3"/>
      <c r="G4" s="3"/>
      <c r="H4" s="3"/>
      <c r="I4" s="3"/>
      <c r="J4" s="3"/>
      <c r="K4" s="3"/>
      <c r="L4" s="3"/>
      <c r="M4" s="3"/>
      <c r="N4" s="3"/>
      <c r="O4" s="3"/>
      <c r="P4" s="3"/>
      <c r="Q4" s="3"/>
      <c r="R4" s="3"/>
      <c r="S4" s="3"/>
      <c r="T4" s="3"/>
      <c r="U4" s="3"/>
      <c r="V4" s="3"/>
      <c r="W4" s="3"/>
      <c r="X4" s="3"/>
      <c r="Y4" s="195"/>
      <c r="Z4" s="3"/>
      <c r="AA4" s="3"/>
      <c r="AB4" s="3"/>
      <c r="AC4" s="3"/>
      <c r="AD4" s="3"/>
      <c r="AE4" s="3"/>
      <c r="AF4" s="3"/>
      <c r="AG4" s="3"/>
      <c r="AH4" s="3"/>
      <c r="AI4" s="3"/>
      <c r="AJ4" s="3"/>
      <c r="AK4" s="3"/>
      <c r="AL4" s="3"/>
      <c r="AM4" s="3"/>
      <c r="AN4" s="3"/>
      <c r="AO4" s="3"/>
      <c r="AP4" s="3"/>
      <c r="AQ4" s="3"/>
      <c r="AR4" s="3"/>
      <c r="AS4" s="3"/>
      <c r="AT4" s="3" t="s">
        <v>881</v>
      </c>
      <c r="AU4" t="str">
        <f t="shared" ref="AU4" si="0">IF(AS4="-1","EI",IF(AW4&gt;=$AV$1,IF(AV4&lt;=$AW$1,"OK","EI"),"EI"))</f>
        <v>EI</v>
      </c>
      <c r="AV4" s="19">
        <f t="shared" ref="AV4" si="1">IF(S4="",VALUE($AW$1)+1,VALUE(S4))</f>
        <v>45778</v>
      </c>
      <c r="AW4" s="19">
        <f t="shared" ref="AW4" si="2">IF(T4="",IF(AR4="Poistettu",AV4,IF(VALUE(AV4)&gt;$AW$1,VALUE(AV4),VALUE($AW$1))),VALUE(T4))</f>
        <v>45778</v>
      </c>
      <c r="AX4" t="str">
        <f t="shared" ref="AX4" si="3">IF(W4="",$AX$1,IF(LEFT(W4,5)="Combo",W4,$AX$2))</f>
        <v>ComboBox_TyHlo_tyosuhde#ei tietoa</v>
      </c>
      <c r="AY4" s="195" t="str">
        <f t="shared" ref="AY4" si="4">IF(H4&lt;&gt;"0",H4,"")&amp;IF(L4="-1"," &gt;saksa ","")&amp;IF(M4="-1"," &gt;ranska ","")</f>
        <v/>
      </c>
      <c r="AZ4">
        <f t="shared" ref="AZ4" si="5">IFERROR(VALUE(Y4),"")</f>
        <v>0</v>
      </c>
      <c r="BA4" t="e">
        <f>INDEX(Data_nimet!C:C,MATCH(A4,Data_nimet!A:A,0))&amp;" "&amp;INDEX(Data_nimet!D:D,MATCH(A4,Data_nimet!A:A,0))</f>
        <v>#N/A</v>
      </c>
      <c r="BB4" t="e">
        <f>INDEX(Data_nimet!F:F,MATCH(A4,Data_nimet!A:A,0))</f>
        <v>#N/A</v>
      </c>
      <c r="BC4" t="e">
        <f t="shared" ref="BC4" si="6">MATCH("OK",AU5:AU101,0)+ROW()</f>
        <v>#N/A</v>
      </c>
    </row>
  </sheetData>
  <phoneticPr fontId="64" type="noConversion"/>
  <conditionalFormatting sqref="A1:AS1 AZ1 BE1:XFD1 BA2">
    <cfRule type="containsText" dxfId="4" priority="1" operator="containsText" text="e">
      <formula>NOT(ISERROR(SEARCH("e",A1)))</formula>
    </cfRule>
  </conditionalFormatting>
  <pageMargins left="0.7" right="0.7" top="0.75" bottom="0.83333333333333337" header="0" footer="0"/>
  <pageSetup paperSize="9" orientation="portrait" r:id="rId1"/>
  <headerFooter>
    <oddFooter>&amp;L 
Etsivä org
Etsivätie 1
01000, E-kunta&amp;C&amp;G&amp;R&amp;P/&amp;N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ul4">
    <tabColor rgb="FFFF0000"/>
  </sheetPr>
  <dimension ref="A1:Q2"/>
  <sheetViews>
    <sheetView zoomScale="80" zoomScaleNormal="80" workbookViewId="0">
      <pane xSplit="2" ySplit="2" topLeftCell="C3" activePane="bottomRight" state="frozen"/>
      <selection activeCell="A3" sqref="A3"/>
      <selection pane="topRight" activeCell="A3" sqref="A3"/>
      <selection pane="bottomLeft" activeCell="A3" sqref="A3"/>
      <selection pane="bottomRight" activeCell="A3" sqref="A3"/>
    </sheetView>
  </sheetViews>
  <sheetFormatPr defaultRowHeight="15" x14ac:dyDescent="0.25"/>
  <cols>
    <col min="1" max="1" width="9.85546875" style="3"/>
    <col min="2" max="2" width="16.42578125" style="3" bestFit="1" customWidth="1"/>
    <col min="3" max="12" width="9.85546875" style="3"/>
    <col min="13" max="13" width="36" style="3" bestFit="1" customWidth="1"/>
    <col min="14" max="15" width="9.85546875" style="3"/>
  </cols>
  <sheetData>
    <row r="1" spans="1:17" x14ac:dyDescent="0.25">
      <c r="A1" s="13" t="s">
        <v>408</v>
      </c>
      <c r="B1" s="13" t="s">
        <v>408</v>
      </c>
      <c r="C1" s="15" t="s">
        <v>408</v>
      </c>
      <c r="D1" s="15" t="s">
        <v>408</v>
      </c>
      <c r="E1" s="15" t="s">
        <v>408</v>
      </c>
      <c r="F1" s="15" t="s">
        <v>408</v>
      </c>
      <c r="G1" s="15" t="s">
        <v>408</v>
      </c>
      <c r="H1" s="15" t="s">
        <v>408</v>
      </c>
      <c r="I1" s="15" t="s">
        <v>408</v>
      </c>
      <c r="J1" s="15" t="s">
        <v>408</v>
      </c>
      <c r="K1" s="15" t="s">
        <v>408</v>
      </c>
      <c r="L1" s="15" t="s">
        <v>408</v>
      </c>
      <c r="M1" s="13" t="s">
        <v>408</v>
      </c>
      <c r="N1" s="13" t="s">
        <v>408</v>
      </c>
      <c r="O1" s="13" t="s">
        <v>408</v>
      </c>
      <c r="P1" t="s">
        <v>408</v>
      </c>
      <c r="Q1" t="s">
        <v>408</v>
      </c>
    </row>
    <row r="2" spans="1:17" ht="60" x14ac:dyDescent="0.25">
      <c r="A2" s="190" t="s">
        <v>409</v>
      </c>
      <c r="B2" s="190" t="s">
        <v>410</v>
      </c>
      <c r="C2" s="190" t="s">
        <v>411</v>
      </c>
      <c r="D2" s="190" t="s">
        <v>412</v>
      </c>
      <c r="E2" s="190" t="s">
        <v>413</v>
      </c>
      <c r="F2" s="190" t="s">
        <v>414</v>
      </c>
      <c r="G2" s="190" t="s">
        <v>431</v>
      </c>
      <c r="H2" s="190" t="s">
        <v>432</v>
      </c>
      <c r="I2" s="190" t="s">
        <v>433</v>
      </c>
      <c r="J2" s="190" t="s">
        <v>434</v>
      </c>
      <c r="K2" s="190" t="s">
        <v>435</v>
      </c>
      <c r="L2" s="190" t="s">
        <v>436</v>
      </c>
      <c r="M2" s="190" t="s">
        <v>439</v>
      </c>
      <c r="N2" s="190" t="s">
        <v>437</v>
      </c>
      <c r="O2" s="190" t="s">
        <v>438</v>
      </c>
      <c r="P2" t="s">
        <v>652</v>
      </c>
      <c r="Q2" t="s">
        <v>653</v>
      </c>
    </row>
  </sheetData>
  <conditionalFormatting sqref="C1:L1">
    <cfRule type="containsText" dxfId="2" priority="4" operator="containsText" text="e">
      <formula>NOT(ISERROR(SEARCH("e",C1)))</formula>
    </cfRule>
  </conditionalFormatting>
  <conditionalFormatting sqref="N1:O1">
    <cfRule type="containsText" dxfId="0" priority="3" operator="containsText" text="e">
      <formula>NOT(ISERROR(SEARCH("e",N1)))</formula>
    </cfRule>
  </conditionalFormatting>
  <pageMargins left="0.7" right="0.7" top="0.75" bottom="0.83333333333333337" header="0" footer="0"/>
  <pageSetup paperSize="9" orientation="portrait" horizontalDpi="300" r:id="rId1"/>
  <headerFooter>
    <oddFooter>&amp;L 
Etsivä org
Etsivätie 1
01000, E-kunta&amp;C&amp;G&amp;R&amp;P/&amp;N</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text="e" id="{A76F58BA-42E3-47D7-9EBF-6D33CFB837C9}">
            <xm:f>NOT(ISERROR(SEARCH("e",Data_Kayttis!A1)))</xm:f>
            <x14:dxf>
              <fill>
                <patternFill>
                  <bgColor rgb="FFFF0000"/>
                </patternFill>
              </fill>
            </x14:dxf>
          </x14:cfRule>
          <xm:sqref>A1:B1</xm:sqref>
        </x14:conditionalFormatting>
        <x14:conditionalFormatting xmlns:xm="http://schemas.microsoft.com/office/excel/2006/main">
          <x14:cfRule type="containsText" priority="2" operator="containsText" text="e" id="{218C6AC6-9EE1-483D-A261-2B31A2914453}">
            <xm:f>NOT(ISERROR(SEARCH("e",Data_Kayttis!K1)))</xm:f>
            <x14:dxf>
              <fill>
                <patternFill>
                  <bgColor rgb="FFFF0000"/>
                </patternFill>
              </fill>
            </x14:dxf>
          </x14:cfRule>
          <xm:sqref>M1</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ul21">
    <tabColor rgb="FFFF0000"/>
  </sheetPr>
  <dimension ref="A1:AR1"/>
  <sheetViews>
    <sheetView zoomScale="70" zoomScaleNormal="70" workbookViewId="0">
      <selection activeCell="A3" sqref="A3"/>
    </sheetView>
  </sheetViews>
  <sheetFormatPr defaultColWidth="11" defaultRowHeight="15" x14ac:dyDescent="0.25"/>
  <cols>
    <col min="1" max="16384" width="11" style="3"/>
  </cols>
  <sheetData>
    <row r="1" spans="1:44" s="12" customFormat="1" x14ac:dyDescent="0.25">
      <c r="A1" s="1" t="s">
        <v>444</v>
      </c>
      <c r="B1" s="1" t="s">
        <v>445</v>
      </c>
      <c r="C1" s="1" t="s">
        <v>446</v>
      </c>
      <c r="D1" s="1" t="s">
        <v>447</v>
      </c>
      <c r="E1" s="1" t="s">
        <v>448</v>
      </c>
      <c r="F1" s="1" t="s">
        <v>449</v>
      </c>
      <c r="G1" s="1" t="s">
        <v>450</v>
      </c>
      <c r="H1" s="1" t="s">
        <v>451</v>
      </c>
      <c r="I1" s="1" t="s">
        <v>452</v>
      </c>
      <c r="J1" s="1" t="s">
        <v>453</v>
      </c>
      <c r="K1" s="1" t="s">
        <v>454</v>
      </c>
      <c r="L1" s="1" t="s">
        <v>455</v>
      </c>
      <c r="M1" s="1" t="s">
        <v>456</v>
      </c>
      <c r="N1" s="1" t="s">
        <v>457</v>
      </c>
      <c r="O1" s="1" t="s">
        <v>458</v>
      </c>
      <c r="P1" s="1" t="s">
        <v>459</v>
      </c>
      <c r="Q1" s="1" t="s">
        <v>460</v>
      </c>
      <c r="R1" s="1" t="s">
        <v>461</v>
      </c>
      <c r="S1" s="1" t="s">
        <v>462</v>
      </c>
      <c r="T1" s="1" t="s">
        <v>463</v>
      </c>
      <c r="U1" s="1" t="s">
        <v>464</v>
      </c>
      <c r="V1" s="1" t="s">
        <v>465</v>
      </c>
      <c r="W1" s="1" t="s">
        <v>466</v>
      </c>
      <c r="X1" s="1" t="s">
        <v>467</v>
      </c>
      <c r="Y1" s="1" t="s">
        <v>468</v>
      </c>
      <c r="Z1" s="1" t="s">
        <v>469</v>
      </c>
      <c r="AA1" s="1" t="s">
        <v>470</v>
      </c>
      <c r="AB1" s="1" t="s">
        <v>471</v>
      </c>
      <c r="AC1" s="1" t="s">
        <v>472</v>
      </c>
      <c r="AD1" s="1" t="s">
        <v>473</v>
      </c>
      <c r="AE1" s="1" t="s">
        <v>474</v>
      </c>
      <c r="AF1" s="1" t="s">
        <v>475</v>
      </c>
      <c r="AG1" s="1" t="s">
        <v>476</v>
      </c>
      <c r="AH1" s="1" t="s">
        <v>477</v>
      </c>
      <c r="AI1" s="1" t="s">
        <v>478</v>
      </c>
      <c r="AJ1" s="12" t="s">
        <v>707</v>
      </c>
      <c r="AK1" s="12" t="s">
        <v>708</v>
      </c>
      <c r="AL1" s="12" t="s">
        <v>709</v>
      </c>
      <c r="AM1" s="12" t="s">
        <v>710</v>
      </c>
      <c r="AN1" s="12" t="s">
        <v>711</v>
      </c>
      <c r="AO1" s="12" t="s">
        <v>712</v>
      </c>
      <c r="AP1" s="12" t="s">
        <v>713</v>
      </c>
      <c r="AQ1" s="12" t="s">
        <v>714</v>
      </c>
      <c r="AR1" s="12" t="s">
        <v>715</v>
      </c>
    </row>
  </sheetData>
  <pageMargins left="0.7" right="0.7" top="0.75" bottom="0.83333333333333337" header="0" footer="0"/>
  <pageSetup paperSize="9" orientation="portrait" r:id="rId1"/>
  <headerFooter>
    <oddFooter>&amp;L 
Etsivä org
Etsivätie 1
01000, E-kunta&amp;C&amp;G&amp;R&amp;P/&amp;N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FF0000"/>
  </sheetPr>
  <dimension ref="A1:BA1"/>
  <sheetViews>
    <sheetView zoomScale="80" zoomScaleNormal="80" workbookViewId="0">
      <pane xSplit="2" ySplit="1" topLeftCell="C2" activePane="bottomRight" state="frozen"/>
      <selection activeCell="A3" sqref="A3"/>
      <selection pane="topRight" activeCell="A3" sqref="A3"/>
      <selection pane="bottomLeft" activeCell="A3" sqref="A3"/>
      <selection pane="bottomRight" activeCell="A3" sqref="A3"/>
    </sheetView>
  </sheetViews>
  <sheetFormatPr defaultColWidth="16" defaultRowHeight="15" x14ac:dyDescent="0.25"/>
  <cols>
    <col min="1" max="2" width="16" style="3"/>
    <col min="3" max="3" width="35.140625" style="3" bestFit="1" customWidth="1"/>
    <col min="4" max="4" width="41.42578125" style="3" bestFit="1" customWidth="1"/>
    <col min="5" max="5" width="38.5703125" style="3" bestFit="1" customWidth="1"/>
    <col min="6" max="12" width="16" style="3"/>
    <col min="14" max="14" width="16" style="19"/>
    <col min="15" max="16" width="16" style="3"/>
    <col min="17" max="17" width="16" style="19"/>
    <col min="18" max="19" width="22.5703125" style="394" customWidth="1"/>
    <col min="20" max="22" width="16" style="3"/>
    <col min="54" max="16384" width="16" style="3"/>
  </cols>
  <sheetData>
    <row r="1" spans="1:23" s="12" customFormat="1" x14ac:dyDescent="0.25">
      <c r="A1" s="12" t="s">
        <v>185</v>
      </c>
      <c r="B1" s="12" t="s">
        <v>186</v>
      </c>
      <c r="C1" s="12" t="s">
        <v>187</v>
      </c>
      <c r="D1" s="12" t="s">
        <v>188</v>
      </c>
      <c r="E1" s="12" t="s">
        <v>189</v>
      </c>
      <c r="F1" s="12" t="s">
        <v>190</v>
      </c>
      <c r="G1" s="12" t="s">
        <v>191</v>
      </c>
      <c r="H1" s="12" t="s">
        <v>192</v>
      </c>
      <c r="I1" s="12" t="s">
        <v>193</v>
      </c>
      <c r="J1" s="12" t="s">
        <v>194</v>
      </c>
      <c r="K1" s="12" t="s">
        <v>1594</v>
      </c>
      <c r="L1" s="12" t="s">
        <v>195</v>
      </c>
      <c r="M1" s="1" t="s">
        <v>196</v>
      </c>
      <c r="N1" s="416" t="s">
        <v>197</v>
      </c>
      <c r="O1" s="12" t="s">
        <v>198</v>
      </c>
      <c r="P1" s="12" t="s">
        <v>199</v>
      </c>
      <c r="Q1" s="416" t="s">
        <v>200</v>
      </c>
      <c r="R1" s="415" t="s">
        <v>201</v>
      </c>
      <c r="S1" s="415" t="s">
        <v>202</v>
      </c>
      <c r="T1" s="12" t="s">
        <v>203</v>
      </c>
      <c r="U1" s="3" t="s">
        <v>204</v>
      </c>
      <c r="V1" s="3"/>
      <c r="W1" t="s">
        <v>1189</v>
      </c>
    </row>
  </sheetData>
  <autoFilter ref="A1:BA152" xr:uid="{00000000-0009-0000-0000-00000E000000}"/>
  <pageMargins left="0.7" right="0.7" top="0.75" bottom="0.83333333333333337" header="0" footer="0"/>
  <pageSetup paperSize="9" orientation="portrait" r:id="rId1"/>
  <headerFooter>
    <oddFooter>&amp;L 
Etsivä org
Etsivätie 1
01000, E-kunta&amp;C&amp;G&amp;R&amp;P/&amp;N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9B5D7-DDA8-45B0-8E95-C9E2A3E95AB9}">
  <sheetPr codeName="Taul13">
    <tabColor rgb="FF92D050"/>
  </sheetPr>
  <dimension ref="A1:AH73"/>
  <sheetViews>
    <sheetView showGridLines="0" zoomScaleNormal="100" workbookViewId="0">
      <pane xSplit="2" topLeftCell="C1" activePane="topRight" state="frozen"/>
      <selection activeCell="C13" sqref="C13"/>
      <selection pane="topRight" activeCell="B6" sqref="B6"/>
    </sheetView>
  </sheetViews>
  <sheetFormatPr defaultRowHeight="15" x14ac:dyDescent="0.25"/>
  <cols>
    <col min="1" max="1" width="48.5703125" customWidth="1"/>
    <col min="2" max="2" width="36.28515625" style="396" customWidth="1"/>
    <col min="3" max="26" width="36.42578125" customWidth="1"/>
    <col min="28" max="28" width="0" hidden="1" customWidth="1"/>
    <col min="29" max="29" width="24.42578125" hidden="1" customWidth="1"/>
    <col min="30" max="33" width="9.140625" hidden="1" customWidth="1"/>
    <col min="34" max="35" width="0" hidden="1" customWidth="1"/>
  </cols>
  <sheetData>
    <row r="1" spans="1:31" ht="18.75" x14ac:dyDescent="0.3">
      <c r="A1" s="306" t="s">
        <v>909</v>
      </c>
      <c r="C1" s="831" t="str">
        <f>"ETSIVÄT NUORISOTYÖNTEKIJÄT AIKAVÄLILLÄ: "&amp;TEXT(A2,"pp.kk.vvvv")&amp;"-"&amp;TEXT(A3,"pp.kk.vvvv")</f>
        <v>ETSIVÄT NUORISOTYÖNTEKIJÄT AIKAVÄLILLÄ: 01.01.2025-30.04.2025</v>
      </c>
      <c r="D1" s="831"/>
      <c r="E1" s="831"/>
      <c r="AC1" s="9" t="s">
        <v>731</v>
      </c>
      <c r="AE1" t="s">
        <v>953</v>
      </c>
    </row>
    <row r="2" spans="1:31" x14ac:dyDescent="0.25">
      <c r="A2" s="305">
        <f>Asiakastilastot!$A$2</f>
        <v>45658</v>
      </c>
      <c r="C2" s="452"/>
      <c r="D2" s="345" t="s">
        <v>82</v>
      </c>
      <c r="E2" s="345" t="s">
        <v>64</v>
      </c>
      <c r="AC2" s="9" t="s">
        <v>498</v>
      </c>
      <c r="AE2" t="s">
        <v>954</v>
      </c>
    </row>
    <row r="3" spans="1:31" x14ac:dyDescent="0.25">
      <c r="A3" s="305">
        <f>Asiakastilastot!$A$3</f>
        <v>45777</v>
      </c>
      <c r="B3"/>
      <c r="C3" s="453" t="s">
        <v>955</v>
      </c>
      <c r="D3" s="584">
        <f>SUM(C35:Z35)</f>
        <v>0</v>
      </c>
      <c r="E3" s="584">
        <f>SUMIFS(C35:Z35,C12:Z12,"Nainen")</f>
        <v>0</v>
      </c>
      <c r="AC3" s="9"/>
      <c r="AE3" t="s">
        <v>952</v>
      </c>
    </row>
    <row r="4" spans="1:31" ht="15" customHeight="1" x14ac:dyDescent="0.25">
      <c r="B4"/>
      <c r="C4" s="453" t="s">
        <v>957</v>
      </c>
      <c r="D4" s="584">
        <f>SUM(C34:Z34)</f>
        <v>0</v>
      </c>
      <c r="E4" s="584">
        <f>SUMIFS(C34:Z34,C12:Z12,"Nainen")</f>
        <v>0</v>
      </c>
      <c r="AC4" s="9"/>
    </row>
    <row r="5" spans="1:31" x14ac:dyDescent="0.25">
      <c r="A5" s="1" t="s">
        <v>951</v>
      </c>
      <c r="B5"/>
      <c r="AC5" s="9"/>
    </row>
    <row r="6" spans="1:31" x14ac:dyDescent="0.25">
      <c r="A6" s="448" t="s">
        <v>952</v>
      </c>
      <c r="B6"/>
    </row>
    <row r="7" spans="1:31" s="395" customFormat="1" ht="16.149999999999999" customHeight="1" x14ac:dyDescent="0.25">
      <c r="C7"/>
      <c r="D7"/>
      <c r="E7"/>
      <c r="F7"/>
      <c r="G7"/>
      <c r="AC7" s="395" t="s">
        <v>873</v>
      </c>
    </row>
    <row r="8" spans="1:31" x14ac:dyDescent="0.25">
      <c r="B8"/>
      <c r="C8" s="15" t="str">
        <f>IF(C37=17,"",IF(C37=0,"","Tietoja puuttuu! ("&amp; C37&amp;" kpl, tarkasta rivit)"))</f>
        <v/>
      </c>
      <c r="D8" s="15" t="str">
        <f t="shared" ref="D8:Z8" si="0">IF(D37=17,"",IF(D37=0,"","Tietoja puuttuu! ("&amp; D37&amp;" kpl, tarkasta rivit)"))</f>
        <v/>
      </c>
      <c r="E8" s="15" t="str">
        <f t="shared" si="0"/>
        <v/>
      </c>
      <c r="F8" s="15" t="str">
        <f t="shared" si="0"/>
        <v/>
      </c>
      <c r="G8" s="15" t="str">
        <f t="shared" si="0"/>
        <v/>
      </c>
      <c r="H8" s="15" t="str">
        <f t="shared" si="0"/>
        <v/>
      </c>
      <c r="I8" s="15" t="str">
        <f t="shared" si="0"/>
        <v/>
      </c>
      <c r="J8" s="15" t="str">
        <f t="shared" si="0"/>
        <v/>
      </c>
      <c r="K8" s="15" t="str">
        <f t="shared" si="0"/>
        <v/>
      </c>
      <c r="L8" s="15" t="str">
        <f t="shared" si="0"/>
        <v/>
      </c>
      <c r="M8" s="15" t="str">
        <f t="shared" si="0"/>
        <v/>
      </c>
      <c r="N8" s="15" t="str">
        <f t="shared" si="0"/>
        <v/>
      </c>
      <c r="O8" s="15" t="str">
        <f t="shared" si="0"/>
        <v/>
      </c>
      <c r="P8" s="15" t="str">
        <f t="shared" si="0"/>
        <v/>
      </c>
      <c r="Q8" s="15" t="str">
        <f t="shared" si="0"/>
        <v/>
      </c>
      <c r="R8" s="15" t="str">
        <f t="shared" si="0"/>
        <v/>
      </c>
      <c r="S8" s="15" t="str">
        <f t="shared" si="0"/>
        <v/>
      </c>
      <c r="T8" s="15" t="str">
        <f t="shared" si="0"/>
        <v/>
      </c>
      <c r="U8" s="15" t="str">
        <f t="shared" si="0"/>
        <v/>
      </c>
      <c r="V8" s="15" t="str">
        <f t="shared" si="0"/>
        <v/>
      </c>
      <c r="W8" s="15" t="str">
        <f t="shared" si="0"/>
        <v/>
      </c>
      <c r="X8" s="15" t="str">
        <f t="shared" si="0"/>
        <v/>
      </c>
      <c r="Y8" s="15" t="str">
        <f t="shared" si="0"/>
        <v/>
      </c>
      <c r="Z8" s="15" t="str">
        <f t="shared" si="0"/>
        <v/>
      </c>
      <c r="AC8" s="195" t="s">
        <v>874</v>
      </c>
    </row>
    <row r="9" spans="1:31" s="195" customFormat="1" x14ac:dyDescent="0.25">
      <c r="B9" s="462" t="s">
        <v>677</v>
      </c>
      <c r="C9" s="463" t="s">
        <v>849</v>
      </c>
      <c r="D9" s="464" t="s">
        <v>850</v>
      </c>
      <c r="E9" s="464" t="s">
        <v>851</v>
      </c>
      <c r="F9" s="464" t="s">
        <v>852</v>
      </c>
      <c r="G9" s="464" t="s">
        <v>853</v>
      </c>
      <c r="H9" s="464" t="s">
        <v>854</v>
      </c>
      <c r="I9" s="464" t="s">
        <v>855</v>
      </c>
      <c r="J9" s="464" t="s">
        <v>856</v>
      </c>
      <c r="K9" s="464" t="s">
        <v>857</v>
      </c>
      <c r="L9" s="464" t="s">
        <v>858</v>
      </c>
      <c r="M9" s="464" t="s">
        <v>859</v>
      </c>
      <c r="N9" s="464" t="s">
        <v>860</v>
      </c>
      <c r="O9" s="464" t="s">
        <v>861</v>
      </c>
      <c r="P9" s="464" t="s">
        <v>862</v>
      </c>
      <c r="Q9" s="464" t="s">
        <v>863</v>
      </c>
      <c r="R9" s="464" t="s">
        <v>864</v>
      </c>
      <c r="S9" s="464" t="s">
        <v>865</v>
      </c>
      <c r="T9" s="464" t="s">
        <v>866</v>
      </c>
      <c r="U9" s="464" t="s">
        <v>867</v>
      </c>
      <c r="V9" s="464" t="s">
        <v>868</v>
      </c>
      <c r="W9" s="464" t="s">
        <v>869</v>
      </c>
      <c r="X9" s="464" t="s">
        <v>870</v>
      </c>
      <c r="Y9" s="464" t="s">
        <v>871</v>
      </c>
      <c r="Z9" s="464" t="s">
        <v>872</v>
      </c>
      <c r="AC9" s="7" t="s">
        <v>879</v>
      </c>
      <c r="AD9" s="405" t="s">
        <v>840</v>
      </c>
      <c r="AE9" s="407" t="s">
        <v>880</v>
      </c>
    </row>
    <row r="10" spans="1:31" s="53" customFormat="1" ht="39" customHeight="1" x14ac:dyDescent="0.25">
      <c r="B10" s="467" t="s">
        <v>947</v>
      </c>
      <c r="C10" s="468" t="str">
        <f>IFERROR(INDEX(Data_Kayttis!$BA:$BA,Henkilöstö!C$36),"")</f>
        <v/>
      </c>
      <c r="D10" s="468" t="str">
        <f>IFERROR(INDEX(Data_Kayttis!$BA:$BA,Henkilöstö!D$36),"")</f>
        <v/>
      </c>
      <c r="E10" s="468" t="str">
        <f>IFERROR(INDEX(Data_Kayttis!$BA:$BA,Henkilöstö!E$36),"")</f>
        <v/>
      </c>
      <c r="F10" s="468" t="str">
        <f>IFERROR(INDEX(Data_Kayttis!$BA:$BA,Henkilöstö!F$36),"")</f>
        <v/>
      </c>
      <c r="G10" s="468" t="str">
        <f>IFERROR(INDEX(Data_Kayttis!$BA:$BA,Henkilöstö!G$36),"")</f>
        <v/>
      </c>
      <c r="H10" s="468" t="str">
        <f>IFERROR(INDEX(Data_Kayttis!$BA:$BA,Henkilöstö!H$36),"")</f>
        <v/>
      </c>
      <c r="I10" s="468" t="str">
        <f>IFERROR(INDEX(Data_Kayttis!$BA:$BA,Henkilöstö!I$36),"")</f>
        <v/>
      </c>
      <c r="J10" s="468" t="str">
        <f>IFERROR(INDEX(Data_Kayttis!$BA:$BA,Henkilöstö!J$36),"")</f>
        <v/>
      </c>
      <c r="K10" s="468" t="str">
        <f>IFERROR(INDEX(Data_Kayttis!$BA:$BA,Henkilöstö!K$36),"")</f>
        <v/>
      </c>
      <c r="L10" s="468" t="str">
        <f>IFERROR(INDEX(Data_Kayttis!$BA:$BA,Henkilöstö!L$36),"")</f>
        <v/>
      </c>
      <c r="M10" s="468" t="str">
        <f>IFERROR(INDEX(Data_Kayttis!$BA:$BA,Henkilöstö!M$36),"")</f>
        <v/>
      </c>
      <c r="N10" s="468" t="str">
        <f>IFERROR(INDEX(Data_Kayttis!$BA:$BA,Henkilöstö!N$36),"")</f>
        <v/>
      </c>
      <c r="O10" s="468" t="str">
        <f>IFERROR(INDEX(Data_Kayttis!$BA:$BA,Henkilöstö!O$36),"")</f>
        <v/>
      </c>
      <c r="P10" s="468" t="str">
        <f>IFERROR(INDEX(Data_Kayttis!$BA:$BA,Henkilöstö!P$36),"")</f>
        <v/>
      </c>
      <c r="Q10" s="468" t="str">
        <f>IFERROR(INDEX(Data_Kayttis!$BA:$BA,Henkilöstö!Q$36),"")</f>
        <v/>
      </c>
      <c r="R10" s="468" t="str">
        <f>IFERROR(INDEX(Data_Kayttis!$BA:$BA,Henkilöstö!R$36),"")</f>
        <v/>
      </c>
      <c r="S10" s="468" t="str">
        <f>IFERROR(INDEX(Data_Kayttis!$BA:$BA,Henkilöstö!S$36),"")</f>
        <v/>
      </c>
      <c r="T10" s="468" t="str">
        <f>IFERROR(INDEX(Data_Kayttis!$BA:$BA,Henkilöstö!T$36),"")</f>
        <v/>
      </c>
      <c r="U10" s="468" t="str">
        <f>IFERROR(INDEX(Data_Kayttis!$BA:$BA,Henkilöstö!U$36),"")</f>
        <v/>
      </c>
      <c r="V10" s="468" t="str">
        <f>IFERROR(INDEX(Data_Kayttis!$BA:$BA,Henkilöstö!V$36),"")</f>
        <v/>
      </c>
      <c r="W10" s="468" t="str">
        <f>IFERROR(INDEX(Data_Kayttis!$BA:$BA,Henkilöstö!W$36),"")</f>
        <v/>
      </c>
      <c r="X10" s="468" t="str">
        <f>IFERROR(INDEX(Data_Kayttis!$BA:$BA,Henkilöstö!X$36),"")</f>
        <v/>
      </c>
      <c r="Y10" s="468" t="str">
        <f>IFERROR(INDEX(Data_Kayttis!$BA:$BA,Henkilöstö!Y$36),"")</f>
        <v/>
      </c>
      <c r="Z10" s="468" t="str">
        <f>IFERROR(INDEX(Data_Kayttis!$BA:$BA,Henkilöstö!Z$36),"")</f>
        <v/>
      </c>
      <c r="AC10" s="7" t="s">
        <v>879</v>
      </c>
      <c r="AD10" s="405" t="s">
        <v>842</v>
      </c>
      <c r="AE10" s="407" t="s">
        <v>1</v>
      </c>
    </row>
    <row r="11" spans="1:31" x14ac:dyDescent="0.25">
      <c r="B11" s="456" t="s">
        <v>844</v>
      </c>
      <c r="C11" s="469" t="str">
        <f>IFERROR(INDEX(Data_Kayttis!$BB:$BB,Henkilöstö!C$36),"")</f>
        <v/>
      </c>
      <c r="D11" s="470" t="str">
        <f>IFERROR(INDEX(Data_Kayttis!$BB:$BB,Henkilöstö!D$36),"")</f>
        <v/>
      </c>
      <c r="E11" s="470" t="str">
        <f>IFERROR(INDEX(Data_Kayttis!$BB:$BB,Henkilöstö!E$36),"")</f>
        <v/>
      </c>
      <c r="F11" s="470" t="str">
        <f>IFERROR(INDEX(Data_Kayttis!$BB:$BB,Henkilöstö!F$36),"")</f>
        <v/>
      </c>
      <c r="G11" s="470" t="str">
        <f>IFERROR(INDEX(Data_Kayttis!$BB:$BB,Henkilöstö!G$36),"")</f>
        <v/>
      </c>
      <c r="H11" s="470" t="str">
        <f>IFERROR(INDEX(Data_Kayttis!$BB:$BB,Henkilöstö!H$36),"")</f>
        <v/>
      </c>
      <c r="I11" s="470" t="str">
        <f>IFERROR(INDEX(Data_Kayttis!$BB:$BB,Henkilöstö!I$36),"")</f>
        <v/>
      </c>
      <c r="J11" s="470" t="str">
        <f>IFERROR(INDEX(Data_Kayttis!$BB:$BB,Henkilöstö!J$36),"")</f>
        <v/>
      </c>
      <c r="K11" s="470" t="str">
        <f>IFERROR(INDEX(Data_Kayttis!$BB:$BB,Henkilöstö!K$36),"")</f>
        <v/>
      </c>
      <c r="L11" s="470" t="str">
        <f>IFERROR(INDEX(Data_Kayttis!$BB:$BB,Henkilöstö!L$36),"")</f>
        <v/>
      </c>
      <c r="M11" s="470" t="str">
        <f>IFERROR(INDEX(Data_Kayttis!$BB:$BB,Henkilöstö!M$36),"")</f>
        <v/>
      </c>
      <c r="N11" s="470" t="str">
        <f>IFERROR(INDEX(Data_Kayttis!$BB:$BB,Henkilöstö!N$36),"")</f>
        <v/>
      </c>
      <c r="O11" s="470" t="str">
        <f>IFERROR(INDEX(Data_Kayttis!$BB:$BB,Henkilöstö!O$36),"")</f>
        <v/>
      </c>
      <c r="P11" s="470" t="str">
        <f>IFERROR(INDEX(Data_Kayttis!$BB:$BB,Henkilöstö!P$36),"")</f>
        <v/>
      </c>
      <c r="Q11" s="470" t="str">
        <f>IFERROR(INDEX(Data_Kayttis!$BB:$BB,Henkilöstö!Q$36),"")</f>
        <v/>
      </c>
      <c r="R11" s="470" t="str">
        <f>IFERROR(INDEX(Data_Kayttis!$BB:$BB,Henkilöstö!R$36),"")</f>
        <v/>
      </c>
      <c r="S11" s="470" t="str">
        <f>IFERROR(INDEX(Data_Kayttis!$BB:$BB,Henkilöstö!S$36),"")</f>
        <v/>
      </c>
      <c r="T11" s="470" t="str">
        <f>IFERROR(INDEX(Data_Kayttis!$BB:$BB,Henkilöstö!T$36),"")</f>
        <v/>
      </c>
      <c r="U11" s="470" t="str">
        <f>IFERROR(INDEX(Data_Kayttis!$BB:$BB,Henkilöstö!U$36),"")</f>
        <v/>
      </c>
      <c r="V11" s="470" t="str">
        <f>IFERROR(INDEX(Data_Kayttis!$BB:$BB,Henkilöstö!V$36),"")</f>
        <v/>
      </c>
      <c r="W11" s="470" t="str">
        <f>IFERROR(INDEX(Data_Kayttis!$BB:$BB,Henkilöstö!W$36),"")</f>
        <v/>
      </c>
      <c r="X11" s="470" t="str">
        <f>IFERROR(INDEX(Data_Kayttis!$BB:$BB,Henkilöstö!X$36),"")</f>
        <v/>
      </c>
      <c r="Y11" s="470" t="str">
        <f>IFERROR(INDEX(Data_Kayttis!$BB:$BB,Henkilöstö!Y$36),"")</f>
        <v/>
      </c>
      <c r="Z11" s="470" t="str">
        <f>IFERROR(INDEX(Data_Kayttis!$BB:$BB,Henkilöstö!Z$36),"")</f>
        <v/>
      </c>
      <c r="AC11" s="445" t="s">
        <v>879</v>
      </c>
      <c r="AD11" s="446" t="s">
        <v>881</v>
      </c>
      <c r="AE11" s="447" t="s">
        <v>882</v>
      </c>
    </row>
    <row r="12" spans="1:31" s="19" customFormat="1" x14ac:dyDescent="0.25">
      <c r="B12" s="456" t="s">
        <v>590</v>
      </c>
      <c r="C12" s="470" t="str">
        <f>IFERROR(IF(RIGHT(INDEX(Data_Kayttis!$C:$C,Henkilöstö!C$36),1)="N","Nainen","Mies"),"")</f>
        <v/>
      </c>
      <c r="D12" s="470" t="str">
        <f>IFERROR(IF(RIGHT(INDEX(Data_Kayttis!$C:$C,Henkilöstö!D$36),1)="N","Nainen","Mies"),"")</f>
        <v/>
      </c>
      <c r="E12" s="470" t="str">
        <f>IFERROR(IF(RIGHT(INDEX(Data_Kayttis!$C:$C,Henkilöstö!E$36),1)="N","Nainen","Mies"),"")</f>
        <v/>
      </c>
      <c r="F12" s="470" t="str">
        <f>IFERROR(IF(RIGHT(INDEX(Data_Kayttis!$C:$C,Henkilöstö!F$36),1)="N","Nainen","Mies"),"")</f>
        <v/>
      </c>
      <c r="G12" s="470" t="str">
        <f>IFERROR(IF(RIGHT(INDEX(Data_Kayttis!$C:$C,Henkilöstö!G$36),1)="N","Nainen","Mies"),"")</f>
        <v/>
      </c>
      <c r="H12" s="470" t="str">
        <f>IFERROR(IF(RIGHT(INDEX(Data_Kayttis!$C:$C,Henkilöstö!H$36),1)="N","Nainen","Mies"),"")</f>
        <v/>
      </c>
      <c r="I12" s="470" t="str">
        <f>IFERROR(IF(RIGHT(INDEX(Data_Kayttis!$C:$C,Henkilöstö!I$36),1)="N","Nainen","Mies"),"")</f>
        <v/>
      </c>
      <c r="J12" s="470" t="str">
        <f>IFERROR(IF(RIGHT(INDEX(Data_Kayttis!$C:$C,Henkilöstö!J$36),1)="N","Nainen","Mies"),"")</f>
        <v/>
      </c>
      <c r="K12" s="470" t="str">
        <f>IFERROR(IF(RIGHT(INDEX(Data_Kayttis!$C:$C,Henkilöstö!K$36),1)="N","Nainen","Mies"),"")</f>
        <v/>
      </c>
      <c r="L12" s="470" t="str">
        <f>IFERROR(IF(RIGHT(INDEX(Data_Kayttis!$C:$C,Henkilöstö!L$36),1)="N","Nainen","Mies"),"")</f>
        <v/>
      </c>
      <c r="M12" s="470" t="str">
        <f>IFERROR(IF(RIGHT(INDEX(Data_Kayttis!$C:$C,Henkilöstö!M$36),1)="N","Nainen","Mies"),"")</f>
        <v/>
      </c>
      <c r="N12" s="470" t="str">
        <f>IFERROR(IF(RIGHT(INDEX(Data_Kayttis!$C:$C,Henkilöstö!N$36),1)="N","Nainen","Mies"),"")</f>
        <v/>
      </c>
      <c r="O12" s="470" t="str">
        <f>IFERROR(IF(RIGHT(INDEX(Data_Kayttis!$C:$C,Henkilöstö!O$36),1)="N","Nainen","Mies"),"")</f>
        <v/>
      </c>
      <c r="P12" s="470" t="str">
        <f>IFERROR(IF(RIGHT(INDEX(Data_Kayttis!$C:$C,Henkilöstö!P$36),1)="N","Nainen","Mies"),"")</f>
        <v/>
      </c>
      <c r="Q12" s="470" t="str">
        <f>IFERROR(IF(RIGHT(INDEX(Data_Kayttis!$C:$C,Henkilöstö!Q$36),1)="N","Nainen","Mies"),"")</f>
        <v/>
      </c>
      <c r="R12" s="470" t="str">
        <f>IFERROR(IF(RIGHT(INDEX(Data_Kayttis!$C:$C,Henkilöstö!R$36),1)="N","Nainen","Mies"),"")</f>
        <v/>
      </c>
      <c r="S12" s="470" t="str">
        <f>IFERROR(IF(RIGHT(INDEX(Data_Kayttis!$C:$C,Henkilöstö!S$36),1)="N","Nainen","Mies"),"")</f>
        <v/>
      </c>
      <c r="T12" s="470" t="str">
        <f>IFERROR(IF(RIGHT(INDEX(Data_Kayttis!$C:$C,Henkilöstö!T$36),1)="N","Nainen","Mies"),"")</f>
        <v/>
      </c>
      <c r="U12" s="470" t="str">
        <f>IFERROR(IF(RIGHT(INDEX(Data_Kayttis!$C:$C,Henkilöstö!U$36),1)="N","Nainen","Mies"),"")</f>
        <v/>
      </c>
      <c r="V12" s="470" t="str">
        <f>IFERROR(IF(RIGHT(INDEX(Data_Kayttis!$C:$C,Henkilöstö!V$36),1)="N","Nainen","Mies"),"")</f>
        <v/>
      </c>
      <c r="W12" s="470" t="str">
        <f>IFERROR(IF(RIGHT(INDEX(Data_Kayttis!$C:$C,Henkilöstö!W$36),1)="N","Nainen","Mies"),"")</f>
        <v/>
      </c>
      <c r="X12" s="470" t="str">
        <f>IFERROR(IF(RIGHT(INDEX(Data_Kayttis!$C:$C,Henkilöstö!X$36),1)="N","Nainen","Mies"),"")</f>
        <v/>
      </c>
      <c r="Y12" s="470" t="str">
        <f>IFERROR(IF(RIGHT(INDEX(Data_Kayttis!$C:$C,Henkilöstö!Y$36),1)="N","Nainen","Mies"),"")</f>
        <v/>
      </c>
      <c r="Z12" s="470" t="str">
        <f>IFERROR(IF(RIGHT(INDEX(Data_Kayttis!$C:$C,Henkilöstö!Z$36),1)="N","Nainen","Mies"),"")</f>
        <v/>
      </c>
      <c r="AC12" s="141" t="s">
        <v>879</v>
      </c>
      <c r="AD12" s="425" t="s">
        <v>883</v>
      </c>
      <c r="AE12" s="426" t="s">
        <v>884</v>
      </c>
    </row>
    <row r="13" spans="1:31" s="19" customFormat="1" x14ac:dyDescent="0.25">
      <c r="B13" s="460" t="s">
        <v>946</v>
      </c>
      <c r="C13" s="470" t="str">
        <f>IFERROR(IF(LEFT(INDEX(Data_Kayttis!$W:$W,Henkilöstö!C$36),5)="Combo",MID(INDEX(Data_Kayttis!$W:$W,Henkilöstö!C$36),25,40),INDEX(Data_Kayttis!$W:$W,Henkilöstö!C$36)),"")</f>
        <v/>
      </c>
      <c r="D13" s="470" t="str">
        <f>IFERROR(IF(LEFT(INDEX(Data_Kayttis!$W:$W,Henkilöstö!D$36),5)="Combo",MID(INDEX(Data_Kayttis!$W:$W,Henkilöstö!D$36),25,40),INDEX(Data_Kayttis!$W:$W,Henkilöstö!D$36)),"")</f>
        <v/>
      </c>
      <c r="E13" s="470" t="str">
        <f>IFERROR(IF(LEFT(INDEX(Data_Kayttis!$W:$W,Henkilöstö!E$36),5)="Combo",MID(INDEX(Data_Kayttis!$W:$W,Henkilöstö!E$36),25,40),INDEX(Data_Kayttis!$W:$W,Henkilöstö!E$36)),"")</f>
        <v/>
      </c>
      <c r="F13" s="470" t="str">
        <f>IFERROR(IF(LEFT(INDEX(Data_Kayttis!$W:$W,Henkilöstö!F$36),5)="Combo",MID(INDEX(Data_Kayttis!$W:$W,Henkilöstö!F$36),25,40),INDEX(Data_Kayttis!$W:$W,Henkilöstö!F$36)),"")</f>
        <v/>
      </c>
      <c r="G13" s="470" t="str">
        <f>IFERROR(IF(LEFT(INDEX(Data_Kayttis!$W:$W,Henkilöstö!G$36),5)="Combo",MID(INDEX(Data_Kayttis!$W:$W,Henkilöstö!G$36),25,40),INDEX(Data_Kayttis!$W:$W,Henkilöstö!G$36)),"")</f>
        <v/>
      </c>
      <c r="H13" s="470" t="str">
        <f>IFERROR(IF(LEFT(INDEX(Data_Kayttis!$W:$W,Henkilöstö!H$36),5)="Combo",MID(INDEX(Data_Kayttis!$W:$W,Henkilöstö!H$36),25,40),INDEX(Data_Kayttis!$W:$W,Henkilöstö!H$36)),"")</f>
        <v/>
      </c>
      <c r="I13" s="470" t="str">
        <f>IFERROR(IF(LEFT(INDEX(Data_Kayttis!$W:$W,Henkilöstö!I$36),5)="Combo",MID(INDEX(Data_Kayttis!$W:$W,Henkilöstö!I$36),25,40),INDEX(Data_Kayttis!$W:$W,Henkilöstö!I$36)),"")</f>
        <v/>
      </c>
      <c r="J13" s="470" t="str">
        <f>IFERROR(IF(LEFT(INDEX(Data_Kayttis!$W:$W,Henkilöstö!J$36),5)="Combo",MID(INDEX(Data_Kayttis!$W:$W,Henkilöstö!J$36),25,40),INDEX(Data_Kayttis!$W:$W,Henkilöstö!J$36)),"")</f>
        <v/>
      </c>
      <c r="K13" s="470" t="str">
        <f>IFERROR(IF(LEFT(INDEX(Data_Kayttis!$W:$W,Henkilöstö!K$36),5)="Combo",MID(INDEX(Data_Kayttis!$W:$W,Henkilöstö!K$36),25,40),INDEX(Data_Kayttis!$W:$W,Henkilöstö!K$36)),"")</f>
        <v/>
      </c>
      <c r="L13" s="470" t="str">
        <f>IFERROR(IF(LEFT(INDEX(Data_Kayttis!$W:$W,Henkilöstö!L$36),5)="Combo",MID(INDEX(Data_Kayttis!$W:$W,Henkilöstö!L$36),25,40),INDEX(Data_Kayttis!$W:$W,Henkilöstö!L$36)),"")</f>
        <v/>
      </c>
      <c r="M13" s="470" t="str">
        <f>IFERROR(IF(LEFT(INDEX(Data_Kayttis!$W:$W,Henkilöstö!M$36),5)="Combo",MID(INDEX(Data_Kayttis!$W:$W,Henkilöstö!M$36),25,40),INDEX(Data_Kayttis!$W:$W,Henkilöstö!M$36)),"")</f>
        <v/>
      </c>
      <c r="N13" s="470" t="str">
        <f>IFERROR(IF(LEFT(INDEX(Data_Kayttis!$W:$W,Henkilöstö!N$36),5)="Combo",MID(INDEX(Data_Kayttis!$W:$W,Henkilöstö!N$36),25,40),INDEX(Data_Kayttis!$W:$W,Henkilöstö!N$36)),"")</f>
        <v/>
      </c>
      <c r="O13" s="470" t="str">
        <f>IFERROR(IF(LEFT(INDEX(Data_Kayttis!$W:$W,Henkilöstö!O$36),5)="Combo",MID(INDEX(Data_Kayttis!$W:$W,Henkilöstö!O$36),25,40),INDEX(Data_Kayttis!$W:$W,Henkilöstö!O$36)),"")</f>
        <v/>
      </c>
      <c r="P13" s="470" t="str">
        <f>IFERROR(IF(LEFT(INDEX(Data_Kayttis!$W:$W,Henkilöstö!P$36),5)="Combo",MID(INDEX(Data_Kayttis!$W:$W,Henkilöstö!P$36),25,40),INDEX(Data_Kayttis!$W:$W,Henkilöstö!P$36)),"")</f>
        <v/>
      </c>
      <c r="Q13" s="470" t="str">
        <f>IFERROR(IF(LEFT(INDEX(Data_Kayttis!$W:$W,Henkilöstö!Q$36),5)="Combo",MID(INDEX(Data_Kayttis!$W:$W,Henkilöstö!Q$36),25,40),INDEX(Data_Kayttis!$W:$W,Henkilöstö!Q$36)),"")</f>
        <v/>
      </c>
      <c r="R13" s="470" t="str">
        <f>IFERROR(IF(LEFT(INDEX(Data_Kayttis!$W:$W,Henkilöstö!R$36),5)="Combo",MID(INDEX(Data_Kayttis!$W:$W,Henkilöstö!R$36),25,40),INDEX(Data_Kayttis!$W:$W,Henkilöstö!R$36)),"")</f>
        <v/>
      </c>
      <c r="S13" s="470" t="str">
        <f>IFERROR(IF(LEFT(INDEX(Data_Kayttis!$W:$W,Henkilöstö!S$36),5)="Combo",MID(INDEX(Data_Kayttis!$W:$W,Henkilöstö!S$36),25,40),INDEX(Data_Kayttis!$W:$W,Henkilöstö!S$36)),"")</f>
        <v/>
      </c>
      <c r="T13" s="470" t="str">
        <f>IFERROR(IF(LEFT(INDEX(Data_Kayttis!$W:$W,Henkilöstö!T$36),5)="Combo",MID(INDEX(Data_Kayttis!$W:$W,Henkilöstö!T$36),25,40),INDEX(Data_Kayttis!$W:$W,Henkilöstö!T$36)),"")</f>
        <v/>
      </c>
      <c r="U13" s="470" t="str">
        <f>IFERROR(IF(LEFT(INDEX(Data_Kayttis!$W:$W,Henkilöstö!U$36),5)="Combo",MID(INDEX(Data_Kayttis!$W:$W,Henkilöstö!U$36),25,40),INDEX(Data_Kayttis!$W:$W,Henkilöstö!U$36)),"")</f>
        <v/>
      </c>
      <c r="V13" s="470" t="str">
        <f>IFERROR(IF(LEFT(INDEX(Data_Kayttis!$W:$W,Henkilöstö!V$36),5)="Combo",MID(INDEX(Data_Kayttis!$W:$W,Henkilöstö!V$36),25,40),INDEX(Data_Kayttis!$W:$W,Henkilöstö!V$36)),"")</f>
        <v/>
      </c>
      <c r="W13" s="470" t="str">
        <f>IFERROR(IF(LEFT(INDEX(Data_Kayttis!$W:$W,Henkilöstö!W$36),5)="Combo",MID(INDEX(Data_Kayttis!$W:$W,Henkilöstö!W$36),25,40),INDEX(Data_Kayttis!$W:$W,Henkilöstö!W$36)),"")</f>
        <v/>
      </c>
      <c r="X13" s="470" t="str">
        <f>IFERROR(IF(LEFT(INDEX(Data_Kayttis!$W:$W,Henkilöstö!X$36),5)="Combo",MID(INDEX(Data_Kayttis!$W:$W,Henkilöstö!X$36),25,40),INDEX(Data_Kayttis!$W:$W,Henkilöstö!X$36)),"")</f>
        <v/>
      </c>
      <c r="Y13" s="470" t="str">
        <f>IFERROR(IF(LEFT(INDEX(Data_Kayttis!$W:$W,Henkilöstö!Y$36),5)="Combo",MID(INDEX(Data_Kayttis!$W:$W,Henkilöstö!Y$36),25,40),INDEX(Data_Kayttis!$W:$W,Henkilöstö!Y$36)),"")</f>
        <v/>
      </c>
      <c r="Z13" s="470"/>
      <c r="AC13" s="141" t="s">
        <v>879</v>
      </c>
      <c r="AD13" s="425" t="s">
        <v>885</v>
      </c>
      <c r="AE13" s="426" t="s">
        <v>886</v>
      </c>
    </row>
    <row r="14" spans="1:31" s="195" customFormat="1" x14ac:dyDescent="0.25">
      <c r="B14" s="461" t="s">
        <v>843</v>
      </c>
      <c r="C14" s="471" t="str">
        <f>IFERROR(INDEX(Data_Kayttis!$AZ:$AZ,Henkilöstö!C$36),"")</f>
        <v/>
      </c>
      <c r="D14" s="472" t="str">
        <f>IFERROR(INDEX(Data_Kayttis!$AZ:$AZ,Henkilöstö!D$36),"")</f>
        <v/>
      </c>
      <c r="E14" s="472" t="str">
        <f>IFERROR(INDEX(Data_Kayttis!$AZ:$AZ,Henkilöstö!E$36),"")</f>
        <v/>
      </c>
      <c r="F14" s="472" t="str">
        <f>IFERROR(INDEX(Data_Kayttis!$AZ:$AZ,Henkilöstö!F$36),"")</f>
        <v/>
      </c>
      <c r="G14" s="472" t="str">
        <f>IFERROR(INDEX(Data_Kayttis!$AZ:$AZ,Henkilöstö!G$36),"")</f>
        <v/>
      </c>
      <c r="H14" s="472" t="str">
        <f>IFERROR(INDEX(Data_Kayttis!$AZ:$AZ,Henkilöstö!H$36),"")</f>
        <v/>
      </c>
      <c r="I14" s="472" t="str">
        <f>IFERROR(INDEX(Data_Kayttis!$AZ:$AZ,Henkilöstö!I$36),"")</f>
        <v/>
      </c>
      <c r="J14" s="472" t="str">
        <f>IFERROR(INDEX(Data_Kayttis!$AZ:$AZ,Henkilöstö!J$36),"")</f>
        <v/>
      </c>
      <c r="K14" s="472" t="str">
        <f>IFERROR(INDEX(Data_Kayttis!$AZ:$AZ,Henkilöstö!K$36),"")</f>
        <v/>
      </c>
      <c r="L14" s="472" t="str">
        <f>IFERROR(INDEX(Data_Kayttis!$AZ:$AZ,Henkilöstö!L$36),"")</f>
        <v/>
      </c>
      <c r="M14" s="472" t="str">
        <f>IFERROR(INDEX(Data_Kayttis!$AZ:$AZ,Henkilöstö!M$36),"")</f>
        <v/>
      </c>
      <c r="N14" s="472" t="str">
        <f>IFERROR(INDEX(Data_Kayttis!$AZ:$AZ,Henkilöstö!N$36),"")</f>
        <v/>
      </c>
      <c r="O14" s="472" t="str">
        <f>IFERROR(INDEX(Data_Kayttis!$AZ:$AZ,Henkilöstö!O$36),"")</f>
        <v/>
      </c>
      <c r="P14" s="472" t="str">
        <f>IFERROR(INDEX(Data_Kayttis!$AZ:$AZ,Henkilöstö!P$36),"")</f>
        <v/>
      </c>
      <c r="Q14" s="472" t="str">
        <f>IFERROR(INDEX(Data_Kayttis!$AZ:$AZ,Henkilöstö!Q$36),"")</f>
        <v/>
      </c>
      <c r="R14" s="472" t="str">
        <f>IFERROR(INDEX(Data_Kayttis!$AZ:$AZ,Henkilöstö!R$36),"")</f>
        <v/>
      </c>
      <c r="S14" s="472" t="str">
        <f>IFERROR(INDEX(Data_Kayttis!$AZ:$AZ,Henkilöstö!S$36),"")</f>
        <v/>
      </c>
      <c r="T14" s="472" t="str">
        <f>IFERROR(INDEX(Data_Kayttis!$AZ:$AZ,Henkilöstö!T$36),"")</f>
        <v/>
      </c>
      <c r="U14" s="472" t="str">
        <f>IFERROR(INDEX(Data_Kayttis!$AZ:$AZ,Henkilöstö!U$36),"")</f>
        <v/>
      </c>
      <c r="V14" s="472" t="str">
        <f>IFERROR(INDEX(Data_Kayttis!$AZ:$AZ,Henkilöstö!V$36),"")</f>
        <v/>
      </c>
      <c r="W14" s="472" t="str">
        <f>IFERROR(INDEX(Data_Kayttis!$AZ:$AZ,Henkilöstö!W$36),"")</f>
        <v/>
      </c>
      <c r="X14" s="472" t="str">
        <f>IFERROR(INDEX(Data_Kayttis!$AZ:$AZ,Henkilöstö!X$36),"")</f>
        <v/>
      </c>
      <c r="Y14" s="472" t="str">
        <f>IFERROR(INDEX(Data_Kayttis!$AZ:$AZ,Henkilöstö!Y$36),"")</f>
        <v/>
      </c>
      <c r="Z14" s="472" t="str">
        <f>IFERROR(INDEX(Data_Kayttis!$AZ:$AZ,Henkilöstö!Z$36),"")</f>
        <v/>
      </c>
      <c r="AC14" s="402" t="s">
        <v>879</v>
      </c>
      <c r="AD14" s="403" t="s">
        <v>887</v>
      </c>
      <c r="AE14" s="404" t="s">
        <v>888</v>
      </c>
    </row>
    <row r="15" spans="1:31" ht="27" customHeight="1" x14ac:dyDescent="0.25">
      <c r="B15" s="466" t="s">
        <v>1620</v>
      </c>
      <c r="C15" s="473"/>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C15" s="7" t="s">
        <v>879</v>
      </c>
      <c r="AD15" s="405" t="s">
        <v>889</v>
      </c>
      <c r="AE15" s="407" t="s">
        <v>890</v>
      </c>
    </row>
    <row r="16" spans="1:31" ht="24" x14ac:dyDescent="0.25">
      <c r="B16" s="457" t="s">
        <v>948</v>
      </c>
      <c r="C16" s="475" t="str">
        <f>IFERROR(VALUE(INDEX(Data_Kayttis!$S:$S,Henkilöstö!C$36)),"")</f>
        <v/>
      </c>
      <c r="D16" s="476" t="str">
        <f>IFERROR(VALUE(INDEX(Data_Kayttis!$S:$S,Henkilöstö!D$36)),"")</f>
        <v/>
      </c>
      <c r="E16" s="476" t="str">
        <f>IFERROR(VALUE(INDEX(Data_Kayttis!$S:$S,Henkilöstö!E$36)),"")</f>
        <v/>
      </c>
      <c r="F16" s="476" t="str">
        <f>IFERROR(VALUE(INDEX(Data_Kayttis!$S:$S,Henkilöstö!F$36)),"")</f>
        <v/>
      </c>
      <c r="G16" s="476" t="str">
        <f>IFERROR(VALUE(INDEX(Data_Kayttis!$S:$S,Henkilöstö!G$36)),"")</f>
        <v/>
      </c>
      <c r="H16" s="476" t="str">
        <f>IFERROR(VALUE(INDEX(Data_Kayttis!$S:$S,Henkilöstö!H$36)),"")</f>
        <v/>
      </c>
      <c r="I16" s="476" t="str">
        <f>IFERROR(VALUE(INDEX(Data_Kayttis!$S:$S,Henkilöstö!I$36)),"")</f>
        <v/>
      </c>
      <c r="J16" s="476" t="str">
        <f>IFERROR(VALUE(INDEX(Data_Kayttis!$S:$S,Henkilöstö!J$36)),"")</f>
        <v/>
      </c>
      <c r="K16" s="476" t="str">
        <f>IFERROR(VALUE(INDEX(Data_Kayttis!$S:$S,Henkilöstö!K$36)),"")</f>
        <v/>
      </c>
      <c r="L16" s="476" t="str">
        <f>IFERROR(VALUE(INDEX(Data_Kayttis!$S:$S,Henkilöstö!L$36)),"")</f>
        <v/>
      </c>
      <c r="M16" s="476" t="str">
        <f>IFERROR(VALUE(INDEX(Data_Kayttis!$S:$S,Henkilöstö!M$36)),"")</f>
        <v/>
      </c>
      <c r="N16" s="476" t="str">
        <f>IFERROR(VALUE(INDEX(Data_Kayttis!$S:$S,Henkilöstö!N$36)),"")</f>
        <v/>
      </c>
      <c r="O16" s="476" t="str">
        <f>IFERROR(VALUE(INDEX(Data_Kayttis!$S:$S,Henkilöstö!O$36)),"")</f>
        <v/>
      </c>
      <c r="P16" s="476" t="str">
        <f>IFERROR(VALUE(INDEX(Data_Kayttis!$S:$S,Henkilöstö!P$36)),"")</f>
        <v/>
      </c>
      <c r="Q16" s="476" t="str">
        <f>IFERROR(VALUE(INDEX(Data_Kayttis!$S:$S,Henkilöstö!Q$36)),"")</f>
        <v/>
      </c>
      <c r="R16" s="476" t="str">
        <f>IFERROR(VALUE(INDEX(Data_Kayttis!$S:$S,Henkilöstö!R$36)),"")</f>
        <v/>
      </c>
      <c r="S16" s="476" t="str">
        <f>IFERROR(VALUE(INDEX(Data_Kayttis!$S:$S,Henkilöstö!S$36)),"")</f>
        <v/>
      </c>
      <c r="T16" s="476" t="str">
        <f>IFERROR(VALUE(INDEX(Data_Kayttis!$S:$S,Henkilöstö!T$36)),"")</f>
        <v/>
      </c>
      <c r="U16" s="476" t="str">
        <f>IFERROR(VALUE(INDEX(Data_Kayttis!$S:$S,Henkilöstö!U$36)),"")</f>
        <v/>
      </c>
      <c r="V16" s="476" t="str">
        <f>IFERROR(VALUE(INDEX(Data_Kayttis!$S:$S,Henkilöstö!V$36)),"")</f>
        <v/>
      </c>
      <c r="W16" s="476" t="str">
        <f>IFERROR(VALUE(INDEX(Data_Kayttis!$S:$S,Henkilöstö!W$36)),"")</f>
        <v/>
      </c>
      <c r="X16" s="476" t="str">
        <f>IFERROR(VALUE(INDEX(Data_Kayttis!$S:$S,Henkilöstö!X$36)),"")</f>
        <v/>
      </c>
      <c r="Y16" s="476" t="str">
        <f>IFERROR(VALUE(INDEX(Data_Kayttis!$S:$S,Henkilöstö!Y$36)),"")</f>
        <v/>
      </c>
      <c r="Z16" s="476" t="str">
        <f>IFERROR(VALUE(INDEX(Data_Kayttis!$S:$S,Henkilöstö!Z$36)),"")</f>
        <v/>
      </c>
      <c r="AC16" s="7" t="s">
        <v>879</v>
      </c>
      <c r="AD16" s="405" t="s">
        <v>891</v>
      </c>
      <c r="AE16" s="407" t="s">
        <v>2</v>
      </c>
    </row>
    <row r="17" spans="2:34" x14ac:dyDescent="0.25">
      <c r="B17" s="458" t="s">
        <v>943</v>
      </c>
      <c r="C17" s="475" t="str">
        <f>IFERROR(IF(INDEX(Data_Kayttis!$T:$T,Henkilöstö!C$36)="","Työsuhde jatkuu",VALUE(INDEX(Data_Kayttis!$T:$T,Henkilöstö!C$36))),"")</f>
        <v/>
      </c>
      <c r="D17" s="476" t="str">
        <f>IFERROR(IF(INDEX(Data_Kayttis!$T:$T,Henkilöstö!D$36)="","Työsuhde jatkuu",VALUE(INDEX(Data_Kayttis!$T:$T,Henkilöstö!D$36))),"")</f>
        <v/>
      </c>
      <c r="E17" s="476" t="str">
        <f>IFERROR(IF(INDEX(Data_Kayttis!$T:$T,Henkilöstö!E$36)="","Työsuhde jatkuu",VALUE(INDEX(Data_Kayttis!$T:$T,Henkilöstö!E$36))),"")</f>
        <v/>
      </c>
      <c r="F17" s="476" t="str">
        <f>IFERROR(IF(INDEX(Data_Kayttis!$T:$T,Henkilöstö!F$36)="","Työsuhde jatkuu",VALUE(INDEX(Data_Kayttis!$T:$T,Henkilöstö!F$36))),"")</f>
        <v/>
      </c>
      <c r="G17" s="476" t="str">
        <f>IFERROR(IF(INDEX(Data_Kayttis!$T:$T,Henkilöstö!G$36)="","Työsuhde jatkuu",VALUE(INDEX(Data_Kayttis!$T:$T,Henkilöstö!G$36))),"")</f>
        <v/>
      </c>
      <c r="H17" s="476" t="str">
        <f>IFERROR(IF(INDEX(Data_Kayttis!$T:$T,Henkilöstö!H$36)="","Työsuhde jatkuu",VALUE(INDEX(Data_Kayttis!$T:$T,Henkilöstö!H$36))),"")</f>
        <v/>
      </c>
      <c r="I17" s="476" t="str">
        <f>IFERROR(IF(INDEX(Data_Kayttis!$T:$T,Henkilöstö!I$36)="","Työsuhde jatkuu",VALUE(INDEX(Data_Kayttis!$T:$T,Henkilöstö!I$36))),"")</f>
        <v/>
      </c>
      <c r="J17" s="476" t="str">
        <f>IFERROR(IF(INDEX(Data_Kayttis!$T:$T,Henkilöstö!J$36)="","Työsuhde jatkuu",VALUE(INDEX(Data_Kayttis!$T:$T,Henkilöstö!J$36))),"")</f>
        <v/>
      </c>
      <c r="K17" s="476" t="str">
        <f>IFERROR(IF(INDEX(Data_Kayttis!$T:$T,Henkilöstö!K$36)="","Työsuhde jatkuu",VALUE(INDEX(Data_Kayttis!$T:$T,Henkilöstö!K$36))),"")</f>
        <v/>
      </c>
      <c r="L17" s="476" t="str">
        <f>IFERROR(IF(INDEX(Data_Kayttis!$T:$T,Henkilöstö!L$36)="","Työsuhde jatkuu",VALUE(INDEX(Data_Kayttis!$T:$T,Henkilöstö!L$36))),"")</f>
        <v/>
      </c>
      <c r="M17" s="476" t="str">
        <f>IFERROR(IF(INDEX(Data_Kayttis!$T:$T,Henkilöstö!M$36)="","Työsuhde jatkuu",VALUE(INDEX(Data_Kayttis!$T:$T,Henkilöstö!M$36))),"")</f>
        <v/>
      </c>
      <c r="N17" s="476" t="str">
        <f>IFERROR(IF(INDEX(Data_Kayttis!$T:$T,Henkilöstö!N$36)="","Työsuhde jatkuu",VALUE(INDEX(Data_Kayttis!$T:$T,Henkilöstö!N$36))),"")</f>
        <v/>
      </c>
      <c r="O17" s="476" t="str">
        <f>IFERROR(IF(INDEX(Data_Kayttis!$T:$T,Henkilöstö!O$36)="","Työsuhde jatkuu",VALUE(INDEX(Data_Kayttis!$T:$T,Henkilöstö!O$36))),"")</f>
        <v/>
      </c>
      <c r="P17" s="476" t="str">
        <f>IFERROR(IF(INDEX(Data_Kayttis!$T:$T,Henkilöstö!P$36)="","Työsuhde jatkuu",VALUE(INDEX(Data_Kayttis!$T:$T,Henkilöstö!P$36))),"")</f>
        <v/>
      </c>
      <c r="Q17" s="476" t="str">
        <f>IFERROR(IF(INDEX(Data_Kayttis!$T:$T,Henkilöstö!Q$36)="","Työsuhde jatkuu",VALUE(INDEX(Data_Kayttis!$T:$T,Henkilöstö!Q$36))),"")</f>
        <v/>
      </c>
      <c r="R17" s="476" t="str">
        <f>IFERROR(IF(INDEX(Data_Kayttis!$T:$T,Henkilöstö!R$36)="","Työsuhde jatkuu",VALUE(INDEX(Data_Kayttis!$T:$T,Henkilöstö!R$36))),"")</f>
        <v/>
      </c>
      <c r="S17" s="476" t="str">
        <f>IFERROR(IF(INDEX(Data_Kayttis!$T:$T,Henkilöstö!S$36)="","Työsuhde jatkuu",VALUE(INDEX(Data_Kayttis!$T:$T,Henkilöstö!S$36))),"")</f>
        <v/>
      </c>
      <c r="T17" s="476" t="str">
        <f>IFERROR(IF(INDEX(Data_Kayttis!$T:$T,Henkilöstö!T$36)="","Työsuhde jatkuu",VALUE(INDEX(Data_Kayttis!$T:$T,Henkilöstö!T$36))),"")</f>
        <v/>
      </c>
      <c r="U17" s="476" t="str">
        <f>IFERROR(IF(INDEX(Data_Kayttis!$T:$T,Henkilöstö!U$36)="","Työsuhde jatkuu",VALUE(INDEX(Data_Kayttis!$T:$T,Henkilöstö!U$36))),"")</f>
        <v/>
      </c>
      <c r="V17" s="476" t="str">
        <f>IFERROR(IF(INDEX(Data_Kayttis!$T:$T,Henkilöstö!V$36)="","Työsuhde jatkuu",VALUE(INDEX(Data_Kayttis!$T:$T,Henkilöstö!V$36))),"")</f>
        <v/>
      </c>
      <c r="W17" s="476" t="str">
        <f>IFERROR(IF(INDEX(Data_Kayttis!$T:$T,Henkilöstö!W$36)="","Työsuhde jatkuu",VALUE(INDEX(Data_Kayttis!$T:$T,Henkilöstö!W$36))),"")</f>
        <v/>
      </c>
      <c r="X17" s="476" t="str">
        <f>IFERROR(IF(INDEX(Data_Kayttis!$T:$T,Henkilöstö!X$36)="","Työsuhde jatkuu",VALUE(INDEX(Data_Kayttis!$T:$T,Henkilöstö!X$36))),"")</f>
        <v/>
      </c>
      <c r="Y17" s="476" t="str">
        <f>IFERROR(IF(INDEX(Data_Kayttis!$T:$T,Henkilöstö!Y$36)="","Työsuhde jatkuu",VALUE(INDEX(Data_Kayttis!$T:$T,Henkilöstö!Y$36))),"")</f>
        <v/>
      </c>
      <c r="Z17" s="476" t="str">
        <f>IFERROR(IF(INDEX(Data_Kayttis!$T:$T,Henkilöstö!Z$36)="","Työsuhde jatkuu",VALUE(INDEX(Data_Kayttis!$T:$T,Henkilöstö!Z$36))),"")</f>
        <v/>
      </c>
    </row>
    <row r="18" spans="2:34" ht="24" x14ac:dyDescent="0.25">
      <c r="B18" s="459" t="s">
        <v>845</v>
      </c>
      <c r="C18" s="471" t="str">
        <f>IFERROR(INDEX(Data_Kayttis!$E:$E,Henkilöstö!C$36),"")</f>
        <v/>
      </c>
      <c r="D18" s="472" t="str">
        <f>IFERROR(INDEX(Data_Kayttis!$E:$E,Henkilöstö!D$36),"")</f>
        <v/>
      </c>
      <c r="E18" s="472" t="str">
        <f>IFERROR(INDEX(Data_Kayttis!$E:$E,Henkilöstö!E$36),"")</f>
        <v/>
      </c>
      <c r="F18" s="472" t="str">
        <f>IFERROR(INDEX(Data_Kayttis!$E:$E,Henkilöstö!F$36),"")</f>
        <v/>
      </c>
      <c r="G18" s="472" t="str">
        <f>IFERROR(INDEX(Data_Kayttis!$E:$E,Henkilöstö!G$36),"")</f>
        <v/>
      </c>
      <c r="H18" s="472" t="str">
        <f>IFERROR(INDEX(Data_Kayttis!$E:$E,Henkilöstö!H$36),"")</f>
        <v/>
      </c>
      <c r="I18" s="472" t="str">
        <f>IFERROR(INDEX(Data_Kayttis!$E:$E,Henkilöstö!I$36),"")</f>
        <v/>
      </c>
      <c r="J18" s="472" t="str">
        <f>IFERROR(INDEX(Data_Kayttis!$E:$E,Henkilöstö!J$36),"")</f>
        <v/>
      </c>
      <c r="K18" s="472" t="str">
        <f>IFERROR(INDEX(Data_Kayttis!$E:$E,Henkilöstö!K$36),"")</f>
        <v/>
      </c>
      <c r="L18" s="472" t="str">
        <f>IFERROR(INDEX(Data_Kayttis!$E:$E,Henkilöstö!L$36),"")</f>
        <v/>
      </c>
      <c r="M18" s="472" t="str">
        <f>IFERROR(INDEX(Data_Kayttis!$E:$E,Henkilöstö!M$36),"")</f>
        <v/>
      </c>
      <c r="N18" s="472" t="str">
        <f>IFERROR(INDEX(Data_Kayttis!$E:$E,Henkilöstö!N$36),"")</f>
        <v/>
      </c>
      <c r="O18" s="472" t="str">
        <f>IFERROR(INDEX(Data_Kayttis!$E:$E,Henkilöstö!O$36),"")</f>
        <v/>
      </c>
      <c r="P18" s="472" t="str">
        <f>IFERROR(INDEX(Data_Kayttis!$E:$E,Henkilöstö!P$36),"")</f>
        <v/>
      </c>
      <c r="Q18" s="472" t="str">
        <f>IFERROR(INDEX(Data_Kayttis!$E:$E,Henkilöstö!Q$36),"")</f>
        <v/>
      </c>
      <c r="R18" s="472" t="str">
        <f>IFERROR(INDEX(Data_Kayttis!$E:$E,Henkilöstö!R$36),"")</f>
        <v/>
      </c>
      <c r="S18" s="472" t="str">
        <f>IFERROR(INDEX(Data_Kayttis!$E:$E,Henkilöstö!S$36),"")</f>
        <v/>
      </c>
      <c r="T18" s="472" t="str">
        <f>IFERROR(INDEX(Data_Kayttis!$E:$E,Henkilöstö!T$36),"")</f>
        <v/>
      </c>
      <c r="U18" s="472" t="str">
        <f>IFERROR(INDEX(Data_Kayttis!$E:$E,Henkilöstö!U$36),"")</f>
        <v/>
      </c>
      <c r="V18" s="472" t="str">
        <f>IFERROR(INDEX(Data_Kayttis!$E:$E,Henkilöstö!V$36),"")</f>
        <v/>
      </c>
      <c r="W18" s="472" t="str">
        <f>IFERROR(INDEX(Data_Kayttis!$E:$E,Henkilöstö!W$36),"")</f>
        <v/>
      </c>
      <c r="X18" s="472" t="str">
        <f>IFERROR(INDEX(Data_Kayttis!$E:$E,Henkilöstö!X$36),"")</f>
        <v/>
      </c>
      <c r="Y18" s="472" t="str">
        <f>IFERROR(INDEX(Data_Kayttis!$E:$E,Henkilöstö!Y$36),"")</f>
        <v/>
      </c>
      <c r="Z18" s="472" t="str">
        <f>IFERROR(INDEX(Data_Kayttis!$E:$E,Henkilöstö!Z$36),"")</f>
        <v/>
      </c>
    </row>
    <row r="19" spans="2:34" ht="36" x14ac:dyDescent="0.25">
      <c r="B19" s="401" t="s">
        <v>949</v>
      </c>
      <c r="C19" s="477" t="str">
        <f>IFERROR(IF(LEFT(INDEX(Data_Kayttis!$F:$F,Henkilöstö!C$36),5)="Combo",MID(INDEX(Data_Kayttis!$F:$F,Henkilöstö!C$36),25,40),IF(INDEX(Data_Kayttis!$F:$F,Henkilöstö!C$36)="","","muu koulutus")),"")</f>
        <v/>
      </c>
      <c r="D19" s="478" t="str">
        <f>IFERROR(IF(LEFT(INDEX(Data_Kayttis!$F:$F,Henkilöstö!D$36),5)="Combo",MID(INDEX(Data_Kayttis!$F:$F,Henkilöstö!D$36),25,40),IF(INDEX(Data_Kayttis!$F:$F,Henkilöstö!D$36)="","","muu koulutus")),"")</f>
        <v/>
      </c>
      <c r="E19" s="478" t="str">
        <f>IFERROR(IF(LEFT(INDEX(Data_Kayttis!$F:$F,Henkilöstö!E$36),5)="Combo",MID(INDEX(Data_Kayttis!$F:$F,Henkilöstö!E$36),25,40),IF(INDEX(Data_Kayttis!$F:$F,Henkilöstö!E$36)="","","muu koulutus")),"")</f>
        <v/>
      </c>
      <c r="F19" s="478" t="str">
        <f>IFERROR(IF(LEFT(INDEX(Data_Kayttis!$F:$F,Henkilöstö!F$36),5)="Combo",MID(INDEX(Data_Kayttis!$F:$F,Henkilöstö!F$36),25,40),IF(INDEX(Data_Kayttis!$F:$F,Henkilöstö!F$36)="","","muu koulutus")),"")</f>
        <v/>
      </c>
      <c r="G19" s="478" t="str">
        <f>IFERROR(IF(LEFT(INDEX(Data_Kayttis!$F:$F,Henkilöstö!G$36),5)="Combo",MID(INDEX(Data_Kayttis!$F:$F,Henkilöstö!G$36),25,40),IF(INDEX(Data_Kayttis!$F:$F,Henkilöstö!G$36)="","","muu koulutus")),"")</f>
        <v/>
      </c>
      <c r="H19" s="478" t="str">
        <f>IFERROR(IF(LEFT(INDEX(Data_Kayttis!$F:$F,Henkilöstö!H$36),5)="Combo",MID(INDEX(Data_Kayttis!$F:$F,Henkilöstö!H$36),25,40),IF(INDEX(Data_Kayttis!$F:$F,Henkilöstö!H$36)="","","muu koulutus")),"")</f>
        <v/>
      </c>
      <c r="I19" s="478" t="str">
        <f>IFERROR(IF(LEFT(INDEX(Data_Kayttis!$F:$F,Henkilöstö!I$36),5)="Combo",MID(INDEX(Data_Kayttis!$F:$F,Henkilöstö!I$36),25,40),IF(INDEX(Data_Kayttis!$F:$F,Henkilöstö!I$36)="","","muu koulutus")),"")</f>
        <v/>
      </c>
      <c r="J19" s="478" t="str">
        <f>IFERROR(IF(LEFT(INDEX(Data_Kayttis!$F:$F,Henkilöstö!J$36),5)="Combo",MID(INDEX(Data_Kayttis!$F:$F,Henkilöstö!J$36),25,40),IF(INDEX(Data_Kayttis!$F:$F,Henkilöstö!J$36)="","","muu koulutus")),"")</f>
        <v/>
      </c>
      <c r="K19" s="478" t="str">
        <f>IFERROR(IF(LEFT(INDEX(Data_Kayttis!$F:$F,Henkilöstö!K$36),5)="Combo",MID(INDEX(Data_Kayttis!$F:$F,Henkilöstö!K$36),25,40),IF(INDEX(Data_Kayttis!$F:$F,Henkilöstö!K$36)="","","muu koulutus")),"")</f>
        <v/>
      </c>
      <c r="L19" s="478" t="str">
        <f>IFERROR(IF(LEFT(INDEX(Data_Kayttis!$F:$F,Henkilöstö!L$36),5)="Combo",MID(INDEX(Data_Kayttis!$F:$F,Henkilöstö!L$36),25,40),IF(INDEX(Data_Kayttis!$F:$F,Henkilöstö!L$36)="","","muu koulutus")),"")</f>
        <v/>
      </c>
      <c r="M19" s="478" t="str">
        <f>IFERROR(IF(LEFT(INDEX(Data_Kayttis!$F:$F,Henkilöstö!M$36),5)="Combo",MID(INDEX(Data_Kayttis!$F:$F,Henkilöstö!M$36),25,40),IF(INDEX(Data_Kayttis!$F:$F,Henkilöstö!M$36)="","","muu koulutus")),"")</f>
        <v/>
      </c>
      <c r="N19" s="478" t="str">
        <f>IFERROR(IF(LEFT(INDEX(Data_Kayttis!$F:$F,Henkilöstö!N$36),5)="Combo",MID(INDEX(Data_Kayttis!$F:$F,Henkilöstö!N$36),25,40),IF(INDEX(Data_Kayttis!$F:$F,Henkilöstö!N$36)="","","muu koulutus")),"")</f>
        <v/>
      </c>
      <c r="O19" s="478" t="str">
        <f>IFERROR(IF(LEFT(INDEX(Data_Kayttis!$F:$F,Henkilöstö!O$36),5)="Combo",MID(INDEX(Data_Kayttis!$F:$F,Henkilöstö!O$36),25,40),IF(INDEX(Data_Kayttis!$F:$F,Henkilöstö!O$36)="","","muu koulutus")),"")</f>
        <v/>
      </c>
      <c r="P19" s="478" t="str">
        <f>IFERROR(IF(LEFT(INDEX(Data_Kayttis!$F:$F,Henkilöstö!P$36),5)="Combo",MID(INDEX(Data_Kayttis!$F:$F,Henkilöstö!P$36),25,40),IF(INDEX(Data_Kayttis!$F:$F,Henkilöstö!P$36)="","","muu koulutus")),"")</f>
        <v/>
      </c>
      <c r="Q19" s="478" t="str">
        <f>IFERROR(IF(LEFT(INDEX(Data_Kayttis!$F:$F,Henkilöstö!Q$36),5)="Combo",MID(INDEX(Data_Kayttis!$F:$F,Henkilöstö!Q$36),25,40),IF(INDEX(Data_Kayttis!$F:$F,Henkilöstö!Q$36)="","","muu koulutus")),"")</f>
        <v/>
      </c>
      <c r="R19" s="478" t="str">
        <f>IFERROR(IF(LEFT(INDEX(Data_Kayttis!$F:$F,Henkilöstö!R$36),5)="Combo",MID(INDEX(Data_Kayttis!$F:$F,Henkilöstö!R$36),25,40),IF(INDEX(Data_Kayttis!$F:$F,Henkilöstö!R$36)="","","muu koulutus")),"")</f>
        <v/>
      </c>
      <c r="S19" s="478" t="str">
        <f>IFERROR(IF(LEFT(INDEX(Data_Kayttis!$F:$F,Henkilöstö!S$36),5)="Combo",MID(INDEX(Data_Kayttis!$F:$F,Henkilöstö!S$36),25,40),IF(INDEX(Data_Kayttis!$F:$F,Henkilöstö!S$36)="","","muu koulutus")),"")</f>
        <v/>
      </c>
      <c r="T19" s="478" t="str">
        <f>IFERROR(IF(LEFT(INDEX(Data_Kayttis!$F:$F,Henkilöstö!T$36),5)="Combo",MID(INDEX(Data_Kayttis!$F:$F,Henkilöstö!T$36),25,40),IF(INDEX(Data_Kayttis!$F:$F,Henkilöstö!T$36)="","","muu koulutus")),"")</f>
        <v/>
      </c>
      <c r="U19" s="478" t="str">
        <f>IFERROR(IF(LEFT(INDEX(Data_Kayttis!$F:$F,Henkilöstö!U$36),5)="Combo",MID(INDEX(Data_Kayttis!$F:$F,Henkilöstö!U$36),25,40),IF(INDEX(Data_Kayttis!$F:$F,Henkilöstö!U$36)="","","muu koulutus")),"")</f>
        <v/>
      </c>
      <c r="V19" s="478" t="str">
        <f>IFERROR(IF(LEFT(INDEX(Data_Kayttis!$F:$F,Henkilöstö!V$36),5)="Combo",MID(INDEX(Data_Kayttis!$F:$F,Henkilöstö!V$36),25,40),IF(INDEX(Data_Kayttis!$F:$F,Henkilöstö!V$36)="","","muu koulutus")),"")</f>
        <v/>
      </c>
      <c r="W19" s="478" t="str">
        <f>IFERROR(IF(LEFT(INDEX(Data_Kayttis!$F:$F,Henkilöstö!W$36),5)="Combo",MID(INDEX(Data_Kayttis!$F:$F,Henkilöstö!W$36),25,40),IF(INDEX(Data_Kayttis!$F:$F,Henkilöstö!W$36)="","","muu koulutus")),"")</f>
        <v/>
      </c>
      <c r="X19" s="478" t="str">
        <f>IFERROR(IF(LEFT(INDEX(Data_Kayttis!$F:$F,Henkilöstö!X$36),5)="Combo",MID(INDEX(Data_Kayttis!$F:$F,Henkilöstö!X$36),25,40),IF(INDEX(Data_Kayttis!$F:$F,Henkilöstö!X$36)="","","muu koulutus")),"")</f>
        <v/>
      </c>
      <c r="Y19" s="478" t="str">
        <f>IFERROR(IF(LEFT(INDEX(Data_Kayttis!$F:$F,Henkilöstö!Y$36),5)="Combo",MID(INDEX(Data_Kayttis!$F:$F,Henkilöstö!Y$36),25,40),IF(INDEX(Data_Kayttis!$F:$F,Henkilöstö!Y$36)="","","muu koulutus")),"")</f>
        <v/>
      </c>
      <c r="Z19" s="478" t="str">
        <f>IFERROR(IF(LEFT(INDEX(Data_Kayttis!$F:$F,Henkilöstö!Z$36),5)="Combo",MID(INDEX(Data_Kayttis!$F:$F,Henkilöstö!Z$36),25,40),IF(INDEX(Data_Kayttis!$F:$F,Henkilöstö!Z$36)="","","muu koulutus")),"")</f>
        <v/>
      </c>
    </row>
    <row r="20" spans="2:34" x14ac:dyDescent="0.25">
      <c r="B20" s="399" t="s">
        <v>876</v>
      </c>
      <c r="C20" s="477" t="str">
        <f>IFERROR(IF(C19="muu",INDEX(Data_Kayttis!$F:$F,Henkilöstö!C$36),""),"")</f>
        <v/>
      </c>
      <c r="D20" s="478" t="str">
        <f>IFERROR(IF(D19="muu",INDEX(Data_Kayttis!$F:$F,Henkilöstö!D$36),""),"")</f>
        <v/>
      </c>
      <c r="E20" s="478" t="str">
        <f>IFERROR(IF(E19="muu",INDEX(Data_Kayttis!$F:$F,Henkilöstö!E$36),""),"")</f>
        <v/>
      </c>
      <c r="F20" s="478" t="str">
        <f>IFERROR(IF(F19="muu",INDEX(Data_Kayttis!$F:$F,Henkilöstö!F$36),""),"")</f>
        <v/>
      </c>
      <c r="G20" s="478" t="str">
        <f>IFERROR(IF(G19="muu",INDEX(Data_Kayttis!$F:$F,Henkilöstö!G$36),""),"")</f>
        <v/>
      </c>
      <c r="H20" s="478" t="str">
        <f>IFERROR(IF(H19="muu",INDEX(Data_Kayttis!$F:$F,Henkilöstö!H$36),""),"")</f>
        <v/>
      </c>
      <c r="I20" s="478" t="str">
        <f>IFERROR(IF(I19="muu",INDEX(Data_Kayttis!$F:$F,Henkilöstö!I$36),""),"")</f>
        <v/>
      </c>
      <c r="J20" s="478" t="str">
        <f>IFERROR(IF(J19="muu",INDEX(Data_Kayttis!$F:$F,Henkilöstö!J$36),""),"")</f>
        <v/>
      </c>
      <c r="K20" s="478" t="str">
        <f>IFERROR(IF(K19="muu",INDEX(Data_Kayttis!$F:$F,Henkilöstö!K$36),""),"")</f>
        <v/>
      </c>
      <c r="L20" s="478" t="str">
        <f>IFERROR(IF(L19="muu",INDEX(Data_Kayttis!$F:$F,Henkilöstö!L$36),""),"")</f>
        <v/>
      </c>
      <c r="M20" s="478" t="str">
        <f>IFERROR(IF(M19="muu",INDEX(Data_Kayttis!$F:$F,Henkilöstö!M$36),""),"")</f>
        <v/>
      </c>
      <c r="N20" s="478" t="str">
        <f>IFERROR(IF(N19="muu",INDEX(Data_Kayttis!$F:$F,Henkilöstö!N$36),""),"")</f>
        <v/>
      </c>
      <c r="O20" s="478" t="str">
        <f>IFERROR(IF(O19="muu",INDEX(Data_Kayttis!$F:$F,Henkilöstö!O$36),""),"")</f>
        <v/>
      </c>
      <c r="P20" s="478" t="str">
        <f>IFERROR(IF(P19="muu",INDEX(Data_Kayttis!$F:$F,Henkilöstö!P$36),""),"")</f>
        <v/>
      </c>
      <c r="Q20" s="478" t="str">
        <f>IFERROR(IF(Q19="muu",INDEX(Data_Kayttis!$F:$F,Henkilöstö!Q$36),""),"")</f>
        <v/>
      </c>
      <c r="R20" s="478" t="str">
        <f>IFERROR(IF(R19="muu",INDEX(Data_Kayttis!$F:$F,Henkilöstö!R$36),""),"")</f>
        <v/>
      </c>
      <c r="S20" s="478" t="str">
        <f>IFERROR(IF(S19="muu",INDEX(Data_Kayttis!$F:$F,Henkilöstö!S$36),""),"")</f>
        <v/>
      </c>
      <c r="T20" s="478" t="str">
        <f>IFERROR(IF(T19="muu",INDEX(Data_Kayttis!$F:$F,Henkilöstö!T$36),""),"")</f>
        <v/>
      </c>
      <c r="U20" s="478" t="str">
        <f>IFERROR(IF(U19="muu",INDEX(Data_Kayttis!$F:$F,Henkilöstö!U$36),""),"")</f>
        <v/>
      </c>
      <c r="V20" s="478" t="str">
        <f>IFERROR(IF(V19="muu",INDEX(Data_Kayttis!$F:$F,Henkilöstö!V$36),""),"")</f>
        <v/>
      </c>
      <c r="W20" s="478" t="str">
        <f>IFERROR(IF(W19="muu",INDEX(Data_Kayttis!$F:$F,Henkilöstö!W$36),""),"")</f>
        <v/>
      </c>
      <c r="X20" s="478" t="str">
        <f>IFERROR(IF(X19="muu",INDEX(Data_Kayttis!$F:$F,Henkilöstö!X$36),""),"")</f>
        <v/>
      </c>
      <c r="Y20" s="478" t="str">
        <f>IFERROR(IF(Y19="muu",INDEX(Data_Kayttis!$F:$F,Henkilöstö!Y$36),""),"")</f>
        <v/>
      </c>
      <c r="Z20" s="478" t="str">
        <f>IFERROR(IF(Z19="muu",INDEX(Data_Kayttis!$F:$F,Henkilöstö!Z$36),""),"")</f>
        <v/>
      </c>
      <c r="AC20" s="7" t="s">
        <v>892</v>
      </c>
      <c r="AD20" s="405" t="s">
        <v>840</v>
      </c>
      <c r="AE20" s="407" t="s">
        <v>3</v>
      </c>
    </row>
    <row r="21" spans="2:34" x14ac:dyDescent="0.25">
      <c r="B21" s="400" t="s">
        <v>950</v>
      </c>
      <c r="C21" s="477" t="str">
        <f>IFERROR(IF(LEFT(INDEX(Data_Kayttis!$G:$G,Henkilöstö!C$36),5)="Combo",MID(INDEX(Data_Kayttis!$G:$G,Henkilöstö!C$36),25,40),IF(INDEX(Data_Kayttis!$G:$G,Henkilöstö!C$36)="","","muu")),"")</f>
        <v/>
      </c>
      <c r="D21" s="478" t="str">
        <f>IFERROR(IF(LEFT(INDEX(Data_Kayttis!$G:$G,Henkilöstö!D$36),5)="Combo",MID(INDEX(Data_Kayttis!$G:$G,Henkilöstö!D$36),25,40),IF(INDEX(Data_Kayttis!$G:$G,Henkilöstö!D$36)="","","muu")),"")</f>
        <v/>
      </c>
      <c r="E21" s="478" t="str">
        <f>IFERROR(IF(LEFT(INDEX(Data_Kayttis!$G:$G,Henkilöstö!E$36),5)="Combo",MID(INDEX(Data_Kayttis!$G:$G,Henkilöstö!E$36),25,40),IF(INDEX(Data_Kayttis!$G:$G,Henkilöstö!E$36)="","","muu")),"")</f>
        <v/>
      </c>
      <c r="F21" s="478" t="str">
        <f>IFERROR(IF(LEFT(INDEX(Data_Kayttis!$G:$G,Henkilöstö!F$36),5)="Combo",MID(INDEX(Data_Kayttis!$G:$G,Henkilöstö!F$36),25,40),IF(INDEX(Data_Kayttis!$G:$G,Henkilöstö!F$36)="","","muu")),"")</f>
        <v/>
      </c>
      <c r="G21" s="478" t="str">
        <f>IFERROR(IF(LEFT(INDEX(Data_Kayttis!$G:$G,Henkilöstö!G$36),5)="Combo",MID(INDEX(Data_Kayttis!$G:$G,Henkilöstö!G$36),25,40),IF(INDEX(Data_Kayttis!$G:$G,Henkilöstö!G$36)="","","muu")),"")</f>
        <v/>
      </c>
      <c r="H21" s="478" t="str">
        <f>IFERROR(IF(LEFT(INDEX(Data_Kayttis!$G:$G,Henkilöstö!H$36),5)="Combo",MID(INDEX(Data_Kayttis!$G:$G,Henkilöstö!H$36),25,40),IF(INDEX(Data_Kayttis!$G:$G,Henkilöstö!H$36)="","","muu")),"")</f>
        <v/>
      </c>
      <c r="I21" s="478" t="str">
        <f>IFERROR(IF(LEFT(INDEX(Data_Kayttis!$G:$G,Henkilöstö!I$36),5)="Combo",MID(INDEX(Data_Kayttis!$G:$G,Henkilöstö!I$36),25,40),IF(INDEX(Data_Kayttis!$G:$G,Henkilöstö!I$36)="","","muu")),"")</f>
        <v/>
      </c>
      <c r="J21" s="478" t="str">
        <f>IFERROR(IF(LEFT(INDEX(Data_Kayttis!$G:$G,Henkilöstö!J$36),5)="Combo",MID(INDEX(Data_Kayttis!$G:$G,Henkilöstö!J$36),25,40),IF(INDEX(Data_Kayttis!$G:$G,Henkilöstö!J$36)="","","muu")),"")</f>
        <v/>
      </c>
      <c r="K21" s="478" t="str">
        <f>IFERROR(IF(LEFT(INDEX(Data_Kayttis!$G:$G,Henkilöstö!K$36),5)="Combo",MID(INDEX(Data_Kayttis!$G:$G,Henkilöstö!K$36),25,40),IF(INDEX(Data_Kayttis!$G:$G,Henkilöstö!K$36)="","","muu")),"")</f>
        <v/>
      </c>
      <c r="L21" s="478" t="str">
        <f>IFERROR(IF(LEFT(INDEX(Data_Kayttis!$G:$G,Henkilöstö!L$36),5)="Combo",MID(INDEX(Data_Kayttis!$G:$G,Henkilöstö!L$36),25,40),IF(INDEX(Data_Kayttis!$G:$G,Henkilöstö!L$36)="","","muu")),"")</f>
        <v/>
      </c>
      <c r="M21" s="478" t="str">
        <f>IFERROR(IF(LEFT(INDEX(Data_Kayttis!$G:$G,Henkilöstö!M$36),5)="Combo",MID(INDEX(Data_Kayttis!$G:$G,Henkilöstö!M$36),25,40),IF(INDEX(Data_Kayttis!$G:$G,Henkilöstö!M$36)="","","muu")),"")</f>
        <v/>
      </c>
      <c r="N21" s="478" t="str">
        <f>IFERROR(IF(LEFT(INDEX(Data_Kayttis!$G:$G,Henkilöstö!N$36),5)="Combo",MID(INDEX(Data_Kayttis!$G:$G,Henkilöstö!N$36),25,40),IF(INDEX(Data_Kayttis!$G:$G,Henkilöstö!N$36)="","","muu")),"")</f>
        <v/>
      </c>
      <c r="O21" s="478" t="str">
        <f>IFERROR(IF(LEFT(INDEX(Data_Kayttis!$G:$G,Henkilöstö!O$36),5)="Combo",MID(INDEX(Data_Kayttis!$G:$G,Henkilöstö!O$36),25,40),IF(INDEX(Data_Kayttis!$G:$G,Henkilöstö!O$36)="","","muu")),"")</f>
        <v/>
      </c>
      <c r="P21" s="478" t="str">
        <f>IFERROR(IF(LEFT(INDEX(Data_Kayttis!$G:$G,Henkilöstö!P$36),5)="Combo",MID(INDEX(Data_Kayttis!$G:$G,Henkilöstö!P$36),25,40),IF(INDEX(Data_Kayttis!$G:$G,Henkilöstö!P$36)="","","muu")),"")</f>
        <v/>
      </c>
      <c r="Q21" s="478" t="str">
        <f>IFERROR(IF(LEFT(INDEX(Data_Kayttis!$G:$G,Henkilöstö!Q$36),5)="Combo",MID(INDEX(Data_Kayttis!$G:$G,Henkilöstö!Q$36),25,40),IF(INDEX(Data_Kayttis!$G:$G,Henkilöstö!Q$36)="","","muu")),"")</f>
        <v/>
      </c>
      <c r="R21" s="478" t="str">
        <f>IFERROR(IF(LEFT(INDEX(Data_Kayttis!$G:$G,Henkilöstö!R$36),5)="Combo",MID(INDEX(Data_Kayttis!$G:$G,Henkilöstö!R$36),25,40),IF(INDEX(Data_Kayttis!$G:$G,Henkilöstö!R$36)="","","muu")),"")</f>
        <v/>
      </c>
      <c r="S21" s="478" t="str">
        <f>IFERROR(IF(LEFT(INDEX(Data_Kayttis!$G:$G,Henkilöstö!S$36),5)="Combo",MID(INDEX(Data_Kayttis!$G:$G,Henkilöstö!S$36),25,40),IF(INDEX(Data_Kayttis!$G:$G,Henkilöstö!S$36)="","","muu")),"")</f>
        <v/>
      </c>
      <c r="T21" s="478" t="str">
        <f>IFERROR(IF(LEFT(INDEX(Data_Kayttis!$G:$G,Henkilöstö!T$36),5)="Combo",MID(INDEX(Data_Kayttis!$G:$G,Henkilöstö!T$36),25,40),IF(INDEX(Data_Kayttis!$G:$G,Henkilöstö!T$36)="","","muu")),"")</f>
        <v/>
      </c>
      <c r="U21" s="478" t="str">
        <f>IFERROR(IF(LEFT(INDEX(Data_Kayttis!$G:$G,Henkilöstö!U$36),5)="Combo",MID(INDEX(Data_Kayttis!$G:$G,Henkilöstö!U$36),25,40),IF(INDEX(Data_Kayttis!$G:$G,Henkilöstö!U$36)="","","muu")),"")</f>
        <v/>
      </c>
      <c r="V21" s="478" t="str">
        <f>IFERROR(IF(LEFT(INDEX(Data_Kayttis!$G:$G,Henkilöstö!V$36),5)="Combo",MID(INDEX(Data_Kayttis!$G:$G,Henkilöstö!V$36),25,40),IF(INDEX(Data_Kayttis!$G:$G,Henkilöstö!V$36)="","","muu")),"")</f>
        <v/>
      </c>
      <c r="W21" s="478" t="str">
        <f>IFERROR(IF(LEFT(INDEX(Data_Kayttis!$G:$G,Henkilöstö!W$36),5)="Combo",MID(INDEX(Data_Kayttis!$G:$G,Henkilöstö!W$36),25,40),IF(INDEX(Data_Kayttis!$G:$G,Henkilöstö!W$36)="","","muu")),"")</f>
        <v/>
      </c>
      <c r="X21" s="478" t="str">
        <f>IFERROR(IF(LEFT(INDEX(Data_Kayttis!$G:$G,Henkilöstö!X$36),5)="Combo",MID(INDEX(Data_Kayttis!$G:$G,Henkilöstö!X$36),25,40),IF(INDEX(Data_Kayttis!$G:$G,Henkilöstö!X$36)="","","muu")),"")</f>
        <v/>
      </c>
      <c r="Y21" s="478" t="str">
        <f>IFERROR(IF(LEFT(INDEX(Data_Kayttis!$G:$G,Henkilöstö!Y$36),5)="Combo",MID(INDEX(Data_Kayttis!$G:$G,Henkilöstö!Y$36),25,40),IF(INDEX(Data_Kayttis!$G:$G,Henkilöstö!Y$36)="","","muu")),"")</f>
        <v/>
      </c>
      <c r="Z21" s="478" t="str">
        <f>IFERROR(IF(LEFT(INDEX(Data_Kayttis!$G:$G,Henkilöstö!Z$36),5)="Combo",MID(INDEX(Data_Kayttis!$G:$G,Henkilöstö!Z$36),25,40),IF(INDEX(Data_Kayttis!$G:$G,Henkilöstö!Z$36)="","","muu")),"")</f>
        <v/>
      </c>
      <c r="AC21" s="7" t="s">
        <v>892</v>
      </c>
      <c r="AD21" s="405" t="s">
        <v>842</v>
      </c>
      <c r="AE21" s="407" t="s">
        <v>4</v>
      </c>
    </row>
    <row r="22" spans="2:34" x14ac:dyDescent="0.25">
      <c r="B22" s="399" t="s">
        <v>875</v>
      </c>
      <c r="C22" s="478" t="str">
        <f>IFERROR(IF(C21="muu",INDEX(Data_Kayttis!$G:$G,Henkilöstö!C$36),""),"")</f>
        <v/>
      </c>
      <c r="D22" s="478" t="str">
        <f>IFERROR(IF(D21="muu",INDEX(Data_Kayttis!$G:$G,Henkilöstö!D$36),""),"")</f>
        <v/>
      </c>
      <c r="E22" s="478" t="str">
        <f>IFERROR(IF(E21="muu",INDEX(Data_Kayttis!$G:$G,Henkilöstö!E$36),""),"")</f>
        <v/>
      </c>
      <c r="F22" s="478" t="str">
        <f>IFERROR(IF(F21="muu",INDEX(Data_Kayttis!$G:$G,Henkilöstö!F$36),""),"")</f>
        <v/>
      </c>
      <c r="G22" s="478" t="str">
        <f>IFERROR(IF(G21="muu",INDEX(Data_Kayttis!$G:$G,Henkilöstö!G$36),""),"")</f>
        <v/>
      </c>
      <c r="H22" s="478" t="str">
        <f>IFERROR(IF(H21="muu",INDEX(Data_Kayttis!$G:$G,Henkilöstö!H$36),""),"")</f>
        <v/>
      </c>
      <c r="I22" s="478" t="str">
        <f>IFERROR(IF(I21="muu",INDEX(Data_Kayttis!$G:$G,Henkilöstö!I$36),""),"")</f>
        <v/>
      </c>
      <c r="J22" s="478" t="str">
        <f>IFERROR(IF(J21="muu",INDEX(Data_Kayttis!$G:$G,Henkilöstö!J$36),""),"")</f>
        <v/>
      </c>
      <c r="K22" s="478" t="str">
        <f>IFERROR(IF(K21="muu",INDEX(Data_Kayttis!$G:$G,Henkilöstö!K$36),""),"")</f>
        <v/>
      </c>
      <c r="L22" s="478" t="str">
        <f>IFERROR(IF(L21="muu",INDEX(Data_Kayttis!$G:$G,Henkilöstö!L$36),""),"")</f>
        <v/>
      </c>
      <c r="M22" s="478" t="str">
        <f>IFERROR(IF(M21="muu",INDEX(Data_Kayttis!$G:$G,Henkilöstö!M$36),""),"")</f>
        <v/>
      </c>
      <c r="N22" s="478" t="str">
        <f>IFERROR(IF(N21="muu",INDEX(Data_Kayttis!$G:$G,Henkilöstö!N$36),""),"")</f>
        <v/>
      </c>
      <c r="O22" s="478" t="str">
        <f>IFERROR(IF(O21="muu",INDEX(Data_Kayttis!$G:$G,Henkilöstö!O$36),""),"")</f>
        <v/>
      </c>
      <c r="P22" s="478" t="str">
        <f>IFERROR(IF(P21="muu",INDEX(Data_Kayttis!$G:$G,Henkilöstö!P$36),""),"")</f>
        <v/>
      </c>
      <c r="Q22" s="478" t="str">
        <f>IFERROR(IF(Q21="muu",INDEX(Data_Kayttis!$G:$G,Henkilöstö!Q$36),""),"")</f>
        <v/>
      </c>
      <c r="R22" s="478" t="str">
        <f>IFERROR(IF(R21="muu",INDEX(Data_Kayttis!$G:$G,Henkilöstö!R$36),""),"")</f>
        <v/>
      </c>
      <c r="S22" s="478" t="str">
        <f>IFERROR(IF(S21="muu",INDEX(Data_Kayttis!$G:$G,Henkilöstö!S$36),""),"")</f>
        <v/>
      </c>
      <c r="T22" s="478" t="str">
        <f>IFERROR(IF(T21="muu",INDEX(Data_Kayttis!$G:$G,Henkilöstö!T$36),""),"")</f>
        <v/>
      </c>
      <c r="U22" s="478" t="str">
        <f>IFERROR(IF(U21="muu",INDEX(Data_Kayttis!$G:$G,Henkilöstö!U$36),""),"")</f>
        <v/>
      </c>
      <c r="V22" s="478" t="str">
        <f>IFERROR(IF(V21="muu",INDEX(Data_Kayttis!$G:$G,Henkilöstö!V$36),""),"")</f>
        <v/>
      </c>
      <c r="W22" s="478" t="str">
        <f>IFERROR(IF(W21="muu",INDEX(Data_Kayttis!$G:$G,Henkilöstö!W$36),""),"")</f>
        <v/>
      </c>
      <c r="X22" s="478" t="str">
        <f>IFERROR(IF(X21="muu",INDEX(Data_Kayttis!$G:$G,Henkilöstö!X$36),""),"")</f>
        <v/>
      </c>
      <c r="Y22" s="478" t="str">
        <f>IFERROR(IF(Y21="muu",INDEX(Data_Kayttis!$G:$G,Henkilöstö!Y$36),""),"")</f>
        <v/>
      </c>
      <c r="Z22" s="478" t="str">
        <f>IFERROR(IF(Z21="muu",INDEX(Data_Kayttis!$G:$G,Henkilöstö!Z$36),""),"")</f>
        <v/>
      </c>
      <c r="AC22" s="7" t="s">
        <v>892</v>
      </c>
      <c r="AD22" s="405" t="s">
        <v>881</v>
      </c>
      <c r="AE22" s="407" t="s">
        <v>5</v>
      </c>
    </row>
    <row r="23" spans="2:34" x14ac:dyDescent="0.25">
      <c r="B23" s="454" t="s">
        <v>878</v>
      </c>
      <c r="C23" s="479"/>
      <c r="D23" s="480"/>
      <c r="E23" s="480"/>
      <c r="F23" s="480"/>
      <c r="G23" s="480"/>
      <c r="H23" s="480"/>
      <c r="I23" s="480"/>
      <c r="J23" s="480"/>
      <c r="K23" s="480"/>
      <c r="L23" s="480"/>
      <c r="M23" s="480"/>
      <c r="N23" s="480"/>
      <c r="O23" s="480"/>
      <c r="P23" s="480"/>
      <c r="Q23" s="480"/>
      <c r="R23" s="480"/>
      <c r="S23" s="480"/>
      <c r="T23" s="480"/>
      <c r="U23" s="480"/>
      <c r="V23" s="480"/>
      <c r="W23" s="480"/>
      <c r="X23" s="480"/>
      <c r="Y23" s="480"/>
      <c r="Z23" s="480"/>
      <c r="AC23" s="7" t="s">
        <v>892</v>
      </c>
      <c r="AD23" s="405" t="s">
        <v>883</v>
      </c>
      <c r="AE23" s="407" t="s">
        <v>6</v>
      </c>
    </row>
    <row r="24" spans="2:34" x14ac:dyDescent="0.25">
      <c r="B24" s="456" t="s">
        <v>645</v>
      </c>
      <c r="C24" s="469" t="str">
        <f>IFERROR(IF(INDEX(Data_Kayttis!$I:$I,Henkilöstö!C$36)="-1","Kyllä","Ei"),"")</f>
        <v/>
      </c>
      <c r="D24" s="470" t="str">
        <f>IFERROR(IF(INDEX(Data_Kayttis!$I:$I,Henkilöstö!D$36)="-1","Kyllä","Ei"),"")</f>
        <v/>
      </c>
      <c r="E24" s="470" t="str">
        <f>IFERROR(IF(INDEX(Data_Kayttis!$I:$I,Henkilöstö!E$36)="-1","Kyllä","Ei"),"")</f>
        <v/>
      </c>
      <c r="F24" s="470" t="str">
        <f>IFERROR(IF(INDEX(Data_Kayttis!$I:$I,Henkilöstö!F$36)="-1","Kyllä","Ei"),"")</f>
        <v/>
      </c>
      <c r="G24" s="470" t="str">
        <f>IFERROR(IF(INDEX(Data_Kayttis!$I:$I,Henkilöstö!G$36)="-1","Kyllä","Ei"),"")</f>
        <v/>
      </c>
      <c r="H24" s="470" t="str">
        <f>IFERROR(IF(INDEX(Data_Kayttis!$I:$I,Henkilöstö!H$36)="-1","Kyllä","Ei"),"")</f>
        <v/>
      </c>
      <c r="I24" s="470" t="str">
        <f>IFERROR(IF(INDEX(Data_Kayttis!$I:$I,Henkilöstö!I$36)="-1","Kyllä","Ei"),"")</f>
        <v/>
      </c>
      <c r="J24" s="470" t="str">
        <f>IFERROR(IF(INDEX(Data_Kayttis!$I:$I,Henkilöstö!J$36)="-1","Kyllä","Ei"),"")</f>
        <v/>
      </c>
      <c r="K24" s="470" t="str">
        <f>IFERROR(IF(INDEX(Data_Kayttis!$I:$I,Henkilöstö!K$36)="-1","Kyllä","Ei"),"")</f>
        <v/>
      </c>
      <c r="L24" s="470" t="str">
        <f>IFERROR(IF(INDEX(Data_Kayttis!$I:$I,Henkilöstö!L$36)="-1","Kyllä","Ei"),"")</f>
        <v/>
      </c>
      <c r="M24" s="470" t="str">
        <f>IFERROR(IF(INDEX(Data_Kayttis!$I:$I,Henkilöstö!M$36)="-1","Kyllä","Ei"),"")</f>
        <v/>
      </c>
      <c r="N24" s="470" t="str">
        <f>IFERROR(IF(INDEX(Data_Kayttis!$I:$I,Henkilöstö!N$36)="-1","Kyllä","Ei"),"")</f>
        <v/>
      </c>
      <c r="O24" s="470" t="str">
        <f>IFERROR(IF(INDEX(Data_Kayttis!$I:$I,Henkilöstö!O$36)="-1","Kyllä","Ei"),"")</f>
        <v/>
      </c>
      <c r="P24" s="470" t="str">
        <f>IFERROR(IF(INDEX(Data_Kayttis!$I:$I,Henkilöstö!P$36)="-1","Kyllä","Ei"),"")</f>
        <v/>
      </c>
      <c r="Q24" s="470" t="str">
        <f>IFERROR(IF(INDEX(Data_Kayttis!$I:$I,Henkilöstö!Q$36)="-1","Kyllä","Ei"),"")</f>
        <v/>
      </c>
      <c r="R24" s="470" t="str">
        <f>IFERROR(IF(INDEX(Data_Kayttis!$I:$I,Henkilöstö!R$36)="-1","Kyllä","Ei"),"")</f>
        <v/>
      </c>
      <c r="S24" s="470" t="str">
        <f>IFERROR(IF(INDEX(Data_Kayttis!$I:$I,Henkilöstö!S$36)="-1","Kyllä","Ei"),"")</f>
        <v/>
      </c>
      <c r="T24" s="470" t="str">
        <f>IFERROR(IF(INDEX(Data_Kayttis!$I:$I,Henkilöstö!T$36)="-1","Kyllä","Ei"),"")</f>
        <v/>
      </c>
      <c r="U24" s="470" t="str">
        <f>IFERROR(IF(INDEX(Data_Kayttis!$I:$I,Henkilöstö!U$36)="-1","Kyllä","Ei"),"")</f>
        <v/>
      </c>
      <c r="V24" s="470" t="str">
        <f>IFERROR(IF(INDEX(Data_Kayttis!$I:$I,Henkilöstö!V$36)="-1","Kyllä","Ei"),"")</f>
        <v/>
      </c>
      <c r="W24" s="470" t="str">
        <f>IFERROR(IF(INDEX(Data_Kayttis!$I:$I,Henkilöstö!W$36)="-1","Kyllä","Ei"),"")</f>
        <v/>
      </c>
      <c r="X24" s="470" t="str">
        <f>IFERROR(IF(INDEX(Data_Kayttis!$I:$I,Henkilöstö!X$36)="-1","Kyllä","Ei"),"")</f>
        <v/>
      </c>
      <c r="Y24" s="470" t="str">
        <f>IFERROR(IF(INDEX(Data_Kayttis!$I:$I,Henkilöstö!Y$36)="-1","Kyllä","Ei"),"")</f>
        <v/>
      </c>
      <c r="Z24" s="470" t="str">
        <f>IFERROR(IF(INDEX(Data_Kayttis!$I:$I,Henkilöstö!Z$36)="-1","Kyllä","Ei"),"")</f>
        <v/>
      </c>
      <c r="AC24" s="7" t="s">
        <v>892</v>
      </c>
      <c r="AD24" s="405" t="s">
        <v>885</v>
      </c>
      <c r="AE24" s="407" t="s">
        <v>7</v>
      </c>
    </row>
    <row r="25" spans="2:34" x14ac:dyDescent="0.25">
      <c r="B25" s="456" t="s">
        <v>646</v>
      </c>
      <c r="C25" s="469" t="str">
        <f>IFERROR(IF(INDEX(Data_Kayttis!$J:$J,Henkilöstö!C$36)="-1","Kyllä","Ei"),"")</f>
        <v/>
      </c>
      <c r="D25" s="470" t="str">
        <f>IFERROR(IF(INDEX(Data_Kayttis!$J:$J,Henkilöstö!D$36)="-1","Kyllä","Ei"),"")</f>
        <v/>
      </c>
      <c r="E25" s="470" t="str">
        <f>IFERROR(IF(INDEX(Data_Kayttis!$J:$J,Henkilöstö!E$36)="-1","Kyllä","Ei"),"")</f>
        <v/>
      </c>
      <c r="F25" s="470" t="str">
        <f>IFERROR(IF(INDEX(Data_Kayttis!$J:$J,Henkilöstö!F$36)="-1","Kyllä","Ei"),"")</f>
        <v/>
      </c>
      <c r="G25" s="470" t="str">
        <f>IFERROR(IF(INDEX(Data_Kayttis!$J:$J,Henkilöstö!G$36)="-1","Kyllä","Ei"),"")</f>
        <v/>
      </c>
      <c r="H25" s="470" t="str">
        <f>IFERROR(IF(INDEX(Data_Kayttis!$J:$J,Henkilöstö!H$36)="-1","Kyllä","Ei"),"")</f>
        <v/>
      </c>
      <c r="I25" s="470" t="str">
        <f>IFERROR(IF(INDEX(Data_Kayttis!$J:$J,Henkilöstö!I$36)="-1","Kyllä","Ei"),"")</f>
        <v/>
      </c>
      <c r="J25" s="470" t="str">
        <f>IFERROR(IF(INDEX(Data_Kayttis!$J:$J,Henkilöstö!J$36)="-1","Kyllä","Ei"),"")</f>
        <v/>
      </c>
      <c r="K25" s="470" t="str">
        <f>IFERROR(IF(INDEX(Data_Kayttis!$J:$J,Henkilöstö!K$36)="-1","Kyllä","Ei"),"")</f>
        <v/>
      </c>
      <c r="L25" s="470" t="str">
        <f>IFERROR(IF(INDEX(Data_Kayttis!$J:$J,Henkilöstö!L$36)="-1","Kyllä","Ei"),"")</f>
        <v/>
      </c>
      <c r="M25" s="470" t="str">
        <f>IFERROR(IF(INDEX(Data_Kayttis!$J:$J,Henkilöstö!M$36)="-1","Kyllä","Ei"),"")</f>
        <v/>
      </c>
      <c r="N25" s="470" t="str">
        <f>IFERROR(IF(INDEX(Data_Kayttis!$J:$J,Henkilöstö!N$36)="-1","Kyllä","Ei"),"")</f>
        <v/>
      </c>
      <c r="O25" s="470" t="str">
        <f>IFERROR(IF(INDEX(Data_Kayttis!$J:$J,Henkilöstö!O$36)="-1","Kyllä","Ei"),"")</f>
        <v/>
      </c>
      <c r="P25" s="470" t="str">
        <f>IFERROR(IF(INDEX(Data_Kayttis!$J:$J,Henkilöstö!P$36)="-1","Kyllä","Ei"),"")</f>
        <v/>
      </c>
      <c r="Q25" s="470" t="str">
        <f>IFERROR(IF(INDEX(Data_Kayttis!$J:$J,Henkilöstö!Q$36)="-1","Kyllä","Ei"),"")</f>
        <v/>
      </c>
      <c r="R25" s="470" t="str">
        <f>IFERROR(IF(INDEX(Data_Kayttis!$J:$J,Henkilöstö!R$36)="-1","Kyllä","Ei"),"")</f>
        <v/>
      </c>
      <c r="S25" s="470" t="str">
        <f>IFERROR(IF(INDEX(Data_Kayttis!$J:$J,Henkilöstö!S$36)="-1","Kyllä","Ei"),"")</f>
        <v/>
      </c>
      <c r="T25" s="470" t="str">
        <f>IFERROR(IF(INDEX(Data_Kayttis!$J:$J,Henkilöstö!T$36)="-1","Kyllä","Ei"),"")</f>
        <v/>
      </c>
      <c r="U25" s="470" t="str">
        <f>IFERROR(IF(INDEX(Data_Kayttis!$J:$J,Henkilöstö!U$36)="-1","Kyllä","Ei"),"")</f>
        <v/>
      </c>
      <c r="V25" s="470" t="str">
        <f>IFERROR(IF(INDEX(Data_Kayttis!$J:$J,Henkilöstö!V$36)="-1","Kyllä","Ei"),"")</f>
        <v/>
      </c>
      <c r="W25" s="470" t="str">
        <f>IFERROR(IF(INDEX(Data_Kayttis!$J:$J,Henkilöstö!W$36)="-1","Kyllä","Ei"),"")</f>
        <v/>
      </c>
      <c r="X25" s="470" t="str">
        <f>IFERROR(IF(INDEX(Data_Kayttis!$J:$J,Henkilöstö!X$36)="-1","Kyllä","Ei"),"")</f>
        <v/>
      </c>
      <c r="Y25" s="470" t="str">
        <f>IFERROR(IF(INDEX(Data_Kayttis!$J:$J,Henkilöstö!Y$36)="-1","Kyllä","Ei"),"")</f>
        <v/>
      </c>
      <c r="Z25" s="470" t="str">
        <f>IFERROR(IF(INDEX(Data_Kayttis!$J:$J,Henkilöstö!Z$36)="-1","Kyllä","Ei"),"")</f>
        <v/>
      </c>
      <c r="AC25" s="7" t="s">
        <v>892</v>
      </c>
      <c r="AD25" s="405" t="s">
        <v>887</v>
      </c>
      <c r="AE25" s="407" t="s">
        <v>8</v>
      </c>
    </row>
    <row r="26" spans="2:34" x14ac:dyDescent="0.25">
      <c r="B26" s="456" t="s">
        <v>650</v>
      </c>
      <c r="C26" s="469" t="str">
        <f>IFERROR(IF(INDEX(Data_Kayttis!$Q:$Q,Henkilöstö!C$36)="-1","Kyllä","Ei"),"")</f>
        <v/>
      </c>
      <c r="D26" s="470" t="str">
        <f>IFERROR(IF(INDEX(Data_Kayttis!$Q:$Q,Henkilöstö!D$36)="-1","Kyllä","Ei"),"")</f>
        <v/>
      </c>
      <c r="E26" s="470" t="str">
        <f>IFERROR(IF(INDEX(Data_Kayttis!$Q:$Q,Henkilöstö!E$36)="-1","Kyllä","Ei"),"")</f>
        <v/>
      </c>
      <c r="F26" s="470" t="str">
        <f>IFERROR(IF(INDEX(Data_Kayttis!$Q:$Q,Henkilöstö!F$36)="-1","Kyllä","Ei"),"")</f>
        <v/>
      </c>
      <c r="G26" s="470" t="str">
        <f>IFERROR(IF(INDEX(Data_Kayttis!$Q:$Q,Henkilöstö!G$36)="-1","Kyllä","Ei"),"")</f>
        <v/>
      </c>
      <c r="H26" s="470" t="str">
        <f>IFERROR(IF(INDEX(Data_Kayttis!$Q:$Q,Henkilöstö!H$36)="-1","Kyllä","Ei"),"")</f>
        <v/>
      </c>
      <c r="I26" s="470" t="str">
        <f>IFERROR(IF(INDEX(Data_Kayttis!$Q:$Q,Henkilöstö!I$36)="-1","Kyllä","Ei"),"")</f>
        <v/>
      </c>
      <c r="J26" s="470" t="str">
        <f>IFERROR(IF(INDEX(Data_Kayttis!$Q:$Q,Henkilöstö!J$36)="-1","Kyllä","Ei"),"")</f>
        <v/>
      </c>
      <c r="K26" s="470" t="str">
        <f>IFERROR(IF(INDEX(Data_Kayttis!$Q:$Q,Henkilöstö!K$36)="-1","Kyllä","Ei"),"")</f>
        <v/>
      </c>
      <c r="L26" s="470" t="str">
        <f>IFERROR(IF(INDEX(Data_Kayttis!$Q:$Q,Henkilöstö!L$36)="-1","Kyllä","Ei"),"")</f>
        <v/>
      </c>
      <c r="M26" s="470" t="str">
        <f>IFERROR(IF(INDEX(Data_Kayttis!$Q:$Q,Henkilöstö!M$36)="-1","Kyllä","Ei"),"")</f>
        <v/>
      </c>
      <c r="N26" s="470" t="str">
        <f>IFERROR(IF(INDEX(Data_Kayttis!$Q:$Q,Henkilöstö!N$36)="-1","Kyllä","Ei"),"")</f>
        <v/>
      </c>
      <c r="O26" s="470" t="str">
        <f>IFERROR(IF(INDEX(Data_Kayttis!$Q:$Q,Henkilöstö!O$36)="-1","Kyllä","Ei"),"")</f>
        <v/>
      </c>
      <c r="P26" s="470" t="str">
        <f>IFERROR(IF(INDEX(Data_Kayttis!$Q:$Q,Henkilöstö!P$36)="-1","Kyllä","Ei"),"")</f>
        <v/>
      </c>
      <c r="Q26" s="470" t="str">
        <f>IFERROR(IF(INDEX(Data_Kayttis!$Q:$Q,Henkilöstö!Q$36)="-1","Kyllä","Ei"),"")</f>
        <v/>
      </c>
      <c r="R26" s="470" t="str">
        <f>IFERROR(IF(INDEX(Data_Kayttis!$Q:$Q,Henkilöstö!R$36)="-1","Kyllä","Ei"),"")</f>
        <v/>
      </c>
      <c r="S26" s="470" t="str">
        <f>IFERROR(IF(INDEX(Data_Kayttis!$Q:$Q,Henkilöstö!S$36)="-1","Kyllä","Ei"),"")</f>
        <v/>
      </c>
      <c r="T26" s="470" t="str">
        <f>IFERROR(IF(INDEX(Data_Kayttis!$Q:$Q,Henkilöstö!T$36)="-1","Kyllä","Ei"),"")</f>
        <v/>
      </c>
      <c r="U26" s="470" t="str">
        <f>IFERROR(IF(INDEX(Data_Kayttis!$Q:$Q,Henkilöstö!U$36)="-1","Kyllä","Ei"),"")</f>
        <v/>
      </c>
      <c r="V26" s="470" t="str">
        <f>IFERROR(IF(INDEX(Data_Kayttis!$Q:$Q,Henkilöstö!V$36)="-1","Kyllä","Ei"),"")</f>
        <v/>
      </c>
      <c r="W26" s="470" t="str">
        <f>IFERROR(IF(INDEX(Data_Kayttis!$Q:$Q,Henkilöstö!W$36)="-1","Kyllä","Ei"),"")</f>
        <v/>
      </c>
      <c r="X26" s="470" t="str">
        <f>IFERROR(IF(INDEX(Data_Kayttis!$Q:$Q,Henkilöstö!X$36)="-1","Kyllä","Ei"),"")</f>
        <v/>
      </c>
      <c r="Y26" s="470" t="str">
        <f>IFERROR(IF(INDEX(Data_Kayttis!$Q:$Q,Henkilöstö!Y$36)="-1","Kyllä","Ei"),"")</f>
        <v/>
      </c>
      <c r="Z26" s="470" t="str">
        <f>IFERROR(IF(INDEX(Data_Kayttis!$Q:$Q,Henkilöstö!Z$36)="-1","Kyllä","Ei"),"")</f>
        <v/>
      </c>
      <c r="AC26" s="7" t="s">
        <v>892</v>
      </c>
      <c r="AD26" s="405" t="s">
        <v>889</v>
      </c>
      <c r="AE26" s="407" t="s">
        <v>9</v>
      </c>
    </row>
    <row r="27" spans="2:34" x14ac:dyDescent="0.25">
      <c r="B27" s="456" t="s">
        <v>648</v>
      </c>
      <c r="C27" s="469" t="str">
        <f>IFERROR(IF(INDEX(Data_Kayttis!$N:$N,Henkilöstö!C$36)="-1","Kyllä","Ei"),"")</f>
        <v/>
      </c>
      <c r="D27" s="470" t="str">
        <f>IFERROR(IF(INDEX(Data_Kayttis!$N:$N,Henkilöstö!D$36)="-1","Kyllä","Ei"),"")</f>
        <v/>
      </c>
      <c r="E27" s="470" t="str">
        <f>IFERROR(IF(INDEX(Data_Kayttis!$N:$N,Henkilöstö!E$36)="-1","Kyllä","Ei"),"")</f>
        <v/>
      </c>
      <c r="F27" s="470" t="str">
        <f>IFERROR(IF(INDEX(Data_Kayttis!$N:$N,Henkilöstö!F$36)="-1","Kyllä","Ei"),"")</f>
        <v/>
      </c>
      <c r="G27" s="470" t="str">
        <f>IFERROR(IF(INDEX(Data_Kayttis!$N:$N,Henkilöstö!G$36)="-1","Kyllä","Ei"),"")</f>
        <v/>
      </c>
      <c r="H27" s="470" t="str">
        <f>IFERROR(IF(INDEX(Data_Kayttis!$N:$N,Henkilöstö!H$36)="-1","Kyllä","Ei"),"")</f>
        <v/>
      </c>
      <c r="I27" s="470" t="str">
        <f>IFERROR(IF(INDEX(Data_Kayttis!$N:$N,Henkilöstö!I$36)="-1","Kyllä","Ei"),"")</f>
        <v/>
      </c>
      <c r="J27" s="470" t="str">
        <f>IFERROR(IF(INDEX(Data_Kayttis!$N:$N,Henkilöstö!J$36)="-1","Kyllä","Ei"),"")</f>
        <v/>
      </c>
      <c r="K27" s="470" t="str">
        <f>IFERROR(IF(INDEX(Data_Kayttis!$N:$N,Henkilöstö!K$36)="-1","Kyllä","Ei"),"")</f>
        <v/>
      </c>
      <c r="L27" s="470" t="str">
        <f>IFERROR(IF(INDEX(Data_Kayttis!$N:$N,Henkilöstö!L$36)="-1","Kyllä","Ei"),"")</f>
        <v/>
      </c>
      <c r="M27" s="470" t="str">
        <f>IFERROR(IF(INDEX(Data_Kayttis!$N:$N,Henkilöstö!M$36)="-1","Kyllä","Ei"),"")</f>
        <v/>
      </c>
      <c r="N27" s="470" t="str">
        <f>IFERROR(IF(INDEX(Data_Kayttis!$N:$N,Henkilöstö!N$36)="-1","Kyllä","Ei"),"")</f>
        <v/>
      </c>
      <c r="O27" s="470" t="str">
        <f>IFERROR(IF(INDEX(Data_Kayttis!$N:$N,Henkilöstö!O$36)="-1","Kyllä","Ei"),"")</f>
        <v/>
      </c>
      <c r="P27" s="470" t="str">
        <f>IFERROR(IF(INDEX(Data_Kayttis!$N:$N,Henkilöstö!P$36)="-1","Kyllä","Ei"),"")</f>
        <v/>
      </c>
      <c r="Q27" s="470" t="str">
        <f>IFERROR(IF(INDEX(Data_Kayttis!$N:$N,Henkilöstö!Q$36)="-1","Kyllä","Ei"),"")</f>
        <v/>
      </c>
      <c r="R27" s="470" t="str">
        <f>IFERROR(IF(INDEX(Data_Kayttis!$N:$N,Henkilöstö!R$36)="-1","Kyllä","Ei"),"")</f>
        <v/>
      </c>
      <c r="S27" s="470" t="str">
        <f>IFERROR(IF(INDEX(Data_Kayttis!$N:$N,Henkilöstö!S$36)="-1","Kyllä","Ei"),"")</f>
        <v/>
      </c>
      <c r="T27" s="470" t="str">
        <f>IFERROR(IF(INDEX(Data_Kayttis!$N:$N,Henkilöstö!T$36)="-1","Kyllä","Ei"),"")</f>
        <v/>
      </c>
      <c r="U27" s="470" t="str">
        <f>IFERROR(IF(INDEX(Data_Kayttis!$N:$N,Henkilöstö!U$36)="-1","Kyllä","Ei"),"")</f>
        <v/>
      </c>
      <c r="V27" s="470" t="str">
        <f>IFERROR(IF(INDEX(Data_Kayttis!$N:$N,Henkilöstö!V$36)="-1","Kyllä","Ei"),"")</f>
        <v/>
      </c>
      <c r="W27" s="470" t="str">
        <f>IFERROR(IF(INDEX(Data_Kayttis!$N:$N,Henkilöstö!W$36)="-1","Kyllä","Ei"),"")</f>
        <v/>
      </c>
      <c r="X27" s="470" t="str">
        <f>IFERROR(IF(INDEX(Data_Kayttis!$N:$N,Henkilöstö!X$36)="-1","Kyllä","Ei"),"")</f>
        <v/>
      </c>
      <c r="Y27" s="470" t="str">
        <f>IFERROR(IF(INDEX(Data_Kayttis!$N:$N,Henkilöstö!Y$36)="-1","Kyllä","Ei"),"")</f>
        <v/>
      </c>
      <c r="Z27" s="470" t="str">
        <f>IFERROR(IF(INDEX(Data_Kayttis!$N:$N,Henkilöstö!Z$36)="-1","Kyllä","Ei"),"")</f>
        <v/>
      </c>
      <c r="AC27" s="7" t="s">
        <v>892</v>
      </c>
      <c r="AD27" s="405" t="s">
        <v>891</v>
      </c>
      <c r="AE27" s="407" t="s">
        <v>10</v>
      </c>
    </row>
    <row r="28" spans="2:34" x14ac:dyDescent="0.25">
      <c r="B28" s="456" t="s">
        <v>647</v>
      </c>
      <c r="C28" s="469" t="str">
        <f>IFERROR(IF(INDEX(Data_Kayttis!$K:$K,Henkilöstö!C$36)="-1","Kyllä","Ei"),"")</f>
        <v/>
      </c>
      <c r="D28" s="470" t="str">
        <f>IFERROR(IF(INDEX(Data_Kayttis!$K:$K,Henkilöstö!D$36)="-1","Kyllä","Ei"),"")</f>
        <v/>
      </c>
      <c r="E28" s="470" t="str">
        <f>IFERROR(IF(INDEX(Data_Kayttis!$K:$K,Henkilöstö!E$36)="-1","Kyllä","Ei"),"")</f>
        <v/>
      </c>
      <c r="F28" s="470" t="str">
        <f>IFERROR(IF(INDEX(Data_Kayttis!$K:$K,Henkilöstö!F$36)="-1","Kyllä","Ei"),"")</f>
        <v/>
      </c>
      <c r="G28" s="470" t="str">
        <f>IFERROR(IF(INDEX(Data_Kayttis!$K:$K,Henkilöstö!G$36)="-1","Kyllä","Ei"),"")</f>
        <v/>
      </c>
      <c r="H28" s="470" t="str">
        <f>IFERROR(IF(INDEX(Data_Kayttis!$K:$K,Henkilöstö!H$36)="-1","Kyllä","Ei"),"")</f>
        <v/>
      </c>
      <c r="I28" s="470" t="str">
        <f>IFERROR(IF(INDEX(Data_Kayttis!$K:$K,Henkilöstö!I$36)="-1","Kyllä","Ei"),"")</f>
        <v/>
      </c>
      <c r="J28" s="470" t="str">
        <f>IFERROR(IF(INDEX(Data_Kayttis!$K:$K,Henkilöstö!J$36)="-1","Kyllä","Ei"),"")</f>
        <v/>
      </c>
      <c r="K28" s="470" t="str">
        <f>IFERROR(IF(INDEX(Data_Kayttis!$K:$K,Henkilöstö!K$36)="-1","Kyllä","Ei"),"")</f>
        <v/>
      </c>
      <c r="L28" s="470" t="str">
        <f>IFERROR(IF(INDEX(Data_Kayttis!$K:$K,Henkilöstö!L$36)="-1","Kyllä","Ei"),"")</f>
        <v/>
      </c>
      <c r="M28" s="470" t="str">
        <f>IFERROR(IF(INDEX(Data_Kayttis!$K:$K,Henkilöstö!M$36)="-1","Kyllä","Ei"),"")</f>
        <v/>
      </c>
      <c r="N28" s="470" t="str">
        <f>IFERROR(IF(INDEX(Data_Kayttis!$K:$K,Henkilöstö!N$36)="-1","Kyllä","Ei"),"")</f>
        <v/>
      </c>
      <c r="O28" s="470" t="str">
        <f>IFERROR(IF(INDEX(Data_Kayttis!$K:$K,Henkilöstö!O$36)="-1","Kyllä","Ei"),"")</f>
        <v/>
      </c>
      <c r="P28" s="470" t="str">
        <f>IFERROR(IF(INDEX(Data_Kayttis!$K:$K,Henkilöstö!P$36)="-1","Kyllä","Ei"),"")</f>
        <v/>
      </c>
      <c r="Q28" s="470" t="str">
        <f>IFERROR(IF(INDEX(Data_Kayttis!$K:$K,Henkilöstö!Q$36)="-1","Kyllä","Ei"),"")</f>
        <v/>
      </c>
      <c r="R28" s="470" t="str">
        <f>IFERROR(IF(INDEX(Data_Kayttis!$K:$K,Henkilöstö!R$36)="-1","Kyllä","Ei"),"")</f>
        <v/>
      </c>
      <c r="S28" s="470" t="str">
        <f>IFERROR(IF(INDEX(Data_Kayttis!$K:$K,Henkilöstö!S$36)="-1","Kyllä","Ei"),"")</f>
        <v/>
      </c>
      <c r="T28" s="470" t="str">
        <f>IFERROR(IF(INDEX(Data_Kayttis!$K:$K,Henkilöstö!T$36)="-1","Kyllä","Ei"),"")</f>
        <v/>
      </c>
      <c r="U28" s="470" t="str">
        <f>IFERROR(IF(INDEX(Data_Kayttis!$K:$K,Henkilöstö!U$36)="-1","Kyllä","Ei"),"")</f>
        <v/>
      </c>
      <c r="V28" s="470" t="str">
        <f>IFERROR(IF(INDEX(Data_Kayttis!$K:$K,Henkilöstö!V$36)="-1","Kyllä","Ei"),"")</f>
        <v/>
      </c>
      <c r="W28" s="470" t="str">
        <f>IFERROR(IF(INDEX(Data_Kayttis!$K:$K,Henkilöstö!W$36)="-1","Kyllä","Ei"),"")</f>
        <v/>
      </c>
      <c r="X28" s="470" t="str">
        <f>IFERROR(IF(INDEX(Data_Kayttis!$K:$K,Henkilöstö!X$36)="-1","Kyllä","Ei"),"")</f>
        <v/>
      </c>
      <c r="Y28" s="470" t="str">
        <f>IFERROR(IF(INDEX(Data_Kayttis!$K:$K,Henkilöstö!Y$36)="-1","Kyllä","Ei"),"")</f>
        <v/>
      </c>
      <c r="Z28" s="470" t="str">
        <f>IFERROR(IF(INDEX(Data_Kayttis!$K:$K,Henkilöstö!Z$36)="-1","Kyllä","Ei"),"")</f>
        <v/>
      </c>
      <c r="AC28" s="7" t="s">
        <v>892</v>
      </c>
      <c r="AD28" s="405" t="s">
        <v>893</v>
      </c>
      <c r="AE28" s="407" t="s">
        <v>11</v>
      </c>
    </row>
    <row r="29" spans="2:34" s="19" customFormat="1" x14ac:dyDescent="0.25">
      <c r="B29" s="456" t="s">
        <v>649</v>
      </c>
      <c r="C29" s="469" t="str">
        <f>IFERROR(IF(INDEX(Data_Kayttis!$P:$P,Henkilöstö!C$36)="-1","Kyllä","Ei"),"")</f>
        <v/>
      </c>
      <c r="D29" s="470" t="str">
        <f>IFERROR(IF(INDEX(Data_Kayttis!$P:$P,Henkilöstö!D$36)="-1","Kyllä","Ei"),"")</f>
        <v/>
      </c>
      <c r="E29" s="470" t="str">
        <f>IFERROR(IF(INDEX(Data_Kayttis!$P:$P,Henkilöstö!E$36)="-1","Kyllä","Ei"),"")</f>
        <v/>
      </c>
      <c r="F29" s="470" t="str">
        <f>IFERROR(IF(INDEX(Data_Kayttis!$P:$P,Henkilöstö!F$36)="-1","Kyllä","Ei"),"")</f>
        <v/>
      </c>
      <c r="G29" s="470" t="str">
        <f>IFERROR(IF(INDEX(Data_Kayttis!$P:$P,Henkilöstö!G$36)="-1","Kyllä","Ei"),"")</f>
        <v/>
      </c>
      <c r="H29" s="470" t="str">
        <f>IFERROR(IF(INDEX(Data_Kayttis!$P:$P,Henkilöstö!H$36)="-1","Kyllä","Ei"),"")</f>
        <v/>
      </c>
      <c r="I29" s="470" t="str">
        <f>IFERROR(IF(INDEX(Data_Kayttis!$P:$P,Henkilöstö!I$36)="-1","Kyllä","Ei"),"")</f>
        <v/>
      </c>
      <c r="J29" s="470" t="str">
        <f>IFERROR(IF(INDEX(Data_Kayttis!$P:$P,Henkilöstö!J$36)="-1","Kyllä","Ei"),"")</f>
        <v/>
      </c>
      <c r="K29" s="470" t="str">
        <f>IFERROR(IF(INDEX(Data_Kayttis!$P:$P,Henkilöstö!K$36)="-1","Kyllä","Ei"),"")</f>
        <v/>
      </c>
      <c r="L29" s="470" t="str">
        <f>IFERROR(IF(INDEX(Data_Kayttis!$P:$P,Henkilöstö!L$36)="-1","Kyllä","Ei"),"")</f>
        <v/>
      </c>
      <c r="M29" s="470" t="str">
        <f>IFERROR(IF(INDEX(Data_Kayttis!$P:$P,Henkilöstö!M$36)="-1","Kyllä","Ei"),"")</f>
        <v/>
      </c>
      <c r="N29" s="470" t="str">
        <f>IFERROR(IF(INDEX(Data_Kayttis!$P:$P,Henkilöstö!N$36)="-1","Kyllä","Ei"),"")</f>
        <v/>
      </c>
      <c r="O29" s="470" t="str">
        <f>IFERROR(IF(INDEX(Data_Kayttis!$P:$P,Henkilöstö!O$36)="-1","Kyllä","Ei"),"")</f>
        <v/>
      </c>
      <c r="P29" s="470" t="str">
        <f>IFERROR(IF(INDEX(Data_Kayttis!$P:$P,Henkilöstö!P$36)="-1","Kyllä","Ei"),"")</f>
        <v/>
      </c>
      <c r="Q29" s="470" t="str">
        <f>IFERROR(IF(INDEX(Data_Kayttis!$P:$P,Henkilöstö!Q$36)="-1","Kyllä","Ei"),"")</f>
        <v/>
      </c>
      <c r="R29" s="470" t="str">
        <f>IFERROR(IF(INDEX(Data_Kayttis!$P:$P,Henkilöstö!R$36)="-1","Kyllä","Ei"),"")</f>
        <v/>
      </c>
      <c r="S29" s="470" t="str">
        <f>IFERROR(IF(INDEX(Data_Kayttis!$P:$P,Henkilöstö!S$36)="-1","Kyllä","Ei"),"")</f>
        <v/>
      </c>
      <c r="T29" s="470" t="str">
        <f>IFERROR(IF(INDEX(Data_Kayttis!$P:$P,Henkilöstö!T$36)="-1","Kyllä","Ei"),"")</f>
        <v/>
      </c>
      <c r="U29" s="470" t="str">
        <f>IFERROR(IF(INDEX(Data_Kayttis!$P:$P,Henkilöstö!U$36)="-1","Kyllä","Ei"),"")</f>
        <v/>
      </c>
      <c r="V29" s="470" t="str">
        <f>IFERROR(IF(INDEX(Data_Kayttis!$P:$P,Henkilöstö!V$36)="-1","Kyllä","Ei"),"")</f>
        <v/>
      </c>
      <c r="W29" s="470" t="str">
        <f>IFERROR(IF(INDEX(Data_Kayttis!$P:$P,Henkilöstö!W$36)="-1","Kyllä","Ei"),"")</f>
        <v/>
      </c>
      <c r="X29" s="470" t="str">
        <f>IFERROR(IF(INDEX(Data_Kayttis!$P:$P,Henkilöstö!X$36)="-1","Kyllä","Ei"),"")</f>
        <v/>
      </c>
      <c r="Y29" s="470" t="str">
        <f>IFERROR(IF(INDEX(Data_Kayttis!$P:$P,Henkilöstö!Y$36)="-1","Kyllä","Ei"),"")</f>
        <v/>
      </c>
      <c r="Z29" s="470" t="str">
        <f>IFERROR(IF(INDEX(Data_Kayttis!$P:$P,Henkilöstö!Z$36)="-1","Kyllä","Ei"),"")</f>
        <v/>
      </c>
      <c r="AC29" s="141" t="s">
        <v>892</v>
      </c>
      <c r="AD29" s="425" t="s">
        <v>894</v>
      </c>
      <c r="AE29" s="426" t="s">
        <v>12</v>
      </c>
    </row>
    <row r="30" spans="2:34" x14ac:dyDescent="0.25">
      <c r="B30" s="456" t="s">
        <v>651</v>
      </c>
      <c r="C30" s="469" t="str">
        <f>IFERROR(IF(INDEX(Data_Kayttis!$O:$O,Henkilöstö!C$36)="-1","Kyllä","Ei"),"")</f>
        <v/>
      </c>
      <c r="D30" s="470" t="str">
        <f>IFERROR(IF(INDEX(Data_Kayttis!$O:$O,Henkilöstö!D$36)="-1","Kyllä","Ei"),"")</f>
        <v/>
      </c>
      <c r="E30" s="470" t="str">
        <f>IFERROR(IF(INDEX(Data_Kayttis!$O:$O,Henkilöstö!E$36)="-1","Kyllä","Ei"),"")</f>
        <v/>
      </c>
      <c r="F30" s="470" t="str">
        <f>IFERROR(IF(INDEX(Data_Kayttis!$O:$O,Henkilöstö!F$36)="-1","Kyllä","Ei"),"")</f>
        <v/>
      </c>
      <c r="G30" s="470" t="str">
        <f>IFERROR(IF(INDEX(Data_Kayttis!$O:$O,Henkilöstö!G$36)="-1","Kyllä","Ei"),"")</f>
        <v/>
      </c>
      <c r="H30" s="470" t="str">
        <f>IFERROR(IF(INDEX(Data_Kayttis!$O:$O,Henkilöstö!H$36)="-1","Kyllä","Ei"),"")</f>
        <v/>
      </c>
      <c r="I30" s="470" t="str">
        <f>IFERROR(IF(INDEX(Data_Kayttis!$O:$O,Henkilöstö!I$36)="-1","Kyllä","Ei"),"")</f>
        <v/>
      </c>
      <c r="J30" s="470" t="str">
        <f>IFERROR(IF(INDEX(Data_Kayttis!$O:$O,Henkilöstö!J$36)="-1","Kyllä","Ei"),"")</f>
        <v/>
      </c>
      <c r="K30" s="470" t="str">
        <f>IFERROR(IF(INDEX(Data_Kayttis!$O:$O,Henkilöstö!K$36)="-1","Kyllä","Ei"),"")</f>
        <v/>
      </c>
      <c r="L30" s="470" t="str">
        <f>IFERROR(IF(INDEX(Data_Kayttis!$O:$O,Henkilöstö!L$36)="-1","Kyllä","Ei"),"")</f>
        <v/>
      </c>
      <c r="M30" s="470" t="str">
        <f>IFERROR(IF(INDEX(Data_Kayttis!$O:$O,Henkilöstö!M$36)="-1","Kyllä","Ei"),"")</f>
        <v/>
      </c>
      <c r="N30" s="470" t="str">
        <f>IFERROR(IF(INDEX(Data_Kayttis!$O:$O,Henkilöstö!N$36)="-1","Kyllä","Ei"),"")</f>
        <v/>
      </c>
      <c r="O30" s="470" t="str">
        <f>IFERROR(IF(INDEX(Data_Kayttis!$O:$O,Henkilöstö!O$36)="-1","Kyllä","Ei"),"")</f>
        <v/>
      </c>
      <c r="P30" s="470" t="str">
        <f>IFERROR(IF(INDEX(Data_Kayttis!$O:$O,Henkilöstö!P$36)="-1","Kyllä","Ei"),"")</f>
        <v/>
      </c>
      <c r="Q30" s="470" t="str">
        <f>IFERROR(IF(INDEX(Data_Kayttis!$O:$O,Henkilöstö!Q$36)="-1","Kyllä","Ei"),"")</f>
        <v/>
      </c>
      <c r="R30" s="470" t="str">
        <f>IFERROR(IF(INDEX(Data_Kayttis!$O:$O,Henkilöstö!R$36)="-1","Kyllä","Ei"),"")</f>
        <v/>
      </c>
      <c r="S30" s="470" t="str">
        <f>IFERROR(IF(INDEX(Data_Kayttis!$O:$O,Henkilöstö!S$36)="-1","Kyllä","Ei"),"")</f>
        <v/>
      </c>
      <c r="T30" s="470" t="str">
        <f>IFERROR(IF(INDEX(Data_Kayttis!$O:$O,Henkilöstö!T$36)="-1","Kyllä","Ei"),"")</f>
        <v/>
      </c>
      <c r="U30" s="470" t="str">
        <f>IFERROR(IF(INDEX(Data_Kayttis!$O:$O,Henkilöstö!U$36)="-1","Kyllä","Ei"),"")</f>
        <v/>
      </c>
      <c r="V30" s="470" t="str">
        <f>IFERROR(IF(INDEX(Data_Kayttis!$O:$O,Henkilöstö!V$36)="-1","Kyllä","Ei"),"")</f>
        <v/>
      </c>
      <c r="W30" s="470" t="str">
        <f>IFERROR(IF(INDEX(Data_Kayttis!$O:$O,Henkilöstö!W$36)="-1","Kyllä","Ei"),"")</f>
        <v/>
      </c>
      <c r="X30" s="470" t="str">
        <f>IFERROR(IF(INDEX(Data_Kayttis!$O:$O,Henkilöstö!X$36)="-1","Kyllä","Ei"),"")</f>
        <v/>
      </c>
      <c r="Y30" s="470" t="str">
        <f>IFERROR(IF(INDEX(Data_Kayttis!$O:$O,Henkilöstö!Y$36)="-1","Kyllä","Ei"),"")</f>
        <v/>
      </c>
      <c r="Z30" s="470" t="str">
        <f>IFERROR(IF(INDEX(Data_Kayttis!$O:$O,Henkilöstö!Z$36)="-1","Kyllä","Ei"),"")</f>
        <v/>
      </c>
      <c r="AC30" s="7" t="s">
        <v>892</v>
      </c>
      <c r="AD30" s="405" t="s">
        <v>895</v>
      </c>
      <c r="AE30" s="407" t="s">
        <v>2</v>
      </c>
    </row>
    <row r="31" spans="2:34" s="15" customFormat="1" x14ac:dyDescent="0.25">
      <c r="B31" s="465" t="s">
        <v>877</v>
      </c>
      <c r="C31" s="481" t="str">
        <f>IFERROR(INDEX(Data_Kayttis!$AY:$AY,Henkilöstö!C$36),"")</f>
        <v/>
      </c>
      <c r="D31" s="481" t="str">
        <f>IFERROR(INDEX(Data_Kayttis!$AY:$AY,Henkilöstö!D$36),"")</f>
        <v/>
      </c>
      <c r="E31" s="481" t="str">
        <f>IFERROR(INDEX(Data_Kayttis!$AY:$AY,Henkilöstö!E$36),"")</f>
        <v/>
      </c>
      <c r="F31" s="481" t="str">
        <f>IFERROR(INDEX(Data_Kayttis!$AY:$AY,Henkilöstö!F$36),"")</f>
        <v/>
      </c>
      <c r="G31" s="481" t="str">
        <f>IFERROR(INDEX(Data_Kayttis!$AY:$AY,Henkilöstö!G$36),"")</f>
        <v/>
      </c>
      <c r="H31" s="481" t="str">
        <f>IFERROR(INDEX(Data_Kayttis!$AY:$AY,Henkilöstö!H$36),"")</f>
        <v/>
      </c>
      <c r="I31" s="481" t="str">
        <f>IFERROR(INDEX(Data_Kayttis!$AY:$AY,Henkilöstö!I$36),"")</f>
        <v/>
      </c>
      <c r="J31" s="481" t="str">
        <f>IFERROR(INDEX(Data_Kayttis!$AY:$AY,Henkilöstö!J$36),"")</f>
        <v/>
      </c>
      <c r="K31" s="481" t="str">
        <f>IFERROR(INDEX(Data_Kayttis!$AY:$AY,Henkilöstö!K$36),"")</f>
        <v/>
      </c>
      <c r="L31" s="481" t="str">
        <f>IFERROR(INDEX(Data_Kayttis!$AY:$AY,Henkilöstö!L$36),"")</f>
        <v/>
      </c>
      <c r="M31" s="481" t="str">
        <f>IFERROR(INDEX(Data_Kayttis!$AY:$AY,Henkilöstö!M$36),"")</f>
        <v/>
      </c>
      <c r="N31" s="481" t="str">
        <f>IFERROR(INDEX(Data_Kayttis!$AY:$AY,Henkilöstö!N$36),"")</f>
        <v/>
      </c>
      <c r="O31" s="481" t="str">
        <f>IFERROR(INDEX(Data_Kayttis!$AY:$AY,Henkilöstö!O$36),"")</f>
        <v/>
      </c>
      <c r="P31" s="481" t="str">
        <f>IFERROR(INDEX(Data_Kayttis!$AY:$AY,Henkilöstö!P$36),"")</f>
        <v/>
      </c>
      <c r="Q31" s="481" t="str">
        <f>IFERROR(INDEX(Data_Kayttis!$AY:$AY,Henkilöstö!Q$36),"")</f>
        <v/>
      </c>
      <c r="R31" s="481" t="str">
        <f>IFERROR(INDEX(Data_Kayttis!$AY:$AY,Henkilöstö!R$36),"")</f>
        <v/>
      </c>
      <c r="S31" s="481" t="str">
        <f>IFERROR(INDEX(Data_Kayttis!$AY:$AY,Henkilöstö!S$36),"")</f>
        <v/>
      </c>
      <c r="T31" s="481" t="str">
        <f>IFERROR(INDEX(Data_Kayttis!$AY:$AY,Henkilöstö!T$36),"")</f>
        <v/>
      </c>
      <c r="U31" s="481" t="str">
        <f>IFERROR(INDEX(Data_Kayttis!$AY:$AY,Henkilöstö!U$36),"")</f>
        <v/>
      </c>
      <c r="V31" s="481" t="str">
        <f>IFERROR(INDEX(Data_Kayttis!$AY:$AY,Henkilöstö!V$36),"")</f>
        <v/>
      </c>
      <c r="W31" s="481" t="str">
        <f>IFERROR(INDEX(Data_Kayttis!$AY:$AY,Henkilöstö!W$36),"")</f>
        <v/>
      </c>
      <c r="X31" s="481" t="str">
        <f>IFERROR(INDEX(Data_Kayttis!$AY:$AY,Henkilöstö!X$36),"")</f>
        <v/>
      </c>
      <c r="Y31" s="481" t="str">
        <f>IFERROR(INDEX(Data_Kayttis!$AY:$AY,Henkilöstö!Y$36),"")</f>
        <v/>
      </c>
      <c r="Z31" s="481" t="str">
        <f>IFERROR(INDEX(Data_Kayttis!$AY:$AY,Henkilöstö!Z$36),"")</f>
        <v/>
      </c>
      <c r="AH31" s="189" t="s">
        <v>1182</v>
      </c>
    </row>
    <row r="32" spans="2:34" s="15" customFormat="1" x14ac:dyDescent="0.25">
      <c r="B32" s="455" t="s">
        <v>848</v>
      </c>
      <c r="C32" s="482" t="str">
        <f>IFERROR(VALUE(INDEX(Data_Kayttis!$AA:$AA,Henkilöstö!C$36)),"")</f>
        <v/>
      </c>
      <c r="D32" s="483" t="str">
        <f>IFERROR(VALUE(INDEX(Data_Kayttis!$AA:$AA,Henkilöstö!D$36)),"")</f>
        <v/>
      </c>
      <c r="E32" s="483" t="str">
        <f>IFERROR(VALUE(INDEX(Data_Kayttis!$AA:$AA,Henkilöstö!E$36)),"")</f>
        <v/>
      </c>
      <c r="F32" s="483" t="str">
        <f>IFERROR(VALUE(INDEX(Data_Kayttis!$AA:$AA,Henkilöstö!F$36)),"")</f>
        <v/>
      </c>
      <c r="G32" s="483" t="str">
        <f>IFERROR(VALUE(INDEX(Data_Kayttis!$AA:$AA,Henkilöstö!G$36)),"")</f>
        <v/>
      </c>
      <c r="H32" s="483" t="str">
        <f>IFERROR(VALUE(INDEX(Data_Kayttis!$AA:$AA,Henkilöstö!H$36)),"")</f>
        <v/>
      </c>
      <c r="I32" s="483" t="str">
        <f>IFERROR(VALUE(INDEX(Data_Kayttis!$AA:$AA,Henkilöstö!I$36)),"")</f>
        <v/>
      </c>
      <c r="J32" s="483" t="str">
        <f>IFERROR(VALUE(INDEX(Data_Kayttis!$AA:$AA,Henkilöstö!J$36)),"")</f>
        <v/>
      </c>
      <c r="K32" s="483" t="str">
        <f>IFERROR(VALUE(INDEX(Data_Kayttis!$AA:$AA,Henkilöstö!K$36)),"")</f>
        <v/>
      </c>
      <c r="L32" s="483" t="str">
        <f>IFERROR(VALUE(INDEX(Data_Kayttis!$AA:$AA,Henkilöstö!L$36)),"")</f>
        <v/>
      </c>
      <c r="M32" s="483" t="str">
        <f>IFERROR(VALUE(INDEX(Data_Kayttis!$AA:$AA,Henkilöstö!M$36)),"")</f>
        <v/>
      </c>
      <c r="N32" s="483" t="str">
        <f>IFERROR(VALUE(INDEX(Data_Kayttis!$AA:$AA,Henkilöstö!N$36)),"")</f>
        <v/>
      </c>
      <c r="O32" s="483" t="str">
        <f>IFERROR(VALUE(INDEX(Data_Kayttis!$AA:$AA,Henkilöstö!O$36)),"")</f>
        <v/>
      </c>
      <c r="P32" s="483" t="str">
        <f>IFERROR(VALUE(INDEX(Data_Kayttis!$AA:$AA,Henkilöstö!P$36)),"")</f>
        <v/>
      </c>
      <c r="Q32" s="483" t="str">
        <f>IFERROR(VALUE(INDEX(Data_Kayttis!$AA:$AA,Henkilöstö!Q$36)),"")</f>
        <v/>
      </c>
      <c r="R32" s="483" t="str">
        <f>IFERROR(VALUE(INDEX(Data_Kayttis!$AA:$AA,Henkilöstö!R$36)),"")</f>
        <v/>
      </c>
      <c r="S32" s="483" t="str">
        <f>IFERROR(VALUE(INDEX(Data_Kayttis!$AA:$AA,Henkilöstö!S$36)),"")</f>
        <v/>
      </c>
      <c r="T32" s="483" t="str">
        <f>IFERROR(VALUE(INDEX(Data_Kayttis!$AA:$AA,Henkilöstö!T$36)),"")</f>
        <v/>
      </c>
      <c r="U32" s="483" t="str">
        <f>IFERROR(VALUE(INDEX(Data_Kayttis!$AA:$AA,Henkilöstö!U$36)),"")</f>
        <v/>
      </c>
      <c r="V32" s="483" t="str">
        <f>IFERROR(VALUE(INDEX(Data_Kayttis!$AA:$AA,Henkilöstö!V$36)),"")</f>
        <v/>
      </c>
      <c r="W32" s="483" t="str">
        <f>IFERROR(VALUE(INDEX(Data_Kayttis!$AA:$AA,Henkilöstö!W$36)),"")</f>
        <v/>
      </c>
      <c r="X32" s="483" t="str">
        <f>IFERROR(VALUE(INDEX(Data_Kayttis!$AA:$AA,Henkilöstö!X$36)),"")</f>
        <v/>
      </c>
      <c r="Y32" s="483" t="str">
        <f>IFERROR(VALUE(INDEX(Data_Kayttis!$AA:$AA,Henkilöstö!Y$36)),"")</f>
        <v/>
      </c>
      <c r="Z32" s="483" t="str">
        <f>IFERROR(VALUE(INDEX(Data_Kayttis!$AA:$AA,Henkilöstö!Z$36)),"")</f>
        <v/>
      </c>
      <c r="AC32" s="367" t="s">
        <v>896</v>
      </c>
      <c r="AD32" s="450" t="s">
        <v>840</v>
      </c>
      <c r="AE32" s="451" t="s">
        <v>897</v>
      </c>
      <c r="AH32" s="189" t="s">
        <v>1183</v>
      </c>
    </row>
    <row r="33" spans="2:32" s="15" customFormat="1" x14ac:dyDescent="0.25">
      <c r="B33" s="449"/>
      <c r="AC33" s="367" t="s">
        <v>896</v>
      </c>
      <c r="AD33" s="450" t="s">
        <v>881</v>
      </c>
      <c r="AE33" s="15" t="s">
        <v>1184</v>
      </c>
      <c r="AF33" s="451" t="s">
        <v>899</v>
      </c>
    </row>
    <row r="34" spans="2:32" s="15" customFormat="1" hidden="1" x14ac:dyDescent="0.25">
      <c r="B34" s="449"/>
      <c r="C34" s="15">
        <f t="shared" ref="C34:Z34" si="1">IF(C10&lt;&gt;"",1,0)</f>
        <v>0</v>
      </c>
      <c r="D34" s="15">
        <f t="shared" si="1"/>
        <v>0</v>
      </c>
      <c r="E34" s="15">
        <f t="shared" si="1"/>
        <v>0</v>
      </c>
      <c r="F34" s="15">
        <f t="shared" si="1"/>
        <v>0</v>
      </c>
      <c r="G34" s="15">
        <f t="shared" si="1"/>
        <v>0</v>
      </c>
      <c r="H34" s="15">
        <f t="shared" si="1"/>
        <v>0</v>
      </c>
      <c r="I34" s="15">
        <f t="shared" si="1"/>
        <v>0</v>
      </c>
      <c r="J34" s="15">
        <f t="shared" si="1"/>
        <v>0</v>
      </c>
      <c r="K34" s="15">
        <f t="shared" si="1"/>
        <v>0</v>
      </c>
      <c r="L34" s="15">
        <f t="shared" si="1"/>
        <v>0</v>
      </c>
      <c r="M34" s="15">
        <f t="shared" si="1"/>
        <v>0</v>
      </c>
      <c r="N34" s="15">
        <f t="shared" si="1"/>
        <v>0</v>
      </c>
      <c r="O34" s="15">
        <f t="shared" si="1"/>
        <v>0</v>
      </c>
      <c r="P34" s="15">
        <f t="shared" si="1"/>
        <v>0</v>
      </c>
      <c r="Q34" s="15">
        <f t="shared" si="1"/>
        <v>0</v>
      </c>
      <c r="R34" s="15">
        <f t="shared" si="1"/>
        <v>0</v>
      </c>
      <c r="S34" s="15">
        <f t="shared" si="1"/>
        <v>0</v>
      </c>
      <c r="T34" s="15">
        <f t="shared" si="1"/>
        <v>0</v>
      </c>
      <c r="U34" s="15">
        <f t="shared" si="1"/>
        <v>0</v>
      </c>
      <c r="V34" s="15">
        <f t="shared" si="1"/>
        <v>0</v>
      </c>
      <c r="W34" s="15">
        <f t="shared" si="1"/>
        <v>0</v>
      </c>
      <c r="X34" s="15">
        <f t="shared" si="1"/>
        <v>0</v>
      </c>
      <c r="Y34" s="15">
        <f t="shared" si="1"/>
        <v>0</v>
      </c>
      <c r="Z34" s="15">
        <f t="shared" si="1"/>
        <v>0</v>
      </c>
      <c r="AC34" s="367" t="s">
        <v>896</v>
      </c>
      <c r="AD34" s="450" t="s">
        <v>842</v>
      </c>
      <c r="AE34" s="15" t="s">
        <v>1185</v>
      </c>
      <c r="AF34" s="451" t="s">
        <v>898</v>
      </c>
    </row>
    <row r="35" spans="2:32" s="15" customFormat="1" hidden="1" x14ac:dyDescent="0.25">
      <c r="B35" s="449"/>
      <c r="C35" s="15">
        <f t="shared" ref="C35:Z35" si="2">IFERROR(VALUE(C14),0)</f>
        <v>0</v>
      </c>
      <c r="D35" s="15">
        <f t="shared" si="2"/>
        <v>0</v>
      </c>
      <c r="E35" s="15">
        <f t="shared" si="2"/>
        <v>0</v>
      </c>
      <c r="F35" s="15">
        <f t="shared" si="2"/>
        <v>0</v>
      </c>
      <c r="G35" s="15">
        <f t="shared" si="2"/>
        <v>0</v>
      </c>
      <c r="H35" s="15">
        <f t="shared" si="2"/>
        <v>0</v>
      </c>
      <c r="I35" s="15">
        <f t="shared" si="2"/>
        <v>0</v>
      </c>
      <c r="J35" s="15">
        <f t="shared" si="2"/>
        <v>0</v>
      </c>
      <c r="K35" s="15">
        <f t="shared" si="2"/>
        <v>0</v>
      </c>
      <c r="L35" s="15">
        <f t="shared" si="2"/>
        <v>0</v>
      </c>
      <c r="M35" s="15">
        <f t="shared" si="2"/>
        <v>0</v>
      </c>
      <c r="N35" s="15">
        <f t="shared" si="2"/>
        <v>0</v>
      </c>
      <c r="O35" s="15">
        <f t="shared" si="2"/>
        <v>0</v>
      </c>
      <c r="P35" s="15">
        <f t="shared" si="2"/>
        <v>0</v>
      </c>
      <c r="Q35" s="15">
        <f t="shared" si="2"/>
        <v>0</v>
      </c>
      <c r="R35" s="15">
        <f t="shared" si="2"/>
        <v>0</v>
      </c>
      <c r="S35" s="15">
        <f t="shared" si="2"/>
        <v>0</v>
      </c>
      <c r="T35" s="15">
        <f t="shared" si="2"/>
        <v>0</v>
      </c>
      <c r="U35" s="15">
        <f t="shared" si="2"/>
        <v>0</v>
      </c>
      <c r="V35" s="15">
        <f t="shared" si="2"/>
        <v>0</v>
      </c>
      <c r="W35" s="15">
        <f t="shared" si="2"/>
        <v>0</v>
      </c>
      <c r="X35" s="15">
        <f t="shared" si="2"/>
        <v>0</v>
      </c>
      <c r="Y35" s="15">
        <f t="shared" si="2"/>
        <v>0</v>
      </c>
      <c r="Z35" s="15">
        <f t="shared" si="2"/>
        <v>0</v>
      </c>
      <c r="AC35" s="367" t="s">
        <v>896</v>
      </c>
      <c r="AD35" s="450" t="s">
        <v>883</v>
      </c>
      <c r="AE35" s="451" t="s">
        <v>900</v>
      </c>
    </row>
    <row r="36" spans="2:32" s="15" customFormat="1" hidden="1" x14ac:dyDescent="0.25">
      <c r="B36" s="397"/>
      <c r="C36" s="15" t="e">
        <f>IF(Data_Kayttis!AU3="OK",3,Data_Kayttis!BC3)</f>
        <v>#N/A</v>
      </c>
      <c r="D36" s="15" t="str">
        <f>IFERROR(IF(C36=0,0,INDEX(Data_Kayttis!$BC:$BC,Henkilöstö!C36)),"")</f>
        <v/>
      </c>
      <c r="E36" s="15" t="str">
        <f>IFERROR(IF(D36=0,0,INDEX(Data_Kayttis!$BC:$BC,Henkilöstö!D36)),"")</f>
        <v/>
      </c>
      <c r="F36" s="15" t="str">
        <f>IFERROR(IF(E36=0,0,INDEX(Data_Kayttis!$BC:$BC,Henkilöstö!E36)),"")</f>
        <v/>
      </c>
      <c r="G36" s="15" t="str">
        <f>IFERROR(IF(F36=0,0,INDEX(Data_Kayttis!$BC:$BC,Henkilöstö!F36)),"")</f>
        <v/>
      </c>
      <c r="H36" s="15" t="str">
        <f>IFERROR(IF(G36=0,0,INDEX(Data_Kayttis!$BC:$BC,Henkilöstö!G36)),"")</f>
        <v/>
      </c>
      <c r="I36" s="15" t="str">
        <f>IFERROR(IF(H36=0,0,INDEX(Data_Kayttis!$BC:$BC,Henkilöstö!H36)),"")</f>
        <v/>
      </c>
      <c r="J36" s="15" t="str">
        <f>IFERROR(IF(I36=0,0,INDEX(Data_Kayttis!$BC:$BC,Henkilöstö!I36)),"")</f>
        <v/>
      </c>
      <c r="K36" s="15" t="str">
        <f>IFERROR(IF(J36=0,0,INDEX(Data_Kayttis!$BC:$BC,Henkilöstö!J36)),"")</f>
        <v/>
      </c>
      <c r="L36" s="15" t="str">
        <f>IFERROR(IF(K36=0,0,INDEX(Data_Kayttis!$BC:$BC,Henkilöstö!K36)),"")</f>
        <v/>
      </c>
      <c r="M36" s="15" t="str">
        <f>IFERROR(IF(L36=0,0,INDEX(Data_Kayttis!$BC:$BC,Henkilöstö!L36)),"")</f>
        <v/>
      </c>
      <c r="N36" s="15" t="str">
        <f>IFERROR(IF(M36=0,0,INDEX(Data_Kayttis!$BC:$BC,Henkilöstö!M36)),"")</f>
        <v/>
      </c>
      <c r="O36" s="15" t="str">
        <f>IFERROR(IF(N36=0,0,INDEX(Data_Kayttis!$BC:$BC,Henkilöstö!N36)),"")</f>
        <v/>
      </c>
      <c r="P36" s="15" t="str">
        <f>IFERROR(IF(O36=0,0,INDEX(Data_Kayttis!$BC:$BC,Henkilöstö!O36)),"")</f>
        <v/>
      </c>
      <c r="Q36" s="15" t="str">
        <f>IFERROR(IF(P36=0,0,INDEX(Data_Kayttis!$BC:$BC,Henkilöstö!P36)),"")</f>
        <v/>
      </c>
      <c r="R36" s="15" t="str">
        <f>IFERROR(IF(Q36=0,0,INDEX(Data_Kayttis!$BC:$BC,Henkilöstö!Q36)),"")</f>
        <v/>
      </c>
      <c r="S36" s="15" t="str">
        <f>IFERROR(IF(R36=0,0,INDEX(Data_Kayttis!$BC:$BC,Henkilöstö!R36)),"")</f>
        <v/>
      </c>
      <c r="T36" s="15" t="str">
        <f>IFERROR(IF(S36=0,0,INDEX(Data_Kayttis!$BC:$BC,Henkilöstö!S36)),"")</f>
        <v/>
      </c>
      <c r="U36" s="15" t="str">
        <f>IFERROR(IF(T36=0,0,INDEX(Data_Kayttis!$BC:$BC,Henkilöstö!T36)),"")</f>
        <v/>
      </c>
      <c r="V36" s="15" t="str">
        <f>IFERROR(IF(U36=0,0,INDEX(Data_Kayttis!$BC:$BC,Henkilöstö!U36)),"")</f>
        <v/>
      </c>
      <c r="W36" s="15" t="str">
        <f>IFERROR(IF(V36=0,0,INDEX(Data_Kayttis!$BC:$BC,Henkilöstö!V36)),"")</f>
        <v/>
      </c>
      <c r="X36" s="15" t="str">
        <f>IFERROR(IF(W36=0,0,INDEX(Data_Kayttis!$BC:$BC,Henkilöstö!W36)),"")</f>
        <v/>
      </c>
      <c r="Y36" s="15" t="str">
        <f>IFERROR(IF(X36=0,0,INDEX(Data_Kayttis!$BC:$BC,Henkilöstö!X36)),"")</f>
        <v/>
      </c>
      <c r="Z36" s="15" t="str">
        <f>IFERROR(IF(Y36=0,0,INDEX(Data_Kayttis!$BC:$BC,Henkilöstö!Y36)),"")</f>
        <v/>
      </c>
      <c r="AC36" s="367" t="s">
        <v>896</v>
      </c>
      <c r="AD36" s="450" t="s">
        <v>885</v>
      </c>
      <c r="AE36" s="451" t="s">
        <v>12</v>
      </c>
    </row>
    <row r="37" spans="2:32" s="15" customFormat="1" hidden="1" x14ac:dyDescent="0.25">
      <c r="B37" s="449"/>
      <c r="C37" s="15">
        <f>COUNTBLANK(C10:C14)+COUNTBLANK(C16:C19)+COUNTBLANK(C21)+COUNTBLANK(C24:C30)</f>
        <v>17</v>
      </c>
      <c r="D37" s="15">
        <f t="shared" ref="D37:Z37" si="3">COUNTBLANK(D10:D14)+COUNTBLANK(D16:D19)+COUNTBLANK(D21)+COUNTBLANK(D24:D30)</f>
        <v>17</v>
      </c>
      <c r="E37" s="15">
        <f t="shared" si="3"/>
        <v>17</v>
      </c>
      <c r="F37" s="15">
        <f t="shared" si="3"/>
        <v>17</v>
      </c>
      <c r="G37" s="15">
        <f t="shared" si="3"/>
        <v>17</v>
      </c>
      <c r="H37" s="15">
        <f t="shared" si="3"/>
        <v>17</v>
      </c>
      <c r="I37" s="15">
        <f t="shared" si="3"/>
        <v>17</v>
      </c>
      <c r="J37" s="15">
        <f t="shared" si="3"/>
        <v>17</v>
      </c>
      <c r="K37" s="15">
        <f t="shared" si="3"/>
        <v>17</v>
      </c>
      <c r="L37" s="15">
        <f t="shared" si="3"/>
        <v>17</v>
      </c>
      <c r="M37" s="15">
        <f t="shared" si="3"/>
        <v>17</v>
      </c>
      <c r="N37" s="15">
        <f t="shared" si="3"/>
        <v>17</v>
      </c>
      <c r="O37" s="15">
        <f t="shared" si="3"/>
        <v>17</v>
      </c>
      <c r="P37" s="15">
        <f t="shared" si="3"/>
        <v>17</v>
      </c>
      <c r="Q37" s="15">
        <f t="shared" si="3"/>
        <v>17</v>
      </c>
      <c r="R37" s="15">
        <f t="shared" si="3"/>
        <v>17</v>
      </c>
      <c r="S37" s="15">
        <f t="shared" si="3"/>
        <v>17</v>
      </c>
      <c r="T37" s="15">
        <f t="shared" si="3"/>
        <v>17</v>
      </c>
      <c r="U37" s="15">
        <f t="shared" si="3"/>
        <v>17</v>
      </c>
      <c r="V37" s="15">
        <f t="shared" si="3"/>
        <v>17</v>
      </c>
      <c r="W37" s="15">
        <f t="shared" si="3"/>
        <v>17</v>
      </c>
      <c r="X37" s="15">
        <f t="shared" si="3"/>
        <v>17</v>
      </c>
      <c r="Y37" s="15">
        <f t="shared" si="3"/>
        <v>17</v>
      </c>
      <c r="Z37" s="15">
        <f t="shared" si="3"/>
        <v>17</v>
      </c>
      <c r="AC37" s="367" t="s">
        <v>896</v>
      </c>
      <c r="AD37" s="450" t="s">
        <v>887</v>
      </c>
      <c r="AE37" s="451" t="s">
        <v>2</v>
      </c>
    </row>
    <row r="38" spans="2:32" s="15" customFormat="1" hidden="1" x14ac:dyDescent="0.25">
      <c r="B38" s="449"/>
    </row>
    <row r="39" spans="2:32" x14ac:dyDescent="0.25">
      <c r="AC39" s="7" t="s">
        <v>901</v>
      </c>
      <c r="AD39" s="405" t="s">
        <v>840</v>
      </c>
      <c r="AE39" s="407" t="s">
        <v>902</v>
      </c>
    </row>
    <row r="40" spans="2:32" x14ac:dyDescent="0.25">
      <c r="AC40" s="7" t="s">
        <v>901</v>
      </c>
      <c r="AD40" s="405" t="s">
        <v>842</v>
      </c>
      <c r="AE40" s="407" t="s">
        <v>903</v>
      </c>
    </row>
    <row r="41" spans="2:32" x14ac:dyDescent="0.25">
      <c r="AC41" s="7" t="s">
        <v>901</v>
      </c>
      <c r="AD41" s="405" t="s">
        <v>881</v>
      </c>
      <c r="AE41" s="407" t="s">
        <v>904</v>
      </c>
    </row>
    <row r="42" spans="2:32" x14ac:dyDescent="0.25">
      <c r="AC42" s="7" t="s">
        <v>901</v>
      </c>
      <c r="AD42" s="405" t="s">
        <v>883</v>
      </c>
      <c r="AE42" s="407" t="s">
        <v>905</v>
      </c>
    </row>
    <row r="43" spans="2:32" x14ac:dyDescent="0.25">
      <c r="AC43" s="7" t="s">
        <v>901</v>
      </c>
      <c r="AD43" s="405" t="s">
        <v>885</v>
      </c>
      <c r="AE43" s="406" t="s">
        <v>906</v>
      </c>
    </row>
    <row r="44" spans="2:32" x14ac:dyDescent="0.25">
      <c r="AC44" s="7" t="s">
        <v>901</v>
      </c>
      <c r="AD44" s="405" t="s">
        <v>887</v>
      </c>
      <c r="AE44" s="406" t="s">
        <v>907</v>
      </c>
    </row>
    <row r="45" spans="2:32" x14ac:dyDescent="0.25">
      <c r="AC45" s="7" t="s">
        <v>901</v>
      </c>
      <c r="AD45" s="405" t="s">
        <v>889</v>
      </c>
      <c r="AE45" s="406" t="s">
        <v>908</v>
      </c>
    </row>
    <row r="46" spans="2:32" x14ac:dyDescent="0.25">
      <c r="AC46" s="7" t="s">
        <v>901</v>
      </c>
      <c r="AD46" s="405" t="s">
        <v>891</v>
      </c>
      <c r="AE46" s="406" t="s">
        <v>2</v>
      </c>
    </row>
    <row r="73" spans="2:2" x14ac:dyDescent="0.25">
      <c r="B73" s="398"/>
    </row>
  </sheetData>
  <sheetProtection sheet="1"/>
  <mergeCells count="1">
    <mergeCell ref="C1:E1"/>
  </mergeCells>
  <conditionalFormatting sqref="A6">
    <cfRule type="containsText" dxfId="16" priority="1" operator="containsText" text="valitsematta">
      <formula>NOT(ISERROR(SEARCH("valitsematta",A6)))</formula>
    </cfRule>
    <cfRule type="containsText" dxfId="15" priority="2" operator="containsText" text="ei">
      <formula>NOT(ISERROR(SEARCH("ei",A6)))</formula>
    </cfRule>
  </conditionalFormatting>
  <dataValidations count="9">
    <dataValidation type="list" allowBlank="1" showInputMessage="1" showErrorMessage="1" sqref="C24:Z30" xr:uid="{93351F60-EBF8-4D15-9BFB-3DFEFB6564E8}">
      <formula1>$AC$1:$AC$2</formula1>
    </dataValidation>
    <dataValidation type="decimal" allowBlank="1" showInputMessage="1" showErrorMessage="1" sqref="C18:Z18" xr:uid="{C09A8442-B715-4B67-9482-66AFB3035590}">
      <formula1>0</formula1>
      <formula2>50</formula2>
    </dataValidation>
    <dataValidation type="list" allowBlank="1" showInputMessage="1" showErrorMessage="1" sqref="C21:Z21" xr:uid="{18F431AA-83A3-4DCC-8892-F3180F55DAB7}">
      <formula1>$AE$20:$AE$30</formula1>
    </dataValidation>
    <dataValidation type="date" allowBlank="1" showInputMessage="1" showErrorMessage="1" error="Kirjoita päivämäärä muodossa _x000a_pp.kk.vvvv_x000a__x000a_Päivämäärän on oltava _x000a_suurempi kuin 01.01.2008 ja _x000a_pienempi kuin 31.12.2020" sqref="A2:A3" xr:uid="{4F1BAB4D-2C02-420F-9D03-0C9447CC294B}">
      <formula1>39448</formula1>
      <formula2>44196</formula2>
    </dataValidation>
    <dataValidation type="decimal" allowBlank="1" showInputMessage="1" showErrorMessage="1" sqref="C14:Z14" xr:uid="{89715158-5B33-4BB2-8423-98925402CCC1}">
      <formula1>0</formula1>
      <formula2>1</formula2>
    </dataValidation>
    <dataValidation type="list" allowBlank="1" showInputMessage="1" showErrorMessage="1" sqref="C19:Z19" xr:uid="{74469B75-FADF-4942-AD91-1B2FB8FB61AA}">
      <formula1>$AE$9:$AE$16</formula1>
    </dataValidation>
    <dataValidation type="list" allowBlank="1" showInputMessage="1" showErrorMessage="1" sqref="C12:Z12" xr:uid="{CA5A7176-B149-4739-B663-753165C8B410}">
      <formula1>$AC$7:$AC$8</formula1>
    </dataValidation>
    <dataValidation type="list" allowBlank="1" showInputMessage="1" showErrorMessage="1" sqref="A6" xr:uid="{D82D5A99-BCDA-40AA-A0A6-0448E2644E27}">
      <formula1>$AE$1:$AE$3</formula1>
    </dataValidation>
    <dataValidation type="list" allowBlank="1" showInputMessage="1" showErrorMessage="1" sqref="C13:Z13" xr:uid="{D113333E-17B5-4101-943B-F7F16D1E0F30}">
      <formula1>$AE$32:$AE$37</formula1>
    </dataValidation>
  </dataValidations>
  <hyperlinks>
    <hyperlink ref="A2" location="Asiakastilastot!A2" display="Asiakastilastot!A2" xr:uid="{1671565A-7817-4603-9CC6-1921F209E37B}"/>
    <hyperlink ref="A3" location="Asiakastilastot!A3" display="Asiakastilastot!A3" xr:uid="{30B504B6-F8D2-4DF8-9FE1-81B78051D634}"/>
  </hyperlinks>
  <pageMargins left="0.7" right="0.7" top="0.75" bottom="0.83333333333333337" header="0" footer="0"/>
  <pageSetup paperSize="9" orientation="portrait" horizontalDpi="300" r:id="rId1"/>
  <headerFooter>
    <oddFooter>&amp;L 
Etsivä org
Etsivätie 1
01000, E-kunta&amp;C&amp;G&amp;R&amp;P/&amp;N</oddFooter>
  </headerFooter>
  <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rgb="FFFF0000"/>
  </sheetPr>
  <dimension ref="A1:AG1"/>
  <sheetViews>
    <sheetView zoomScale="70" zoomScaleNormal="70" workbookViewId="0">
      <pane xSplit="3" ySplit="1" topLeftCell="D288" activePane="bottomRight" state="frozen"/>
      <selection activeCell="A3" sqref="A3"/>
      <selection pane="topRight" activeCell="A3" sqref="A3"/>
      <selection pane="bottomLeft" activeCell="A3" sqref="A3"/>
      <selection pane="bottomRight" activeCell="A3" sqref="A3"/>
    </sheetView>
  </sheetViews>
  <sheetFormatPr defaultColWidth="9.140625" defaultRowHeight="15" x14ac:dyDescent="0.25"/>
  <cols>
    <col min="1" max="1" width="13.85546875" style="3" bestFit="1" customWidth="1"/>
    <col min="2" max="2" width="15.140625" style="3" customWidth="1"/>
    <col min="3" max="3" width="16.28515625" style="3" customWidth="1"/>
    <col min="4" max="4" width="53.140625" style="3" customWidth="1"/>
    <col min="5" max="5" width="39" style="3" customWidth="1"/>
    <col min="6" max="6" width="30.140625" style="3" customWidth="1"/>
    <col min="7" max="7" width="16.140625" style="19" customWidth="1"/>
    <col min="8" max="8" width="19" style="19" customWidth="1"/>
    <col min="9" max="9" width="18.140625" style="3" customWidth="1"/>
    <col min="10" max="10" width="18" style="3" customWidth="1"/>
    <col min="11" max="11" width="30" style="3" customWidth="1"/>
    <col min="12" max="12" width="19.5703125" style="3" customWidth="1"/>
    <col min="13" max="14" width="22.7109375" style="394" customWidth="1"/>
    <col min="15" max="15" width="18" style="3" customWidth="1"/>
    <col min="16" max="17" width="11.140625" customWidth="1"/>
    <col min="18" max="18" width="13.7109375" customWidth="1"/>
    <col min="34" max="16384" width="9.140625" style="3"/>
  </cols>
  <sheetData>
    <row r="1" spans="1:16" x14ac:dyDescent="0.25">
      <c r="A1" s="12" t="s">
        <v>257</v>
      </c>
      <c r="B1" s="12" t="s">
        <v>258</v>
      </c>
      <c r="C1" s="12" t="s">
        <v>259</v>
      </c>
      <c r="D1" s="12" t="s">
        <v>260</v>
      </c>
      <c r="E1" s="12" t="s">
        <v>261</v>
      </c>
      <c r="F1" s="12" t="s">
        <v>262</v>
      </c>
      <c r="G1" s="416" t="s">
        <v>263</v>
      </c>
      <c r="H1" s="416" t="s">
        <v>264</v>
      </c>
      <c r="I1" s="12" t="s">
        <v>265</v>
      </c>
      <c r="J1" s="12" t="s">
        <v>266</v>
      </c>
      <c r="K1" s="12" t="s">
        <v>267</v>
      </c>
      <c r="L1" s="12" t="s">
        <v>268</v>
      </c>
      <c r="M1" s="415" t="s">
        <v>269</v>
      </c>
      <c r="N1" s="415" t="s">
        <v>270</v>
      </c>
      <c r="O1" s="12" t="s">
        <v>603</v>
      </c>
      <c r="P1" s="698" t="s">
        <v>1502</v>
      </c>
    </row>
  </sheetData>
  <autoFilter ref="A1:AG258" xr:uid="{00000000-0001-0000-0F00-000000000000}"/>
  <dataConsolidate link="1"/>
  <pageMargins left="0.7" right="0.7" top="0.75" bottom="0.83333333333333337" header="0" footer="0"/>
  <pageSetup paperSize="9" orientation="portrait" r:id="rId1"/>
  <headerFooter>
    <oddFooter>&amp;L 
Etsivä org
Etsivätie 1
01000, E-kunta&amp;C&amp;G&amp;R&amp;P/&amp;N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ul32">
    <tabColor rgb="FFFF0000"/>
  </sheetPr>
  <dimension ref="A1:AI1"/>
  <sheetViews>
    <sheetView zoomScale="80" zoomScaleNormal="80" workbookViewId="0">
      <pane xSplit="3" ySplit="1" topLeftCell="D96" activePane="bottomRight" state="frozen"/>
      <selection activeCell="A3" sqref="A3"/>
      <selection pane="topRight" activeCell="A3" sqref="A3"/>
      <selection pane="bottomLeft" activeCell="A3" sqref="A3"/>
      <selection pane="bottomRight" activeCell="A3" sqref="A3"/>
    </sheetView>
  </sheetViews>
  <sheetFormatPr defaultColWidth="10" defaultRowHeight="15" x14ac:dyDescent="0.25"/>
  <cols>
    <col min="1" max="2" width="10" style="3"/>
    <col min="3" max="3" width="12.7109375" style="3" customWidth="1"/>
    <col min="4" max="4" width="74.85546875" style="3" bestFit="1" customWidth="1"/>
    <col min="5" max="6" width="10" style="19"/>
    <col min="7" max="8" width="10" style="3"/>
    <col min="9" max="9" width="10" style="19"/>
    <col min="10" max="10" width="10" style="3"/>
    <col min="11" max="14" width="10" style="367"/>
    <col min="15" max="16" width="17.5703125" style="394" customWidth="1"/>
    <col min="17" max="17" width="10" style="3"/>
    <col min="20" max="22" width="11.5703125" customWidth="1"/>
    <col min="27" max="27" width="11.5703125" customWidth="1"/>
    <col min="29" max="29" width="11.5703125" customWidth="1"/>
    <col min="36" max="16384" width="10" style="3"/>
  </cols>
  <sheetData>
    <row r="1" spans="1:21" ht="60" x14ac:dyDescent="0.25">
      <c r="A1" s="1" t="s">
        <v>312</v>
      </c>
      <c r="B1" s="1" t="s">
        <v>313</v>
      </c>
      <c r="C1" s="1" t="s">
        <v>314</v>
      </c>
      <c r="D1" s="1" t="s">
        <v>315</v>
      </c>
      <c r="E1" s="416" t="s">
        <v>316</v>
      </c>
      <c r="F1" s="416" t="s">
        <v>317</v>
      </c>
      <c r="G1" s="1" t="s">
        <v>318</v>
      </c>
      <c r="H1" s="1" t="s">
        <v>319</v>
      </c>
      <c r="I1" s="416" t="s">
        <v>320</v>
      </c>
      <c r="J1" s="1" t="s">
        <v>321</v>
      </c>
      <c r="K1" s="718" t="s">
        <v>322</v>
      </c>
      <c r="L1" s="718" t="s">
        <v>323</v>
      </c>
      <c r="M1" s="718" t="s">
        <v>324</v>
      </c>
      <c r="N1" s="718" t="s">
        <v>325</v>
      </c>
      <c r="O1" s="415" t="s">
        <v>326</v>
      </c>
      <c r="P1" s="415" t="s">
        <v>327</v>
      </c>
      <c r="Q1" s="1" t="s">
        <v>328</v>
      </c>
      <c r="R1" s="15" t="s">
        <v>1500</v>
      </c>
      <c r="S1" s="15" t="s">
        <v>1470</v>
      </c>
      <c r="T1" s="15" t="s">
        <v>1501</v>
      </c>
      <c r="U1" s="15" t="s">
        <v>716</v>
      </c>
    </row>
  </sheetData>
  <autoFilter ref="A1:AF288" xr:uid="{00000000-0009-0000-0000-000010000000}"/>
  <phoneticPr fontId="64" type="noConversion"/>
  <pageMargins left="0.7" right="0.7" top="0.75" bottom="0.83333333333333337" header="0" footer="0"/>
  <pageSetup paperSize="9" orientation="portrait" r:id="rId1"/>
  <headerFooter>
    <oddFooter>&amp;L 
Etsivä org
Etsivätie 1
01000, E-kunta&amp;C&amp;G&amp;R&amp;P/&amp;N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6B443-84B5-478A-A895-9FA06D3E005F}">
  <sheetPr codeName="Taul17">
    <tabColor rgb="FFFF0000"/>
  </sheetPr>
  <dimension ref="A1:Y1"/>
  <sheetViews>
    <sheetView zoomScale="80" zoomScaleNormal="80" workbookViewId="0">
      <selection activeCell="A3" sqref="A3"/>
    </sheetView>
  </sheetViews>
  <sheetFormatPr defaultRowHeight="15" x14ac:dyDescent="0.25"/>
  <cols>
    <col min="1" max="1" width="11.28515625" bestFit="1" customWidth="1"/>
    <col min="2" max="2" width="15.140625" bestFit="1" customWidth="1"/>
    <col min="3" max="3" width="11.28515625" bestFit="1" customWidth="1"/>
    <col min="4" max="4" width="17.28515625" style="20" bestFit="1" customWidth="1"/>
    <col min="5" max="5" width="16" bestFit="1" customWidth="1"/>
    <col min="6" max="6" width="20.28515625" bestFit="1" customWidth="1"/>
    <col min="7" max="7" width="25.5703125" bestFit="1" customWidth="1"/>
    <col min="8" max="8" width="20.28515625" bestFit="1" customWidth="1"/>
    <col min="9" max="9" width="25.5703125" bestFit="1" customWidth="1"/>
    <col min="10" max="10" width="20.28515625" bestFit="1" customWidth="1"/>
    <col min="11" max="11" width="25.5703125" bestFit="1" customWidth="1"/>
    <col min="12" max="12" width="20.28515625" bestFit="1" customWidth="1"/>
    <col min="13" max="13" width="25.5703125" bestFit="1" customWidth="1"/>
    <col min="14" max="14" width="20.28515625" bestFit="1" customWidth="1"/>
    <col min="15" max="15" width="25.5703125" bestFit="1" customWidth="1"/>
    <col min="16" max="16" width="20.28515625" bestFit="1" customWidth="1"/>
    <col min="17" max="17" width="25.5703125" bestFit="1" customWidth="1"/>
    <col min="18" max="21" width="20.28515625" bestFit="1" customWidth="1"/>
    <col min="22" max="23" width="16.7109375" bestFit="1" customWidth="1"/>
    <col min="24" max="24" width="17" bestFit="1" customWidth="1"/>
    <col min="25" max="25" width="24.85546875" bestFit="1" customWidth="1"/>
  </cols>
  <sheetData>
    <row r="1" spans="1:25" x14ac:dyDescent="0.25">
      <c r="A1" t="s">
        <v>972</v>
      </c>
      <c r="B1" t="s">
        <v>973</v>
      </c>
      <c r="C1" t="s">
        <v>974</v>
      </c>
      <c r="D1" s="20" t="s">
        <v>975</v>
      </c>
      <c r="E1" t="s">
        <v>976</v>
      </c>
      <c r="F1" t="s">
        <v>1014</v>
      </c>
      <c r="G1" t="s">
        <v>978</v>
      </c>
      <c r="H1" t="s">
        <v>1016</v>
      </c>
      <c r="I1" t="s">
        <v>980</v>
      </c>
      <c r="J1" t="s">
        <v>1018</v>
      </c>
      <c r="K1" t="s">
        <v>982</v>
      </c>
      <c r="L1" t="s">
        <v>1019</v>
      </c>
      <c r="M1" t="s">
        <v>984</v>
      </c>
      <c r="N1" t="s">
        <v>1020</v>
      </c>
      <c r="O1" t="s">
        <v>986</v>
      </c>
      <c r="P1" t="s">
        <v>1021</v>
      </c>
      <c r="Q1" t="s">
        <v>988</v>
      </c>
      <c r="R1" t="s">
        <v>1022</v>
      </c>
      <c r="S1" t="s">
        <v>1023</v>
      </c>
      <c r="T1" t="s">
        <v>1024</v>
      </c>
      <c r="U1" t="s">
        <v>1025</v>
      </c>
      <c r="V1" t="s">
        <v>994</v>
      </c>
      <c r="W1" t="s">
        <v>995</v>
      </c>
      <c r="X1" t="s">
        <v>996</v>
      </c>
      <c r="Y1" t="s">
        <v>1158</v>
      </c>
    </row>
  </sheetData>
  <pageMargins left="0.7" right="0.7" top="0.75" bottom="0.83333333333333337" header="0" footer="0"/>
  <pageSetup paperSize="9" orientation="portrait" horizontalDpi="300" r:id="rId1"/>
  <headerFooter>
    <oddFooter>&amp;L 
Etsivä org
Etsivätie 1
01000, E-kunta&amp;C&amp;G&amp;R&amp;P/&amp;N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ul14">
    <tabColor rgb="FFFF0000"/>
  </sheetPr>
  <dimension ref="A1:AT1"/>
  <sheetViews>
    <sheetView zoomScale="80" zoomScaleNormal="80" workbookViewId="0">
      <pane xSplit="3" ySplit="1" topLeftCell="D202" activePane="bottomRight" state="frozen"/>
      <selection activeCell="A3" sqref="A3"/>
      <selection pane="topRight" activeCell="A3" sqref="A3"/>
      <selection pane="bottomLeft" activeCell="A3" sqref="A3"/>
      <selection pane="bottomRight" activeCell="A3" sqref="A3"/>
    </sheetView>
  </sheetViews>
  <sheetFormatPr defaultColWidth="9.140625" defaultRowHeight="15" x14ac:dyDescent="0.25"/>
  <cols>
    <col min="1" max="1" width="11.42578125" style="3" customWidth="1"/>
    <col min="2" max="2" width="19.7109375" style="3" customWidth="1"/>
    <col min="3" max="3" width="16.85546875" style="3" customWidth="1"/>
    <col min="4" max="4" width="24.7109375" style="3" customWidth="1"/>
    <col min="5" max="5" width="20.28515625" style="3" customWidth="1"/>
    <col min="6" max="7" width="10.42578125" style="3" customWidth="1"/>
    <col min="8" max="10" width="15.7109375" style="3" customWidth="1"/>
    <col min="11" max="11" width="13.140625" style="3" customWidth="1"/>
    <col min="12" max="12" width="17.5703125" style="3" customWidth="1"/>
    <col min="13" max="13" width="37.5703125" style="394" customWidth="1"/>
    <col min="14" max="14" width="36.85546875" style="394" customWidth="1"/>
    <col min="15" max="15" width="14.85546875" style="19" customWidth="1"/>
    <col min="16" max="16" width="7.140625" customWidth="1"/>
    <col min="17" max="17" width="7.85546875" customWidth="1"/>
    <col min="18" max="18" width="9.42578125" customWidth="1"/>
    <col min="19" max="19" width="6.85546875" customWidth="1"/>
    <col min="20" max="20" width="16" customWidth="1"/>
    <col min="21" max="29" width="6.140625" customWidth="1"/>
    <col min="30" max="30" width="9.28515625" customWidth="1"/>
    <col min="31" max="34" width="6.140625" customWidth="1"/>
    <col min="35" max="35" width="10" customWidth="1"/>
    <col min="36" max="40" width="6.140625" customWidth="1"/>
    <col min="41" max="42" width="14.42578125" customWidth="1"/>
    <col min="43" max="43" width="5.7109375" customWidth="1"/>
    <col min="46" max="46" width="5.7109375" customWidth="1"/>
    <col min="47" max="16384" width="9.140625" style="3"/>
  </cols>
  <sheetData>
    <row r="1" spans="1:15" s="12" customFormat="1" x14ac:dyDescent="0.25">
      <c r="A1" s="12" t="s">
        <v>332</v>
      </c>
      <c r="B1" s="12" t="s">
        <v>333</v>
      </c>
      <c r="C1" s="12" t="s">
        <v>334</v>
      </c>
      <c r="D1" s="12" t="s">
        <v>335</v>
      </c>
      <c r="E1" s="12" t="s">
        <v>336</v>
      </c>
      <c r="F1" s="12" t="s">
        <v>337</v>
      </c>
      <c r="G1" s="12" t="s">
        <v>338</v>
      </c>
      <c r="H1" s="12" t="s">
        <v>339</v>
      </c>
      <c r="I1" s="12" t="s">
        <v>340</v>
      </c>
      <c r="J1" s="12" t="s">
        <v>341</v>
      </c>
      <c r="K1" s="12" t="s">
        <v>342</v>
      </c>
      <c r="L1" s="12" t="s">
        <v>343</v>
      </c>
      <c r="M1" s="415" t="s">
        <v>344</v>
      </c>
      <c r="N1" s="415" t="s">
        <v>345</v>
      </c>
      <c r="O1" s="416" t="s">
        <v>915</v>
      </c>
    </row>
  </sheetData>
  <autoFilter ref="A1:AT1" xr:uid="{00000000-0009-0000-0000-000011000000}"/>
  <pageMargins left="0.7" right="0.7" top="0.75" bottom="0.83333333333333337" header="0" footer="0"/>
  <pageSetup paperSize="9" orientation="portrait" r:id="rId1"/>
  <headerFooter>
    <oddFooter>&amp;L 
Etsivä org
Etsivätie 1
01000, E-kunta&amp;C&amp;G&amp;R&amp;P/&amp;N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ul15"/>
  <dimension ref="A1:K4"/>
  <sheetViews>
    <sheetView zoomScale="80" zoomScaleNormal="80" workbookViewId="0">
      <selection activeCell="A3" sqref="A3"/>
    </sheetView>
  </sheetViews>
  <sheetFormatPr defaultColWidth="32.28515625" defaultRowHeight="15" x14ac:dyDescent="0.25"/>
  <cols>
    <col min="1" max="1" width="41.42578125" style="3" customWidth="1"/>
    <col min="2" max="2" width="15.140625" style="3" customWidth="1"/>
    <col min="3" max="3" width="9.7109375" style="3" customWidth="1"/>
    <col min="4" max="4" width="32.140625" style="3" customWidth="1"/>
    <col min="5" max="7" width="28.42578125" style="3" customWidth="1"/>
    <col min="8" max="8" width="11.5703125" style="3" customWidth="1"/>
    <col min="9" max="9" width="18" style="3" bestFit="1" customWidth="1"/>
    <col min="10" max="10" width="10.7109375" style="3" bestFit="1" customWidth="1"/>
    <col min="11" max="11" width="9.140625" style="3" bestFit="1" customWidth="1"/>
    <col min="12" max="16384" width="32.28515625" style="3"/>
  </cols>
  <sheetData>
    <row r="1" spans="1:11" s="12" customFormat="1" x14ac:dyDescent="0.25">
      <c r="A1" s="12" t="s">
        <v>627</v>
      </c>
      <c r="B1" s="12" t="s">
        <v>628</v>
      </c>
      <c r="C1" s="12" t="s">
        <v>629</v>
      </c>
      <c r="D1" s="12" t="s">
        <v>630</v>
      </c>
      <c r="E1" s="12" t="s">
        <v>631</v>
      </c>
      <c r="F1" s="12" t="s">
        <v>632</v>
      </c>
      <c r="G1" s="12" t="s">
        <v>633</v>
      </c>
      <c r="H1" s="12" t="s">
        <v>634</v>
      </c>
      <c r="I1" s="132" t="s">
        <v>637</v>
      </c>
      <c r="J1" s="132" t="s">
        <v>636</v>
      </c>
      <c r="K1" s="132" t="s">
        <v>635</v>
      </c>
    </row>
    <row r="2" spans="1:11" x14ac:dyDescent="0.25">
      <c r="H2" s="3" t="s">
        <v>1657</v>
      </c>
      <c r="I2" t="str">
        <f>IF(H2="P","P",LEFT(A:A,14))</f>
        <v>P</v>
      </c>
      <c r="J2">
        <f>COUNTIF($I$1:I2,I2)</f>
        <v>1</v>
      </c>
      <c r="K2">
        <f>COUNTIF(I:I,I2)</f>
        <v>3</v>
      </c>
    </row>
    <row r="3" spans="1:11" x14ac:dyDescent="0.25">
      <c r="H3" s="3" t="s">
        <v>1657</v>
      </c>
      <c r="I3" t="str">
        <f t="shared" ref="I3:I4" si="0">IF(H3="P","P",LEFT(A:A,14))</f>
        <v>P</v>
      </c>
      <c r="J3">
        <f>COUNTIF($I$1:I3,I3)</f>
        <v>2</v>
      </c>
      <c r="K3">
        <f t="shared" ref="K3:K4" si="1">COUNTIF(I:I,I3)</f>
        <v>3</v>
      </c>
    </row>
    <row r="4" spans="1:11" x14ac:dyDescent="0.25">
      <c r="H4" s="3" t="s">
        <v>1657</v>
      </c>
      <c r="I4" t="str">
        <f t="shared" si="0"/>
        <v>P</v>
      </c>
      <c r="J4">
        <f>COUNTIF($I$1:I4,I4)</f>
        <v>3</v>
      </c>
      <c r="K4">
        <f t="shared" si="1"/>
        <v>3</v>
      </c>
    </row>
  </sheetData>
  <autoFilter ref="A1:H54" xr:uid="{00000000-0009-0000-0000-000012000000}"/>
  <pageMargins left="0.7" right="0.7" top="0.75" bottom="0.83333333333333337" header="0" footer="0"/>
  <pageSetup paperSize="9" orientation="portrait" horizontalDpi="300" r:id="rId1"/>
  <headerFooter>
    <oddFooter>&amp;L 
Etsivä org
Etsivätie 1
01000, E-kunta&amp;C&amp;G&amp;R&amp;P/&amp;N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DD72A-08AF-4710-87CE-F36C9C862B15}">
  <sheetPr codeName="Taul10"/>
  <dimension ref="A1:M2"/>
  <sheetViews>
    <sheetView workbookViewId="0">
      <selection activeCell="A3" sqref="A3"/>
    </sheetView>
  </sheetViews>
  <sheetFormatPr defaultRowHeight="15" x14ac:dyDescent="0.25"/>
  <sheetData>
    <row r="1" spans="1:13" x14ac:dyDescent="0.25">
      <c r="A1" s="3" t="s">
        <v>919</v>
      </c>
      <c r="B1" s="3" t="s">
        <v>919</v>
      </c>
      <c r="C1" s="3" t="s">
        <v>919</v>
      </c>
      <c r="D1" s="3" t="s">
        <v>920</v>
      </c>
      <c r="E1" s="3" t="s">
        <v>920</v>
      </c>
      <c r="F1" s="3" t="s">
        <v>921</v>
      </c>
      <c r="G1" s="3" t="s">
        <v>921</v>
      </c>
      <c r="H1" s="3" t="s">
        <v>921</v>
      </c>
      <c r="I1" s="3" t="s">
        <v>921</v>
      </c>
      <c r="J1" s="3" t="s">
        <v>921</v>
      </c>
      <c r="K1" s="3" t="s">
        <v>922</v>
      </c>
      <c r="L1" s="3" t="s">
        <v>922</v>
      </c>
      <c r="M1" s="3" t="s">
        <v>922</v>
      </c>
    </row>
    <row r="2" spans="1:13" x14ac:dyDescent="0.25">
      <c r="A2" s="12" t="s">
        <v>194</v>
      </c>
      <c r="B2" s="12" t="s">
        <v>198</v>
      </c>
      <c r="C2" s="12" t="s">
        <v>199</v>
      </c>
      <c r="D2" s="12" t="s">
        <v>260</v>
      </c>
      <c r="E2" s="12" t="s">
        <v>261</v>
      </c>
      <c r="F2" s="12" t="s">
        <v>335</v>
      </c>
      <c r="G2" s="12" t="s">
        <v>336</v>
      </c>
      <c r="H2" s="12" t="s">
        <v>339</v>
      </c>
      <c r="I2" s="12" t="s">
        <v>340</v>
      </c>
      <c r="J2" s="12" t="s">
        <v>341</v>
      </c>
      <c r="K2" s="12" t="s">
        <v>315</v>
      </c>
      <c r="L2" s="12" t="s">
        <v>321</v>
      </c>
      <c r="M2" s="12" t="s">
        <v>324</v>
      </c>
    </row>
  </sheetData>
  <pageMargins left="0.7" right="0.7" top="0.75" bottom="0.75" header="0.3" footer="0.3"/>
  <pageSetup paperSize="9" orientation="portrait" horizont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EB8D2-0BB4-424D-BA03-7BE30D5D36CE}">
  <sheetPr codeName="Taul19"/>
  <dimension ref="A1:X1"/>
  <sheetViews>
    <sheetView workbookViewId="0">
      <selection activeCell="A3" sqref="A3"/>
    </sheetView>
  </sheetViews>
  <sheetFormatPr defaultRowHeight="15" x14ac:dyDescent="0.25"/>
  <cols>
    <col min="3" max="3" width="14" bestFit="1" customWidth="1"/>
    <col min="4" max="4" width="18.5703125" bestFit="1" customWidth="1"/>
    <col min="5" max="5" width="19.85546875" bestFit="1" customWidth="1"/>
    <col min="22" max="22" width="38.85546875" bestFit="1" customWidth="1"/>
  </cols>
  <sheetData>
    <row r="1" spans="1:24" x14ac:dyDescent="0.25">
      <c r="A1" t="s">
        <v>1471</v>
      </c>
      <c r="B1" t="s">
        <v>1472</v>
      </c>
      <c r="C1" t="s">
        <v>1473</v>
      </c>
      <c r="D1" t="s">
        <v>1474</v>
      </c>
      <c r="E1" t="s">
        <v>1475</v>
      </c>
      <c r="F1" t="s">
        <v>1476</v>
      </c>
      <c r="G1" t="s">
        <v>1477</v>
      </c>
      <c r="H1" t="s">
        <v>1478</v>
      </c>
      <c r="I1" t="s">
        <v>1479</v>
      </c>
      <c r="J1" t="s">
        <v>1480</v>
      </c>
      <c r="K1" t="s">
        <v>1481</v>
      </c>
      <c r="L1" t="s">
        <v>1482</v>
      </c>
      <c r="M1" t="s">
        <v>1483</v>
      </c>
      <c r="N1" t="s">
        <v>1484</v>
      </c>
      <c r="O1" t="s">
        <v>1485</v>
      </c>
      <c r="P1" t="s">
        <v>1486</v>
      </c>
      <c r="Q1" t="s">
        <v>1487</v>
      </c>
      <c r="R1" t="s">
        <v>1488</v>
      </c>
      <c r="S1" t="s">
        <v>1489</v>
      </c>
      <c r="T1" t="s">
        <v>1490</v>
      </c>
      <c r="U1" t="s">
        <v>1491</v>
      </c>
      <c r="V1" t="s">
        <v>1492</v>
      </c>
      <c r="W1" t="s">
        <v>1493</v>
      </c>
      <c r="X1" t="s">
        <v>1494</v>
      </c>
    </row>
  </sheetData>
  <pageMargins left="0.7" right="0.7" top="0.75" bottom="0.83333333333333337" header="0" footer="0"/>
  <pageSetup paperSize="9" orientation="portrait" horizontalDpi="300" r:id="rId1"/>
  <headerFooter>
    <oddFooter>&amp;L 
Etsivä org
Etsivätie 1
01000, E-kunta&amp;C&amp;G&amp;R&amp;P/&amp;N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D9CB2-8C5B-4F0C-845D-EAA409083DBE}">
  <sheetPr codeName="Taul18"/>
  <dimension ref="A1:P20"/>
  <sheetViews>
    <sheetView showGridLines="0" workbookViewId="0">
      <selection activeCell="C2" sqref="C2"/>
    </sheetView>
  </sheetViews>
  <sheetFormatPr defaultColWidth="9.140625" defaultRowHeight="15" x14ac:dyDescent="0.25"/>
  <cols>
    <col min="1" max="1" width="21.85546875" customWidth="1"/>
    <col min="2" max="3" width="14.42578125" customWidth="1"/>
    <col min="4" max="4" width="7.85546875" customWidth="1"/>
    <col min="5" max="5" width="14" hidden="1" customWidth="1"/>
    <col min="10" max="10" width="22" customWidth="1"/>
    <col min="11" max="12" width="13.85546875" customWidth="1"/>
    <col min="14" max="14" width="0" hidden="1" customWidth="1"/>
  </cols>
  <sheetData>
    <row r="1" spans="1:16" ht="18.75" x14ac:dyDescent="0.3">
      <c r="A1" s="566" t="s">
        <v>1172</v>
      </c>
      <c r="B1" s="1"/>
      <c r="C1" s="1"/>
    </row>
    <row r="2" spans="1:16" x14ac:dyDescent="0.25">
      <c r="A2" t="s">
        <v>1173</v>
      </c>
    </row>
    <row r="4" spans="1:16" ht="18.75" x14ac:dyDescent="0.3">
      <c r="A4" s="566" t="s">
        <v>1174</v>
      </c>
      <c r="B4" s="1"/>
      <c r="C4" s="1"/>
      <c r="D4" s="1"/>
      <c r="E4" s="1"/>
      <c r="F4" s="1"/>
      <c r="G4" s="1"/>
      <c r="H4" s="1"/>
      <c r="I4" s="1"/>
      <c r="J4" s="566" t="s">
        <v>1175</v>
      </c>
    </row>
    <row r="5" spans="1:16" ht="45" x14ac:dyDescent="0.25">
      <c r="A5" s="490" t="s">
        <v>965</v>
      </c>
      <c r="B5" s="491" t="s">
        <v>1176</v>
      </c>
      <c r="C5" s="491" t="s">
        <v>1177</v>
      </c>
      <c r="D5" s="490" t="s">
        <v>966</v>
      </c>
      <c r="E5" s="491" t="s">
        <v>967</v>
      </c>
      <c r="F5" s="491" t="s">
        <v>968</v>
      </c>
      <c r="G5" s="490" t="s">
        <v>969</v>
      </c>
      <c r="J5" s="490" t="s">
        <v>965</v>
      </c>
      <c r="K5" s="491" t="s">
        <v>1176</v>
      </c>
      <c r="L5" s="491" t="s">
        <v>1177</v>
      </c>
      <c r="M5" s="490" t="s">
        <v>966</v>
      </c>
      <c r="N5" s="491" t="s">
        <v>967</v>
      </c>
      <c r="O5" s="491" t="s">
        <v>968</v>
      </c>
      <c r="P5" s="490" t="s">
        <v>969</v>
      </c>
    </row>
    <row r="6" spans="1:16" x14ac:dyDescent="0.25">
      <c r="A6" s="306"/>
      <c r="B6" s="567"/>
      <c r="C6" s="567"/>
      <c r="D6" s="568">
        <f>_xlfn.DAYS(C6,B6)</f>
        <v>0</v>
      </c>
      <c r="E6" s="306">
        <f t="shared" ref="E6:E11" si="0">D6/365</f>
        <v>0</v>
      </c>
      <c r="F6" s="492"/>
      <c r="G6" s="569">
        <f>ROUND(E6*F6,2)</f>
        <v>0</v>
      </c>
      <c r="J6" s="306" t="s">
        <v>1178</v>
      </c>
      <c r="K6" s="567">
        <v>45658</v>
      </c>
      <c r="L6" s="567">
        <v>45807</v>
      </c>
      <c r="M6" s="568">
        <f>_xlfn.DAYS(L6,K6)</f>
        <v>149</v>
      </c>
      <c r="N6" s="306">
        <f t="shared" ref="N6:N11" si="1">M6/365</f>
        <v>0.40821917808219177</v>
      </c>
      <c r="O6" s="492">
        <v>1</v>
      </c>
      <c r="P6" s="569">
        <f>ROUND(N6*O6,2)</f>
        <v>0.41</v>
      </c>
    </row>
    <row r="7" spans="1:16" x14ac:dyDescent="0.25">
      <c r="A7" s="306"/>
      <c r="B7" s="567"/>
      <c r="C7" s="567"/>
      <c r="D7" s="568">
        <f t="shared" ref="D7:D11" si="2">_xlfn.DAYS(C7,B7)</f>
        <v>0</v>
      </c>
      <c r="E7" s="306">
        <f t="shared" si="0"/>
        <v>0</v>
      </c>
      <c r="F7" s="492"/>
      <c r="G7" s="569">
        <f t="shared" ref="G7:G11" si="3">ROUND(E7*F7,2)</f>
        <v>0</v>
      </c>
      <c r="J7" s="306"/>
      <c r="K7" s="567">
        <v>45855</v>
      </c>
      <c r="L7" s="567">
        <v>45918</v>
      </c>
      <c r="M7" s="568">
        <f t="shared" ref="M7:M11" si="4">_xlfn.DAYS(L7,K7)</f>
        <v>63</v>
      </c>
      <c r="N7" s="306">
        <f t="shared" si="1"/>
        <v>0.17260273972602741</v>
      </c>
      <c r="O7" s="492">
        <v>0.75</v>
      </c>
      <c r="P7" s="569">
        <f t="shared" ref="P7:P11" si="5">ROUND(N7*O7,2)</f>
        <v>0.13</v>
      </c>
    </row>
    <row r="8" spans="1:16" x14ac:dyDescent="0.25">
      <c r="A8" s="306"/>
      <c r="B8" s="306"/>
      <c r="C8" s="306"/>
      <c r="D8" s="568">
        <f t="shared" si="2"/>
        <v>0</v>
      </c>
      <c r="E8" s="306">
        <f t="shared" si="0"/>
        <v>0</v>
      </c>
      <c r="F8" s="492"/>
      <c r="G8" s="569">
        <f t="shared" si="3"/>
        <v>0</v>
      </c>
      <c r="J8" s="306"/>
      <c r="K8" s="567">
        <v>45991</v>
      </c>
      <c r="L8" s="567">
        <v>46022</v>
      </c>
      <c r="M8" s="568">
        <f t="shared" si="4"/>
        <v>31</v>
      </c>
      <c r="N8" s="306">
        <f t="shared" si="1"/>
        <v>8.4931506849315067E-2</v>
      </c>
      <c r="O8" s="492">
        <v>1</v>
      </c>
      <c r="P8" s="569">
        <f t="shared" si="5"/>
        <v>0.08</v>
      </c>
    </row>
    <row r="9" spans="1:16" x14ac:dyDescent="0.25">
      <c r="A9" s="306"/>
      <c r="B9" s="306"/>
      <c r="C9" s="306"/>
      <c r="D9" s="568">
        <f t="shared" si="2"/>
        <v>0</v>
      </c>
      <c r="E9" s="306">
        <f t="shared" si="0"/>
        <v>0</v>
      </c>
      <c r="F9" s="492"/>
      <c r="G9" s="569">
        <f t="shared" si="3"/>
        <v>0</v>
      </c>
      <c r="J9" s="306"/>
      <c r="K9" s="306"/>
      <c r="L9" s="306"/>
      <c r="M9" s="568">
        <f t="shared" si="4"/>
        <v>0</v>
      </c>
      <c r="N9" s="306">
        <f t="shared" si="1"/>
        <v>0</v>
      </c>
      <c r="O9" s="492"/>
      <c r="P9" s="569">
        <f t="shared" si="5"/>
        <v>0</v>
      </c>
    </row>
    <row r="10" spans="1:16" x14ac:dyDescent="0.25">
      <c r="A10" s="306"/>
      <c r="B10" s="306"/>
      <c r="C10" s="306"/>
      <c r="D10" s="568">
        <f t="shared" si="2"/>
        <v>0</v>
      </c>
      <c r="E10" s="306">
        <f t="shared" si="0"/>
        <v>0</v>
      </c>
      <c r="F10" s="492"/>
      <c r="G10" s="569">
        <f t="shared" si="3"/>
        <v>0</v>
      </c>
      <c r="J10" s="306"/>
      <c r="K10" s="306"/>
      <c r="L10" s="306"/>
      <c r="M10" s="568">
        <f t="shared" si="4"/>
        <v>0</v>
      </c>
      <c r="N10" s="306">
        <f t="shared" si="1"/>
        <v>0</v>
      </c>
      <c r="O10" s="492"/>
      <c r="P10" s="569">
        <f t="shared" si="5"/>
        <v>0</v>
      </c>
    </row>
    <row r="11" spans="1:16" x14ac:dyDescent="0.25">
      <c r="A11" s="306"/>
      <c r="B11" s="306"/>
      <c r="C11" s="306"/>
      <c r="D11" s="568">
        <f t="shared" si="2"/>
        <v>0</v>
      </c>
      <c r="E11" s="306">
        <f t="shared" si="0"/>
        <v>0</v>
      </c>
      <c r="F11" s="492"/>
      <c r="G11" s="569">
        <f t="shared" si="3"/>
        <v>0</v>
      </c>
      <c r="J11" s="306"/>
      <c r="K11" s="306"/>
      <c r="L11" s="306"/>
      <c r="M11" s="568">
        <f t="shared" si="4"/>
        <v>0</v>
      </c>
      <c r="N11" s="306">
        <f t="shared" si="1"/>
        <v>0</v>
      </c>
      <c r="O11" s="492"/>
      <c r="P11" s="569">
        <f t="shared" si="5"/>
        <v>0</v>
      </c>
    </row>
    <row r="12" spans="1:16" x14ac:dyDescent="0.25">
      <c r="A12" s="568" t="s">
        <v>970</v>
      </c>
      <c r="B12" s="568"/>
      <c r="C12" s="568"/>
      <c r="D12" s="568"/>
      <c r="E12" s="568"/>
      <c r="F12" s="568"/>
      <c r="G12" s="569">
        <f>SUBTOTAL(109,Taulukko133[HTV])</f>
        <v>0</v>
      </c>
      <c r="J12" s="568" t="s">
        <v>970</v>
      </c>
      <c r="K12" s="568"/>
      <c r="L12" s="568"/>
      <c r="M12" s="568"/>
      <c r="N12" s="568"/>
      <c r="O12" s="568"/>
      <c r="P12" s="568">
        <f>SUBTOTAL(109,Taulukko134[HTV])</f>
        <v>0.62</v>
      </c>
    </row>
    <row r="14" spans="1:16" ht="136.5" customHeight="1" x14ac:dyDescent="0.25">
      <c r="A14" s="788" t="s">
        <v>1179</v>
      </c>
      <c r="B14" s="788"/>
      <c r="C14" s="788"/>
      <c r="D14" s="788"/>
      <c r="E14" s="788"/>
      <c r="F14" s="788"/>
      <c r="G14" s="788"/>
      <c r="H14" s="788"/>
      <c r="I14" s="788"/>
      <c r="J14" s="788"/>
      <c r="K14" s="788"/>
      <c r="L14" s="788"/>
      <c r="M14" s="788"/>
      <c r="N14" s="788"/>
      <c r="O14" s="788"/>
      <c r="P14" s="788"/>
    </row>
    <row r="15" spans="1:16" x14ac:dyDescent="0.25">
      <c r="A15" s="570"/>
      <c r="B15" s="570"/>
      <c r="C15" s="570"/>
      <c r="D15" s="570"/>
      <c r="E15" s="570"/>
      <c r="F15" s="570"/>
      <c r="G15" s="570"/>
    </row>
    <row r="16" spans="1:16" x14ac:dyDescent="0.25">
      <c r="A16" s="571" t="s">
        <v>1180</v>
      </c>
      <c r="B16" s="570"/>
      <c r="C16" s="570"/>
      <c r="D16" s="570"/>
      <c r="E16" s="570"/>
      <c r="F16" s="570"/>
      <c r="G16" s="570"/>
    </row>
    <row r="17" spans="1:7" x14ac:dyDescent="0.25">
      <c r="A17" s="832" t="s">
        <v>1181</v>
      </c>
      <c r="B17" s="832"/>
      <c r="C17" s="832"/>
      <c r="D17" s="570"/>
      <c r="E17" s="570"/>
      <c r="F17" s="570"/>
      <c r="G17" s="570"/>
    </row>
    <row r="18" spans="1:7" x14ac:dyDescent="0.25">
      <c r="A18" s="570"/>
      <c r="B18" s="570"/>
      <c r="C18" s="570"/>
      <c r="D18" s="570"/>
      <c r="E18" s="570"/>
      <c r="F18" s="570"/>
      <c r="G18" s="570"/>
    </row>
    <row r="19" spans="1:7" x14ac:dyDescent="0.25">
      <c r="A19" s="570"/>
      <c r="B19" s="570"/>
      <c r="C19" s="570"/>
      <c r="D19" s="570"/>
      <c r="E19" s="570"/>
      <c r="F19" s="570"/>
      <c r="G19" s="570"/>
    </row>
    <row r="20" spans="1:7" ht="114.75" customHeight="1" x14ac:dyDescent="0.25">
      <c r="A20" s="570"/>
      <c r="B20" s="570"/>
      <c r="C20" s="570"/>
      <c r="D20" s="570"/>
      <c r="E20" s="570"/>
      <c r="F20" s="570"/>
      <c r="G20" s="570"/>
    </row>
  </sheetData>
  <sheetProtection sheet="1"/>
  <mergeCells count="2">
    <mergeCell ref="A14:P14"/>
    <mergeCell ref="A17:C17"/>
  </mergeCells>
  <hyperlinks>
    <hyperlink ref="A17" r:id="rId1" xr:uid="{AB65CED8-1684-4F22-BBCE-3CAB8B30B3F4}"/>
  </hyperlinks>
  <pageMargins left="0.7" right="0.7" top="0.75" bottom="0.83333333333333337" header="0" footer="0"/>
  <pageSetup paperSize="9" orientation="portrait" horizontalDpi="300" r:id="rId2"/>
  <headerFooter>
    <oddFooter>&amp;L 
Etsivä org
Etsivätie 1
01000, E-kunta&amp;C&amp;G&amp;R&amp;P/&amp;N</oddFooter>
  </headerFooter>
  <tableParts count="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1">
    <pageSetUpPr fitToPage="1"/>
  </sheetPr>
  <dimension ref="A1:AT174"/>
  <sheetViews>
    <sheetView showGridLines="0" zoomScaleNormal="100" workbookViewId="0">
      <selection activeCell="A3" sqref="A3"/>
    </sheetView>
  </sheetViews>
  <sheetFormatPr defaultColWidth="9.140625" defaultRowHeight="15" x14ac:dyDescent="0.25"/>
  <cols>
    <col min="1" max="1" width="48" style="27" customWidth="1"/>
    <col min="2" max="2" width="8.28515625" style="26" bestFit="1" customWidth="1"/>
    <col min="3" max="3" width="10.42578125" style="26" bestFit="1" customWidth="1"/>
    <col min="4" max="4" width="9.140625" style="27" customWidth="1"/>
    <col min="5" max="5" width="12.85546875" style="27" customWidth="1"/>
    <col min="6" max="6" width="9.140625" style="27"/>
    <col min="7" max="7" width="11.85546875" style="27" customWidth="1"/>
    <col min="8" max="8" width="7" style="27" customWidth="1"/>
    <col min="9" max="9" width="14.28515625" style="27" customWidth="1"/>
    <col min="10" max="11" width="9.140625" style="27"/>
    <col min="12" max="12" width="7" style="27" customWidth="1"/>
    <col min="13" max="19" width="8.7109375" style="88" customWidth="1"/>
    <col min="20" max="20" width="8.7109375" style="88" hidden="1" customWidth="1"/>
    <col min="21" max="26" width="8.7109375" style="27" hidden="1" customWidth="1"/>
    <col min="27" max="27" width="35.7109375" style="27" hidden="1" customWidth="1"/>
    <col min="28" max="30" width="8.7109375" style="27" hidden="1" customWidth="1"/>
    <col min="31" max="35" width="9.140625" style="27" hidden="1" customWidth="1"/>
    <col min="36" max="39" width="8.85546875" hidden="1" customWidth="1"/>
    <col min="40" max="45" width="9.140625" style="27" hidden="1" customWidth="1"/>
    <col min="46" max="16384" width="9.140625" style="27"/>
  </cols>
  <sheetData>
    <row r="1" spans="1:46" customFormat="1" ht="15.75" thickBot="1" x14ac:dyDescent="0.3">
      <c r="A1" s="306" t="s">
        <v>624</v>
      </c>
      <c r="M1" s="51"/>
      <c r="N1" s="51"/>
      <c r="O1" s="51"/>
      <c r="P1" s="51"/>
      <c r="Q1" s="51"/>
      <c r="R1" s="51"/>
      <c r="S1" s="51"/>
      <c r="T1" s="180" t="s">
        <v>623</v>
      </c>
      <c r="U1" s="180" t="s">
        <v>623</v>
      </c>
      <c r="V1" s="180" t="s">
        <v>623</v>
      </c>
      <c r="W1" s="180" t="s">
        <v>623</v>
      </c>
      <c r="X1" s="180" t="s">
        <v>623</v>
      </c>
      <c r="Y1" s="179" t="s">
        <v>625</v>
      </c>
      <c r="Z1" s="143" t="s">
        <v>623</v>
      </c>
      <c r="AA1" s="143" t="s">
        <v>623</v>
      </c>
      <c r="AB1" s="143" t="s">
        <v>623</v>
      </c>
      <c r="AC1" s="143" t="s">
        <v>623</v>
      </c>
      <c r="AD1" s="143" t="s">
        <v>623</v>
      </c>
      <c r="AE1" s="143" t="s">
        <v>623</v>
      </c>
      <c r="AF1" s="143" t="s">
        <v>623</v>
      </c>
      <c r="AG1" s="143" t="s">
        <v>623</v>
      </c>
      <c r="AH1" s="143" t="s">
        <v>623</v>
      </c>
      <c r="AI1" s="681" t="s">
        <v>623</v>
      </c>
      <c r="AJ1" s="681" t="s">
        <v>623</v>
      </c>
      <c r="AK1" s="681" t="s">
        <v>623</v>
      </c>
      <c r="AL1" s="681" t="s">
        <v>623</v>
      </c>
      <c r="AM1" s="681" t="s">
        <v>623</v>
      </c>
      <c r="AN1" s="681" t="s">
        <v>623</v>
      </c>
      <c r="AO1" s="681" t="s">
        <v>623</v>
      </c>
      <c r="AP1" s="681" t="s">
        <v>623</v>
      </c>
      <c r="AQ1" s="681" t="s">
        <v>623</v>
      </c>
      <c r="AR1" s="681" t="s">
        <v>623</v>
      </c>
      <c r="AS1" s="681" t="s">
        <v>623</v>
      </c>
    </row>
    <row r="2" spans="1:46" customFormat="1" x14ac:dyDescent="0.25">
      <c r="A2" s="199">
        <v>45658</v>
      </c>
      <c r="B2" t="s">
        <v>577</v>
      </c>
      <c r="M2" s="51"/>
      <c r="N2" s="51"/>
      <c r="O2" s="51"/>
      <c r="P2" s="51"/>
      <c r="Q2" s="51"/>
      <c r="R2" s="51"/>
      <c r="S2" s="51"/>
      <c r="T2" s="51"/>
      <c r="V2" s="181" t="str">
        <f>IF(A7="","*",INDEX(AE5:AE55,MATCH(A7,AD5:AD55,0)))</f>
        <v>*</v>
      </c>
      <c r="W2" s="182" t="s">
        <v>720</v>
      </c>
      <c r="X2" s="183" t="s">
        <v>568</v>
      </c>
      <c r="Y2" s="179" t="s">
        <v>626</v>
      </c>
      <c r="Z2" s="382" t="s">
        <v>811</v>
      </c>
      <c r="AA2" s="177" t="s">
        <v>639</v>
      </c>
      <c r="AB2" s="44" t="s">
        <v>638</v>
      </c>
      <c r="AC2" s="177" t="s">
        <v>639</v>
      </c>
      <c r="AD2" s="44" t="s">
        <v>1601</v>
      </c>
      <c r="AL2" s="15"/>
      <c r="AM2" s="15"/>
      <c r="AN2" s="15"/>
      <c r="AO2" s="15"/>
      <c r="AP2" s="15"/>
      <c r="AQ2" s="15"/>
    </row>
    <row r="3" spans="1:46" customFormat="1" x14ac:dyDescent="0.25">
      <c r="A3" s="199">
        <v>45777</v>
      </c>
      <c r="B3" t="s">
        <v>578</v>
      </c>
      <c r="M3" s="51"/>
      <c r="N3" s="51"/>
      <c r="O3" s="51"/>
      <c r="P3" s="51"/>
      <c r="Q3" s="51"/>
      <c r="R3" s="51"/>
      <c r="S3" s="51"/>
      <c r="T3" s="51"/>
      <c r="W3" s="184" t="s">
        <v>910</v>
      </c>
      <c r="X3" s="185" t="s">
        <v>205</v>
      </c>
      <c r="Y3" s="179" t="s">
        <v>819</v>
      </c>
      <c r="Z3" s="382" t="s">
        <v>812</v>
      </c>
      <c r="AA3" s="177" t="s">
        <v>635</v>
      </c>
      <c r="AB3" s="44" t="e">
        <f>INDEX(Data_Omakoodi!K:K,MATCH($AB$2,Data_Omakoodi!$I:$I,0))</f>
        <v>#N/A</v>
      </c>
      <c r="AC3" s="177" t="s">
        <v>635</v>
      </c>
      <c r="AD3" s="44" t="e">
        <f>INDEX(Data_Omakoodi!K:K,MATCH($AD$2,Data_Omakoodi!$I:$I,0))</f>
        <v>#N/A</v>
      </c>
      <c r="AG3" t="s">
        <v>1521</v>
      </c>
      <c r="AH3" s="176" t="s">
        <v>1649</v>
      </c>
      <c r="AI3" s="15"/>
      <c r="AJ3" t="s">
        <v>1522</v>
      </c>
      <c r="AK3" s="176" t="s">
        <v>1648</v>
      </c>
      <c r="AL3" s="15"/>
      <c r="AM3" s="15"/>
      <c r="AN3" s="15"/>
      <c r="AO3" s="15"/>
      <c r="AP3" s="15"/>
      <c r="AQ3" s="15"/>
    </row>
    <row r="4" spans="1:46" customFormat="1" x14ac:dyDescent="0.25">
      <c r="A4" s="200" t="s">
        <v>720</v>
      </c>
      <c r="B4" t="s">
        <v>576</v>
      </c>
      <c r="M4" s="51"/>
      <c r="N4" s="51"/>
      <c r="O4" s="51"/>
      <c r="P4" s="51"/>
      <c r="Q4" s="51"/>
      <c r="R4" s="51"/>
      <c r="S4" s="51"/>
      <c r="T4" s="51"/>
      <c r="W4" s="184" t="s">
        <v>722</v>
      </c>
      <c r="X4" s="185" t="s">
        <v>230</v>
      </c>
      <c r="Y4" t="s">
        <v>568</v>
      </c>
      <c r="Z4" s="382" t="s">
        <v>1031</v>
      </c>
      <c r="AA4" s="177" t="s">
        <v>640</v>
      </c>
      <c r="AB4" s="44" t="str">
        <f>IFERROR(MATCH($AB$2,Data_Omakoodi!$I:$I,0),"")</f>
        <v/>
      </c>
      <c r="AC4" s="177" t="s">
        <v>640</v>
      </c>
      <c r="AD4" s="44" t="str">
        <f>IFERROR(MATCH($AD$2,Data_Omakoodi!$I:$I,0),"")</f>
        <v/>
      </c>
      <c r="AG4" s="739"/>
      <c r="AH4" s="739" t="s">
        <v>1523</v>
      </c>
      <c r="AI4" s="15"/>
      <c r="AJ4" s="739"/>
      <c r="AK4" s="739" t="s">
        <v>1523</v>
      </c>
      <c r="AL4" s="15"/>
      <c r="AM4" s="15"/>
      <c r="AN4" s="15"/>
      <c r="AO4" s="15"/>
      <c r="AP4" s="15"/>
      <c r="AQ4" s="15"/>
    </row>
    <row r="5" spans="1:46" customFormat="1" ht="15.75" thickBot="1" x14ac:dyDescent="0.3">
      <c r="A5" s="200" t="s">
        <v>719</v>
      </c>
      <c r="B5" t="s">
        <v>579</v>
      </c>
      <c r="M5" s="51"/>
      <c r="N5" s="51"/>
      <c r="O5" s="51"/>
      <c r="P5" s="51"/>
      <c r="Q5" s="51"/>
      <c r="R5" s="51"/>
      <c r="S5" s="51"/>
      <c r="T5" s="51"/>
      <c r="W5" s="186" t="s">
        <v>723</v>
      </c>
      <c r="X5" s="187" t="s">
        <v>212</v>
      </c>
      <c r="Y5" s="181" t="str">
        <f>IF(A6="","*",IF(A6=Y1,"*",IF(A6=Y3,X9,"*")))</f>
        <v>*</v>
      </c>
      <c r="AA5" s="177" t="s">
        <v>568</v>
      </c>
      <c r="AB5" s="44" t="s">
        <v>719</v>
      </c>
      <c r="AC5" s="177" t="s">
        <v>568</v>
      </c>
      <c r="AD5" s="44" t="s">
        <v>1524</v>
      </c>
      <c r="AE5" s="177" t="s">
        <v>568</v>
      </c>
      <c r="AG5" s="739" t="str">
        <f>TEXT(AD5,"@")</f>
        <v>Kaikki yksiköt</v>
      </c>
      <c r="AH5" s="739">
        <f>IF(AG5&lt;&gt;"",ROW(),"")</f>
        <v>5</v>
      </c>
      <c r="AJ5" s="739" t="str">
        <f>TEXT(AB5,"@")</f>
        <v>Kaikki kunnat</v>
      </c>
      <c r="AK5" s="739">
        <f>IF(AJ5&lt;&gt;"",ROW(),"")</f>
        <v>5</v>
      </c>
      <c r="AL5" s="15"/>
      <c r="AM5" s="15"/>
      <c r="AN5" s="15"/>
      <c r="AO5" s="15"/>
      <c r="AP5" s="15"/>
      <c r="AQ5" s="15"/>
    </row>
    <row r="6" spans="1:46" customFormat="1" x14ac:dyDescent="0.25">
      <c r="A6" s="200" t="s">
        <v>625</v>
      </c>
      <c r="B6" t="s">
        <v>799</v>
      </c>
      <c r="M6" s="51"/>
      <c r="N6" s="51"/>
      <c r="O6" s="51"/>
      <c r="P6" s="51"/>
      <c r="Q6" s="51"/>
      <c r="R6" s="51"/>
      <c r="S6" s="51"/>
      <c r="T6" s="51"/>
      <c r="X6" s="181" t="str">
        <f>IF(A4="","*",INDEX($X$2:X5,MATCH($A$4,$W$2:$W$5,0)))</f>
        <v>*</v>
      </c>
      <c r="Y6" s="181" t="str">
        <f>IF(A5="","*",INDEX(AA5:AA55,MATCH(A5,AB5:AB55,0)))</f>
        <v>*</v>
      </c>
      <c r="AA6" s="177" t="s">
        <v>644</v>
      </c>
      <c r="AB6" s="188" t="s">
        <v>643</v>
      </c>
      <c r="AC6" s="177" t="s">
        <v>644</v>
      </c>
      <c r="AD6" s="188" t="s">
        <v>1525</v>
      </c>
      <c r="AE6" s="177" t="s">
        <v>644</v>
      </c>
      <c r="AG6" s="739" t="str">
        <f t="shared" ref="AG6:AG55" si="0">TEXT(AD6,"@")</f>
        <v>Ei yksiköitä</v>
      </c>
      <c r="AH6" s="739">
        <f t="shared" ref="AH6:AH55" si="1">IF(AG6&lt;&gt;"",ROW(),"")</f>
        <v>6</v>
      </c>
      <c r="AJ6" s="739" t="str">
        <f t="shared" ref="AJ6:AJ55" si="2">TEXT(AB6,"@")</f>
        <v>Ei kuntaluokkaa</v>
      </c>
      <c r="AK6" s="739">
        <f t="shared" ref="AK6:AK55" si="3">IF(AJ6&lt;&gt;"",ROW(),"")</f>
        <v>6</v>
      </c>
      <c r="AL6" s="15"/>
      <c r="AM6" s="15"/>
      <c r="AN6" s="15"/>
      <c r="AO6" s="15"/>
      <c r="AP6" s="15"/>
      <c r="AQ6" s="15"/>
    </row>
    <row r="7" spans="1:46" x14ac:dyDescent="0.25">
      <c r="A7" s="493" t="s">
        <v>1524</v>
      </c>
      <c r="B7" s="51" t="s">
        <v>1557</v>
      </c>
      <c r="C7"/>
      <c r="W7" s="181" t="str">
        <f>IF(A6=Y2,"OK","*")</f>
        <v>*</v>
      </c>
      <c r="X7" s="28" t="s">
        <v>207</v>
      </c>
      <c r="Y7" s="28" t="s">
        <v>213</v>
      </c>
      <c r="Z7"/>
      <c r="AA7" s="177" t="s">
        <v>62</v>
      </c>
      <c r="AB7" s="188" t="s">
        <v>641</v>
      </c>
      <c r="AC7" s="177" t="s">
        <v>62</v>
      </c>
      <c r="AD7" s="188" t="s">
        <v>1526</v>
      </c>
      <c r="AE7" s="177" t="s">
        <v>62</v>
      </c>
      <c r="AG7" s="739" t="str">
        <f t="shared" si="0"/>
        <v>Muut yksiköt</v>
      </c>
      <c r="AH7" s="739">
        <f t="shared" si="1"/>
        <v>7</v>
      </c>
      <c r="AI7"/>
      <c r="AJ7" s="739" t="str">
        <f t="shared" si="2"/>
        <v>Muut kunnat</v>
      </c>
      <c r="AK7" s="739">
        <f t="shared" si="3"/>
        <v>7</v>
      </c>
      <c r="AL7" s="15"/>
      <c r="AM7" s="15"/>
      <c r="AN7" s="15"/>
      <c r="AO7" s="15"/>
      <c r="AP7" s="15"/>
      <c r="AQ7" s="15"/>
      <c r="AR7"/>
      <c r="AS7"/>
      <c r="AT7"/>
    </row>
    <row r="8" spans="1:46" x14ac:dyDescent="0.25">
      <c r="X8" s="35" t="s">
        <v>546</v>
      </c>
      <c r="Y8" s="35" t="s">
        <v>593</v>
      </c>
      <c r="Z8"/>
      <c r="AA8" s="176" t="str">
        <f>IFERROR(IF(INDEX(Data_Omakoodi!H:H,MATCH($AK$3&amp;$AL8,Data_Omakoodi!A:A,0))="P","",$AK$3&amp;$AL8),$AK$3&amp;$AL8)</f>
        <v>ComboBox_EtKuntakoodi_00000001</v>
      </c>
      <c r="AB8" s="44" t="str">
        <f>IFERROR(INDEX(Data_Omakoodi!E:E,MATCH(AA8,Data_Omakoodi!A:A,0)),"")</f>
        <v/>
      </c>
      <c r="AC8" t="str">
        <f>IFERROR(IF(INDEX(Data_Omakoodi!H:H,MATCH($AH$3&amp;$AL8,Data_Omakoodi!A:A,0))="P","",$AH$3&amp;$AL8),$AH$3&amp;$AL8)</f>
        <v>ComboBox_TyHlo_yksikko_00000001</v>
      </c>
      <c r="AD8" s="44" t="str">
        <f>IFERROR(INDEX(Data_Omakoodi!E:E,MATCH(AC8,Data_Omakoodi!A:A,0)),"")</f>
        <v/>
      </c>
      <c r="AE8" t="str">
        <f>IFERROR(IF(INDEX(Data_Omakoodi!H:H,MATCH($AH$3&amp;$AL8,Data_Omakoodi!A:A,0))="P","",$AH$3&amp;$AL8),$AH$3&amp;$AL8)</f>
        <v>ComboBox_TyHlo_yksikko_00000001</v>
      </c>
      <c r="AF8" t="s">
        <v>1527</v>
      </c>
      <c r="AG8" s="739" t="str">
        <f>TEXT(AD8,"@")</f>
        <v/>
      </c>
      <c r="AH8" s="739" t="str">
        <f t="shared" si="1"/>
        <v/>
      </c>
      <c r="AI8"/>
      <c r="AJ8" s="739" t="str">
        <f t="shared" si="2"/>
        <v/>
      </c>
      <c r="AK8" s="739" t="str">
        <f t="shared" si="3"/>
        <v/>
      </c>
      <c r="AL8" s="370" t="s">
        <v>1639</v>
      </c>
      <c r="AM8" s="15"/>
      <c r="AN8" s="15"/>
      <c r="AO8" s="15"/>
      <c r="AP8" s="15"/>
      <c r="AQ8" s="15"/>
      <c r="AR8"/>
      <c r="AS8"/>
      <c r="AT8"/>
    </row>
    <row r="9" spans="1:46" x14ac:dyDescent="0.25">
      <c r="X9" s="178" t="s">
        <v>486</v>
      </c>
      <c r="Z9"/>
      <c r="AA9" s="176" t="str">
        <f>IFERROR(IF(INDEX(Data_Omakoodi!H:H,MATCH($AK$3&amp;$AL9,Data_Omakoodi!A:A,0))="P","",$AK$3&amp;$AL9),$AK$3&amp;$AL9)</f>
        <v>ComboBox_EtKuntakoodi_00000002</v>
      </c>
      <c r="AB9" s="44" t="str">
        <f>IFERROR(INDEX(Data_Omakoodi!E:E,MATCH(AA9,Data_Omakoodi!A:A,0)),"")</f>
        <v/>
      </c>
      <c r="AC9" t="str">
        <f>IFERROR(IF(INDEX(Data_Omakoodi!H:H,MATCH($AH$3&amp;$AL9,Data_Omakoodi!A:A,0))="P","",$AH$3&amp;$AL9),$AH$3&amp;$AL9)</f>
        <v>ComboBox_TyHlo_yksikko_00000002</v>
      </c>
      <c r="AD9" s="44" t="str">
        <f>IFERROR(INDEX(Data_Omakoodi!E:E,MATCH(AC9,Data_Omakoodi!A:A,0)),"")</f>
        <v/>
      </c>
      <c r="AE9" t="str">
        <f>IFERROR(IF(INDEX(Data_Omakoodi!H:H,MATCH($AH$3&amp;$AL9,Data_Omakoodi!A:A,0))="P","",$AH$3&amp;$AL9),$AH$3&amp;$AL9)</f>
        <v>ComboBox_TyHlo_yksikko_00000002</v>
      </c>
      <c r="AF9" t="s">
        <v>1528</v>
      </c>
      <c r="AG9" s="739" t="str">
        <f t="shared" si="0"/>
        <v/>
      </c>
      <c r="AH9" s="739" t="str">
        <f t="shared" si="1"/>
        <v/>
      </c>
      <c r="AI9"/>
      <c r="AJ9" s="739" t="str">
        <f t="shared" si="2"/>
        <v/>
      </c>
      <c r="AK9" s="739" t="str">
        <f t="shared" si="3"/>
        <v/>
      </c>
      <c r="AL9" s="370" t="s">
        <v>1640</v>
      </c>
      <c r="AM9" s="15"/>
      <c r="AN9" s="15"/>
      <c r="AO9" s="15"/>
      <c r="AP9" s="15"/>
      <c r="AQ9" s="15"/>
      <c r="AR9"/>
      <c r="AS9"/>
      <c r="AT9"/>
    </row>
    <row r="10" spans="1:46" x14ac:dyDescent="0.25">
      <c r="X10" s="221" t="str">
        <f>" - "&amp;TEXT($A$2,$X$11)&amp;"-"&amp;TEXT($A$3,$X$11)&amp;" "</f>
        <v xml:space="preserve"> - 01.01.2025-30.04.2025 </v>
      </c>
      <c r="Y10"/>
      <c r="Z10"/>
      <c r="AA10" s="176" t="str">
        <f>IFERROR(IF(INDEX(Data_Omakoodi!H:H,MATCH($AK$3&amp;$AL10,Data_Omakoodi!A:A,0))="P","",$AK$3&amp;$AL10),$AK$3&amp;$AL10)</f>
        <v>ComboBox_EtKuntakoodi_00000003</v>
      </c>
      <c r="AB10" s="44" t="str">
        <f>IFERROR(INDEX(Data_Omakoodi!E:E,MATCH(AA10,Data_Omakoodi!A:A,0)),"")</f>
        <v/>
      </c>
      <c r="AC10" t="str">
        <f>IFERROR(IF(INDEX(Data_Omakoodi!H:H,MATCH($AH$3&amp;$AL10,Data_Omakoodi!A:A,0))="P","",$AH$3&amp;$AL10),$AH$3&amp;$AL10)</f>
        <v>ComboBox_TyHlo_yksikko_00000003</v>
      </c>
      <c r="AD10" s="44" t="str">
        <f>IFERROR(INDEX(Data_Omakoodi!E:E,MATCH(AC10,Data_Omakoodi!A:A,0)),"")</f>
        <v/>
      </c>
      <c r="AE10" t="str">
        <f>IFERROR(IF(INDEX(Data_Omakoodi!H:H,MATCH($AH$3&amp;$AL10,Data_Omakoodi!A:A,0))="P","",$AH$3&amp;$AL10),$AH$3&amp;$AL10)</f>
        <v>ComboBox_TyHlo_yksikko_00000003</v>
      </c>
      <c r="AF10" t="s">
        <v>1529</v>
      </c>
      <c r="AG10" s="739" t="str">
        <f t="shared" si="0"/>
        <v/>
      </c>
      <c r="AH10" s="739" t="str">
        <f t="shared" si="1"/>
        <v/>
      </c>
      <c r="AI10"/>
      <c r="AJ10" s="739" t="str">
        <f t="shared" si="2"/>
        <v/>
      </c>
      <c r="AK10" s="739" t="str">
        <f t="shared" si="3"/>
        <v/>
      </c>
      <c r="AL10" s="370" t="s">
        <v>1641</v>
      </c>
      <c r="AM10" s="15"/>
      <c r="AN10" s="15"/>
      <c r="AO10" s="15"/>
      <c r="AP10" s="15"/>
      <c r="AQ10" s="15"/>
      <c r="AR10"/>
      <c r="AS10"/>
      <c r="AT10"/>
    </row>
    <row r="11" spans="1:46" x14ac:dyDescent="0.25">
      <c r="A11" s="361"/>
      <c r="B11" s="27"/>
      <c r="C11" s="27"/>
      <c r="X11" s="221" t="s">
        <v>675</v>
      </c>
      <c r="Y11" s="222" t="s">
        <v>676</v>
      </c>
      <c r="Z11"/>
      <c r="AA11" s="176" t="str">
        <f>IFERROR(IF(INDEX(Data_Omakoodi!H:H,MATCH($AK$3&amp;$AL11,Data_Omakoodi!A:A,0))="P","",$AK$3&amp;$AL11),$AK$3&amp;$AL11)</f>
        <v>ComboBox_EtKuntakoodi_00000004</v>
      </c>
      <c r="AB11" s="44" t="str">
        <f>IFERROR(INDEX(Data_Omakoodi!E:E,MATCH(AA11,Data_Omakoodi!A:A,0)),"")</f>
        <v/>
      </c>
      <c r="AC11" t="str">
        <f>IFERROR(IF(INDEX(Data_Omakoodi!H:H,MATCH($AH$3&amp;$AL11,Data_Omakoodi!A:A,0))="P","",$AH$3&amp;$AL11),$AH$3&amp;$AL11)</f>
        <v>ComboBox_TyHlo_yksikko_00000004</v>
      </c>
      <c r="AD11" s="44" t="str">
        <f>IFERROR(INDEX(Data_Omakoodi!E:E,MATCH(AC11,Data_Omakoodi!A:A,0)),"")</f>
        <v/>
      </c>
      <c r="AE11" t="str">
        <f>IFERROR(IF(INDEX(Data_Omakoodi!H:H,MATCH($AH$3&amp;$AL11,Data_Omakoodi!A:A,0))="P","",$AH$3&amp;$AL11),$AH$3&amp;$AL11)</f>
        <v>ComboBox_TyHlo_yksikko_00000004</v>
      </c>
      <c r="AF11" t="s">
        <v>1530</v>
      </c>
      <c r="AG11" s="739" t="str">
        <f t="shared" si="0"/>
        <v/>
      </c>
      <c r="AH11" s="739" t="str">
        <f t="shared" si="1"/>
        <v/>
      </c>
      <c r="AI11"/>
      <c r="AJ11" s="739" t="str">
        <f t="shared" si="2"/>
        <v/>
      </c>
      <c r="AK11" s="739" t="str">
        <f t="shared" si="3"/>
        <v/>
      </c>
      <c r="AL11" s="370" t="s">
        <v>1642</v>
      </c>
      <c r="AM11" s="15"/>
      <c r="AN11" s="15"/>
      <c r="AO11" s="15"/>
      <c r="AP11" s="15"/>
      <c r="AQ11" s="15"/>
      <c r="AR11"/>
      <c r="AS11"/>
      <c r="AT11"/>
    </row>
    <row r="12" spans="1:46" x14ac:dyDescent="0.25">
      <c r="A12" s="145" t="str">
        <f>Y12&amp;X14&amp;X10 &amp;X12</f>
        <v xml:space="preserve">- KAIKKI: Nuorten määrä statuksen mukaan - 01.01.2025-30.04.2025 </v>
      </c>
      <c r="B12" s="27"/>
      <c r="C12" s="27"/>
      <c r="X12" s="221" t="str">
        <f>IF(A4=W2,IF(A5=AB5,"","("&amp;A5&amp;")"),IF(A5=AB5,"("&amp;A4&amp;")","("&amp;A4&amp;"/"&amp;A5&amp;")"))&amp;IF(A7=AD5,"","("&amp;A7&amp;")")</f>
        <v/>
      </c>
      <c r="Y12" s="221" t="str">
        <f>IF($A$6=$Y$2,$Z$3,IF(A6=Y1,$Z$2,Z4))</f>
        <v xml:space="preserve">- KAIKKI: </v>
      </c>
      <c r="Z12"/>
      <c r="AA12" s="176" t="str">
        <f>IFERROR(IF(INDEX(Data_Omakoodi!H:H,MATCH($AK$3&amp;$AL12,Data_Omakoodi!A:A,0))="P","",$AK$3&amp;$AL12),$AK$3&amp;$AL12)</f>
        <v>ComboBox_EtKuntakoodi_00000005</v>
      </c>
      <c r="AB12" s="44" t="str">
        <f>IFERROR(INDEX(Data_Omakoodi!E:E,MATCH(AA12,Data_Omakoodi!A:A,0)),"")</f>
        <v/>
      </c>
      <c r="AC12" t="str">
        <f>IFERROR(IF(INDEX(Data_Omakoodi!H:H,MATCH($AH$3&amp;$AL12,Data_Omakoodi!A:A,0))="P","",$AH$3&amp;$AL12),$AH$3&amp;$AL12)</f>
        <v>ComboBox_TyHlo_yksikko_00000005</v>
      </c>
      <c r="AD12" s="44" t="str">
        <f>IFERROR(INDEX(Data_Omakoodi!E:E,MATCH(AC12,Data_Omakoodi!A:A,0)),"")</f>
        <v/>
      </c>
      <c r="AE12" t="str">
        <f>IFERROR(IF(INDEX(Data_Omakoodi!H:H,MATCH($AH$3&amp;$AL12,Data_Omakoodi!A:A,0))="P","",$AH$3&amp;$AL12),$AH$3&amp;$AL12)</f>
        <v>ComboBox_TyHlo_yksikko_00000005</v>
      </c>
      <c r="AF12" t="s">
        <v>1531</v>
      </c>
      <c r="AG12" s="739" t="str">
        <f t="shared" si="0"/>
        <v/>
      </c>
      <c r="AH12" s="739" t="str">
        <f t="shared" si="1"/>
        <v/>
      </c>
      <c r="AI12"/>
      <c r="AJ12" s="739" t="str">
        <f t="shared" si="2"/>
        <v/>
      </c>
      <c r="AK12" s="739" t="str">
        <f t="shared" si="3"/>
        <v/>
      </c>
      <c r="AL12" s="370" t="s">
        <v>1643</v>
      </c>
      <c r="AM12" s="15"/>
      <c r="AN12" s="15"/>
      <c r="AO12" s="15"/>
      <c r="AP12" s="15"/>
      <c r="AQ12" s="15"/>
      <c r="AR12"/>
      <c r="AS12"/>
      <c r="AT12"/>
    </row>
    <row r="13" spans="1:46" ht="38.25" x14ac:dyDescent="0.25">
      <c r="A13" s="840" t="s">
        <v>544</v>
      </c>
      <c r="B13" s="833" t="s">
        <v>114</v>
      </c>
      <c r="C13" s="833"/>
      <c r="D13" s="57" t="s">
        <v>132</v>
      </c>
      <c r="E13" s="58" t="s">
        <v>133</v>
      </c>
      <c r="F13" s="234" t="s">
        <v>134</v>
      </c>
      <c r="G13" s="844" t="str">
        <f>Y11&amp;X14&amp;" %"</f>
        <v>Kuva: Nuorten määrä statuksen mukaan %</v>
      </c>
      <c r="H13" s="845"/>
      <c r="I13" s="845"/>
      <c r="J13" s="845"/>
      <c r="K13" s="845"/>
      <c r="L13" s="846"/>
      <c r="Z13"/>
      <c r="AA13" s="176" t="str">
        <f>IFERROR(IF(INDEX(Data_Omakoodi!H:H,MATCH($AK$3&amp;$AL13,Data_Omakoodi!A:A,0))="P","",$AK$3&amp;$AL13),$AK$3&amp;$AL13)</f>
        <v>ComboBox_EtKuntakoodi_00000006</v>
      </c>
      <c r="AB13" s="44" t="str">
        <f>IFERROR(INDEX(Data_Omakoodi!E:E,MATCH(AA13,Data_Omakoodi!A:A,0)),"")</f>
        <v/>
      </c>
      <c r="AC13" t="str">
        <f>IFERROR(IF(INDEX(Data_Omakoodi!H:H,MATCH($AH$3&amp;$AL13,Data_Omakoodi!A:A,0))="P","",$AH$3&amp;$AL13),$AH$3&amp;$AL13)</f>
        <v>ComboBox_TyHlo_yksikko_00000006</v>
      </c>
      <c r="AD13" s="44" t="str">
        <f>IFERROR(INDEX(Data_Omakoodi!E:E,MATCH(AC13,Data_Omakoodi!A:A,0)),"")</f>
        <v/>
      </c>
      <c r="AE13" t="str">
        <f>IFERROR(IF(INDEX(Data_Omakoodi!H:H,MATCH($AH$3&amp;$AL13,Data_Omakoodi!A:A,0))="P","",$AH$3&amp;$AL13),$AH$3&amp;$AL13)</f>
        <v>ComboBox_TyHlo_yksikko_00000006</v>
      </c>
      <c r="AF13" t="s">
        <v>1532</v>
      </c>
      <c r="AG13" s="739" t="str">
        <f t="shared" si="0"/>
        <v/>
      </c>
      <c r="AH13" s="739" t="str">
        <f t="shared" si="1"/>
        <v/>
      </c>
      <c r="AI13"/>
      <c r="AJ13" s="739" t="str">
        <f t="shared" si="2"/>
        <v/>
      </c>
      <c r="AK13" s="739" t="str">
        <f t="shared" si="3"/>
        <v/>
      </c>
      <c r="AL13" s="370" t="s">
        <v>1644</v>
      </c>
      <c r="AM13" s="15"/>
      <c r="AN13" s="15"/>
      <c r="AO13" s="15"/>
      <c r="AP13" s="15"/>
      <c r="AQ13" s="15"/>
      <c r="AR13"/>
      <c r="AS13"/>
      <c r="AT13"/>
    </row>
    <row r="14" spans="1:46" x14ac:dyDescent="0.25">
      <c r="A14" s="840"/>
      <c r="B14" s="57" t="s">
        <v>106</v>
      </c>
      <c r="C14" s="57" t="s">
        <v>176</v>
      </c>
      <c r="D14" s="57" t="s">
        <v>106</v>
      </c>
      <c r="E14" s="57" t="s">
        <v>106</v>
      </c>
      <c r="F14" s="234" t="s">
        <v>106</v>
      </c>
      <c r="G14" s="847"/>
      <c r="H14" s="848"/>
      <c r="I14" s="848"/>
      <c r="J14" s="848"/>
      <c r="K14" s="848"/>
      <c r="L14" s="849"/>
      <c r="X14" s="223" t="s">
        <v>570</v>
      </c>
      <c r="Z14"/>
      <c r="AA14" s="176" t="str">
        <f>IFERROR(IF(INDEX(Data_Omakoodi!H:H,MATCH($AK$3&amp;$AL14,Data_Omakoodi!A:A,0))="P","",$AK$3&amp;$AL14),$AK$3&amp;$AL14)</f>
        <v>ComboBox_EtKuntakoodi_00000007</v>
      </c>
      <c r="AB14" s="44" t="str">
        <f>IFERROR(INDEX(Data_Omakoodi!E:E,MATCH(AA14,Data_Omakoodi!A:A,0)),"")</f>
        <v/>
      </c>
      <c r="AC14" t="str">
        <f>IFERROR(IF(INDEX(Data_Omakoodi!H:H,MATCH($AH$3&amp;$AL14,Data_Omakoodi!A:A,0))="P","",$AH$3&amp;$AL14),$AH$3&amp;$AL14)</f>
        <v>ComboBox_TyHlo_yksikko_00000007</v>
      </c>
      <c r="AD14" s="44" t="str">
        <f>IFERROR(INDEX(Data_Omakoodi!E:E,MATCH(AC14,Data_Omakoodi!A:A,0)),"")</f>
        <v/>
      </c>
      <c r="AE14" t="str">
        <f>IFERROR(IF(INDEX(Data_Omakoodi!H:H,MATCH($AH$3&amp;$AL14,Data_Omakoodi!A:A,0))="P","",$AH$3&amp;$AL14),$AH$3&amp;$AL14)</f>
        <v>ComboBox_TyHlo_yksikko_00000007</v>
      </c>
      <c r="AF14" t="s">
        <v>1533</v>
      </c>
      <c r="AG14" s="739" t="str">
        <f t="shared" si="0"/>
        <v/>
      </c>
      <c r="AH14" s="739" t="str">
        <f t="shared" si="1"/>
        <v/>
      </c>
      <c r="AI14"/>
      <c r="AJ14" s="739" t="str">
        <f t="shared" si="2"/>
        <v/>
      </c>
      <c r="AK14" s="739" t="str">
        <f t="shared" si="3"/>
        <v/>
      </c>
      <c r="AL14" s="370" t="s">
        <v>1645</v>
      </c>
      <c r="AM14" s="15"/>
      <c r="AN14" s="15"/>
      <c r="AO14" s="15"/>
      <c r="AP14" s="15"/>
      <c r="AQ14" s="15"/>
      <c r="AR14"/>
      <c r="AS14"/>
      <c r="AT14"/>
    </row>
    <row r="15" spans="1:46" x14ac:dyDescent="0.25">
      <c r="A15" s="147" t="s">
        <v>104</v>
      </c>
      <c r="B15" s="148">
        <f>SUMIFS(AS!$W:$W,AS!$BO:$BO,$W$7,AS!$AB:$AB,AS!$AA$1,AS!$AV:$AV,Asiakastilastot!$X15,AS!$AH:$AH,$X$8,AS!$AW:$AW,Asiakastilastot!$Y$6,AS!$X:$X,Asiakastilastot!$Y$5,AS!$K:$K,$V$2)</f>
        <v>0</v>
      </c>
      <c r="C15" s="312" t="str">
        <f>IFERROR(B15/$B$18,"-")</f>
        <v>-</v>
      </c>
      <c r="D15" s="148">
        <f>SUMIFS(AS!$W:$W,AS!$BO:$BO,$W$7,AS!$AB:$AB,AS!$AA$1,AS!$AV:$AV,Asiakastilastot!$X15,AS!$I:$I,Asiakastilastot!$X$7,AS!AH:AH,$X$8,AS!$AW:$AW,Asiakastilastot!$Y$6,AS!$X:$X,Asiakastilastot!$Y$5,AS!$K:$K,$V$2)</f>
        <v>0</v>
      </c>
      <c r="E15" s="148">
        <f>SUMIFS(AS!$W:$W,AS!$BO:$BO,$W$7,AS!$AB:$AB,AS!$AA$1,AS!$AV:$AV,Asiakastilastot!$X15,AS!$I:$I,Asiakastilastot!$Y$7,AS!AH:AH,$X$8,AS!$AW:$AW,Asiakastilastot!$Y$6,AS!$X:$X,Asiakastilastot!$Y$5,AS!$K:$K,$V$2)</f>
        <v>0</v>
      </c>
      <c r="F15" s="239">
        <f>SUMIFS(AS!$W:$W,AS!$BO:$BO,$W$7,AS!$AB:$AB,AS!$AA$1,AS!$AV:$AV,Asiakastilastot!$X15,AS!AH:AH,$Y$8,AS!$AW:$AW,Asiakastilastot!$Y$6,AS!$X:$X,Asiakastilastot!$Y$5,AS!$K:$K,$V$2)</f>
        <v>0</v>
      </c>
      <c r="G15" s="243"/>
      <c r="L15" s="229"/>
      <c r="X15" s="47" t="s">
        <v>205</v>
      </c>
      <c r="Z15"/>
      <c r="AA15" s="176" t="str">
        <f>IFERROR(IF(INDEX(Data_Omakoodi!H:H,MATCH($AK$3&amp;$AL15,Data_Omakoodi!A:A,0))="P","",$AK$3&amp;$AL15),$AK$3&amp;$AL15)</f>
        <v>ComboBox_EtKuntakoodi_00000008</v>
      </c>
      <c r="AB15" s="44" t="str">
        <f>IFERROR(INDEX(Data_Omakoodi!E:E,MATCH(AA15,Data_Omakoodi!A:A,0)),"")</f>
        <v/>
      </c>
      <c r="AC15" t="str">
        <f>IFERROR(IF(INDEX(Data_Omakoodi!H:H,MATCH($AH$3&amp;$AL15,Data_Omakoodi!A:A,0))="P","",$AH$3&amp;$AL15),$AH$3&amp;$AL15)</f>
        <v>ComboBox_TyHlo_yksikko_00000008</v>
      </c>
      <c r="AD15" s="44" t="str">
        <f>IFERROR(INDEX(Data_Omakoodi!E:E,MATCH(AC15,Data_Omakoodi!A:A,0)),"")</f>
        <v/>
      </c>
      <c r="AE15" t="str">
        <f>IFERROR(IF(INDEX(Data_Omakoodi!H:H,MATCH($AH$3&amp;$AL15,Data_Omakoodi!A:A,0))="P","",$AH$3&amp;$AL15),$AH$3&amp;$AL15)</f>
        <v>ComboBox_TyHlo_yksikko_00000008</v>
      </c>
      <c r="AF15" t="s">
        <v>1534</v>
      </c>
      <c r="AG15" s="739" t="str">
        <f t="shared" si="0"/>
        <v/>
      </c>
      <c r="AH15" s="739" t="str">
        <f t="shared" si="1"/>
        <v/>
      </c>
      <c r="AI15"/>
      <c r="AJ15" s="739" t="str">
        <f t="shared" si="2"/>
        <v/>
      </c>
      <c r="AK15" s="739" t="str">
        <f t="shared" si="3"/>
        <v/>
      </c>
      <c r="AL15" s="370" t="s">
        <v>1646</v>
      </c>
      <c r="AM15" s="15"/>
      <c r="AN15" s="15"/>
      <c r="AO15" s="15"/>
      <c r="AP15" s="15"/>
      <c r="AQ15" s="15"/>
      <c r="AR15"/>
      <c r="AS15"/>
      <c r="AT15"/>
    </row>
    <row r="16" spans="1:46" x14ac:dyDescent="0.25">
      <c r="A16" s="149" t="s">
        <v>105</v>
      </c>
      <c r="B16" s="148">
        <f>SUMIFS(AS!$W:$W,AS!$BO:$BO,$W$7,AS!$AB:$AB,AS!$AA$1,AS!$AV:$AV,Asiakastilastot!$X16,AS!$AH:$AH,$X$8,AS!$AW:$AW,Asiakastilastot!$Y$6,AS!$X:$X,Asiakastilastot!$Y$5,AS!$K:$K,$V$2)</f>
        <v>0</v>
      </c>
      <c r="C16" s="312" t="str">
        <f>IFERROR(B16/$B$18,"-")</f>
        <v>-</v>
      </c>
      <c r="D16" s="148">
        <f>SUMIFS(AS!$W:$W,AS!$BO:$BO,$W$7,AS!$AB:$AB,AS!$AA$1,AS!$AV:$AV,Asiakastilastot!$X16,AS!$I:$I,Asiakastilastot!$X$7,AS!AH:AH,$X$8,AS!$AW:$AW,Asiakastilastot!$Y$6,AS!$X:$X,Asiakastilastot!$Y$5,AS!$K:$K,$V$2)</f>
        <v>0</v>
      </c>
      <c r="E16" s="148">
        <f>SUMIFS(AS!$W:$W,AS!$BO:$BO,$W$7,AS!$AB:$AB,AS!$AA$1,AS!$AV:$AV,Asiakastilastot!$X16,AS!$I:$I,Asiakastilastot!$Y$7,AS!AH:AH,$X$8,AS!$AW:$AW,Asiakastilastot!$Y$6,AS!$X:$X,Asiakastilastot!$Y$5,AS!$K:$K,$V$2)</f>
        <v>0</v>
      </c>
      <c r="F16" s="239">
        <f>SUMIFS(AS!$W:$W,AS!$BO:$BO,$W$7,AS!$AB:$AB,AS!$AA$1,AS!$AV:$AV,Asiakastilastot!$X16,AS!AH:AH,$Y$8,AS!$AW:$AW,Asiakastilastot!$Y$6,AS!$X:$X,Asiakastilastot!$Y$5,AS!$K:$K,$V$2)</f>
        <v>0</v>
      </c>
      <c r="G16" s="243"/>
      <c r="L16" s="229"/>
      <c r="X16" s="47" t="s">
        <v>230</v>
      </c>
      <c r="Z16"/>
      <c r="AA16" s="176" t="str">
        <f>IFERROR(IF(INDEX(Data_Omakoodi!H:H,MATCH($AK$3&amp;$AL16,Data_Omakoodi!A:A,0))="P","",$AK$3&amp;$AL16),$AK$3&amp;$AL16)</f>
        <v>ComboBox_EtKuntakoodi_00000009</v>
      </c>
      <c r="AB16" s="44" t="str">
        <f>IFERROR(INDEX(Data_Omakoodi!E:E,MATCH(AA16,Data_Omakoodi!A:A,0)),"")</f>
        <v/>
      </c>
      <c r="AC16" t="str">
        <f>IFERROR(IF(INDEX(Data_Omakoodi!H:H,MATCH($AH$3&amp;$AL16,Data_Omakoodi!A:A,0))="P","",$AH$3&amp;$AL16),$AH$3&amp;$AL16)</f>
        <v>ComboBox_TyHlo_yksikko_00000009</v>
      </c>
      <c r="AD16" s="44" t="str">
        <f>IFERROR(INDEX(Data_Omakoodi!E:E,MATCH(AC16,Data_Omakoodi!A:A,0)),"")</f>
        <v/>
      </c>
      <c r="AE16" t="str">
        <f>IFERROR(IF(INDEX(Data_Omakoodi!H:H,MATCH($AH$3&amp;$AL16,Data_Omakoodi!A:A,0))="P","",$AH$3&amp;$AL16),$AH$3&amp;$AL16)</f>
        <v>ComboBox_TyHlo_yksikko_00000009</v>
      </c>
      <c r="AF16" t="s">
        <v>1535</v>
      </c>
      <c r="AG16" s="739" t="str">
        <f t="shared" si="0"/>
        <v/>
      </c>
      <c r="AH16" s="739" t="str">
        <f t="shared" si="1"/>
        <v/>
      </c>
      <c r="AI16"/>
      <c r="AJ16" s="739" t="str">
        <f t="shared" si="2"/>
        <v/>
      </c>
      <c r="AK16" s="739" t="str">
        <f t="shared" si="3"/>
        <v/>
      </c>
      <c r="AL16" s="370" t="s">
        <v>1647</v>
      </c>
      <c r="AM16" s="15"/>
      <c r="AN16" s="15"/>
      <c r="AO16" s="15"/>
      <c r="AP16" s="15"/>
      <c r="AQ16" s="15"/>
      <c r="AR16"/>
      <c r="AS16"/>
      <c r="AT16"/>
    </row>
    <row r="17" spans="1:46" x14ac:dyDescent="0.25">
      <c r="A17" s="149" t="s">
        <v>569</v>
      </c>
      <c r="B17" s="148">
        <f>SUMIFS(AS!$W:$W,AS!$BO:$BO,$W$7,AS!$AB:$AB,AS!$AA$1,AS!$AV:$AV,Asiakastilastot!$X17,AS!$AH:$AH,$X$8,AS!$AW:$AW,Asiakastilastot!$Y$6,AS!$X:$X,Asiakastilastot!$Y$5,AS!$K:$K,$V$2)</f>
        <v>0</v>
      </c>
      <c r="C17" s="312" t="str">
        <f>IFERROR(B17/$B$18,"-")</f>
        <v>-</v>
      </c>
      <c r="D17" s="148">
        <f>SUMIFS(AS!$W:$W,AS!$BO:$BO,$W$7,AS!$AB:$AB,AS!$AA$1,AS!$AV:$AV,$X17,AS!$I:$I,$X$7,AS!AH:AH,$X$8,AS!$AW:$AW,$Y$6,AS!$X:$X,$Y$5)</f>
        <v>0</v>
      </c>
      <c r="E17" s="148">
        <f>SUMIFS(AS!$W:$W,AS!$BO:$BO,$W$7,AS!$AB:$AB,AS!$AA$1,AS!$AV:$AV,$X17,AS!$I:$I,$Y$7,AS!AH:AH,$X$8,AS!$AW:$AW,$Y$6,AS!$X:$X,$Y$5)</f>
        <v>0</v>
      </c>
      <c r="F17" s="239">
        <f>SUMIFS(AS!$W:$W,AS!$BO:$BO,$W$7,AS!$AB:$AB,AS!$AA$1,AS!$AV:$AV,Asiakastilastot!$X17,AS!AH:AH,$Y$8,AS!$AW:$AW,Asiakastilastot!$Y$6,AS!$X:$X,Asiakastilastot!$Y$5,AS!$K:$K,$V$2)</f>
        <v>0</v>
      </c>
      <c r="G17" s="243"/>
      <c r="L17" s="229"/>
      <c r="X17" s="47" t="s">
        <v>212</v>
      </c>
      <c r="Z17"/>
      <c r="AA17" s="176" t="str">
        <f>IFERROR(IF(INDEX(Data_Omakoodi!H:H,MATCH($AK$3&amp;$AL17,Data_Omakoodi!A:A,0))="P","",$AK$3&amp;$AL17),$AK$3&amp;$AL17)</f>
        <v>ComboBox_EtKuntakoodi_00000010</v>
      </c>
      <c r="AB17" s="44" t="str">
        <f>IFERROR(INDEX(Data_Omakoodi!E:E,MATCH(AA17,Data_Omakoodi!A:A,0)),"")</f>
        <v/>
      </c>
      <c r="AC17" t="str">
        <f>IFERROR(IF(INDEX(Data_Omakoodi!H:H,MATCH($AH$3&amp;$AL17,Data_Omakoodi!A:A,0))="P","",$AH$3&amp;$AL17),$AH$3&amp;$AL17)</f>
        <v>ComboBox_TyHlo_yksikko_00000010</v>
      </c>
      <c r="AD17" s="44" t="str">
        <f>IFERROR(INDEX(Data_Omakoodi!E:E,MATCH(AC17,Data_Omakoodi!A:A,0)),"")</f>
        <v/>
      </c>
      <c r="AE17" t="str">
        <f>IFERROR(IF(INDEX(Data_Omakoodi!H:H,MATCH($AH$3&amp;$AL17,Data_Omakoodi!A:A,0))="P","",$AH$3&amp;$AL17),$AH$3&amp;$AL17)</f>
        <v>ComboBox_TyHlo_yksikko_00000010</v>
      </c>
      <c r="AF17" t="s">
        <v>1536</v>
      </c>
      <c r="AG17" s="739" t="str">
        <f t="shared" si="0"/>
        <v/>
      </c>
      <c r="AH17" s="739" t="str">
        <f t="shared" si="1"/>
        <v/>
      </c>
      <c r="AI17"/>
      <c r="AJ17" s="739" t="str">
        <f t="shared" si="2"/>
        <v/>
      </c>
      <c r="AK17" s="739" t="str">
        <f t="shared" si="3"/>
        <v/>
      </c>
      <c r="AL17">
        <v>10</v>
      </c>
      <c r="AM17" s="15"/>
      <c r="AN17" s="15"/>
      <c r="AO17" s="15"/>
      <c r="AP17" s="15"/>
      <c r="AQ17" s="15"/>
      <c r="AR17"/>
      <c r="AS17"/>
      <c r="AT17"/>
    </row>
    <row r="18" spans="1:46" x14ac:dyDescent="0.25">
      <c r="A18" s="156" t="s">
        <v>114</v>
      </c>
      <c r="B18" s="54">
        <f>SUM(B15:B17)</f>
        <v>0</v>
      </c>
      <c r="C18" s="313" t="str">
        <f>IFERROR(B18/B$18,"-")</f>
        <v>-</v>
      </c>
      <c r="D18" s="54">
        <f>SUM(D15:D17)</f>
        <v>0</v>
      </c>
      <c r="E18" s="54">
        <f>SUM(E15:E17)</f>
        <v>0</v>
      </c>
      <c r="F18" s="240">
        <f>SUM(F15:F17)</f>
        <v>0</v>
      </c>
      <c r="G18" s="244"/>
      <c r="H18" s="238"/>
      <c r="I18" s="238"/>
      <c r="J18" s="238"/>
      <c r="K18" s="238"/>
      <c r="L18" s="232"/>
      <c r="Z18"/>
      <c r="AA18" s="176" t="str">
        <f>IFERROR(IF(INDEX(Data_Omakoodi!H:H,MATCH($AK$3&amp;$AL18,Data_Omakoodi!A:A,0))="P","",$AK$3&amp;$AL18),$AK$3&amp;$AL18)</f>
        <v>ComboBox_EtKuntakoodi_00000011</v>
      </c>
      <c r="AB18" s="44" t="str">
        <f>IFERROR(INDEX(Data_Omakoodi!E:E,MATCH(AA18,Data_Omakoodi!A:A,0)),"")</f>
        <v/>
      </c>
      <c r="AC18" t="str">
        <f>IFERROR(IF(INDEX(Data_Omakoodi!H:H,MATCH($AH$3&amp;$AL18,Data_Omakoodi!A:A,0))="P","",$AH$3&amp;$AL18),$AH$3&amp;$AL18)</f>
        <v>ComboBox_TyHlo_yksikko_00000011</v>
      </c>
      <c r="AD18" s="44" t="str">
        <f>IFERROR(INDEX(Data_Omakoodi!E:E,MATCH(AC18,Data_Omakoodi!A:A,0)),"")</f>
        <v/>
      </c>
      <c r="AE18" t="str">
        <f>IFERROR(IF(INDEX(Data_Omakoodi!H:H,MATCH($AH$3&amp;$AL18,Data_Omakoodi!A:A,0))="P","",$AH$3&amp;$AL18),$AH$3&amp;$AL18)</f>
        <v>ComboBox_TyHlo_yksikko_00000011</v>
      </c>
      <c r="AF18" t="s">
        <v>1537</v>
      </c>
      <c r="AG18" s="739" t="str">
        <f t="shared" si="0"/>
        <v/>
      </c>
      <c r="AH18" s="739" t="str">
        <f t="shared" si="1"/>
        <v/>
      </c>
      <c r="AI18"/>
      <c r="AJ18" s="739" t="str">
        <f t="shared" si="2"/>
        <v/>
      </c>
      <c r="AK18" s="739" t="str">
        <f t="shared" si="3"/>
        <v/>
      </c>
      <c r="AL18">
        <v>11</v>
      </c>
      <c r="AM18" s="15"/>
      <c r="AN18" s="15"/>
      <c r="AO18" s="15"/>
      <c r="AP18" s="15"/>
      <c r="AQ18" s="15"/>
      <c r="AR18"/>
      <c r="AS18"/>
      <c r="AT18"/>
    </row>
    <row r="19" spans="1:46" x14ac:dyDescent="0.25">
      <c r="A19" s="150" t="s">
        <v>103</v>
      </c>
      <c r="G19" s="151"/>
      <c r="H19" s="146"/>
      <c r="Z19"/>
      <c r="AA19" s="176" t="str">
        <f>IFERROR(IF(INDEX(Data_Omakoodi!H:H,MATCH($AK$3&amp;$AL19,Data_Omakoodi!A:A,0))="P","",$AK$3&amp;$AL19),$AK$3&amp;$AL19)</f>
        <v>ComboBox_EtKuntakoodi_00000012</v>
      </c>
      <c r="AB19" s="44" t="str">
        <f>IFERROR(INDEX(Data_Omakoodi!E:E,MATCH(AA19,Data_Omakoodi!A:A,0)),"")</f>
        <v/>
      </c>
      <c r="AC19" t="str">
        <f>IFERROR(IF(INDEX(Data_Omakoodi!H:H,MATCH($AH$3&amp;$AL19,Data_Omakoodi!A:A,0))="P","",$AH$3&amp;$AL19),$AH$3&amp;$AL19)</f>
        <v>ComboBox_TyHlo_yksikko_00000012</v>
      </c>
      <c r="AD19" s="44" t="str">
        <f>IFERROR(INDEX(Data_Omakoodi!E:E,MATCH(AC19,Data_Omakoodi!A:A,0)),"")</f>
        <v/>
      </c>
      <c r="AE19" t="str">
        <f>IFERROR(IF(INDEX(Data_Omakoodi!H:H,MATCH($AH$3&amp;$AL19,Data_Omakoodi!A:A,0))="P","",$AH$3&amp;$AL19),$AH$3&amp;$AL19)</f>
        <v>ComboBox_TyHlo_yksikko_00000012</v>
      </c>
      <c r="AF19" t="s">
        <v>1538</v>
      </c>
      <c r="AG19" s="739" t="str">
        <f t="shared" si="0"/>
        <v/>
      </c>
      <c r="AH19" s="739" t="str">
        <f t="shared" si="1"/>
        <v/>
      </c>
      <c r="AI19"/>
      <c r="AJ19" s="739" t="str">
        <f t="shared" si="2"/>
        <v/>
      </c>
      <c r="AK19" s="739" t="str">
        <f t="shared" si="3"/>
        <v/>
      </c>
      <c r="AL19">
        <v>12</v>
      </c>
      <c r="AM19" s="15"/>
      <c r="AN19" s="15"/>
      <c r="AO19" s="15"/>
      <c r="AP19" s="15"/>
      <c r="AQ19" s="15"/>
      <c r="AR19"/>
      <c r="AS19"/>
      <c r="AT19"/>
    </row>
    <row r="20" spans="1:46" x14ac:dyDescent="0.25">
      <c r="A20" s="150"/>
      <c r="G20" s="151"/>
      <c r="H20" s="146"/>
      <c r="Z20"/>
      <c r="AA20" s="176" t="str">
        <f>IFERROR(IF(INDEX(Data_Omakoodi!H:H,MATCH($AK$3&amp;$AL20,Data_Omakoodi!A:A,0))="P","",$AK$3&amp;$AL20),$AK$3&amp;$AL20)</f>
        <v>ComboBox_EtKuntakoodi_00000013</v>
      </c>
      <c r="AB20" s="44" t="str">
        <f>IFERROR(INDEX(Data_Omakoodi!E:E,MATCH(AA20,Data_Omakoodi!A:A,0)),"")</f>
        <v/>
      </c>
      <c r="AC20" t="str">
        <f>IFERROR(IF(INDEX(Data_Omakoodi!H:H,MATCH($AH$3&amp;$AL20,Data_Omakoodi!A:A,0))="P","",$AH$3&amp;$AL20),$AH$3&amp;$AL20)</f>
        <v>ComboBox_TyHlo_yksikko_00000013</v>
      </c>
      <c r="AD20" s="44" t="str">
        <f>IFERROR(INDEX(Data_Omakoodi!E:E,MATCH(AC20,Data_Omakoodi!A:A,0)),"")</f>
        <v/>
      </c>
      <c r="AE20" t="str">
        <f>IFERROR(IF(INDEX(Data_Omakoodi!H:H,MATCH($AH$3&amp;$AL20,Data_Omakoodi!A:A,0))="P","",$AH$3&amp;$AL20),$AH$3&amp;$AL20)</f>
        <v>ComboBox_TyHlo_yksikko_00000013</v>
      </c>
      <c r="AF20" t="s">
        <v>1539</v>
      </c>
      <c r="AG20" s="739" t="str">
        <f t="shared" si="0"/>
        <v/>
      </c>
      <c r="AH20" s="739" t="str">
        <f t="shared" si="1"/>
        <v/>
      </c>
      <c r="AI20"/>
      <c r="AJ20" s="739" t="str">
        <f t="shared" si="2"/>
        <v/>
      </c>
      <c r="AK20" s="739" t="str">
        <f t="shared" si="3"/>
        <v/>
      </c>
      <c r="AL20">
        <v>13</v>
      </c>
      <c r="AM20" s="15"/>
      <c r="AN20" s="15"/>
      <c r="AO20" s="15"/>
      <c r="AP20" s="15"/>
      <c r="AQ20" s="15"/>
      <c r="AR20"/>
      <c r="AS20"/>
      <c r="AT20"/>
    </row>
    <row r="21" spans="1:46" x14ac:dyDescent="0.25">
      <c r="A21" s="150"/>
      <c r="G21" s="151"/>
      <c r="H21" s="146"/>
      <c r="Z21"/>
      <c r="AA21" s="176" t="str">
        <f>IFERROR(IF(INDEX(Data_Omakoodi!H:H,MATCH($AK$3&amp;$AL21,Data_Omakoodi!A:A,0))="P","",$AK$3&amp;$AL21),$AK$3&amp;$AL21)</f>
        <v>ComboBox_EtKuntakoodi_00000014</v>
      </c>
      <c r="AB21" s="44" t="str">
        <f>IFERROR(INDEX(Data_Omakoodi!E:E,MATCH(AA21,Data_Omakoodi!A:A,0)),"")</f>
        <v/>
      </c>
      <c r="AC21" t="str">
        <f>IFERROR(IF(INDEX(Data_Omakoodi!H:H,MATCH($AH$3&amp;$AL21,Data_Omakoodi!A:A,0))="P","",$AH$3&amp;$AL21),$AH$3&amp;$AL21)</f>
        <v>ComboBox_TyHlo_yksikko_00000014</v>
      </c>
      <c r="AD21" s="44" t="str">
        <f>IFERROR(INDEX(Data_Omakoodi!E:E,MATCH(AC21,Data_Omakoodi!A:A,0)),"")</f>
        <v/>
      </c>
      <c r="AE21" t="str">
        <f>IFERROR(IF(INDEX(Data_Omakoodi!H:H,MATCH($AH$3&amp;$AL21,Data_Omakoodi!A:A,0))="P","",$AH$3&amp;$AL21),$AH$3&amp;$AL21)</f>
        <v>ComboBox_TyHlo_yksikko_00000014</v>
      </c>
      <c r="AF21" t="s">
        <v>1540</v>
      </c>
      <c r="AG21" s="739" t="str">
        <f t="shared" si="0"/>
        <v/>
      </c>
      <c r="AH21" s="739" t="str">
        <f t="shared" si="1"/>
        <v/>
      </c>
      <c r="AI21"/>
      <c r="AJ21" s="739" t="str">
        <f t="shared" si="2"/>
        <v/>
      </c>
      <c r="AK21" s="739" t="str">
        <f t="shared" si="3"/>
        <v/>
      </c>
      <c r="AL21">
        <v>14</v>
      </c>
      <c r="AM21" s="15"/>
      <c r="AN21" s="15"/>
      <c r="AO21" s="15"/>
      <c r="AP21" s="15"/>
      <c r="AQ21" s="15"/>
      <c r="AR21"/>
      <c r="AS21"/>
      <c r="AT21"/>
    </row>
    <row r="22" spans="1:46" x14ac:dyDescent="0.25">
      <c r="A22" s="145" t="str">
        <f>Y12&amp;"Yhteysetsivaan.fi -palvelusta saapuneiden nuorten määrä"&amp;X10 &amp;X12</f>
        <v xml:space="preserve">- KAIKKI: Yhteysetsivaan.fi -palvelusta saapuneiden nuorten määrä - 01.01.2025-30.04.2025 </v>
      </c>
      <c r="B22" s="27"/>
      <c r="C22" s="27"/>
      <c r="D22"/>
      <c r="E22"/>
      <c r="F22"/>
      <c r="G22"/>
      <c r="H22"/>
      <c r="I22"/>
      <c r="J22"/>
      <c r="K22"/>
      <c r="L22"/>
      <c r="M22"/>
      <c r="N22"/>
      <c r="O22"/>
      <c r="P22"/>
      <c r="Q22"/>
      <c r="R22"/>
      <c r="S22"/>
      <c r="T22"/>
      <c r="U22"/>
      <c r="V22"/>
      <c r="W22"/>
      <c r="X22"/>
      <c r="Z22"/>
      <c r="AA22" s="176" t="str">
        <f>IFERROR(IF(INDEX(Data_Omakoodi!H:H,MATCH($AK$3&amp;$AL22,Data_Omakoodi!A:A,0))="P","",$AK$3&amp;$AL22),$AK$3&amp;$AL22)</f>
        <v>ComboBox_EtKuntakoodi_00000015</v>
      </c>
      <c r="AB22" s="44" t="str">
        <f>IFERROR(INDEX(Data_Omakoodi!E:E,MATCH(AA22,Data_Omakoodi!A:A,0)),"")</f>
        <v/>
      </c>
      <c r="AC22" t="str">
        <f>IFERROR(IF(INDEX(Data_Omakoodi!H:H,MATCH($AH$3&amp;$AL22,Data_Omakoodi!A:A,0))="P","",$AH$3&amp;$AL22),$AH$3&amp;$AL22)</f>
        <v>ComboBox_TyHlo_yksikko_00000015</v>
      </c>
      <c r="AD22" s="44" t="str">
        <f>IFERROR(INDEX(Data_Omakoodi!E:E,MATCH(AC22,Data_Omakoodi!A:A,0)),"")</f>
        <v/>
      </c>
      <c r="AE22" t="str">
        <f>IFERROR(IF(INDEX(Data_Omakoodi!H:H,MATCH($AH$3&amp;$AL22,Data_Omakoodi!A:A,0))="P","",$AH$3&amp;$AL22),$AH$3&amp;$AL22)</f>
        <v>ComboBox_TyHlo_yksikko_00000015</v>
      </c>
      <c r="AF22" t="s">
        <v>1541</v>
      </c>
      <c r="AG22" s="739" t="str">
        <f t="shared" si="0"/>
        <v/>
      </c>
      <c r="AH22" s="739" t="str">
        <f t="shared" si="1"/>
        <v/>
      </c>
      <c r="AI22"/>
      <c r="AJ22" s="739" t="str">
        <f t="shared" si="2"/>
        <v/>
      </c>
      <c r="AK22" s="739" t="str">
        <f t="shared" si="3"/>
        <v/>
      </c>
      <c r="AL22">
        <v>15</v>
      </c>
      <c r="AM22" s="15"/>
      <c r="AN22" s="15"/>
      <c r="AO22" s="15"/>
      <c r="AP22" s="15"/>
      <c r="AQ22" s="15"/>
      <c r="AR22"/>
      <c r="AS22"/>
      <c r="AT22"/>
    </row>
    <row r="23" spans="1:46" ht="44.25" customHeight="1" x14ac:dyDescent="0.25">
      <c r="A23" s="851" t="s">
        <v>544</v>
      </c>
      <c r="B23" s="852" t="s">
        <v>114</v>
      </c>
      <c r="C23" s="852"/>
      <c r="D23" s="573" t="s">
        <v>132</v>
      </c>
      <c r="E23" s="572" t="s">
        <v>133</v>
      </c>
      <c r="F23"/>
      <c r="G23" s="853" t="s">
        <v>1187</v>
      </c>
      <c r="H23" s="854"/>
      <c r="I23" s="854"/>
      <c r="J23" s="854"/>
      <c r="K23" s="854"/>
      <c r="L23" s="855"/>
      <c r="M23"/>
      <c r="N23"/>
      <c r="O23"/>
      <c r="P23"/>
      <c r="Q23"/>
      <c r="R23"/>
      <c r="S23"/>
      <c r="T23"/>
      <c r="U23"/>
      <c r="V23"/>
      <c r="W23"/>
      <c r="X23"/>
      <c r="Z23"/>
      <c r="AA23" s="176" t="str">
        <f>IFERROR(IF(INDEX(Data_Omakoodi!H:H,MATCH($AK$3&amp;$AL23,Data_Omakoodi!A:A,0))="P","",$AK$3&amp;$AL23),$AK$3&amp;$AL23)</f>
        <v>ComboBox_EtKuntakoodi_00000016</v>
      </c>
      <c r="AB23" s="44" t="str">
        <f>IFERROR(INDEX(Data_Omakoodi!E:E,MATCH(AA23,Data_Omakoodi!A:A,0)),"")</f>
        <v/>
      </c>
      <c r="AC23" t="str">
        <f>IFERROR(IF(INDEX(Data_Omakoodi!H:H,MATCH($AH$3&amp;$AL23,Data_Omakoodi!A:A,0))="P","",$AH$3&amp;$AL23),$AH$3&amp;$AL23)</f>
        <v>ComboBox_TyHlo_yksikko_00000016</v>
      </c>
      <c r="AD23" s="44" t="str">
        <f>IFERROR(INDEX(Data_Omakoodi!E:E,MATCH(AC23,Data_Omakoodi!A:A,0)),"")</f>
        <v/>
      </c>
      <c r="AE23" t="str">
        <f>IFERROR(IF(INDEX(Data_Omakoodi!H:H,MATCH($AH$3&amp;$AL23,Data_Omakoodi!A:A,0))="P","",$AH$3&amp;$AL23),$AH$3&amp;$AL23)</f>
        <v>ComboBox_TyHlo_yksikko_00000016</v>
      </c>
      <c r="AF23" t="s">
        <v>1542</v>
      </c>
      <c r="AG23" s="739" t="str">
        <f t="shared" si="0"/>
        <v/>
      </c>
      <c r="AH23" s="739" t="str">
        <f t="shared" si="1"/>
        <v/>
      </c>
      <c r="AI23"/>
      <c r="AJ23" s="739" t="str">
        <f t="shared" si="2"/>
        <v/>
      </c>
      <c r="AK23" s="739" t="str">
        <f t="shared" si="3"/>
        <v/>
      </c>
      <c r="AL23">
        <v>16</v>
      </c>
      <c r="AM23" s="15"/>
      <c r="AN23" s="15"/>
      <c r="AO23" s="15"/>
      <c r="AP23" s="15"/>
      <c r="AQ23" s="15"/>
      <c r="AR23"/>
      <c r="AS23"/>
      <c r="AT23"/>
    </row>
    <row r="24" spans="1:46" x14ac:dyDescent="0.25">
      <c r="A24" s="851"/>
      <c r="B24" s="573" t="s">
        <v>106</v>
      </c>
      <c r="C24" s="573" t="s">
        <v>176</v>
      </c>
      <c r="D24" s="573" t="s">
        <v>106</v>
      </c>
      <c r="E24" s="573" t="s">
        <v>106</v>
      </c>
      <c r="F24"/>
      <c r="G24" s="856"/>
      <c r="H24" s="857"/>
      <c r="I24" s="857"/>
      <c r="J24" s="857"/>
      <c r="K24" s="857"/>
      <c r="L24" s="858"/>
      <c r="M24"/>
      <c r="N24"/>
      <c r="O24"/>
      <c r="P24"/>
      <c r="Q24"/>
      <c r="R24"/>
      <c r="S24"/>
      <c r="T24"/>
      <c r="U24"/>
      <c r="V24"/>
      <c r="W24"/>
      <c r="X24" s="327" t="s">
        <v>1188</v>
      </c>
      <c r="Z24"/>
      <c r="AA24" s="176" t="str">
        <f>IFERROR(IF(INDEX(Data_Omakoodi!H:H,MATCH($AK$3&amp;$AL24,Data_Omakoodi!A:A,0))="P","",$AK$3&amp;$AL24),$AK$3&amp;$AL24)</f>
        <v>ComboBox_EtKuntakoodi_00000017</v>
      </c>
      <c r="AB24" s="44" t="str">
        <f>IFERROR(INDEX(Data_Omakoodi!E:E,MATCH(AA24,Data_Omakoodi!A:A,0)),"")</f>
        <v/>
      </c>
      <c r="AC24" t="str">
        <f>IFERROR(IF(INDEX(Data_Omakoodi!H:H,MATCH($AH$3&amp;$AL24,Data_Omakoodi!A:A,0))="P","",$AH$3&amp;$AL24),$AH$3&amp;$AL24)</f>
        <v>ComboBox_TyHlo_yksikko_00000017</v>
      </c>
      <c r="AD24" s="44" t="str">
        <f>IFERROR(INDEX(Data_Omakoodi!E:E,MATCH(AC24,Data_Omakoodi!A:A,0)),"")</f>
        <v/>
      </c>
      <c r="AE24" t="str">
        <f>IFERROR(IF(INDEX(Data_Omakoodi!H:H,MATCH($AH$3&amp;$AL24,Data_Omakoodi!A:A,0))="P","",$AH$3&amp;$AL24),$AH$3&amp;$AL24)</f>
        <v>ComboBox_TyHlo_yksikko_00000017</v>
      </c>
      <c r="AF24" t="s">
        <v>1543</v>
      </c>
      <c r="AG24" s="739" t="str">
        <f t="shared" si="0"/>
        <v/>
      </c>
      <c r="AH24" s="739" t="str">
        <f t="shared" si="1"/>
        <v/>
      </c>
      <c r="AI24"/>
      <c r="AJ24" s="739" t="str">
        <f t="shared" si="2"/>
        <v/>
      </c>
      <c r="AK24" s="739" t="str">
        <f t="shared" si="3"/>
        <v/>
      </c>
      <c r="AL24">
        <v>17</v>
      </c>
      <c r="AM24" s="15"/>
      <c r="AN24" s="15"/>
      <c r="AO24" s="15"/>
      <c r="AP24" s="685"/>
      <c r="AQ24" s="685"/>
      <c r="AT24"/>
    </row>
    <row r="25" spans="1:46" x14ac:dyDescent="0.25">
      <c r="A25" s="574" t="s">
        <v>104</v>
      </c>
      <c r="B25" s="575">
        <f>SUMIFS(AS!$W:$W,AS!$BO:$BO,$W$7,AS!$AB:$AB,AS!$AA$1,AS!$AV:$AV,Asiakastilastot!$X25,AS!$AH:$AH,$X$8,AS!$AW:$AW,Asiakastilastot!$Y$6,AS!$X:$X,Asiakastilastot!$Y$5,AS!$K:$K,$V$2,AS!BP:BP,1)</f>
        <v>0</v>
      </c>
      <c r="C25" s="576" t="str">
        <f>IFERROR(B25/$B$28,"-")</f>
        <v>-</v>
      </c>
      <c r="D25" s="575">
        <f>SUMIFS(AS!$W:$W,AS!$BO:$BO,$W$7,AS!$AB:$AB,AS!$AA$1,AS!$AV:$AV,Asiakastilastot!$X25,AS!$I:$I,Asiakastilastot!$X$7,AS!AH:AH,$X$8,AS!$AW:$AW,Asiakastilastot!$Y$6,AS!$X:$X,Asiakastilastot!$Y$5,AS!$K:$K,$V$2,AS!BP:BP,1)</f>
        <v>0</v>
      </c>
      <c r="E25" s="575">
        <f>SUMIFS(AS!$W:$W,AS!$BO:$BO,$W$7,AS!$AB:$AB,AS!$AA$1,AS!$AV:$AV,Asiakastilastot!$X25,AS!$I:$I,Asiakastilastot!$Y$7,AS!AH:AH,$X$8,AS!$AW:$AW,Asiakastilastot!$Y$6,AS!$X:$X,Asiakastilastot!$Y$5,AS!$K:$K,$V$2,AS!BP:BP,1)</f>
        <v>0</v>
      </c>
      <c r="F25"/>
      <c r="G25" s="578"/>
      <c r="H25" s="579"/>
      <c r="I25" s="579"/>
      <c r="J25" s="579"/>
      <c r="K25" s="579"/>
      <c r="L25" s="580"/>
      <c r="M25"/>
      <c r="N25"/>
      <c r="O25"/>
      <c r="P25"/>
      <c r="Q25"/>
      <c r="R25"/>
      <c r="S25"/>
      <c r="T25"/>
      <c r="U25"/>
      <c r="V25"/>
      <c r="W25"/>
      <c r="X25" s="47" t="s">
        <v>205</v>
      </c>
      <c r="Z25"/>
      <c r="AA25" s="176" t="str">
        <f>IFERROR(IF(INDEX(Data_Omakoodi!H:H,MATCH($AK$3&amp;$AL25,Data_Omakoodi!A:A,0))="P","",$AK$3&amp;$AL25),$AK$3&amp;$AL25)</f>
        <v>ComboBox_EtKuntakoodi_00000018</v>
      </c>
      <c r="AB25" s="44" t="str">
        <f>IFERROR(INDEX(Data_Omakoodi!E:E,MATCH(AA25,Data_Omakoodi!A:A,0)),"")</f>
        <v/>
      </c>
      <c r="AC25" t="str">
        <f>IFERROR(IF(INDEX(Data_Omakoodi!H:H,MATCH($AH$3&amp;$AL25,Data_Omakoodi!A:A,0))="P","",$AH$3&amp;$AL25),$AH$3&amp;$AL25)</f>
        <v>ComboBox_TyHlo_yksikko_00000018</v>
      </c>
      <c r="AD25" s="44" t="str">
        <f>IFERROR(INDEX(Data_Omakoodi!E:E,MATCH(AC25,Data_Omakoodi!A:A,0)),"")</f>
        <v/>
      </c>
      <c r="AE25" t="str">
        <f>IFERROR(IF(INDEX(Data_Omakoodi!H:H,MATCH($AH$3&amp;$AL25,Data_Omakoodi!A:A,0))="P","",$AH$3&amp;$AL25),$AH$3&amp;$AL25)</f>
        <v>ComboBox_TyHlo_yksikko_00000018</v>
      </c>
      <c r="AF25" t="s">
        <v>1544</v>
      </c>
      <c r="AG25" s="739" t="str">
        <f t="shared" si="0"/>
        <v/>
      </c>
      <c r="AH25" s="739" t="str">
        <f t="shared" si="1"/>
        <v/>
      </c>
      <c r="AI25"/>
      <c r="AJ25" s="739" t="str">
        <f t="shared" si="2"/>
        <v/>
      </c>
      <c r="AK25" s="739" t="str">
        <f t="shared" si="3"/>
        <v/>
      </c>
      <c r="AL25">
        <v>18</v>
      </c>
      <c r="AM25" s="15"/>
      <c r="AN25" s="15"/>
      <c r="AO25" s="15"/>
      <c r="AP25" s="685"/>
      <c r="AQ25" s="685"/>
      <c r="AT25"/>
    </row>
    <row r="26" spans="1:46" x14ac:dyDescent="0.25">
      <c r="A26" s="577" t="s">
        <v>105</v>
      </c>
      <c r="B26" s="575">
        <f>SUMIFS(AS!$W:$W,AS!$BO:$BO,$W$7,AS!$AB:$AB,AS!$AA$1,AS!$AV:$AV,Asiakastilastot!$X26,AS!$AH:$AH,$X$8,AS!$AW:$AW,Asiakastilastot!$Y$6,AS!$X:$X,Asiakastilastot!$Y$5,AS!$K:$K,$V$2,AS!BP:BP,1)</f>
        <v>0</v>
      </c>
      <c r="C26" s="576" t="str">
        <f t="shared" ref="C26:C27" si="4">IFERROR(B26/$B$28,"-")</f>
        <v>-</v>
      </c>
      <c r="D26" s="575">
        <f>SUMIFS(AS!$W:$W,AS!$BO:$BO,$W$7,AS!$AB:$AB,AS!$AA$1,AS!$AV:$AV,Asiakastilastot!$X26,AS!$I:$I,Asiakastilastot!$X$7,AS!AH:AH,$X$8,AS!$AW:$AW,Asiakastilastot!$Y$6,AS!$X:$X,Asiakastilastot!$Y$5,AS!$K:$K,$V$2,AS!BP:BP,1)</f>
        <v>0</v>
      </c>
      <c r="E26" s="575">
        <f>SUMIFS(AS!$W:$W,AS!$BO:$BO,$W$7,AS!$AB:$AB,AS!$AA$1,AS!$AV:$AV,Asiakastilastot!$X26,AS!$I:$I,Asiakastilastot!$Y$7,AS!AH:AH,$X$8,AS!$AW:$AW,Asiakastilastot!$Y$6,AS!$X:$X,Asiakastilastot!$Y$5,AS!$K:$K,$V$2,AS!BP:BP,1)</f>
        <v>0</v>
      </c>
      <c r="F26"/>
      <c r="G26" s="578"/>
      <c r="H26" s="579"/>
      <c r="I26" s="579"/>
      <c r="J26" s="579"/>
      <c r="K26" s="579"/>
      <c r="L26" s="580"/>
      <c r="M26"/>
      <c r="N26"/>
      <c r="O26"/>
      <c r="P26"/>
      <c r="Q26"/>
      <c r="R26"/>
      <c r="S26"/>
      <c r="T26"/>
      <c r="U26"/>
      <c r="V26"/>
      <c r="W26"/>
      <c r="X26" s="47" t="s">
        <v>230</v>
      </c>
      <c r="Z26"/>
      <c r="AA26" s="176" t="str">
        <f>IFERROR(IF(INDEX(Data_Omakoodi!H:H,MATCH($AK$3&amp;$AL26,Data_Omakoodi!A:A,0))="P","",$AK$3&amp;$AL26),$AK$3&amp;$AL26)</f>
        <v>ComboBox_EtKuntakoodi_00000019</v>
      </c>
      <c r="AB26" s="44" t="str">
        <f>IFERROR(INDEX(Data_Omakoodi!E:E,MATCH(AA26,Data_Omakoodi!A:A,0)),"")</f>
        <v/>
      </c>
      <c r="AC26" t="str">
        <f>IFERROR(IF(INDEX(Data_Omakoodi!H:H,MATCH($AH$3&amp;$AL26,Data_Omakoodi!A:A,0))="P","",$AH$3&amp;$AL26),$AH$3&amp;$AL26)</f>
        <v>ComboBox_TyHlo_yksikko_00000019</v>
      </c>
      <c r="AD26" s="44" t="str">
        <f>IFERROR(INDEX(Data_Omakoodi!E:E,MATCH(AC26,Data_Omakoodi!A:A,0)),"")</f>
        <v/>
      </c>
      <c r="AE26" t="str">
        <f>IFERROR(IF(INDEX(Data_Omakoodi!H:H,MATCH($AH$3&amp;$AL26,Data_Omakoodi!A:A,0))="P","",$AH$3&amp;$AL26),$AH$3&amp;$AL26)</f>
        <v>ComboBox_TyHlo_yksikko_00000019</v>
      </c>
      <c r="AF26" t="s">
        <v>1545</v>
      </c>
      <c r="AG26" s="739" t="str">
        <f t="shared" si="0"/>
        <v/>
      </c>
      <c r="AH26" s="739" t="str">
        <f t="shared" si="1"/>
        <v/>
      </c>
      <c r="AI26"/>
      <c r="AJ26" s="739" t="str">
        <f t="shared" si="2"/>
        <v/>
      </c>
      <c r="AK26" s="739" t="str">
        <f t="shared" si="3"/>
        <v/>
      </c>
      <c r="AL26">
        <v>19</v>
      </c>
      <c r="AM26" s="15"/>
      <c r="AN26" s="15"/>
      <c r="AO26" s="15"/>
      <c r="AP26" s="685"/>
      <c r="AQ26" s="685"/>
      <c r="AT26"/>
    </row>
    <row r="27" spans="1:46" x14ac:dyDescent="0.25">
      <c r="A27" s="577" t="s">
        <v>569</v>
      </c>
      <c r="B27" s="575">
        <f>SUMIFS(AS!$W:$W,AS!$BO:$BO,$W$7,AS!$AB:$AB,AS!$AA$1,AS!$AV:$AV,Asiakastilastot!$X27,AS!$AH:$AH,$X$8,AS!$AW:$AW,Asiakastilastot!$Y$6,AS!$X:$X,Asiakastilastot!$Y$5,AS!$K:$K,$V$2,AS!BP:BP,1)</f>
        <v>0</v>
      </c>
      <c r="C27" s="576" t="str">
        <f t="shared" si="4"/>
        <v>-</v>
      </c>
      <c r="D27" s="575">
        <f>SUMIFS(AS!$W:$W,AS!$BO:$BO,$W$7,AS!$AB:$AB,AS!$AA$1,AS!$AV:$AV,$X27,AS!$I:$I,$X$7,AS!AH:AH,$X$8,AS!$AW:$AW,$Y$6,AS!$X:$X,$Y$5,AS!BP:BP,1)</f>
        <v>0</v>
      </c>
      <c r="E27" s="575">
        <f>SUMIFS(AS!$W:$W,AS!$BO:$BO,$W$7,AS!$AB:$AB,AS!$AA$1,AS!$AV:$AV,$X27,AS!$I:$I,$Y$7,AS!AH:AH,$X$8,AS!$AW:$AW,$Y$6,AS!$X:$X,$Y$5,AS!BP:BP,1)</f>
        <v>0</v>
      </c>
      <c r="F27"/>
      <c r="G27" s="578"/>
      <c r="H27" s="579"/>
      <c r="I27" s="579"/>
      <c r="J27" s="579"/>
      <c r="K27" s="579"/>
      <c r="L27" s="580"/>
      <c r="M27"/>
      <c r="N27"/>
      <c r="O27"/>
      <c r="P27"/>
      <c r="Q27"/>
      <c r="R27"/>
      <c r="S27"/>
      <c r="T27"/>
      <c r="U27"/>
      <c r="V27"/>
      <c r="W27"/>
      <c r="X27" s="47" t="s">
        <v>212</v>
      </c>
      <c r="Z27"/>
      <c r="AA27" s="176" t="str">
        <f>IFERROR(IF(INDEX(Data_Omakoodi!H:H,MATCH($AK$3&amp;$AL27,Data_Omakoodi!A:A,0))="P","",$AK$3&amp;$AL27),$AK$3&amp;$AL27)</f>
        <v>ComboBox_EtKuntakoodi_00000020</v>
      </c>
      <c r="AB27" s="44" t="str">
        <f>IFERROR(INDEX(Data_Omakoodi!E:E,MATCH(AA27,Data_Omakoodi!A:A,0)),"")</f>
        <v/>
      </c>
      <c r="AC27" t="str">
        <f>IFERROR(IF(INDEX(Data_Omakoodi!H:H,MATCH($AH$3&amp;$AL27,Data_Omakoodi!A:A,0))="P","",$AH$3&amp;$AL27),$AH$3&amp;$AL27)</f>
        <v>ComboBox_TyHlo_yksikko_00000020</v>
      </c>
      <c r="AD27" s="44" t="str">
        <f>IFERROR(INDEX(Data_Omakoodi!E:E,MATCH(AC27,Data_Omakoodi!A:A,0)),"")</f>
        <v/>
      </c>
      <c r="AE27" t="str">
        <f>IFERROR(IF(INDEX(Data_Omakoodi!H:H,MATCH($AH$3&amp;$AL27,Data_Omakoodi!A:A,0))="P","",$AH$3&amp;$AL27),$AH$3&amp;$AL27)</f>
        <v>ComboBox_TyHlo_yksikko_00000020</v>
      </c>
      <c r="AF27" t="s">
        <v>1546</v>
      </c>
      <c r="AG27" s="739" t="str">
        <f t="shared" si="0"/>
        <v/>
      </c>
      <c r="AH27" s="739" t="str">
        <f t="shared" si="1"/>
        <v/>
      </c>
      <c r="AI27"/>
      <c r="AJ27" s="739" t="str">
        <f t="shared" si="2"/>
        <v/>
      </c>
      <c r="AK27" s="739" t="str">
        <f t="shared" si="3"/>
        <v/>
      </c>
      <c r="AL27">
        <v>20</v>
      </c>
      <c r="AM27" s="15"/>
      <c r="AN27" s="15"/>
      <c r="AO27" s="15"/>
      <c r="AP27" s="685"/>
      <c r="AQ27" s="685"/>
      <c r="AT27"/>
    </row>
    <row r="28" spans="1:46" x14ac:dyDescent="0.25">
      <c r="A28" s="156" t="s">
        <v>114</v>
      </c>
      <c r="B28" s="54">
        <f>SUM(B25:B27)</f>
        <v>0</v>
      </c>
      <c r="C28" s="313">
        <f>IFERROR(SUM(C25:C27),"")</f>
        <v>0</v>
      </c>
      <c r="D28" s="54">
        <f>SUM(D25:D27)</f>
        <v>0</v>
      </c>
      <c r="E28" s="54">
        <f>SUM(E25:E27)</f>
        <v>0</v>
      </c>
      <c r="F28"/>
      <c r="G28" s="581"/>
      <c r="H28" s="582"/>
      <c r="I28" s="582"/>
      <c r="J28" s="582"/>
      <c r="K28" s="582"/>
      <c r="L28" s="583"/>
      <c r="M28"/>
      <c r="N28"/>
      <c r="O28"/>
      <c r="P28"/>
      <c r="Q28"/>
      <c r="R28"/>
      <c r="S28"/>
      <c r="T28"/>
      <c r="U28"/>
      <c r="V28"/>
      <c r="W28"/>
      <c r="X28"/>
      <c r="Z28"/>
      <c r="AA28" s="176" t="str">
        <f>IFERROR(IF(INDEX(Data_Omakoodi!H:H,MATCH($AK$3&amp;$AL28,Data_Omakoodi!A:A,0))="P","",$AK$3&amp;$AL28),$AK$3&amp;$AL28)</f>
        <v>ComboBox_EtKuntakoodi_00000021</v>
      </c>
      <c r="AB28" s="44" t="str">
        <f>IFERROR(INDEX(Data_Omakoodi!E:E,MATCH(AA28,Data_Omakoodi!A:A,0)),"")</f>
        <v/>
      </c>
      <c r="AC28" t="str">
        <f>IFERROR(IF(INDEX(Data_Omakoodi!H:H,MATCH($AH$3&amp;$AL28,Data_Omakoodi!A:A,0))="P","",$AH$3&amp;$AL28),$AH$3&amp;$AL28)</f>
        <v>ComboBox_TyHlo_yksikko_00000021</v>
      </c>
      <c r="AD28" s="44" t="str">
        <f>IFERROR(INDEX(Data_Omakoodi!E:E,MATCH(AC28,Data_Omakoodi!A:A,0)),"")</f>
        <v/>
      </c>
      <c r="AE28" t="str">
        <f>IFERROR(IF(INDEX(Data_Omakoodi!H:H,MATCH($AH$3&amp;$AL28,Data_Omakoodi!A:A,0))="P","",$AH$3&amp;$AL28),$AH$3&amp;$AL28)</f>
        <v>ComboBox_TyHlo_yksikko_00000021</v>
      </c>
      <c r="AF28" t="s">
        <v>1547</v>
      </c>
      <c r="AG28" s="739" t="str">
        <f t="shared" si="0"/>
        <v/>
      </c>
      <c r="AH28" s="739" t="str">
        <f t="shared" si="1"/>
        <v/>
      </c>
      <c r="AI28"/>
      <c r="AJ28" s="739" t="str">
        <f t="shared" si="2"/>
        <v/>
      </c>
      <c r="AK28" s="739" t="str">
        <f t="shared" si="3"/>
        <v/>
      </c>
      <c r="AL28">
        <v>21</v>
      </c>
      <c r="AM28" s="15"/>
      <c r="AN28" s="15"/>
      <c r="AO28" s="15"/>
      <c r="AP28" s="685"/>
      <c r="AQ28" s="685"/>
      <c r="AT28"/>
    </row>
    <row r="29" spans="1:46" x14ac:dyDescent="0.25">
      <c r="A29" s="150"/>
      <c r="G29" s="151"/>
      <c r="H29" s="146"/>
      <c r="Z29"/>
      <c r="AA29" s="176" t="str">
        <f>IFERROR(IF(INDEX(Data_Omakoodi!H:H,MATCH($AK$3&amp;$AL29,Data_Omakoodi!A:A,0))="P","",$AK$3&amp;$AL29),$AK$3&amp;$AL29)</f>
        <v>ComboBox_EtKuntakoodi_00000022</v>
      </c>
      <c r="AB29" s="44" t="str">
        <f>IFERROR(INDEX(Data_Omakoodi!E:E,MATCH(AA29,Data_Omakoodi!A:A,0)),"")</f>
        <v/>
      </c>
      <c r="AC29" t="str">
        <f>IFERROR(IF(INDEX(Data_Omakoodi!H:H,MATCH($AH$3&amp;$AL29,Data_Omakoodi!A:A,0))="P","",$AH$3&amp;$AL29),$AH$3&amp;$AL29)</f>
        <v>ComboBox_TyHlo_yksikko_00000022</v>
      </c>
      <c r="AD29" s="44" t="str">
        <f>IFERROR(INDEX(Data_Omakoodi!E:E,MATCH(AC29,Data_Omakoodi!A:A,0)),"")</f>
        <v/>
      </c>
      <c r="AE29" t="str">
        <f>IFERROR(IF(INDEX(Data_Omakoodi!H:H,MATCH($AH$3&amp;$AL29,Data_Omakoodi!A:A,0))="P","",$AH$3&amp;$AL29),$AH$3&amp;$AL29)</f>
        <v>ComboBox_TyHlo_yksikko_00000022</v>
      </c>
      <c r="AF29" t="s">
        <v>1548</v>
      </c>
      <c r="AG29" s="739" t="str">
        <f t="shared" si="0"/>
        <v/>
      </c>
      <c r="AH29" s="739" t="str">
        <f t="shared" si="1"/>
        <v/>
      </c>
      <c r="AI29"/>
      <c r="AJ29" s="739" t="str">
        <f t="shared" si="2"/>
        <v/>
      </c>
      <c r="AK29" s="739" t="str">
        <f t="shared" si="3"/>
        <v/>
      </c>
      <c r="AL29">
        <v>22</v>
      </c>
      <c r="AM29" s="15"/>
      <c r="AN29" s="15"/>
      <c r="AO29" s="15"/>
      <c r="AP29" s="685"/>
      <c r="AQ29" s="685"/>
      <c r="AT29"/>
    </row>
    <row r="30" spans="1:46" x14ac:dyDescent="0.25">
      <c r="A30" s="150"/>
      <c r="G30" s="151"/>
      <c r="H30" s="146"/>
      <c r="Z30"/>
      <c r="AA30" s="176" t="str">
        <f>IFERROR(IF(INDEX(Data_Omakoodi!H:H,MATCH($AK$3&amp;$AL30,Data_Omakoodi!A:A,0))="P","",$AK$3&amp;$AL30),$AK$3&amp;$AL30)</f>
        <v>ComboBox_EtKuntakoodi_00000023</v>
      </c>
      <c r="AB30" s="44" t="str">
        <f>IFERROR(INDEX(Data_Omakoodi!E:E,MATCH(AA30,Data_Omakoodi!A:A,0)),"")</f>
        <v/>
      </c>
      <c r="AC30" t="str">
        <f>IFERROR(IF(INDEX(Data_Omakoodi!H:H,MATCH($AH$3&amp;$AL30,Data_Omakoodi!A:A,0))="P","",$AH$3&amp;$AL30),$AH$3&amp;$AL30)</f>
        <v>ComboBox_TyHlo_yksikko_00000023</v>
      </c>
      <c r="AD30" s="44" t="str">
        <f>IFERROR(INDEX(Data_Omakoodi!E:E,MATCH(AC30,Data_Omakoodi!A:A,0)),"")</f>
        <v/>
      </c>
      <c r="AE30" t="str">
        <f>IFERROR(IF(INDEX(Data_Omakoodi!H:H,MATCH($AH$3&amp;$AL30,Data_Omakoodi!A:A,0))="P","",$AH$3&amp;$AL30),$AH$3&amp;$AL30)</f>
        <v>ComboBox_TyHlo_yksikko_00000023</v>
      </c>
      <c r="AF30" t="s">
        <v>1549</v>
      </c>
      <c r="AG30" s="739" t="str">
        <f t="shared" si="0"/>
        <v/>
      </c>
      <c r="AH30" s="739" t="str">
        <f t="shared" si="1"/>
        <v/>
      </c>
      <c r="AI30"/>
      <c r="AJ30" s="739" t="str">
        <f t="shared" si="2"/>
        <v/>
      </c>
      <c r="AK30" s="739" t="str">
        <f t="shared" si="3"/>
        <v/>
      </c>
      <c r="AL30">
        <v>23</v>
      </c>
      <c r="AM30" s="15"/>
      <c r="AN30" s="15"/>
      <c r="AO30" s="15"/>
      <c r="AP30" s="685"/>
      <c r="AQ30" s="685"/>
      <c r="AT30"/>
    </row>
    <row r="31" spans="1:46" x14ac:dyDescent="0.25">
      <c r="A31" s="361"/>
      <c r="M31" s="548"/>
      <c r="AA31" s="176" t="str">
        <f>IFERROR(IF(INDEX(Data_Omakoodi!H:H,MATCH($AK$3&amp;$AL31,Data_Omakoodi!A:A,0))="P","",$AK$3&amp;$AL31),$AK$3&amp;$AL31)</f>
        <v>ComboBox_EtKuntakoodi_00000024</v>
      </c>
      <c r="AB31" s="44" t="str">
        <f>IFERROR(INDEX(Data_Omakoodi!E:E,MATCH(AA31,Data_Omakoodi!A:A,0)),"")</f>
        <v/>
      </c>
      <c r="AC31" t="str">
        <f>IFERROR(IF(INDEX(Data_Omakoodi!H:H,MATCH($AH$3&amp;$AL31,Data_Omakoodi!A:A,0))="P","",$AH$3&amp;$AL31),$AH$3&amp;$AL31)</f>
        <v>ComboBox_TyHlo_yksikko_00000024</v>
      </c>
      <c r="AD31" s="44" t="str">
        <f>IFERROR(INDEX(Data_Omakoodi!E:E,MATCH(AC31,Data_Omakoodi!A:A,0)),"")</f>
        <v/>
      </c>
      <c r="AE31" t="str">
        <f>IFERROR(IF(INDEX(Data_Omakoodi!H:H,MATCH($AH$3&amp;$AL31,Data_Omakoodi!A:A,0))="P","",$AH$3&amp;$AL31),$AH$3&amp;$AL31)</f>
        <v>ComboBox_TyHlo_yksikko_00000024</v>
      </c>
      <c r="AF31" t="s">
        <v>1550</v>
      </c>
      <c r="AG31" s="739" t="str">
        <f t="shared" si="0"/>
        <v/>
      </c>
      <c r="AH31" s="739" t="str">
        <f t="shared" si="1"/>
        <v/>
      </c>
      <c r="AI31"/>
      <c r="AJ31" s="739" t="str">
        <f t="shared" si="2"/>
        <v/>
      </c>
      <c r="AK31" s="739" t="str">
        <f t="shared" si="3"/>
        <v/>
      </c>
      <c r="AL31">
        <v>24</v>
      </c>
      <c r="AM31" s="15"/>
      <c r="AN31" s="15"/>
      <c r="AO31" s="15"/>
      <c r="AP31" s="685"/>
      <c r="AQ31" s="685"/>
      <c r="AT31"/>
    </row>
    <row r="32" spans="1:46" x14ac:dyDescent="0.25">
      <c r="A32" s="145" t="str">
        <f>Y12&amp;X34&amp;X10 &amp;X12</f>
        <v xml:space="preserve">- KAIKKI: Nuorten määrä iän mukaan - 01.01.2025-30.04.2025 </v>
      </c>
      <c r="M32" s="548"/>
      <c r="AA32" s="176" t="str">
        <f>IFERROR(IF(INDEX(Data_Omakoodi!H:H,MATCH($AK$3&amp;$AL32,Data_Omakoodi!A:A,0))="P","",$AK$3&amp;$AL32),$AK$3&amp;$AL32)</f>
        <v>ComboBox_EtKuntakoodi_00000025</v>
      </c>
      <c r="AB32" s="44" t="str">
        <f>IFERROR(INDEX(Data_Omakoodi!E:E,MATCH(AA32,Data_Omakoodi!A:A,0)),"")</f>
        <v/>
      </c>
      <c r="AC32" t="str">
        <f>IFERROR(IF(INDEX(Data_Omakoodi!H:H,MATCH($AH$3&amp;$AL32,Data_Omakoodi!A:A,0))="P","",$AH$3&amp;$AL32),$AH$3&amp;$AL32)</f>
        <v>ComboBox_TyHlo_yksikko_00000025</v>
      </c>
      <c r="AD32" s="44" t="str">
        <f>IFERROR(INDEX(Data_Omakoodi!E:E,MATCH(AC32,Data_Omakoodi!A:A,0)),"")</f>
        <v/>
      </c>
      <c r="AE32" t="str">
        <f>IFERROR(IF(INDEX(Data_Omakoodi!H:H,MATCH($AH$3&amp;$AL32,Data_Omakoodi!A:A,0))="P","",$AH$3&amp;$AL32),$AH$3&amp;$AL32)</f>
        <v>ComboBox_TyHlo_yksikko_00000025</v>
      </c>
      <c r="AF32" t="s">
        <v>1551</v>
      </c>
      <c r="AG32" s="739" t="str">
        <f t="shared" si="0"/>
        <v/>
      </c>
      <c r="AH32" s="739" t="str">
        <f t="shared" si="1"/>
        <v/>
      </c>
      <c r="AI32"/>
      <c r="AJ32" s="739" t="str">
        <f t="shared" si="2"/>
        <v/>
      </c>
      <c r="AK32" s="739" t="str">
        <f t="shared" si="3"/>
        <v/>
      </c>
      <c r="AL32">
        <v>25</v>
      </c>
      <c r="AM32" s="15"/>
      <c r="AN32" s="15"/>
      <c r="AO32" s="15"/>
      <c r="AP32" s="685"/>
      <c r="AQ32" s="685"/>
      <c r="AT32"/>
    </row>
    <row r="33" spans="1:46" x14ac:dyDescent="0.25">
      <c r="A33" s="840" t="s">
        <v>109</v>
      </c>
      <c r="B33" s="833" t="s">
        <v>114</v>
      </c>
      <c r="C33" s="833"/>
      <c r="D33" s="57" t="s">
        <v>132</v>
      </c>
      <c r="E33" s="233" t="s">
        <v>133</v>
      </c>
      <c r="F33" s="834" t="str">
        <f>Y11&amp;X34&amp;X10 &amp;X12</f>
        <v xml:space="preserve">Kuva: Nuorten määrä iän mukaan - 01.01.2025-30.04.2025 </v>
      </c>
      <c r="G33" s="835"/>
      <c r="H33" s="835"/>
      <c r="I33" s="835"/>
      <c r="J33" s="835"/>
      <c r="K33" s="835"/>
      <c r="L33" s="836"/>
      <c r="M33" s="548"/>
      <c r="Y33" s="146"/>
      <c r="AA33" s="176" t="str">
        <f>IFERROR(IF(INDEX(Data_Omakoodi!H:H,MATCH($AK$3&amp;$AL33,Data_Omakoodi!A:A,0))="P","",$AK$3&amp;$AL33),$AK$3&amp;$AL33)</f>
        <v>ComboBox_EtKuntakoodi_00000026</v>
      </c>
      <c r="AB33" s="44" t="str">
        <f>IFERROR(INDEX(Data_Omakoodi!E:E,MATCH(AA33,Data_Omakoodi!A:A,0)),"")</f>
        <v/>
      </c>
      <c r="AC33" t="str">
        <f>IFERROR(IF(INDEX(Data_Omakoodi!H:H,MATCH($AH$3&amp;$AL33,Data_Omakoodi!A:A,0))="P","",$AH$3&amp;$AL33),$AH$3&amp;$AL33)</f>
        <v>ComboBox_TyHlo_yksikko_00000026</v>
      </c>
      <c r="AD33" s="44" t="str">
        <f>IFERROR(INDEX(Data_Omakoodi!E:E,MATCH(AC33,Data_Omakoodi!A:A,0)),"")</f>
        <v/>
      </c>
      <c r="AE33" t="str">
        <f>IFERROR(IF(INDEX(Data_Omakoodi!H:H,MATCH($AH$3&amp;$AL33,Data_Omakoodi!A:A,0))="P","",$AH$3&amp;$AL33),$AH$3&amp;$AL33)</f>
        <v>ComboBox_TyHlo_yksikko_00000026</v>
      </c>
      <c r="AF33" t="s">
        <v>1552</v>
      </c>
      <c r="AG33" s="739" t="str">
        <f t="shared" si="0"/>
        <v/>
      </c>
      <c r="AH33" s="739" t="str">
        <f t="shared" si="1"/>
        <v/>
      </c>
      <c r="AI33"/>
      <c r="AJ33" s="739" t="str">
        <f t="shared" si="2"/>
        <v/>
      </c>
      <c r="AK33" s="739" t="str">
        <f t="shared" si="3"/>
        <v/>
      </c>
      <c r="AL33">
        <v>26</v>
      </c>
      <c r="AM33" s="15"/>
      <c r="AN33" s="15"/>
      <c r="AO33" s="15"/>
      <c r="AP33" s="685"/>
      <c r="AQ33" s="685"/>
      <c r="AT33"/>
    </row>
    <row r="34" spans="1:46" x14ac:dyDescent="0.25">
      <c r="A34" s="840"/>
      <c r="B34" s="57" t="s">
        <v>106</v>
      </c>
      <c r="C34" s="57" t="s">
        <v>176</v>
      </c>
      <c r="D34" s="57" t="s">
        <v>106</v>
      </c>
      <c r="E34" s="234" t="s">
        <v>106</v>
      </c>
      <c r="F34" s="837"/>
      <c r="G34" s="838"/>
      <c r="H34" s="838"/>
      <c r="I34" s="838"/>
      <c r="J34" s="838"/>
      <c r="K34" s="838"/>
      <c r="L34" s="839"/>
      <c r="X34" s="223" t="s">
        <v>178</v>
      </c>
      <c r="AA34" s="176" t="str">
        <f>IFERROR(IF(INDEX(Data_Omakoodi!H:H,MATCH($AK$3&amp;$AL34,Data_Omakoodi!A:A,0))="P","",$AK$3&amp;$AL34),$AK$3&amp;$AL34)</f>
        <v>ComboBox_EtKuntakoodi_00000027</v>
      </c>
      <c r="AB34" s="44" t="str">
        <f>IFERROR(INDEX(Data_Omakoodi!E:E,MATCH(AA34,Data_Omakoodi!A:A,0)),"")</f>
        <v/>
      </c>
      <c r="AC34" t="str">
        <f>IFERROR(IF(INDEX(Data_Omakoodi!H:H,MATCH($AH$3&amp;$AL34,Data_Omakoodi!A:A,0))="P","",$AH$3&amp;$AL34),$AH$3&amp;$AL34)</f>
        <v>ComboBox_TyHlo_yksikko_00000027</v>
      </c>
      <c r="AD34" s="44" t="str">
        <f>IFERROR(INDEX(Data_Omakoodi!E:E,MATCH(AC34,Data_Omakoodi!A:A,0)),"")</f>
        <v/>
      </c>
      <c r="AE34" t="str">
        <f>IFERROR(IF(INDEX(Data_Omakoodi!H:H,MATCH($AH$3&amp;$AL34,Data_Omakoodi!A:A,0))="P","",$AH$3&amp;$AL34),$AH$3&amp;$AL34)</f>
        <v>ComboBox_TyHlo_yksikko_00000027</v>
      </c>
      <c r="AF34" t="s">
        <v>1553</v>
      </c>
      <c r="AG34" s="739" t="str">
        <f t="shared" si="0"/>
        <v/>
      </c>
      <c r="AH34" s="739" t="str">
        <f t="shared" si="1"/>
        <v/>
      </c>
      <c r="AI34"/>
      <c r="AJ34" s="739" t="str">
        <f t="shared" si="2"/>
        <v/>
      </c>
      <c r="AK34" s="739" t="str">
        <f t="shared" si="3"/>
        <v/>
      </c>
      <c r="AL34">
        <v>27</v>
      </c>
      <c r="AM34" s="15"/>
      <c r="AN34" s="15"/>
      <c r="AO34" s="15"/>
      <c r="AP34" s="685"/>
      <c r="AQ34" s="685"/>
      <c r="AT34"/>
    </row>
    <row r="35" spans="1:46" x14ac:dyDescent="0.25">
      <c r="A35" s="147" t="s">
        <v>1199</v>
      </c>
      <c r="B35" s="148">
        <f>SUMIFS(AS!W:W,AS!$BO:$BO,$W$7,AS!AB:AB,AS!$AA$1,AS!AF:AF,Asiakastilastot!$X35,AS!$AV:$AV,Asiakastilastot!$X$6,AS!$AW:$AW,Asiakastilastot!$Y$6,AS!$X:$X,Asiakastilastot!$Y$5,AS!$K:$K,$V$2)</f>
        <v>0</v>
      </c>
      <c r="C35" s="312" t="str">
        <f t="shared" ref="C35:C43" si="5">IFERROR(B35/B$58,"-")</f>
        <v>-</v>
      </c>
      <c r="D35" s="148">
        <f>SUMIFS(AS!W:W,AS!$BO:$BO,$W$7,AS!AB:AB,AS!$AA$1,AS!AF:AF,Asiakastilastot!$X35,AS!I:I,Asiakastilastot!$X$7,AS!$AV:$AV,Asiakastilastot!$X$6,AS!$AW:$AW,Asiakastilastot!$Y$6,AS!$X:$X,Asiakastilastot!$Y$5,AS!$K:$K,$V$2)</f>
        <v>0</v>
      </c>
      <c r="E35" s="239">
        <f>SUMIFS(AS!W:W,AS!$BO:$BO,$W$7,AS!AB:AB,AS!$AA$1,AS!AF:AF,Asiakastilastot!$X35,AS!I:I,Asiakastilastot!$Y$7,AS!$AV:$AV,Asiakastilastot!$X$6,AS!$AW:$AW,Asiakastilastot!$Y$6,AS!$X:$X,Asiakastilastot!$Y$5,AS!$K:$K,$V$2)</f>
        <v>0</v>
      </c>
      <c r="F35" s="241"/>
      <c r="L35" s="229"/>
      <c r="X35" s="28">
        <v>7</v>
      </c>
      <c r="AA35" s="176" t="str">
        <f>IFERROR(IF(INDEX(Data_Omakoodi!H:H,MATCH($AK$3&amp;$AL35,Data_Omakoodi!A:A,0))="P","",$AK$3&amp;$AL35),$AK$3&amp;$AL35)</f>
        <v>ComboBox_EtKuntakoodi_00000028</v>
      </c>
      <c r="AB35" s="44" t="str">
        <f>IFERROR(INDEX(Data_Omakoodi!E:E,MATCH(AA35,Data_Omakoodi!A:A,0)),"")</f>
        <v/>
      </c>
      <c r="AC35" t="str">
        <f>IFERROR(IF(INDEX(Data_Omakoodi!H:H,MATCH($AH$3&amp;$AL35,Data_Omakoodi!A:A,0))="P","",$AH$3&amp;$AL35),$AH$3&amp;$AL35)</f>
        <v>ComboBox_TyHlo_yksikko_00000028</v>
      </c>
      <c r="AD35" s="44" t="str">
        <f>IFERROR(INDEX(Data_Omakoodi!E:E,MATCH(AC35,Data_Omakoodi!A:A,0)),"")</f>
        <v/>
      </c>
      <c r="AE35" t="str">
        <f>IFERROR(IF(INDEX(Data_Omakoodi!H:H,MATCH($AH$3&amp;$AL35,Data_Omakoodi!A:A,0))="P","",$AH$3&amp;$AL35),$AH$3&amp;$AL35)</f>
        <v>ComboBox_TyHlo_yksikko_00000028</v>
      </c>
      <c r="AF35" t="s">
        <v>1554</v>
      </c>
      <c r="AG35" s="739" t="str">
        <f t="shared" si="0"/>
        <v/>
      </c>
      <c r="AH35" s="739" t="str">
        <f t="shared" si="1"/>
        <v/>
      </c>
      <c r="AI35"/>
      <c r="AJ35" s="739" t="str">
        <f t="shared" si="2"/>
        <v/>
      </c>
      <c r="AK35" s="739" t="str">
        <f t="shared" si="3"/>
        <v/>
      </c>
      <c r="AL35">
        <v>28</v>
      </c>
      <c r="AM35" s="15"/>
      <c r="AN35" s="15"/>
      <c r="AO35" s="15"/>
      <c r="AP35" s="685"/>
      <c r="AQ35" s="685"/>
      <c r="AT35"/>
    </row>
    <row r="36" spans="1:46" x14ac:dyDescent="0.25">
      <c r="A36" s="147" t="s">
        <v>1198</v>
      </c>
      <c r="B36" s="148">
        <f>SUMIFS(AS!W:W,AS!$BO:$BO,$W$7,AS!AB:AB,AS!$AA$1,AS!AF:AF,Asiakastilastot!$X36,AS!$AV:$AV,Asiakastilastot!$X$6,AS!$AW:$AW,Asiakastilastot!$Y$6,AS!$X:$X,Asiakastilastot!$Y$5,AS!$K:$K,$V$2)</f>
        <v>0</v>
      </c>
      <c r="C36" s="312" t="str">
        <f t="shared" si="5"/>
        <v>-</v>
      </c>
      <c r="D36" s="148">
        <f>SUMIFS(AS!W:W,AS!$BO:$BO,$W$7,AS!AB:AB,AS!$AA$1,AS!AF:AF,Asiakastilastot!$X36,AS!I:I,Asiakastilastot!$X$7,AS!$AV:$AV,Asiakastilastot!$X$6,AS!$AW:$AW,Asiakastilastot!$Y$6,AS!$X:$X,Asiakastilastot!$Y$5,AS!$K:$K,$V$2)</f>
        <v>0</v>
      </c>
      <c r="E36" s="239">
        <f>SUMIFS(AS!W:W,AS!$BO:$BO,$W$7,AS!AB:AB,AS!$AA$1,AS!AF:AF,Asiakastilastot!$X36,AS!I:I,Asiakastilastot!$Y$7,AS!$AV:$AV,Asiakastilastot!$X$6,AS!$AW:$AW,Asiakastilastot!$Y$6,AS!$X:$X,Asiakastilastot!$Y$5,AS!$K:$K,$V$2)</f>
        <v>0</v>
      </c>
      <c r="F36" s="241"/>
      <c r="L36" s="229"/>
      <c r="X36" s="28">
        <v>8</v>
      </c>
      <c r="AA36" s="176" t="str">
        <f>IFERROR(IF(INDEX(Data_Omakoodi!H:H,MATCH($AK$3&amp;$AL36,Data_Omakoodi!A:A,0))="P","",$AK$3&amp;$AL36),$AK$3&amp;$AL36)</f>
        <v>ComboBox_EtKuntakoodi_00000029</v>
      </c>
      <c r="AB36" s="44" t="str">
        <f>IFERROR(INDEX(Data_Omakoodi!E:E,MATCH(AA36,Data_Omakoodi!A:A,0)),"")</f>
        <v/>
      </c>
      <c r="AC36" t="str">
        <f>IFERROR(IF(INDEX(Data_Omakoodi!H:H,MATCH($AH$3&amp;$AL36,Data_Omakoodi!A:A,0))="P","",$AH$3&amp;$AL36),$AH$3&amp;$AL36)</f>
        <v>ComboBox_TyHlo_yksikko_00000029</v>
      </c>
      <c r="AD36" s="44" t="str">
        <f>IFERROR(INDEX(Data_Omakoodi!E:E,MATCH(AC36,Data_Omakoodi!A:A,0)),"")</f>
        <v/>
      </c>
      <c r="AE36" t="str">
        <f>IFERROR(IF(INDEX(Data_Omakoodi!H:H,MATCH($AH$3&amp;$AL36,Data_Omakoodi!A:A,0))="P","",$AH$3&amp;$AL36),$AH$3&amp;$AL36)</f>
        <v>ComboBox_TyHlo_yksikko_00000029</v>
      </c>
      <c r="AF36" t="s">
        <v>1555</v>
      </c>
      <c r="AG36" s="739" t="str">
        <f t="shared" si="0"/>
        <v/>
      </c>
      <c r="AH36" s="739" t="str">
        <f t="shared" si="1"/>
        <v/>
      </c>
      <c r="AI36"/>
      <c r="AJ36" s="739" t="str">
        <f t="shared" si="2"/>
        <v/>
      </c>
      <c r="AK36" s="739" t="str">
        <f t="shared" si="3"/>
        <v/>
      </c>
      <c r="AL36">
        <v>29</v>
      </c>
      <c r="AM36" s="15"/>
      <c r="AN36" s="15"/>
      <c r="AO36" s="15"/>
      <c r="AP36" s="685"/>
      <c r="AQ36" s="685"/>
      <c r="AT36"/>
    </row>
    <row r="37" spans="1:46" x14ac:dyDescent="0.25">
      <c r="A37" s="147" t="s">
        <v>1197</v>
      </c>
      <c r="B37" s="148">
        <f>SUMIFS(AS!W:W,AS!$BO:$BO,$W$7,AS!AB:AB,AS!$AA$1,AS!AF:AF,Asiakastilastot!$X37,AS!$AV:$AV,Asiakastilastot!$X$6,AS!$AW:$AW,Asiakastilastot!$Y$6,AS!$X:$X,Asiakastilastot!$Y$5,AS!$K:$K,$V$2)</f>
        <v>0</v>
      </c>
      <c r="C37" s="312" t="str">
        <f t="shared" si="5"/>
        <v>-</v>
      </c>
      <c r="D37" s="148">
        <f>SUMIFS(AS!W:W,AS!$BO:$BO,$W$7,AS!AB:AB,AS!$AA$1,AS!AF:AF,Asiakastilastot!$X37,AS!I:I,Asiakastilastot!$X$7,AS!$AV:$AV,Asiakastilastot!$X$6,AS!$AW:$AW,Asiakastilastot!$Y$6,AS!$X:$X,Asiakastilastot!$Y$5,AS!$K:$K,$V$2)</f>
        <v>0</v>
      </c>
      <c r="E37" s="239">
        <f>SUMIFS(AS!W:W,AS!$BO:$BO,$W$7,AS!AB:AB,AS!$AA$1,AS!AF:AF,Asiakastilastot!$X37,AS!I:I,Asiakastilastot!$Y$7,AS!$AV:$AV,Asiakastilastot!$X$6,AS!$AW:$AW,Asiakastilastot!$Y$6,AS!$X:$X,Asiakastilastot!$Y$5,AS!$K:$K,$V$2)</f>
        <v>0</v>
      </c>
      <c r="F37" s="241"/>
      <c r="L37" s="229"/>
      <c r="X37" s="28">
        <v>9</v>
      </c>
      <c r="AA37" s="176" t="str">
        <f>IFERROR(IF(INDEX(Data_Omakoodi!H:H,MATCH($AK$3&amp;$AL37,Data_Omakoodi!A:A,0))="P","",$AK$3&amp;$AL37),$AK$3&amp;$AL37)</f>
        <v>ComboBox_EtKuntakoodi_00000030</v>
      </c>
      <c r="AB37" s="44" t="str">
        <f>IFERROR(INDEX(Data_Omakoodi!E:E,MATCH(AA37,Data_Omakoodi!A:A,0)),"")</f>
        <v/>
      </c>
      <c r="AC37" t="str">
        <f>IFERROR(IF(INDEX(Data_Omakoodi!H:H,MATCH($AH$3&amp;$AL37,Data_Omakoodi!A:A,0))="P","",$AH$3&amp;$AL37),$AH$3&amp;$AL37)</f>
        <v>ComboBox_TyHlo_yksikko_00000030</v>
      </c>
      <c r="AD37" s="44" t="str">
        <f>IFERROR(INDEX(Data_Omakoodi!E:E,MATCH(AC37,Data_Omakoodi!A:A,0)),"")</f>
        <v/>
      </c>
      <c r="AE37" t="str">
        <f>IFERROR(IF(INDEX(Data_Omakoodi!H:H,MATCH($AH$3&amp;$AL37,Data_Omakoodi!A:A,0))="P","",$AH$3&amp;$AL37),$AH$3&amp;$AL37)</f>
        <v>ComboBox_TyHlo_yksikko_00000030</v>
      </c>
      <c r="AF37" t="s">
        <v>1556</v>
      </c>
      <c r="AG37" s="739" t="str">
        <f t="shared" si="0"/>
        <v/>
      </c>
      <c r="AH37" s="739" t="str">
        <f t="shared" si="1"/>
        <v/>
      </c>
      <c r="AI37"/>
      <c r="AJ37" s="739" t="str">
        <f t="shared" si="2"/>
        <v/>
      </c>
      <c r="AK37" s="739" t="str">
        <f t="shared" si="3"/>
        <v/>
      </c>
      <c r="AL37">
        <v>30</v>
      </c>
      <c r="AM37" s="15"/>
      <c r="AN37" s="15"/>
      <c r="AO37" s="15"/>
      <c r="AP37" s="685"/>
      <c r="AQ37" s="685"/>
      <c r="AT37"/>
    </row>
    <row r="38" spans="1:46" x14ac:dyDescent="0.25">
      <c r="A38" s="147" t="s">
        <v>1196</v>
      </c>
      <c r="B38" s="148">
        <f>SUMIFS(AS!W:W,AS!$BO:$BO,$W$7,AS!AB:AB,AS!$AA$1,AS!AF:AF,Asiakastilastot!$X38,AS!$AV:$AV,Asiakastilastot!$X$6,AS!$AW:$AW,Asiakastilastot!$Y$6,AS!$X:$X,Asiakastilastot!$Y$5,AS!$K:$K,$V$2)</f>
        <v>0</v>
      </c>
      <c r="C38" s="312" t="str">
        <f t="shared" si="5"/>
        <v>-</v>
      </c>
      <c r="D38" s="148">
        <f>SUMIFS(AS!W:W,AS!$BO:$BO,$W$7,AS!AB:AB,AS!$AA$1,AS!AF:AF,Asiakastilastot!$X38,AS!I:I,Asiakastilastot!$X$7,AS!$AV:$AV,Asiakastilastot!$X$6,AS!$AW:$AW,Asiakastilastot!$Y$6,AS!$X:$X,Asiakastilastot!$Y$5,AS!$K:$K,$V$2)</f>
        <v>0</v>
      </c>
      <c r="E38" s="239">
        <f>SUMIFS(AS!W:W,AS!$BO:$BO,$W$7,AS!AB:AB,AS!$AA$1,AS!AF:AF,Asiakastilastot!$X38,AS!I:I,Asiakastilastot!$Y$7,AS!$AV:$AV,Asiakastilastot!$X$6,AS!$AW:$AW,Asiakastilastot!$Y$6,AS!$X:$X,Asiakastilastot!$Y$5,AS!$K:$K,$V$2)</f>
        <v>0</v>
      </c>
      <c r="F38" s="241"/>
      <c r="L38" s="229"/>
      <c r="X38" s="28">
        <v>10</v>
      </c>
      <c r="AA38" s="176" t="str">
        <f>IFERROR(IF(INDEX(Data_Omakoodi!H:H,MATCH($AK$3&amp;$AL38,Data_Omakoodi!A:A,0))="P","",$AK$3&amp;$AL38),$AK$3&amp;$AL38)</f>
        <v>ComboBox_EtKuntakoodi_00000031</v>
      </c>
      <c r="AB38" s="44" t="str">
        <f>IFERROR(INDEX(Data_Omakoodi!E:E,MATCH(AA38,Data_Omakoodi!A:A,0)),"")</f>
        <v/>
      </c>
      <c r="AC38" t="str">
        <f>IFERROR(IF(INDEX(Data_Omakoodi!H:H,MATCH($AH$3&amp;$AL38,Data_Omakoodi!A:A,0))="P","",$AH$3&amp;$AL38),$AH$3&amp;$AL38)</f>
        <v>ComboBox_TyHlo_yksikko_00000031</v>
      </c>
      <c r="AD38" s="44" t="str">
        <f>IFERROR(INDEX(Data_Omakoodi!E:E,MATCH(AC38,Data_Omakoodi!A:A,0)),"")</f>
        <v/>
      </c>
      <c r="AE38" t="str">
        <f>IFERROR(IF(INDEX(Data_Omakoodi!H:H,MATCH($AH$3&amp;$AL38,Data_Omakoodi!A:A,0))="P","",$AH$3&amp;$AL38),$AH$3&amp;$AL38)</f>
        <v>ComboBox_TyHlo_yksikko_00000031</v>
      </c>
      <c r="AF38" t="s">
        <v>1621</v>
      </c>
      <c r="AG38" s="739" t="str">
        <f t="shared" si="0"/>
        <v/>
      </c>
      <c r="AH38" s="739" t="str">
        <f t="shared" si="1"/>
        <v/>
      </c>
      <c r="AI38"/>
      <c r="AJ38" s="739" t="str">
        <f t="shared" si="2"/>
        <v/>
      </c>
      <c r="AK38" s="739" t="str">
        <f t="shared" si="3"/>
        <v/>
      </c>
      <c r="AL38">
        <v>31</v>
      </c>
      <c r="AM38" s="15"/>
      <c r="AN38" s="15"/>
      <c r="AO38" s="15"/>
      <c r="AP38" s="685"/>
      <c r="AQ38" s="685"/>
      <c r="AT38"/>
    </row>
    <row r="39" spans="1:46" x14ac:dyDescent="0.25">
      <c r="A39" s="147" t="s">
        <v>1195</v>
      </c>
      <c r="B39" s="148">
        <f>SUMIFS(AS!W:W,AS!$BO:$BO,$W$7,AS!AB:AB,AS!$AA$1,AS!AF:AF,Asiakastilastot!$X39,AS!$AV:$AV,Asiakastilastot!$X$6,AS!$AW:$AW,Asiakastilastot!$Y$6,AS!$X:$X,Asiakastilastot!$Y$5,AS!$K:$K,$V$2)</f>
        <v>0</v>
      </c>
      <c r="C39" s="312" t="str">
        <f t="shared" si="5"/>
        <v>-</v>
      </c>
      <c r="D39" s="148">
        <f>SUMIFS(AS!W:W,AS!$BO:$BO,$W$7,AS!AB:AB,AS!$AA$1,AS!AF:AF,Asiakastilastot!$X39,AS!I:I,Asiakastilastot!$X$7,AS!$AV:$AV,Asiakastilastot!$X$6,AS!$AW:$AW,Asiakastilastot!$Y$6,AS!$X:$X,Asiakastilastot!$Y$5,AS!$K:$K,$V$2)</f>
        <v>0</v>
      </c>
      <c r="E39" s="239">
        <f>SUMIFS(AS!W:W,AS!$BO:$BO,$W$7,AS!AB:AB,AS!$AA$1,AS!AF:AF,Asiakastilastot!$X39,AS!I:I,Asiakastilastot!$Y$7,AS!$AV:$AV,Asiakastilastot!$X$6,AS!$AW:$AW,Asiakastilastot!$Y$6,AS!$X:$X,Asiakastilastot!$Y$5,AS!$K:$K,$V$2)</f>
        <v>0</v>
      </c>
      <c r="F39" s="241"/>
      <c r="L39" s="229"/>
      <c r="X39" s="28">
        <v>11</v>
      </c>
      <c r="AA39" s="176" t="str">
        <f>IFERROR(IF(INDEX(Data_Omakoodi!H:H,MATCH($AK$3&amp;$AL39,Data_Omakoodi!A:A,0))="P","",$AK$3&amp;$AL39),$AK$3&amp;$AL39)</f>
        <v>ComboBox_EtKuntakoodi_00000032</v>
      </c>
      <c r="AB39" s="44" t="str">
        <f>IFERROR(INDEX(Data_Omakoodi!E:E,MATCH(AA39,Data_Omakoodi!A:A,0)),"")</f>
        <v/>
      </c>
      <c r="AC39" t="str">
        <f>IFERROR(IF(INDEX(Data_Omakoodi!H:H,MATCH($AH$3&amp;$AL39,Data_Omakoodi!A:A,0))="P","",$AH$3&amp;$AL39),$AH$3&amp;$AL39)</f>
        <v>ComboBox_TyHlo_yksikko_00000032</v>
      </c>
      <c r="AD39" s="44" t="str">
        <f>IFERROR(INDEX(Data_Omakoodi!E:E,MATCH(AC39,Data_Omakoodi!A:A,0)),"")</f>
        <v/>
      </c>
      <c r="AE39" t="str">
        <f>IFERROR(IF(INDEX(Data_Omakoodi!H:H,MATCH($AH$3&amp;$AL39,Data_Omakoodi!A:A,0))="P","",$AH$3&amp;$AL39),$AH$3&amp;$AL39)</f>
        <v>ComboBox_TyHlo_yksikko_00000032</v>
      </c>
      <c r="AF39" t="s">
        <v>1622</v>
      </c>
      <c r="AG39" s="739" t="str">
        <f t="shared" si="0"/>
        <v/>
      </c>
      <c r="AH39" s="739" t="str">
        <f t="shared" si="1"/>
        <v/>
      </c>
      <c r="AI39"/>
      <c r="AJ39" s="739" t="str">
        <f t="shared" si="2"/>
        <v/>
      </c>
      <c r="AK39" s="739" t="str">
        <f t="shared" si="3"/>
        <v/>
      </c>
      <c r="AL39">
        <v>32</v>
      </c>
      <c r="AM39" s="15"/>
      <c r="AN39" s="15"/>
      <c r="AO39" s="15"/>
      <c r="AP39" s="685"/>
      <c r="AQ39" s="685"/>
      <c r="AT39"/>
    </row>
    <row r="40" spans="1:46" x14ac:dyDescent="0.25">
      <c r="A40" s="147" t="s">
        <v>1194</v>
      </c>
      <c r="B40" s="148">
        <f>SUMIFS(AS!W:W,AS!$BO:$BO,$W$7,AS!AB:AB,AS!$AA$1,AS!AF:AF,Asiakastilastot!$X40,AS!$AV:$AV,Asiakastilastot!$X$6,AS!$AW:$AW,Asiakastilastot!$Y$6,AS!$X:$X,Asiakastilastot!$Y$5,AS!$K:$K,$V$2)</f>
        <v>0</v>
      </c>
      <c r="C40" s="312" t="str">
        <f t="shared" si="5"/>
        <v>-</v>
      </c>
      <c r="D40" s="148">
        <f>SUMIFS(AS!W:W,AS!$BO:$BO,$W$7,AS!AB:AB,AS!$AA$1,AS!AF:AF,Asiakastilastot!$X40,AS!I:I,Asiakastilastot!$X$7,AS!$AV:$AV,Asiakastilastot!$X$6,AS!$AW:$AW,Asiakastilastot!$Y$6,AS!$X:$X,Asiakastilastot!$Y$5,AS!$K:$K,$V$2)</f>
        <v>0</v>
      </c>
      <c r="E40" s="239">
        <f>SUMIFS(AS!W:W,AS!$BO:$BO,$W$7,AS!AB:AB,AS!$AA$1,AS!AF:AF,Asiakastilastot!$X40,AS!I:I,Asiakastilastot!$Y$7,AS!$AV:$AV,Asiakastilastot!$X$6,AS!$AW:$AW,Asiakastilastot!$Y$6,AS!$X:$X,Asiakastilastot!$Y$5,AS!$K:$K,$V$2)</f>
        <v>0</v>
      </c>
      <c r="F40" s="241"/>
      <c r="L40" s="229"/>
      <c r="X40" s="28">
        <v>12</v>
      </c>
      <c r="AA40" s="176" t="str">
        <f>IFERROR(IF(INDEX(Data_Omakoodi!H:H,MATCH($AK$3&amp;$AL40,Data_Omakoodi!A:A,0))="P","",$AK$3&amp;$AL40),$AK$3&amp;$AL40)</f>
        <v>ComboBox_EtKuntakoodi_00000033</v>
      </c>
      <c r="AB40" s="44" t="str">
        <f>IFERROR(INDEX(Data_Omakoodi!E:E,MATCH(AA40,Data_Omakoodi!A:A,0)),"")</f>
        <v/>
      </c>
      <c r="AC40" t="str">
        <f>IFERROR(IF(INDEX(Data_Omakoodi!H:H,MATCH($AH$3&amp;$AL40,Data_Omakoodi!A:A,0))="P","",$AH$3&amp;$AL40),$AH$3&amp;$AL40)</f>
        <v>ComboBox_TyHlo_yksikko_00000033</v>
      </c>
      <c r="AD40" s="44" t="str">
        <f>IFERROR(INDEX(Data_Omakoodi!E:E,MATCH(AC40,Data_Omakoodi!A:A,0)),"")</f>
        <v/>
      </c>
      <c r="AE40" t="str">
        <f>IFERROR(IF(INDEX(Data_Omakoodi!H:H,MATCH($AH$3&amp;$AL40,Data_Omakoodi!A:A,0))="P","",$AH$3&amp;$AL40),$AH$3&amp;$AL40)</f>
        <v>ComboBox_TyHlo_yksikko_00000033</v>
      </c>
      <c r="AF40" t="s">
        <v>1623</v>
      </c>
      <c r="AG40" s="739" t="str">
        <f t="shared" si="0"/>
        <v/>
      </c>
      <c r="AH40" s="739" t="str">
        <f t="shared" si="1"/>
        <v/>
      </c>
      <c r="AI40"/>
      <c r="AJ40" s="739" t="str">
        <f t="shared" si="2"/>
        <v/>
      </c>
      <c r="AK40" s="739" t="str">
        <f t="shared" si="3"/>
        <v/>
      </c>
      <c r="AL40">
        <v>33</v>
      </c>
      <c r="AM40" s="15"/>
      <c r="AN40" s="15"/>
      <c r="AO40" s="15"/>
      <c r="AP40" s="685"/>
      <c r="AQ40" s="685"/>
      <c r="AT40"/>
    </row>
    <row r="41" spans="1:46" x14ac:dyDescent="0.25">
      <c r="A41" s="147" t="s">
        <v>1193</v>
      </c>
      <c r="B41" s="148">
        <f>SUMIFS(AS!W:W,AS!$BO:$BO,$W$7,AS!AB:AB,AS!$AA$1,AS!AF:AF,Asiakastilastot!$X41,AS!$AV:$AV,Asiakastilastot!$X$6,AS!$AW:$AW,Asiakastilastot!$Y$6,AS!$X:$X,Asiakastilastot!$Y$5,AS!$K:$K,$V$2)</f>
        <v>0</v>
      </c>
      <c r="C41" s="312" t="str">
        <f t="shared" si="5"/>
        <v>-</v>
      </c>
      <c r="D41" s="148">
        <f>SUMIFS(AS!W:W,AS!$BO:$BO,$W$7,AS!AB:AB,AS!$AA$1,AS!AF:AF,Asiakastilastot!$X41,AS!I:I,Asiakastilastot!$X$7,AS!$AV:$AV,Asiakastilastot!$X$6,AS!$AW:$AW,Asiakastilastot!$Y$6,AS!$X:$X,Asiakastilastot!$Y$5,AS!$K:$K,$V$2)</f>
        <v>0</v>
      </c>
      <c r="E41" s="239">
        <f>SUMIFS(AS!W:W,AS!$BO:$BO,$W$7,AS!AB:AB,AS!$AA$1,AS!AF:AF,Asiakastilastot!$X41,AS!I:I,Asiakastilastot!$Y$7,AS!$AV:$AV,Asiakastilastot!$X$6,AS!$AW:$AW,Asiakastilastot!$Y$6,AS!$X:$X,Asiakastilastot!$Y$5,AS!$K:$K,$V$2)</f>
        <v>0</v>
      </c>
      <c r="F41" s="241"/>
      <c r="L41" s="229"/>
      <c r="X41" s="28">
        <v>13</v>
      </c>
      <c r="AA41" s="176" t="str">
        <f>IFERROR(IF(INDEX(Data_Omakoodi!H:H,MATCH($AK$3&amp;$AL41,Data_Omakoodi!A:A,0))="P","",$AK$3&amp;$AL41),$AK$3&amp;$AL41)</f>
        <v>ComboBox_EtKuntakoodi_00000034</v>
      </c>
      <c r="AB41" s="44" t="str">
        <f>IFERROR(INDEX(Data_Omakoodi!E:E,MATCH(AA41,Data_Omakoodi!A:A,0)),"")</f>
        <v/>
      </c>
      <c r="AC41" t="str">
        <f>IFERROR(IF(INDEX(Data_Omakoodi!H:H,MATCH($AH$3&amp;$AL41,Data_Omakoodi!A:A,0))="P","",$AH$3&amp;$AL41),$AH$3&amp;$AL41)</f>
        <v>ComboBox_TyHlo_yksikko_00000034</v>
      </c>
      <c r="AD41" s="44" t="str">
        <f>IFERROR(INDEX(Data_Omakoodi!E:E,MATCH(AC41,Data_Omakoodi!A:A,0)),"")</f>
        <v/>
      </c>
      <c r="AE41" t="str">
        <f>IFERROR(IF(INDEX(Data_Omakoodi!H:H,MATCH($AH$3&amp;$AL41,Data_Omakoodi!A:A,0))="P","",$AH$3&amp;$AL41),$AH$3&amp;$AL41)</f>
        <v>ComboBox_TyHlo_yksikko_00000034</v>
      </c>
      <c r="AF41" t="s">
        <v>1624</v>
      </c>
      <c r="AG41" s="739" t="str">
        <f t="shared" si="0"/>
        <v/>
      </c>
      <c r="AH41" s="739" t="str">
        <f t="shared" si="1"/>
        <v/>
      </c>
      <c r="AI41"/>
      <c r="AJ41" s="739" t="str">
        <f t="shared" si="2"/>
        <v/>
      </c>
      <c r="AK41" s="739" t="str">
        <f t="shared" si="3"/>
        <v/>
      </c>
      <c r="AL41">
        <v>34</v>
      </c>
      <c r="AM41" s="15"/>
      <c r="AN41" s="15"/>
      <c r="AO41" s="15"/>
      <c r="AP41" s="685"/>
      <c r="AQ41" s="685"/>
      <c r="AT41"/>
    </row>
    <row r="42" spans="1:46" x14ac:dyDescent="0.25">
      <c r="A42" s="147" t="s">
        <v>1192</v>
      </c>
      <c r="B42" s="148">
        <f>SUMIFS(AS!W:W,AS!$BO:$BO,$W$7,AS!AB:AB,AS!$AA$1,AS!AF:AF,Asiakastilastot!$X42,AS!$AV:$AV,Asiakastilastot!$X$6,AS!$AW:$AW,Asiakastilastot!$Y$6,AS!$X:$X,Asiakastilastot!$Y$5,AS!$K:$K,$V$2)</f>
        <v>0</v>
      </c>
      <c r="C42" s="312" t="str">
        <f t="shared" si="5"/>
        <v>-</v>
      </c>
      <c r="D42" s="148">
        <f>SUMIFS(AS!W:W,AS!$BO:$BO,$W$7,AS!AB:AB,AS!$AA$1,AS!AF:AF,Asiakastilastot!$X42,AS!I:I,Asiakastilastot!$X$7,AS!$AV:$AV,Asiakastilastot!$X$6,AS!$AW:$AW,Asiakastilastot!$Y$6,AS!$X:$X,Asiakastilastot!$Y$5,AS!$K:$K,$V$2)</f>
        <v>0</v>
      </c>
      <c r="E42" s="239">
        <f>SUMIFS(AS!W:W,AS!$BO:$BO,$W$7,AS!AB:AB,AS!$AA$1,AS!AF:AF,Asiakastilastot!$X42,AS!I:I,Asiakastilastot!$Y$7,AS!$AV:$AV,Asiakastilastot!$X$6,AS!$AW:$AW,Asiakastilastot!$Y$6,AS!$X:$X,Asiakastilastot!$Y$5,AS!$K:$K,$V$2)</f>
        <v>0</v>
      </c>
      <c r="F42" s="241"/>
      <c r="L42" s="229"/>
      <c r="X42" s="28">
        <v>14</v>
      </c>
      <c r="AA42" s="176" t="str">
        <f>IFERROR(IF(INDEX(Data_Omakoodi!H:H,MATCH($AK$3&amp;$AL42,Data_Omakoodi!A:A,0))="P","",$AK$3&amp;$AL42),$AK$3&amp;$AL42)</f>
        <v>ComboBox_EtKuntakoodi_00000035</v>
      </c>
      <c r="AB42" s="44" t="str">
        <f>IFERROR(INDEX(Data_Omakoodi!E:E,MATCH(AA42,Data_Omakoodi!A:A,0)),"")</f>
        <v/>
      </c>
      <c r="AC42" t="str">
        <f>IFERROR(IF(INDEX(Data_Omakoodi!H:H,MATCH($AH$3&amp;$AL42,Data_Omakoodi!A:A,0))="P","",$AH$3&amp;$AL42),$AH$3&amp;$AL42)</f>
        <v>ComboBox_TyHlo_yksikko_00000035</v>
      </c>
      <c r="AD42" s="44" t="str">
        <f>IFERROR(INDEX(Data_Omakoodi!E:E,MATCH(AC42,Data_Omakoodi!A:A,0)),"")</f>
        <v/>
      </c>
      <c r="AE42" t="str">
        <f>IFERROR(IF(INDEX(Data_Omakoodi!H:H,MATCH($AH$3&amp;$AL42,Data_Omakoodi!A:A,0))="P","",$AH$3&amp;$AL42),$AH$3&amp;$AL42)</f>
        <v>ComboBox_TyHlo_yksikko_00000035</v>
      </c>
      <c r="AF42" t="s">
        <v>1625</v>
      </c>
      <c r="AG42" s="739" t="str">
        <f t="shared" si="0"/>
        <v/>
      </c>
      <c r="AH42" s="739" t="str">
        <f t="shared" si="1"/>
        <v/>
      </c>
      <c r="AI42"/>
      <c r="AJ42" s="739" t="str">
        <f t="shared" si="2"/>
        <v/>
      </c>
      <c r="AK42" s="739" t="str">
        <f t="shared" si="3"/>
        <v/>
      </c>
      <c r="AL42">
        <v>35</v>
      </c>
      <c r="AM42" s="15"/>
      <c r="AN42" s="15"/>
      <c r="AO42" s="15"/>
      <c r="AP42" s="685"/>
      <c r="AQ42" s="685"/>
      <c r="AT42"/>
    </row>
    <row r="43" spans="1:46" x14ac:dyDescent="0.25">
      <c r="A43" s="147" t="s">
        <v>1191</v>
      </c>
      <c r="B43" s="148">
        <f>SUMIFS(AS!W:W,AS!$BO:$BO,$W$7,AS!AB:AB,AS!$AA$1,AS!AF:AF,Asiakastilastot!$X43,AS!$AV:$AV,Asiakastilastot!$X$6,AS!$AW:$AW,Asiakastilastot!$Y$6,AS!$X:$X,Asiakastilastot!$Y$5,AS!$K:$K,$V$2)</f>
        <v>0</v>
      </c>
      <c r="C43" s="312" t="str">
        <f t="shared" si="5"/>
        <v>-</v>
      </c>
      <c r="D43" s="148">
        <f>SUMIFS(AS!W:W,AS!$BO:$BO,$W$7,AS!AB:AB,AS!$AA$1,AS!AF:AF,Asiakastilastot!$X43,AS!I:I,Asiakastilastot!$X$7,AS!$AV:$AV,Asiakastilastot!$X$6,AS!$AW:$AW,Asiakastilastot!$Y$6,AS!$X:$X,Asiakastilastot!$Y$5,AS!$K:$K,$V$2)</f>
        <v>0</v>
      </c>
      <c r="E43" s="239">
        <f>SUMIFS(AS!W:W,AS!$BO:$BO,$W$7,AS!AB:AB,AS!$AA$1,AS!AF:AF,Asiakastilastot!$X43,AS!I:I,Asiakastilastot!$Y$7,AS!$AV:$AV,Asiakastilastot!$X$6,AS!$AW:$AW,Asiakastilastot!$Y$6,AS!$X:$X,Asiakastilastot!$Y$5,AS!$K:$K,$V$2)</f>
        <v>0</v>
      </c>
      <c r="F43" s="241"/>
      <c r="L43" s="229"/>
      <c r="X43" s="28">
        <v>15</v>
      </c>
      <c r="AA43" s="176" t="str">
        <f>IFERROR(IF(INDEX(Data_Omakoodi!H:H,MATCH($AK$3&amp;$AL43,Data_Omakoodi!A:A,0))="P","",$AK$3&amp;$AL43),$AK$3&amp;$AL43)</f>
        <v>ComboBox_EtKuntakoodi_00000036</v>
      </c>
      <c r="AB43" s="44" t="str">
        <f>IFERROR(INDEX(Data_Omakoodi!E:E,MATCH(AA43,Data_Omakoodi!A:A,0)),"")</f>
        <v/>
      </c>
      <c r="AC43" t="str">
        <f>IFERROR(IF(INDEX(Data_Omakoodi!H:H,MATCH($AH$3&amp;$AL43,Data_Omakoodi!A:A,0))="P","",$AH$3&amp;$AL43),$AH$3&amp;$AL43)</f>
        <v>ComboBox_TyHlo_yksikko_00000036</v>
      </c>
      <c r="AD43" s="44" t="str">
        <f>IFERROR(INDEX(Data_Omakoodi!E:E,MATCH(AC43,Data_Omakoodi!A:A,0)),"")</f>
        <v/>
      </c>
      <c r="AE43" t="str">
        <f>IFERROR(IF(INDEX(Data_Omakoodi!H:H,MATCH($AH$3&amp;$AL43,Data_Omakoodi!A:A,0))="P","",$AH$3&amp;$AL43),$AH$3&amp;$AL43)</f>
        <v>ComboBox_TyHlo_yksikko_00000036</v>
      </c>
      <c r="AF43" t="s">
        <v>1626</v>
      </c>
      <c r="AG43" s="739" t="str">
        <f t="shared" si="0"/>
        <v/>
      </c>
      <c r="AH43" s="739" t="str">
        <f t="shared" si="1"/>
        <v/>
      </c>
      <c r="AI43"/>
      <c r="AJ43" s="739" t="str">
        <f t="shared" si="2"/>
        <v/>
      </c>
      <c r="AK43" s="739" t="str">
        <f t="shared" si="3"/>
        <v/>
      </c>
      <c r="AL43">
        <v>36</v>
      </c>
      <c r="AM43" s="15"/>
      <c r="AN43" s="15"/>
      <c r="AO43" s="15"/>
      <c r="AP43" s="685"/>
      <c r="AQ43" s="685"/>
      <c r="AT43"/>
    </row>
    <row r="44" spans="1:46" x14ac:dyDescent="0.25">
      <c r="A44" s="149" t="s">
        <v>66</v>
      </c>
      <c r="B44" s="148">
        <f>SUMIFS(AS!W:W,AS!$BO:$BO,$W$7,AS!AB:AB,AS!$AA$1,AS!AF:AF,Asiakastilastot!$X44,AS!$AV:$AV,Asiakastilastot!$X$6,AS!$AW:$AW,Asiakastilastot!$Y$6,AS!$X:$X,Asiakastilastot!$Y$5,AS!$K:$K,$V$2)</f>
        <v>0</v>
      </c>
      <c r="C44" s="312" t="str">
        <f t="shared" ref="C44:C59" si="6">IFERROR(B44/B$58,"-")</f>
        <v>-</v>
      </c>
      <c r="D44" s="148">
        <f>SUMIFS(AS!W:W,AS!$BO:$BO,$W$7,AS!AB:AB,AS!$AA$1,AS!AF:AF,Asiakastilastot!$X44,AS!I:I,Asiakastilastot!$X$7,AS!$AV:$AV,Asiakastilastot!$X$6,AS!$AW:$AW,Asiakastilastot!$Y$6,AS!$X:$X,Asiakastilastot!$Y$5,AS!$K:$K,$V$2)</f>
        <v>0</v>
      </c>
      <c r="E44" s="239">
        <f>SUMIFS(AS!W:W,AS!$BO:$BO,$W$7,AS!AB:AB,AS!$AA$1,AS!AF:AF,Asiakastilastot!$X44,AS!I:I,Asiakastilastot!$Y$7,AS!$AV:$AV,Asiakastilastot!$X$6,AS!$AW:$AW,Asiakastilastot!$Y$6,AS!$X:$X,Asiakastilastot!$Y$5,AS!$K:$K,$V$2)</f>
        <v>0</v>
      </c>
      <c r="F44" s="241"/>
      <c r="L44" s="229"/>
      <c r="X44" s="28">
        <v>16</v>
      </c>
      <c r="AA44" s="176" t="str">
        <f>IFERROR(IF(INDEX(Data_Omakoodi!H:H,MATCH($AK$3&amp;$AL44,Data_Omakoodi!A:A,0))="P","",$AK$3&amp;$AL44),$AK$3&amp;$AL44)</f>
        <v>ComboBox_EtKuntakoodi_00000037</v>
      </c>
      <c r="AB44" s="44" t="str">
        <f>IFERROR(INDEX(Data_Omakoodi!E:E,MATCH(AA44,Data_Omakoodi!A:A,0)),"")</f>
        <v/>
      </c>
      <c r="AC44" t="str">
        <f>IFERROR(IF(INDEX(Data_Omakoodi!H:H,MATCH($AH$3&amp;$AL44,Data_Omakoodi!A:A,0))="P","",$AH$3&amp;$AL44),$AH$3&amp;$AL44)</f>
        <v>ComboBox_TyHlo_yksikko_00000037</v>
      </c>
      <c r="AD44" s="44" t="str">
        <f>IFERROR(INDEX(Data_Omakoodi!E:E,MATCH(AC44,Data_Omakoodi!A:A,0)),"")</f>
        <v/>
      </c>
      <c r="AE44" t="str">
        <f>IFERROR(IF(INDEX(Data_Omakoodi!H:H,MATCH($AH$3&amp;$AL44,Data_Omakoodi!A:A,0))="P","",$AH$3&amp;$AL44),$AH$3&amp;$AL44)</f>
        <v>ComboBox_TyHlo_yksikko_00000037</v>
      </c>
      <c r="AF44" t="s">
        <v>1627</v>
      </c>
      <c r="AG44" s="739" t="str">
        <f t="shared" si="0"/>
        <v/>
      </c>
      <c r="AH44" s="739" t="str">
        <f t="shared" si="1"/>
        <v/>
      </c>
      <c r="AI44"/>
      <c r="AJ44" s="739" t="str">
        <f t="shared" si="2"/>
        <v/>
      </c>
      <c r="AK44" s="739" t="str">
        <f t="shared" si="3"/>
        <v/>
      </c>
      <c r="AL44">
        <v>37</v>
      </c>
      <c r="AM44" s="15"/>
      <c r="AN44" s="15"/>
      <c r="AO44" s="15"/>
      <c r="AP44" s="685"/>
      <c r="AQ44" s="685"/>
      <c r="AT44"/>
    </row>
    <row r="45" spans="1:46" x14ac:dyDescent="0.25">
      <c r="A45" s="149" t="s">
        <v>69</v>
      </c>
      <c r="B45" s="148">
        <f>SUMIFS(AS!W:W,AS!$BO:$BO,$W$7,AS!AB:AB,AS!$AA$1,AS!AF:AF,Asiakastilastot!$X45,AS!$AV:$AV,Asiakastilastot!$X$6,AS!$AW:$AW,Asiakastilastot!$Y$6,AS!$X:$X,Asiakastilastot!$Y$5,AS!$K:$K,$V$2)</f>
        <v>0</v>
      </c>
      <c r="C45" s="312" t="str">
        <f t="shared" si="6"/>
        <v>-</v>
      </c>
      <c r="D45" s="148">
        <f>SUMIFS(AS!W:W,AS!$BO:$BO,$W$7,AS!AB:AB,AS!$AA$1,AS!AF:AF,Asiakastilastot!$X45,AS!I:I,Asiakastilastot!$X$7,AS!$AV:$AV,Asiakastilastot!$X$6,AS!$AW:$AW,Asiakastilastot!$Y$6,AS!$X:$X,Asiakastilastot!$Y$5,AS!$K:$K,$V$2)</f>
        <v>0</v>
      </c>
      <c r="E45" s="239">
        <f>SUMIFS(AS!W:W,AS!$BO:$BO,$W$7,AS!AB:AB,AS!$AA$1,AS!AF:AF,Asiakastilastot!$X45,AS!I:I,Asiakastilastot!$Y$7,AS!$AV:$AV,Asiakastilastot!$X$6,AS!$AW:$AW,Asiakastilastot!$Y$6,AS!$X:$X,Asiakastilastot!$Y$5,AS!$K:$K,$V$2)</f>
        <v>0</v>
      </c>
      <c r="F45" s="241"/>
      <c r="L45" s="229"/>
      <c r="X45" s="28">
        <v>17</v>
      </c>
      <c r="AA45" s="176" t="str">
        <f>IFERROR(IF(INDEX(Data_Omakoodi!H:H,MATCH($AK$3&amp;$AL45,Data_Omakoodi!A:A,0))="P","",$AK$3&amp;$AL45),$AK$3&amp;$AL45)</f>
        <v>ComboBox_EtKuntakoodi_00000038</v>
      </c>
      <c r="AB45" s="44" t="str">
        <f>IFERROR(INDEX(Data_Omakoodi!E:E,MATCH(AA45,Data_Omakoodi!A:A,0)),"")</f>
        <v/>
      </c>
      <c r="AC45" t="str">
        <f>IFERROR(IF(INDEX(Data_Omakoodi!H:H,MATCH($AH$3&amp;$AL45,Data_Omakoodi!A:A,0))="P","",$AH$3&amp;$AL45),$AH$3&amp;$AL45)</f>
        <v>ComboBox_TyHlo_yksikko_00000038</v>
      </c>
      <c r="AD45" s="44" t="str">
        <f>IFERROR(INDEX(Data_Omakoodi!E:E,MATCH(AC45,Data_Omakoodi!A:A,0)),"")</f>
        <v/>
      </c>
      <c r="AE45" t="str">
        <f>IFERROR(IF(INDEX(Data_Omakoodi!H:H,MATCH($AH$3&amp;$AL45,Data_Omakoodi!A:A,0))="P","",$AH$3&amp;$AL45),$AH$3&amp;$AL45)</f>
        <v>ComboBox_TyHlo_yksikko_00000038</v>
      </c>
      <c r="AF45" t="s">
        <v>1628</v>
      </c>
      <c r="AG45" s="739" t="str">
        <f t="shared" si="0"/>
        <v/>
      </c>
      <c r="AH45" s="739" t="str">
        <f t="shared" si="1"/>
        <v/>
      </c>
      <c r="AI45"/>
      <c r="AJ45" s="739" t="str">
        <f t="shared" si="2"/>
        <v/>
      </c>
      <c r="AK45" s="739" t="str">
        <f t="shared" si="3"/>
        <v/>
      </c>
      <c r="AL45">
        <v>38</v>
      </c>
      <c r="AM45" s="15"/>
      <c r="AN45" s="15"/>
      <c r="AO45" s="15"/>
      <c r="AP45" s="685"/>
      <c r="AQ45" s="685"/>
      <c r="AT45"/>
    </row>
    <row r="46" spans="1:46" x14ac:dyDescent="0.25">
      <c r="A46" s="149" t="s">
        <v>70</v>
      </c>
      <c r="B46" s="148">
        <f>SUMIFS(AS!W:W,AS!$BO:$BO,$W$7,AS!AB:AB,AS!$AA$1,AS!AF:AF,Asiakastilastot!$X46,AS!$AV:$AV,Asiakastilastot!$X$6,AS!$AW:$AW,Asiakastilastot!$Y$6,AS!$X:$X,Asiakastilastot!$Y$5,AS!$K:$K,$V$2)</f>
        <v>0</v>
      </c>
      <c r="C46" s="312" t="str">
        <f t="shared" si="6"/>
        <v>-</v>
      </c>
      <c r="D46" s="148">
        <f>SUMIFS(AS!W:W,AS!$BO:$BO,$W$7,AS!AB:AB,AS!$AA$1,AS!AF:AF,Asiakastilastot!$X46,AS!I:I,Asiakastilastot!$X$7,AS!$AV:$AV,Asiakastilastot!$X$6,AS!$AW:$AW,Asiakastilastot!$Y$6,AS!$X:$X,Asiakastilastot!$Y$5,AS!$K:$K,$V$2)</f>
        <v>0</v>
      </c>
      <c r="E46" s="239">
        <f>SUMIFS(AS!W:W,AS!$BO:$BO,$W$7,AS!AB:AB,AS!$AA$1,AS!AF:AF,Asiakastilastot!$X46,AS!I:I,Asiakastilastot!$Y$7,AS!$AV:$AV,Asiakastilastot!$X$6,AS!$AW:$AW,Asiakastilastot!$Y$6,AS!$X:$X,Asiakastilastot!$Y$5,AS!$K:$K,$V$2)</f>
        <v>0</v>
      </c>
      <c r="F46" s="241"/>
      <c r="L46" s="229"/>
      <c r="X46" s="28">
        <v>18</v>
      </c>
      <c r="AA46" s="176" t="str">
        <f>IFERROR(IF(INDEX(Data_Omakoodi!H:H,MATCH($AK$3&amp;$AL46,Data_Omakoodi!A:A,0))="P","",$AK$3&amp;$AL46),$AK$3&amp;$AL46)</f>
        <v>ComboBox_EtKuntakoodi_00000039</v>
      </c>
      <c r="AB46" s="44" t="str">
        <f>IFERROR(INDEX(Data_Omakoodi!E:E,MATCH(AA46,Data_Omakoodi!A:A,0)),"")</f>
        <v/>
      </c>
      <c r="AC46" t="str">
        <f>IFERROR(IF(INDEX(Data_Omakoodi!H:H,MATCH($AH$3&amp;$AL46,Data_Omakoodi!A:A,0))="P","",$AH$3&amp;$AL46),$AH$3&amp;$AL46)</f>
        <v>ComboBox_TyHlo_yksikko_00000039</v>
      </c>
      <c r="AD46" s="44" t="str">
        <f>IFERROR(INDEX(Data_Omakoodi!E:E,MATCH(AC46,Data_Omakoodi!A:A,0)),"")</f>
        <v/>
      </c>
      <c r="AE46" t="str">
        <f>IFERROR(IF(INDEX(Data_Omakoodi!H:H,MATCH($AH$3&amp;$AL46,Data_Omakoodi!A:A,0))="P","",$AH$3&amp;$AL46),$AH$3&amp;$AL46)</f>
        <v>ComboBox_TyHlo_yksikko_00000039</v>
      </c>
      <c r="AF46" t="s">
        <v>1629</v>
      </c>
      <c r="AG46" s="739" t="str">
        <f t="shared" si="0"/>
        <v/>
      </c>
      <c r="AH46" s="739" t="str">
        <f t="shared" si="1"/>
        <v/>
      </c>
      <c r="AI46"/>
      <c r="AJ46" s="739" t="str">
        <f t="shared" si="2"/>
        <v/>
      </c>
      <c r="AK46" s="739" t="str">
        <f t="shared" si="3"/>
        <v/>
      </c>
      <c r="AL46">
        <v>39</v>
      </c>
      <c r="AM46" s="15"/>
      <c r="AN46" s="15"/>
      <c r="AO46" s="15"/>
      <c r="AP46" s="685"/>
      <c r="AQ46" s="685"/>
      <c r="AT46"/>
    </row>
    <row r="47" spans="1:46" x14ac:dyDescent="0.25">
      <c r="A47" s="149" t="s">
        <v>72</v>
      </c>
      <c r="B47" s="148">
        <f>SUMIFS(AS!W:W,AS!$BO:$BO,$W$7,AS!AB:AB,AS!$AA$1,AS!AF:AF,Asiakastilastot!$X47,AS!$AV:$AV,Asiakastilastot!$X$6,AS!$AW:$AW,Asiakastilastot!$Y$6,AS!$X:$X,Asiakastilastot!$Y$5,AS!$K:$K,$V$2)</f>
        <v>0</v>
      </c>
      <c r="C47" s="312" t="str">
        <f t="shared" si="6"/>
        <v>-</v>
      </c>
      <c r="D47" s="148">
        <f>SUMIFS(AS!W:W,AS!$BO:$BO,$W$7,AS!AB:AB,AS!$AA$1,AS!AF:AF,Asiakastilastot!$X47,AS!I:I,Asiakastilastot!$X$7,AS!$AV:$AV,Asiakastilastot!$X$6,AS!$AW:$AW,Asiakastilastot!$Y$6,AS!$X:$X,Asiakastilastot!$Y$5,AS!$K:$K,$V$2)</f>
        <v>0</v>
      </c>
      <c r="E47" s="239">
        <f>SUMIFS(AS!W:W,AS!$BO:$BO,$W$7,AS!AB:AB,AS!$AA$1,AS!AF:AF,Asiakastilastot!$X47,AS!I:I,Asiakastilastot!$Y$7,AS!$AV:$AV,Asiakastilastot!$X$6,AS!$AW:$AW,Asiakastilastot!$Y$6,AS!$X:$X,Asiakastilastot!$Y$5,AS!$K:$K,$V$2)</f>
        <v>0</v>
      </c>
      <c r="F47" s="241"/>
      <c r="L47" s="229"/>
      <c r="X47" s="28">
        <v>19</v>
      </c>
      <c r="AA47" s="176" t="str">
        <f>IFERROR(IF(INDEX(Data_Omakoodi!H:H,MATCH($AK$3&amp;$AL47,Data_Omakoodi!A:A,0))="P","",$AK$3&amp;$AL47),$AK$3&amp;$AL47)</f>
        <v>ComboBox_EtKuntakoodi_00000040</v>
      </c>
      <c r="AB47" s="44" t="str">
        <f>IFERROR(INDEX(Data_Omakoodi!E:E,MATCH(AA47,Data_Omakoodi!A:A,0)),"")</f>
        <v/>
      </c>
      <c r="AC47" t="str">
        <f>IFERROR(IF(INDEX(Data_Omakoodi!H:H,MATCH($AH$3&amp;$AL47,Data_Omakoodi!A:A,0))="P","",$AH$3&amp;$AL47),$AH$3&amp;$AL47)</f>
        <v>ComboBox_TyHlo_yksikko_00000040</v>
      </c>
      <c r="AD47" s="44" t="str">
        <f>IFERROR(INDEX(Data_Omakoodi!E:E,MATCH(AC47,Data_Omakoodi!A:A,0)),"")</f>
        <v/>
      </c>
      <c r="AE47" t="str">
        <f>IFERROR(IF(INDEX(Data_Omakoodi!H:H,MATCH($AH$3&amp;$AL47,Data_Omakoodi!A:A,0))="P","",$AH$3&amp;$AL47),$AH$3&amp;$AL47)</f>
        <v>ComboBox_TyHlo_yksikko_00000040</v>
      </c>
      <c r="AF47" t="s">
        <v>1630</v>
      </c>
      <c r="AG47" s="739" t="str">
        <f t="shared" si="0"/>
        <v/>
      </c>
      <c r="AH47" s="739" t="str">
        <f t="shared" si="1"/>
        <v/>
      </c>
      <c r="AI47"/>
      <c r="AJ47" s="739" t="str">
        <f t="shared" si="2"/>
        <v/>
      </c>
      <c r="AK47" s="739" t="str">
        <f t="shared" si="3"/>
        <v/>
      </c>
      <c r="AL47">
        <v>40</v>
      </c>
      <c r="AM47" s="15"/>
      <c r="AN47" s="15"/>
      <c r="AO47" s="15"/>
      <c r="AP47" s="685"/>
      <c r="AQ47" s="685"/>
      <c r="AT47"/>
    </row>
    <row r="48" spans="1:46" x14ac:dyDescent="0.25">
      <c r="A48" s="149" t="s">
        <v>75</v>
      </c>
      <c r="B48" s="148">
        <f>SUMIFS(AS!W:W,AS!$BO:$BO,$W$7,AS!AB:AB,AS!$AA$1,AS!AF:AF,Asiakastilastot!$X48,AS!$AV:$AV,Asiakastilastot!$X$6,AS!$AW:$AW,Asiakastilastot!$Y$6,AS!$X:$X,Asiakastilastot!$Y$5,AS!$K:$K,$V$2)</f>
        <v>0</v>
      </c>
      <c r="C48" s="312" t="str">
        <f t="shared" si="6"/>
        <v>-</v>
      </c>
      <c r="D48" s="148">
        <f>SUMIFS(AS!W:W,AS!$BO:$BO,$W$7,AS!AB:AB,AS!$AA$1,AS!AF:AF,Asiakastilastot!$X48,AS!I:I,Asiakastilastot!$X$7,AS!$AV:$AV,Asiakastilastot!$X$6,AS!$AW:$AW,Asiakastilastot!$Y$6,AS!$X:$X,Asiakastilastot!$Y$5,AS!$K:$K,$V$2)</f>
        <v>0</v>
      </c>
      <c r="E48" s="239">
        <f>SUMIFS(AS!W:W,AS!$BO:$BO,$W$7,AS!AB:AB,AS!$AA$1,AS!AF:AF,Asiakastilastot!$X48,AS!I:I,Asiakastilastot!$Y$7,AS!$AV:$AV,Asiakastilastot!$X$6,AS!$AW:$AW,Asiakastilastot!$Y$6,AS!$X:$X,Asiakastilastot!$Y$5,AS!$K:$K,$V$2)</f>
        <v>0</v>
      </c>
      <c r="F48" s="241"/>
      <c r="L48" s="229"/>
      <c r="X48" s="28">
        <v>20</v>
      </c>
      <c r="AA48" s="176" t="str">
        <f>IFERROR(IF(INDEX(Data_Omakoodi!H:H,MATCH($AK$3&amp;$AL48,Data_Omakoodi!A:A,0))="P","",$AK$3&amp;$AL48),$AK$3&amp;$AL48)</f>
        <v>ComboBox_EtKuntakoodi_00000041</v>
      </c>
      <c r="AB48" s="44" t="str">
        <f>IFERROR(INDEX(Data_Omakoodi!E:E,MATCH(AA48,Data_Omakoodi!A:A,0)),"")</f>
        <v/>
      </c>
      <c r="AC48" t="str">
        <f>IFERROR(IF(INDEX(Data_Omakoodi!H:H,MATCH($AH$3&amp;$AL48,Data_Omakoodi!A:A,0))="P","",$AH$3&amp;$AL48),$AH$3&amp;$AL48)</f>
        <v>ComboBox_TyHlo_yksikko_00000041</v>
      </c>
      <c r="AD48" s="44" t="str">
        <f>IFERROR(INDEX(Data_Omakoodi!E:E,MATCH(AC48,Data_Omakoodi!A:A,0)),"")</f>
        <v/>
      </c>
      <c r="AE48" t="str">
        <f>IFERROR(IF(INDEX(Data_Omakoodi!H:H,MATCH($AH$3&amp;$AL48,Data_Omakoodi!A:A,0))="P","",$AH$3&amp;$AL48),$AH$3&amp;$AL48)</f>
        <v>ComboBox_TyHlo_yksikko_00000041</v>
      </c>
      <c r="AF48" t="s">
        <v>1631</v>
      </c>
      <c r="AG48" s="739" t="str">
        <f t="shared" si="0"/>
        <v/>
      </c>
      <c r="AH48" s="739" t="str">
        <f t="shared" si="1"/>
        <v/>
      </c>
      <c r="AI48"/>
      <c r="AJ48" s="739" t="str">
        <f t="shared" si="2"/>
        <v/>
      </c>
      <c r="AK48" s="739" t="str">
        <f t="shared" si="3"/>
        <v/>
      </c>
      <c r="AL48">
        <v>41</v>
      </c>
      <c r="AM48" s="15"/>
      <c r="AN48" s="15"/>
      <c r="AO48" s="15"/>
      <c r="AP48" s="685"/>
      <c r="AQ48" s="685"/>
      <c r="AT48"/>
    </row>
    <row r="49" spans="1:46" x14ac:dyDescent="0.25">
      <c r="A49" s="149" t="s">
        <v>78</v>
      </c>
      <c r="B49" s="148">
        <f>SUMIFS(AS!W:W,AS!$BO:$BO,$W$7,AS!AB:AB,AS!$AA$1,AS!AF:AF,Asiakastilastot!$X49,AS!$AV:$AV,Asiakastilastot!$X$6,AS!$AW:$AW,Asiakastilastot!$Y$6,AS!$X:$X,Asiakastilastot!$Y$5,AS!$K:$K,$V$2)</f>
        <v>0</v>
      </c>
      <c r="C49" s="312" t="str">
        <f t="shared" si="6"/>
        <v>-</v>
      </c>
      <c r="D49" s="148">
        <f>SUMIFS(AS!W:W,AS!$BO:$BO,$W$7,AS!AB:AB,AS!$AA$1,AS!AF:AF,Asiakastilastot!$X49,AS!I:I,Asiakastilastot!$X$7,AS!$AV:$AV,Asiakastilastot!$X$6,AS!$AW:$AW,Asiakastilastot!$Y$6,AS!$X:$X,Asiakastilastot!$Y$5,AS!$K:$K,$V$2)</f>
        <v>0</v>
      </c>
      <c r="E49" s="239">
        <f>SUMIFS(AS!W:W,AS!$BO:$BO,$W$7,AS!AB:AB,AS!$AA$1,AS!AF:AF,Asiakastilastot!$X49,AS!I:I,Asiakastilastot!$Y$7,AS!$AV:$AV,Asiakastilastot!$X$6,AS!$AW:$AW,Asiakastilastot!$Y$6,AS!$X:$X,Asiakastilastot!$Y$5,AS!$K:$K,$V$2)</f>
        <v>0</v>
      </c>
      <c r="F49" s="241"/>
      <c r="L49" s="229"/>
      <c r="X49" s="28">
        <v>21</v>
      </c>
      <c r="AA49" s="176" t="str">
        <f>IFERROR(IF(INDEX(Data_Omakoodi!H:H,MATCH($AK$3&amp;$AL49,Data_Omakoodi!A:A,0))="P","",$AK$3&amp;$AL49),$AK$3&amp;$AL49)</f>
        <v>ComboBox_EtKuntakoodi_00000042</v>
      </c>
      <c r="AB49" s="44" t="str">
        <f>IFERROR(INDEX(Data_Omakoodi!E:E,MATCH(AA49,Data_Omakoodi!A:A,0)),"")</f>
        <v/>
      </c>
      <c r="AC49" t="str">
        <f>IFERROR(IF(INDEX(Data_Omakoodi!H:H,MATCH($AH$3&amp;$AL49,Data_Omakoodi!A:A,0))="P","",$AH$3&amp;$AL49),$AH$3&amp;$AL49)</f>
        <v>ComboBox_TyHlo_yksikko_00000042</v>
      </c>
      <c r="AD49" s="44" t="str">
        <f>IFERROR(INDEX(Data_Omakoodi!E:E,MATCH(AC49,Data_Omakoodi!A:A,0)),"")</f>
        <v/>
      </c>
      <c r="AE49" t="str">
        <f>IFERROR(IF(INDEX(Data_Omakoodi!H:H,MATCH($AH$3&amp;$AL49,Data_Omakoodi!A:A,0))="P","",$AH$3&amp;$AL49),$AH$3&amp;$AL49)</f>
        <v>ComboBox_TyHlo_yksikko_00000042</v>
      </c>
      <c r="AF49" t="s">
        <v>1632</v>
      </c>
      <c r="AG49" s="739" t="str">
        <f t="shared" si="0"/>
        <v/>
      </c>
      <c r="AH49" s="739" t="str">
        <f t="shared" si="1"/>
        <v/>
      </c>
      <c r="AI49"/>
      <c r="AJ49" s="739" t="str">
        <f t="shared" si="2"/>
        <v/>
      </c>
      <c r="AK49" s="739" t="str">
        <f t="shared" si="3"/>
        <v/>
      </c>
      <c r="AL49">
        <v>42</v>
      </c>
      <c r="AM49" s="15"/>
      <c r="AN49" s="15"/>
      <c r="AO49" s="15"/>
      <c r="AP49" s="685"/>
      <c r="AQ49" s="685"/>
      <c r="AT49"/>
    </row>
    <row r="50" spans="1:46" x14ac:dyDescent="0.25">
      <c r="A50" s="149" t="s">
        <v>80</v>
      </c>
      <c r="B50" s="148">
        <f>SUMIFS(AS!W:W,AS!$BO:$BO,$W$7,AS!AB:AB,AS!$AA$1,AS!AF:AF,Asiakastilastot!$X50,AS!$AV:$AV,Asiakastilastot!$X$6,AS!$AW:$AW,Asiakastilastot!$Y$6,AS!$X:$X,Asiakastilastot!$Y$5,AS!$K:$K,$V$2)</f>
        <v>0</v>
      </c>
      <c r="C50" s="312" t="str">
        <f t="shared" si="6"/>
        <v>-</v>
      </c>
      <c r="D50" s="148">
        <f>SUMIFS(AS!W:W,AS!$BO:$BO,$W$7,AS!AB:AB,AS!$AA$1,AS!AF:AF,Asiakastilastot!$X50,AS!I:I,Asiakastilastot!$X$7,AS!$AV:$AV,Asiakastilastot!$X$6,AS!$AW:$AW,Asiakastilastot!$Y$6,AS!$X:$X,Asiakastilastot!$Y$5,AS!$K:$K,$V$2)</f>
        <v>0</v>
      </c>
      <c r="E50" s="239">
        <f>SUMIFS(AS!W:W,AS!$BO:$BO,$W$7,AS!AB:AB,AS!$AA$1,AS!AF:AF,Asiakastilastot!$X50,AS!I:I,Asiakastilastot!$Y$7,AS!$AV:$AV,Asiakastilastot!$X$6,AS!$AW:$AW,Asiakastilastot!$Y$6,AS!$X:$X,Asiakastilastot!$Y$5,AS!$K:$K,$V$2)</f>
        <v>0</v>
      </c>
      <c r="F50" s="241"/>
      <c r="L50" s="229"/>
      <c r="X50" s="28">
        <v>22</v>
      </c>
      <c r="AA50" s="176" t="str">
        <f>IFERROR(IF(INDEX(Data_Omakoodi!H:H,MATCH($AK$3&amp;$AL50,Data_Omakoodi!A:A,0))="P","",$AK$3&amp;$AL50),$AK$3&amp;$AL50)</f>
        <v>ComboBox_EtKuntakoodi_00000043</v>
      </c>
      <c r="AB50" s="44" t="str">
        <f>IFERROR(INDEX(Data_Omakoodi!E:E,MATCH(AA50,Data_Omakoodi!A:A,0)),"")</f>
        <v/>
      </c>
      <c r="AC50" t="str">
        <f>IFERROR(IF(INDEX(Data_Omakoodi!H:H,MATCH($AH$3&amp;$AL50,Data_Omakoodi!A:A,0))="P","",$AH$3&amp;$AL50),$AH$3&amp;$AL50)</f>
        <v>ComboBox_TyHlo_yksikko_00000043</v>
      </c>
      <c r="AD50" s="44" t="str">
        <f>IFERROR(INDEX(Data_Omakoodi!E:E,MATCH(AC50,Data_Omakoodi!A:A,0)),"")</f>
        <v/>
      </c>
      <c r="AE50" t="str">
        <f>IFERROR(IF(INDEX(Data_Omakoodi!H:H,MATCH($AH$3&amp;$AL50,Data_Omakoodi!A:A,0))="P","",$AH$3&amp;$AL50),$AH$3&amp;$AL50)</f>
        <v>ComboBox_TyHlo_yksikko_00000043</v>
      </c>
      <c r="AF50" t="s">
        <v>1633</v>
      </c>
      <c r="AG50" s="739" t="str">
        <f t="shared" si="0"/>
        <v/>
      </c>
      <c r="AH50" s="739" t="str">
        <f t="shared" si="1"/>
        <v/>
      </c>
      <c r="AI50"/>
      <c r="AJ50" s="739" t="str">
        <f t="shared" si="2"/>
        <v/>
      </c>
      <c r="AK50" s="739" t="str">
        <f t="shared" si="3"/>
        <v/>
      </c>
      <c r="AL50">
        <v>43</v>
      </c>
      <c r="AM50" s="15"/>
      <c r="AN50" s="15"/>
      <c r="AO50" s="15"/>
      <c r="AP50" s="685"/>
      <c r="AQ50" s="685"/>
      <c r="AT50"/>
    </row>
    <row r="51" spans="1:46" x14ac:dyDescent="0.25">
      <c r="A51" s="149" t="s">
        <v>83</v>
      </c>
      <c r="B51" s="148">
        <f>SUMIFS(AS!W:W,AS!$BO:$BO,$W$7,AS!AB:AB,AS!$AA$1,AS!AF:AF,Asiakastilastot!$X51,AS!$AV:$AV,Asiakastilastot!$X$6,AS!$AW:$AW,Asiakastilastot!$Y$6,AS!$X:$X,Asiakastilastot!$Y$5,AS!$K:$K,$V$2)</f>
        <v>0</v>
      </c>
      <c r="C51" s="312" t="str">
        <f t="shared" si="6"/>
        <v>-</v>
      </c>
      <c r="D51" s="148">
        <f>SUMIFS(AS!W:W,AS!$BO:$BO,$W$7,AS!AB:AB,AS!$AA$1,AS!AF:AF,Asiakastilastot!$X51,AS!I:I,Asiakastilastot!$X$7,AS!$AV:$AV,Asiakastilastot!$X$6,AS!$AW:$AW,Asiakastilastot!$Y$6,AS!$X:$X,Asiakastilastot!$Y$5,AS!$K:$K,$V$2)</f>
        <v>0</v>
      </c>
      <c r="E51" s="239">
        <f>SUMIFS(AS!W:W,AS!$BO:$BO,$W$7,AS!AB:AB,AS!$AA$1,AS!AF:AF,Asiakastilastot!$X51,AS!I:I,Asiakastilastot!$Y$7,AS!$AV:$AV,Asiakastilastot!$X$6,AS!$AW:$AW,Asiakastilastot!$Y$6,AS!$X:$X,Asiakastilastot!$Y$5,AS!$K:$K,$V$2)</f>
        <v>0</v>
      </c>
      <c r="F51" s="241"/>
      <c r="L51" s="229"/>
      <c r="X51" s="28">
        <v>23</v>
      </c>
      <c r="AA51" s="176" t="str">
        <f>IFERROR(IF(INDEX(Data_Omakoodi!H:H,MATCH($AK$3&amp;$AL51,Data_Omakoodi!A:A,0))="P","",$AK$3&amp;$AL51),$AK$3&amp;$AL51)</f>
        <v>ComboBox_EtKuntakoodi_00000044</v>
      </c>
      <c r="AB51" s="44" t="str">
        <f>IFERROR(INDEX(Data_Omakoodi!E:E,MATCH(AA51,Data_Omakoodi!A:A,0)),"")</f>
        <v/>
      </c>
      <c r="AC51" t="str">
        <f>IFERROR(IF(INDEX(Data_Omakoodi!H:H,MATCH($AH$3&amp;$AL51,Data_Omakoodi!A:A,0))="P","",$AH$3&amp;$AL51),$AH$3&amp;$AL51)</f>
        <v>ComboBox_TyHlo_yksikko_00000044</v>
      </c>
      <c r="AD51" s="44" t="str">
        <f>IFERROR(INDEX(Data_Omakoodi!E:E,MATCH(AC51,Data_Omakoodi!A:A,0)),"")</f>
        <v/>
      </c>
      <c r="AE51" t="str">
        <f>IFERROR(IF(INDEX(Data_Omakoodi!H:H,MATCH($AH$3&amp;$AL51,Data_Omakoodi!A:A,0))="P","",$AH$3&amp;$AL51),$AH$3&amp;$AL51)</f>
        <v>ComboBox_TyHlo_yksikko_00000044</v>
      </c>
      <c r="AF51" t="s">
        <v>1634</v>
      </c>
      <c r="AG51" s="739" t="str">
        <f t="shared" si="0"/>
        <v/>
      </c>
      <c r="AH51" s="739" t="str">
        <f t="shared" si="1"/>
        <v/>
      </c>
      <c r="AI51"/>
      <c r="AJ51" s="739" t="str">
        <f t="shared" si="2"/>
        <v/>
      </c>
      <c r="AK51" s="739" t="str">
        <f t="shared" si="3"/>
        <v/>
      </c>
      <c r="AL51">
        <v>44</v>
      </c>
      <c r="AM51" s="15"/>
      <c r="AN51" s="15"/>
      <c r="AO51" s="15"/>
      <c r="AP51" s="685"/>
      <c r="AQ51" s="685"/>
      <c r="AT51"/>
    </row>
    <row r="52" spans="1:46" x14ac:dyDescent="0.25">
      <c r="A52" s="149" t="s">
        <v>85</v>
      </c>
      <c r="B52" s="148">
        <f>SUMIFS(AS!W:W,AS!$BO:$BO,$W$7,AS!AB:AB,AS!$AA$1,AS!AF:AF,Asiakastilastot!$X52,AS!$AV:$AV,Asiakastilastot!$X$6,AS!$AW:$AW,Asiakastilastot!$Y$6,AS!$X:$X,Asiakastilastot!$Y$5,AS!$K:$K,$V$2)</f>
        <v>0</v>
      </c>
      <c r="C52" s="312" t="str">
        <f t="shared" si="6"/>
        <v>-</v>
      </c>
      <c r="D52" s="148">
        <f>SUMIFS(AS!W:W,AS!$BO:$BO,$W$7,AS!AB:AB,AS!$AA$1,AS!AF:AF,Asiakastilastot!$X52,AS!I:I,Asiakastilastot!$X$7,AS!$AV:$AV,Asiakastilastot!$X$6,AS!$AW:$AW,Asiakastilastot!$Y$6,AS!$X:$X,Asiakastilastot!$Y$5,AS!$K:$K,$V$2)</f>
        <v>0</v>
      </c>
      <c r="E52" s="239">
        <f>SUMIFS(AS!W:W,AS!$BO:$BO,$W$7,AS!AB:AB,AS!$AA$1,AS!AF:AF,Asiakastilastot!$X52,AS!I:I,Asiakastilastot!$Y$7,AS!$AV:$AV,Asiakastilastot!$X$6,AS!$AW:$AW,Asiakastilastot!$Y$6,AS!$X:$X,Asiakastilastot!$Y$5,AS!$K:$K,$V$2)</f>
        <v>0</v>
      </c>
      <c r="F52" s="241"/>
      <c r="L52" s="229"/>
      <c r="X52" s="28">
        <v>24</v>
      </c>
      <c r="AA52" s="176" t="str">
        <f>IFERROR(IF(INDEX(Data_Omakoodi!H:H,MATCH($AK$3&amp;$AL52,Data_Omakoodi!A:A,0))="P","",$AK$3&amp;$AL52),$AK$3&amp;$AL52)</f>
        <v>ComboBox_EtKuntakoodi_00000045</v>
      </c>
      <c r="AB52" s="44" t="str">
        <f>IFERROR(INDEX(Data_Omakoodi!E:E,MATCH(AA52,Data_Omakoodi!A:A,0)),"")</f>
        <v/>
      </c>
      <c r="AC52" t="str">
        <f>IFERROR(IF(INDEX(Data_Omakoodi!H:H,MATCH($AH$3&amp;$AL52,Data_Omakoodi!A:A,0))="P","",$AH$3&amp;$AL52),$AH$3&amp;$AL52)</f>
        <v>ComboBox_TyHlo_yksikko_00000045</v>
      </c>
      <c r="AD52" s="44" t="str">
        <f>IFERROR(INDEX(Data_Omakoodi!E:E,MATCH(AC52,Data_Omakoodi!A:A,0)),"")</f>
        <v/>
      </c>
      <c r="AE52" t="str">
        <f>IFERROR(IF(INDEX(Data_Omakoodi!H:H,MATCH($AH$3&amp;$AL52,Data_Omakoodi!A:A,0))="P","",$AH$3&amp;$AL52),$AH$3&amp;$AL52)</f>
        <v>ComboBox_TyHlo_yksikko_00000045</v>
      </c>
      <c r="AF52" t="s">
        <v>1635</v>
      </c>
      <c r="AG52" s="739" t="str">
        <f t="shared" si="0"/>
        <v/>
      </c>
      <c r="AH52" s="739" t="str">
        <f t="shared" si="1"/>
        <v/>
      </c>
      <c r="AI52"/>
      <c r="AJ52" s="739" t="str">
        <f t="shared" si="2"/>
        <v/>
      </c>
      <c r="AK52" s="739" t="str">
        <f t="shared" si="3"/>
        <v/>
      </c>
      <c r="AL52">
        <v>45</v>
      </c>
      <c r="AM52" s="15"/>
      <c r="AN52" s="15"/>
      <c r="AO52" s="15"/>
      <c r="AP52" s="685"/>
      <c r="AQ52" s="685"/>
      <c r="AT52"/>
    </row>
    <row r="53" spans="1:46" x14ac:dyDescent="0.25">
      <c r="A53" s="149" t="s">
        <v>87</v>
      </c>
      <c r="B53" s="148">
        <f>SUMIFS(AS!W:W,AS!$BO:$BO,$W$7,AS!AB:AB,AS!$AA$1,AS!AF:AF,Asiakastilastot!$X53,AS!$AV:$AV,Asiakastilastot!$X$6,AS!$AW:$AW,Asiakastilastot!$Y$6,AS!$X:$X,Asiakastilastot!$Y$5,AS!$K:$K,$V$2)</f>
        <v>0</v>
      </c>
      <c r="C53" s="312" t="str">
        <f t="shared" si="6"/>
        <v>-</v>
      </c>
      <c r="D53" s="148">
        <f>SUMIFS(AS!W:W,AS!$BO:$BO,$W$7,AS!AB:AB,AS!$AA$1,AS!AF:AF,Asiakastilastot!$X53,AS!I:I,Asiakastilastot!$X$7,AS!$AV:$AV,Asiakastilastot!$X$6,AS!$AW:$AW,Asiakastilastot!$Y$6,AS!$X:$X,Asiakastilastot!$Y$5,AS!$K:$K,$V$2)</f>
        <v>0</v>
      </c>
      <c r="E53" s="239">
        <f>SUMIFS(AS!W:W,AS!$BO:$BO,$W$7,AS!AB:AB,AS!$AA$1,AS!AF:AF,Asiakastilastot!$X53,AS!I:I,Asiakastilastot!$Y$7,AS!$AV:$AV,Asiakastilastot!$X$6,AS!$AW:$AW,Asiakastilastot!$Y$6,AS!$X:$X,Asiakastilastot!$Y$5,AS!$K:$K,$V$2)</f>
        <v>0</v>
      </c>
      <c r="F53" s="241"/>
      <c r="L53" s="229"/>
      <c r="X53" s="28">
        <v>25</v>
      </c>
      <c r="AA53" s="176" t="str">
        <f>IFERROR(IF(INDEX(Data_Omakoodi!H:H,MATCH($AK$3&amp;$AL53,Data_Omakoodi!A:A,0))="P","",$AK$3&amp;$AL53),$AK$3&amp;$AL53)</f>
        <v>ComboBox_EtKuntakoodi_00000046</v>
      </c>
      <c r="AB53" s="44" t="str">
        <f>IFERROR(INDEX(Data_Omakoodi!E:E,MATCH(AA53,Data_Omakoodi!A:A,0)),"")</f>
        <v/>
      </c>
      <c r="AC53" t="str">
        <f>IFERROR(IF(INDEX(Data_Omakoodi!H:H,MATCH($AH$3&amp;$AL53,Data_Omakoodi!A:A,0))="P","",$AH$3&amp;$AL53),$AH$3&amp;$AL53)</f>
        <v>ComboBox_TyHlo_yksikko_00000046</v>
      </c>
      <c r="AD53" s="44" t="str">
        <f>IFERROR(INDEX(Data_Omakoodi!E:E,MATCH(AC53,Data_Omakoodi!A:A,0)),"")</f>
        <v/>
      </c>
      <c r="AE53" t="str">
        <f>IFERROR(IF(INDEX(Data_Omakoodi!H:H,MATCH($AH$3&amp;$AL53,Data_Omakoodi!A:A,0))="P","",$AH$3&amp;$AL53),$AH$3&amp;$AL53)</f>
        <v>ComboBox_TyHlo_yksikko_00000046</v>
      </c>
      <c r="AF53" t="s">
        <v>1636</v>
      </c>
      <c r="AG53" s="739" t="str">
        <f t="shared" si="0"/>
        <v/>
      </c>
      <c r="AH53" s="739" t="str">
        <f t="shared" si="1"/>
        <v/>
      </c>
      <c r="AI53"/>
      <c r="AJ53" s="739" t="str">
        <f t="shared" si="2"/>
        <v/>
      </c>
      <c r="AK53" s="739" t="str">
        <f t="shared" si="3"/>
        <v/>
      </c>
      <c r="AL53">
        <v>46</v>
      </c>
      <c r="AM53" s="15"/>
      <c r="AN53" s="15"/>
      <c r="AO53" s="15"/>
      <c r="AP53" s="685"/>
      <c r="AQ53" s="685"/>
      <c r="AT53"/>
    </row>
    <row r="54" spans="1:46" x14ac:dyDescent="0.25">
      <c r="A54" s="149" t="s">
        <v>88</v>
      </c>
      <c r="B54" s="148">
        <f>SUMIFS(AS!W:W,AS!$BO:$BO,$W$7,AS!AB:AB,AS!$AA$1,AS!AF:AF,Asiakastilastot!$X54,AS!$AV:$AV,Asiakastilastot!$X$6,AS!$AW:$AW,Asiakastilastot!$Y$6,AS!$X:$X,Asiakastilastot!$Y$5,AS!$K:$K,$V$2)</f>
        <v>0</v>
      </c>
      <c r="C54" s="312" t="str">
        <f t="shared" si="6"/>
        <v>-</v>
      </c>
      <c r="D54" s="148">
        <f>SUMIFS(AS!W:W,AS!$BO:$BO,$W$7,AS!AB:AB,AS!$AA$1,AS!AF:AF,Asiakastilastot!$X54,AS!I:I,Asiakastilastot!$X$7,AS!$AV:$AV,Asiakastilastot!$X$6,AS!$AW:$AW,Asiakastilastot!$Y$6,AS!$X:$X,Asiakastilastot!$Y$5,AS!$K:$K,$V$2)</f>
        <v>0</v>
      </c>
      <c r="E54" s="239">
        <f>SUMIFS(AS!W:W,AS!$BO:$BO,$W$7,AS!AB:AB,AS!$AA$1,AS!AF:AF,Asiakastilastot!$X54,AS!I:I,Asiakastilastot!$Y$7,AS!$AV:$AV,Asiakastilastot!$X$6,AS!$AW:$AW,Asiakastilastot!$Y$6,AS!$X:$X,Asiakastilastot!$Y$5,AS!$K:$K,$V$2)</f>
        <v>0</v>
      </c>
      <c r="F54" s="241"/>
      <c r="L54" s="229"/>
      <c r="X54" s="28">
        <v>26</v>
      </c>
      <c r="AA54" s="176" t="str">
        <f>IFERROR(IF(INDEX(Data_Omakoodi!H:H,MATCH($AK$3&amp;$AL54,Data_Omakoodi!A:A,0))="P","",$AK$3&amp;$AL54),$AK$3&amp;$AL54)</f>
        <v>ComboBox_EtKuntakoodi_00000047</v>
      </c>
      <c r="AB54" s="44" t="str">
        <f>IFERROR(INDEX(Data_Omakoodi!E:E,MATCH(AA54,Data_Omakoodi!A:A,0)),"")</f>
        <v/>
      </c>
      <c r="AC54" t="str">
        <f>IFERROR(IF(INDEX(Data_Omakoodi!H:H,MATCH($AH$3&amp;$AL54,Data_Omakoodi!A:A,0))="P","",$AH$3&amp;$AL54),$AH$3&amp;$AL54)</f>
        <v>ComboBox_TyHlo_yksikko_00000047</v>
      </c>
      <c r="AD54" s="44" t="str">
        <f>IFERROR(INDEX(Data_Omakoodi!E:E,MATCH(AC54,Data_Omakoodi!A:A,0)),"")</f>
        <v/>
      </c>
      <c r="AE54" t="str">
        <f>IFERROR(IF(INDEX(Data_Omakoodi!H:H,MATCH($AH$3&amp;$AL54,Data_Omakoodi!A:A,0))="P","",$AH$3&amp;$AL54),$AH$3&amp;$AL54)</f>
        <v>ComboBox_TyHlo_yksikko_00000047</v>
      </c>
      <c r="AF54" t="s">
        <v>1637</v>
      </c>
      <c r="AG54" s="739" t="str">
        <f t="shared" si="0"/>
        <v/>
      </c>
      <c r="AH54" s="739" t="str">
        <f t="shared" si="1"/>
        <v/>
      </c>
      <c r="AI54"/>
      <c r="AJ54" s="739" t="str">
        <f t="shared" si="2"/>
        <v/>
      </c>
      <c r="AK54" s="739" t="str">
        <f t="shared" si="3"/>
        <v/>
      </c>
      <c r="AL54">
        <v>47</v>
      </c>
      <c r="AM54" s="15"/>
      <c r="AN54" s="15"/>
      <c r="AO54" s="15"/>
      <c r="AP54" s="685"/>
      <c r="AQ54" s="685"/>
      <c r="AT54"/>
    </row>
    <row r="55" spans="1:46" x14ac:dyDescent="0.25">
      <c r="A55" s="149" t="s">
        <v>90</v>
      </c>
      <c r="B55" s="148">
        <f>SUMIFS(AS!W:W,AS!$BO:$BO,$W$7,AS!AB:AB,AS!$AA$1,AS!AF:AF,Asiakastilastot!$X55,AS!$AV:$AV,Asiakastilastot!$X$6,AS!$AW:$AW,Asiakastilastot!$Y$6,AS!$X:$X,Asiakastilastot!$Y$5,AS!$K:$K,$V$2)</f>
        <v>0</v>
      </c>
      <c r="C55" s="312" t="str">
        <f t="shared" si="6"/>
        <v>-</v>
      </c>
      <c r="D55" s="148">
        <f>SUMIFS(AS!W:W,AS!$BO:$BO,$W$7,AS!AB:AB,AS!$AA$1,AS!AF:AF,Asiakastilastot!$X55,AS!I:I,Asiakastilastot!$X$7,AS!$AV:$AV,Asiakastilastot!$X$6,AS!$AW:$AW,Asiakastilastot!$Y$6,AS!$X:$X,Asiakastilastot!$Y$5,AS!$K:$K,$V$2)</f>
        <v>0</v>
      </c>
      <c r="E55" s="239">
        <f>SUMIFS(AS!W:W,AS!$BO:$BO,$W$7,AS!AB:AB,AS!$AA$1,AS!AF:AF,Asiakastilastot!$X55,AS!I:I,Asiakastilastot!$Y$7,AS!$AV:$AV,Asiakastilastot!$X$6,AS!$AW:$AW,Asiakastilastot!$Y$6,AS!$X:$X,Asiakastilastot!$Y$5,AS!$K:$K,$V$2)</f>
        <v>0</v>
      </c>
      <c r="F55" s="241"/>
      <c r="L55" s="229"/>
      <c r="X55" s="28">
        <v>27</v>
      </c>
      <c r="AA55" s="176" t="str">
        <f>IFERROR(IF(INDEX(Data_Omakoodi!H:H,MATCH($AK$3&amp;$AL55,Data_Omakoodi!A:A,0))="P","",$AK$3&amp;$AL55),$AK$3&amp;$AL55)</f>
        <v>ComboBox_EtKuntakoodi_00000048</v>
      </c>
      <c r="AB55" s="44" t="str">
        <f>IFERROR(INDEX(Data_Omakoodi!E:E,MATCH(AA55,Data_Omakoodi!A:A,0)),"")</f>
        <v/>
      </c>
      <c r="AC55" t="str">
        <f>IFERROR(IF(INDEX(Data_Omakoodi!H:H,MATCH($AH$3&amp;$AL55,Data_Omakoodi!A:A,0))="P","",$AH$3&amp;$AL55),$AH$3&amp;$AL55)</f>
        <v>ComboBox_TyHlo_yksikko_00000048</v>
      </c>
      <c r="AD55" s="44" t="str">
        <f>IFERROR(INDEX(Data_Omakoodi!E:E,MATCH(AC55,Data_Omakoodi!A:A,0)),"")</f>
        <v/>
      </c>
      <c r="AE55" t="str">
        <f>IFERROR(IF(INDEX(Data_Omakoodi!H:H,MATCH($AH$3&amp;$AL55,Data_Omakoodi!A:A,0))="P","",$AH$3&amp;$AL55),$AH$3&amp;$AL55)</f>
        <v>ComboBox_TyHlo_yksikko_00000048</v>
      </c>
      <c r="AF55" t="s">
        <v>1638</v>
      </c>
      <c r="AG55" s="739" t="str">
        <f t="shared" si="0"/>
        <v/>
      </c>
      <c r="AH55" s="739" t="str">
        <f t="shared" si="1"/>
        <v/>
      </c>
      <c r="AI55"/>
      <c r="AJ55" s="739" t="str">
        <f t="shared" si="2"/>
        <v/>
      </c>
      <c r="AK55" s="739" t="str">
        <f t="shared" si="3"/>
        <v/>
      </c>
      <c r="AL55">
        <v>48</v>
      </c>
      <c r="AM55" s="15"/>
      <c r="AN55" s="15"/>
      <c r="AO55" s="15"/>
      <c r="AP55" s="685"/>
      <c r="AQ55" s="685"/>
      <c r="AT55"/>
    </row>
    <row r="56" spans="1:46" x14ac:dyDescent="0.25">
      <c r="A56" s="147" t="s">
        <v>91</v>
      </c>
      <c r="B56" s="148">
        <f>SUMIFS(AS!W:W,AS!$BO:$BO,$W$7,AS!AB:AB,AS!$AA$1,AS!AF:AF,Asiakastilastot!$X56,AS!$AV:$AV,Asiakastilastot!$X$6,AS!$AW:$AW,Asiakastilastot!$Y$6,AS!$X:$X,Asiakastilastot!$Y$5,AS!$K:$K,$V$2)</f>
        <v>0</v>
      </c>
      <c r="C56" s="312" t="str">
        <f t="shared" si="6"/>
        <v>-</v>
      </c>
      <c r="D56" s="148">
        <f>SUMIFS(AS!W:W,AS!$BO:$BO,$W$7,AS!AB:AB,AS!$AA$1,AS!AF:AF,Asiakastilastot!$X56,AS!I:I,Asiakastilastot!$X$7,AS!$AV:$AV,Asiakastilastot!$X$6,AS!$AW:$AW,Asiakastilastot!$Y$6,AS!$X:$X,Asiakastilastot!$Y$5,AS!$K:$K,$V$2)</f>
        <v>0</v>
      </c>
      <c r="E56" s="239">
        <f>SUMIFS(AS!W:W,AS!$BO:$BO,$W$7,AS!AB:AB,AS!$AA$1,AS!AF:AF,Asiakastilastot!$X56,AS!I:I,Asiakastilastot!$Y$7,AS!$AV:$AV,Asiakastilastot!$X$6,AS!$AW:$AW,Asiakastilastot!$Y$6,AS!$X:$X,Asiakastilastot!$Y$5,AS!$K:$K,$V$2)</f>
        <v>0</v>
      </c>
      <c r="F56" s="241"/>
      <c r="L56" s="229"/>
      <c r="X56" s="28">
        <v>28</v>
      </c>
    </row>
    <row r="57" spans="1:46" x14ac:dyDescent="0.25">
      <c r="A57" s="149" t="s">
        <v>89</v>
      </c>
      <c r="B57" s="148">
        <f>SUMIFS(AS!W:W,AS!$BO:$BO,$W$7,AS!AB:AB,AS!$AA$1,AS!AF:AF,Asiakastilastot!$X57,AS!$AV:$AV,Asiakastilastot!$X$6,AS!$AW:$AW,Asiakastilastot!$Y$6,AS!$X:$X,Asiakastilastot!$Y$5,AS!$K:$K,$V$2)+SUMIFS(AS!W:W,AS!$BO:$BO,$W$7,AS!AB:AB,AS!$AA$1,AS!AG:AG,Asiakastilastot!$X58,AS!$AV:$AV,Asiakastilastot!$X$6,AS!$AW:$AW,Asiakastilastot!$Y$6,AS!$X:$X,Asiakastilastot!$Y$5,AS!$K:$K,$V$2)</f>
        <v>0</v>
      </c>
      <c r="C57" s="312" t="str">
        <f t="shared" si="6"/>
        <v>-</v>
      </c>
      <c r="D57" s="148">
        <f>SUMIFS(AS!W:W,AS!$BO:$BO,$W$7,AS!AB:AB,AS!$AA$1,AS!AF:AF,Asiakastilastot!$X57,AS!I:I,Asiakastilastot!$X$7,AS!$AV:$AV,Asiakastilastot!$X$6,AS!$AW:$AW,Asiakastilastot!$Y$6,AS!$X:$X,Asiakastilastot!$Y$5,AS!$K:$K,$V$2)+SUMIFS(AS!W:W,AS!$BO:$BO,$W$7,AS!AB:AB,AS!$AA$1,AS!AG:AG,Asiakastilastot!$X58,AS!I:I,Asiakastilastot!$X$7,AS!$AV:$AV,Asiakastilastot!$X$6,AS!$AW:$AW,Asiakastilastot!$Y$6,AS!$X:$X,Asiakastilastot!$Y$5,AS!$K:$K,$V$2)</f>
        <v>0</v>
      </c>
      <c r="E57" s="239">
        <f>SUMIFS(AS!W:W,AS!$BO:$BO,$W$7,AS!AB:AB,AS!$AA$1,AS!AF:AF,Asiakastilastot!$X57,AS!I:I,Asiakastilastot!$Y$7,AS!$AV:$AV,Asiakastilastot!$X$6,AS!$AW:$AW,Asiakastilastot!$Y$6,AS!$X:$X,Asiakastilastot!$Y$5,AS!$K:$K,$V$2)+SUMIFS(AS!W:W,AS!$BO:$BO,$W$7,AS!AB:AB,AS!$AA$1,AS!AG:AG,Asiakastilastot!$X58,AS!I:I,Asiakastilastot!$Y$7,AS!$AV:$AV,Asiakastilastot!$X$6,AS!$AW:$AW,Asiakastilastot!$Y$6,AS!$X:$X,Asiakastilastot!$Y$5,AS!$K:$K,$V$2)</f>
        <v>0</v>
      </c>
      <c r="F57" s="241"/>
      <c r="L57" s="229"/>
      <c r="X57" s="28" t="s">
        <v>498</v>
      </c>
    </row>
    <row r="58" spans="1:46" x14ac:dyDescent="0.25">
      <c r="A58" s="156" t="s">
        <v>114</v>
      </c>
      <c r="B58" s="54">
        <f>SUM(B35:B57)</f>
        <v>0</v>
      </c>
      <c r="C58" s="55">
        <f>SUM(C35:C57)</f>
        <v>0</v>
      </c>
      <c r="D58" s="54">
        <f>SUM(D35:D57)</f>
        <v>0</v>
      </c>
      <c r="E58" s="54">
        <f>SUM(E35:E57)</f>
        <v>0</v>
      </c>
      <c r="F58" s="241"/>
      <c r="L58" s="229"/>
      <c r="X58" s="27" t="s">
        <v>1503</v>
      </c>
    </row>
    <row r="59" spans="1:46" x14ac:dyDescent="0.25">
      <c r="A59" s="149" t="s">
        <v>134</v>
      </c>
      <c r="B59" s="148">
        <f>SUMIFS(AS!W:W,AS!$BO:$BO,$W$7,AS!AB:AB,AS!$AA$1,AS!AG:AG,Asiakastilastot!$X59,AS!$AV:$AV,Asiakastilastot!$X$6,AS!$AW:$AW,Asiakastilastot!$Y$6,AS!$X:$X,Asiakastilastot!$Y$5,AS!$K:$K,$V$2)</f>
        <v>0</v>
      </c>
      <c r="C59" s="312" t="str">
        <f t="shared" si="6"/>
        <v>-</v>
      </c>
      <c r="D59" s="148">
        <f>SUMIFS(AS!W:W,AS!$BO:$BO,$W$7,AS!AB:AB,AS!$AA$1,AS!AG:AG,Asiakastilastot!$X59,AS!I:I,Asiakastilastot!$X$7,AS!$AV:$AV,Asiakastilastot!$X$6,AS!$AW:$AW,Asiakastilastot!$Y$6,AS!$X:$X,Asiakastilastot!$Y$5,AS!$K:$K,$V$2)</f>
        <v>0</v>
      </c>
      <c r="E59" s="239">
        <f>SUMIFS(AS!W:W,AS!$BO:$BO,$W$7,AS!AB:AB,AS!$AA$1,AS!AG:AG,Asiakastilastot!$X59,AS!I:I,Asiakastilastot!$Y$7,AS!$AV:$AV,Asiakastilastot!$X$6,AS!$AW:$AW,Asiakastilastot!$Y$6,AS!$X:$X,Asiakastilastot!$Y$5,AS!$K:$K,$V$2)</f>
        <v>0</v>
      </c>
      <c r="F59" s="237"/>
      <c r="G59" s="238"/>
      <c r="H59" s="238"/>
      <c r="I59" s="238"/>
      <c r="J59" s="238"/>
      <c r="K59" s="238"/>
      <c r="L59" s="232"/>
      <c r="X59" s="28" t="s">
        <v>499</v>
      </c>
    </row>
    <row r="60" spans="1:46" x14ac:dyDescent="0.25">
      <c r="A60" s="361"/>
    </row>
    <row r="61" spans="1:46" x14ac:dyDescent="0.25">
      <c r="A61" s="152" t="str">
        <f>Y12&amp;X63&amp;X10 &amp;X12</f>
        <v xml:space="preserve">- KAIKKI: Nuorten määrä ikäluokittain - 01.01.2025-30.04.2025 </v>
      </c>
      <c r="B61" s="95"/>
      <c r="C61" s="95"/>
      <c r="D61" s="88"/>
    </row>
    <row r="62" spans="1:46" ht="15" customHeight="1" x14ac:dyDescent="0.25">
      <c r="A62" s="859" t="s">
        <v>109</v>
      </c>
      <c r="B62" s="859" t="s">
        <v>114</v>
      </c>
      <c r="C62" s="859"/>
      <c r="D62" s="859" t="s">
        <v>132</v>
      </c>
      <c r="E62" s="859"/>
      <c r="F62" s="859" t="s">
        <v>133</v>
      </c>
      <c r="G62" s="860"/>
      <c r="H62" s="841" t="s">
        <v>181</v>
      </c>
      <c r="I62" s="842"/>
      <c r="J62" s="842"/>
      <c r="K62" s="842"/>
      <c r="L62" s="843"/>
    </row>
    <row r="63" spans="1:46" ht="25.5" x14ac:dyDescent="0.25">
      <c r="A63" s="859"/>
      <c r="B63" s="153" t="s">
        <v>106</v>
      </c>
      <c r="C63" s="154" t="s">
        <v>110</v>
      </c>
      <c r="D63" s="153" t="s">
        <v>106</v>
      </c>
      <c r="E63" s="154" t="s">
        <v>112</v>
      </c>
      <c r="F63" s="153" t="s">
        <v>106</v>
      </c>
      <c r="G63" s="227" t="s">
        <v>111</v>
      </c>
      <c r="H63" s="228"/>
      <c r="I63"/>
      <c r="J63"/>
      <c r="K63"/>
      <c r="L63" s="229"/>
      <c r="X63" s="223" t="s">
        <v>107</v>
      </c>
    </row>
    <row r="64" spans="1:46" x14ac:dyDescent="0.25">
      <c r="A64" s="518" t="s">
        <v>785</v>
      </c>
      <c r="B64" s="148">
        <f>SUMIFS(AS!W:W,AS!$BO:$BO,$W$7,AS!AB:AB,AS!$AA$1,AS!AG:AG,Asiakastilastot!$X64,AS!$AV:$AV,Asiakastilastot!$X$6,AS!$AW:$AW,Asiakastilastot!$Y$6,AS!$X:$X,Asiakastilastot!$Y$5,AS!$K:$K,$V$2)</f>
        <v>0</v>
      </c>
      <c r="C64" s="666" t="str">
        <f t="shared" ref="C64:C70" si="7">IFERROR((B64/B$70)*100,"-")</f>
        <v>-</v>
      </c>
      <c r="D64" s="148">
        <f>SUMIFS(AS!W:W,AS!$BO:$BO,$W$7,AS!AB:AB,AS!$AA$1,AS!AG:AG,Asiakastilastot!$X64,AS!I:I,Asiakastilastot!$X$7,AS!$AV:$AV,Asiakastilastot!$X$6,AS!$AW:$AW,Asiakastilastot!$Y$6,AS!$X:$X,Asiakastilastot!$Y$5,AS!$K:$K,$V$2)</f>
        <v>0</v>
      </c>
      <c r="E64" s="666" t="str">
        <f>IFERROR((D64/B64)*100,"-")</f>
        <v>-</v>
      </c>
      <c r="F64" s="148">
        <f>SUMIFS(AS!W:W,AS!$BO:$BO,$W$7,AS!AB:AB,AS!$AA$1,AS!AG:AG,Asiakastilastot!$X64,AS!I:I,Asiakastilastot!$Y$7,AS!$AV:$AV,Asiakastilastot!$X$6,AS!$AW:$AW,Asiakastilastot!$Y$6,AS!$X:$X,Asiakastilastot!$Y$5,AS!$K:$K,$V$2)</f>
        <v>0</v>
      </c>
      <c r="G64" s="666" t="str">
        <f>IFERROR((F64/B64)*100,"-")</f>
        <v>-</v>
      </c>
      <c r="H64" s="228"/>
      <c r="I64"/>
      <c r="J64"/>
      <c r="K64"/>
      <c r="L64" s="229"/>
      <c r="X64" s="28" t="s">
        <v>65</v>
      </c>
    </row>
    <row r="65" spans="1:24" x14ac:dyDescent="0.25">
      <c r="A65" s="518" t="s">
        <v>1359</v>
      </c>
      <c r="B65" s="148">
        <f>SUMIFS(AS!W:W,AS!$BO:$BO,$W$7,AS!AB:AB,AS!$AA$1,AS!AG:AG,Asiakastilastot!$X65,AS!$AV:$AV,Asiakastilastot!$X$6,AS!$AW:$AW,Asiakastilastot!$Y$6,AS!$X:$X,Asiakastilastot!$Y$5,AS!$K:$K,$V$2)</f>
        <v>0</v>
      </c>
      <c r="C65" s="666" t="str">
        <f t="shared" si="7"/>
        <v>-</v>
      </c>
      <c r="D65" s="148">
        <f>SUMIFS(AS!W:W,AS!$BO:$BO,$W$7,AS!AB:AB,AS!$AA$1,AS!AG:AG,Asiakastilastot!$X65,AS!I:I,Asiakastilastot!$X$7,AS!$AV:$AV,Asiakastilastot!$X$6,AS!$AW:$AW,Asiakastilastot!$Y$6,AS!$X:$X,Asiakastilastot!$Y$5,AS!$K:$K,$V$2)</f>
        <v>0</v>
      </c>
      <c r="E65" s="666" t="str">
        <f>IFERROR((D65/B65)*100,"-")</f>
        <v>-</v>
      </c>
      <c r="F65" s="148">
        <f>SUMIFS(AS!W:W,AS!$BO:$BO,$W$7,AS!AB:AB,AS!$AA$1,AS!AG:AG,Asiakastilastot!$X65,AS!I:I,Asiakastilastot!$Y$7,AS!$AV:$AV,Asiakastilastot!$X$6,AS!$AW:$AW,Asiakastilastot!$Y$6,AS!$X:$X,Asiakastilastot!$Y$5,AS!$K:$K,$V$2)</f>
        <v>0</v>
      </c>
      <c r="G65" s="666" t="str">
        <f>IFERROR((F65/B65)*100,"-")</f>
        <v>-</v>
      </c>
      <c r="H65" s="228"/>
      <c r="I65"/>
      <c r="J65"/>
      <c r="K65"/>
      <c r="L65" s="229"/>
      <c r="X65" t="s">
        <v>1357</v>
      </c>
    </row>
    <row r="66" spans="1:24" x14ac:dyDescent="0.25">
      <c r="A66" s="518" t="s">
        <v>1360</v>
      </c>
      <c r="B66" s="148">
        <f>SUMIFS(AS!W:W,AS!$BO:$BO,$W$7,AS!AB:AB,AS!$AA$1,AS!AG:AG,Asiakastilastot!$X66,AS!$AV:$AV,Asiakastilastot!$X$6,AS!$AW:$AW,Asiakastilastot!$Y$6,AS!$X:$X,Asiakastilastot!$Y$5,AS!$K:$K,$V$2)</f>
        <v>0</v>
      </c>
      <c r="C66" s="666" t="str">
        <f t="shared" si="7"/>
        <v>-</v>
      </c>
      <c r="D66" s="148">
        <f>SUMIFS(AS!W:W,AS!$BO:$BO,$W$7,AS!AB:AB,AS!$AA$1,AS!AG:AG,Asiakastilastot!$X66,AS!I:I,Asiakastilastot!$X$7,AS!$AV:$AV,Asiakastilastot!$X$6,AS!$AW:$AW,Asiakastilastot!$Y$6,AS!$X:$X,Asiakastilastot!$Y$5,AS!$K:$K,$V$2)</f>
        <v>0</v>
      </c>
      <c r="E66" s="666" t="str">
        <f t="shared" ref="E66:E71" si="8">IFERROR((D66/B66)*100,"-")</f>
        <v>-</v>
      </c>
      <c r="F66" s="148">
        <f>SUMIFS(AS!W:W,AS!$BO:$BO,$W$7,AS!AB:AB,AS!$AA$1,AS!AG:AG,Asiakastilastot!$X66,AS!I:I,Asiakastilastot!$Y$7,AS!$AV:$AV,Asiakastilastot!$X$6,AS!$AW:$AW,Asiakastilastot!$Y$6,AS!$X:$X,Asiakastilastot!$Y$5,AS!$K:$K,$V$2)</f>
        <v>0</v>
      </c>
      <c r="G66" s="666" t="str">
        <f t="shared" ref="G66:G71" si="9">IFERROR((F66/B66)*100,"-")</f>
        <v>-</v>
      </c>
      <c r="H66" s="228"/>
      <c r="I66"/>
      <c r="J66"/>
      <c r="K66"/>
      <c r="L66" s="229"/>
      <c r="X66" s="155" t="s">
        <v>1358</v>
      </c>
    </row>
    <row r="67" spans="1:24" x14ac:dyDescent="0.25">
      <c r="A67" s="518" t="s">
        <v>786</v>
      </c>
      <c r="B67" s="148">
        <f>SUMIFS(AS!W:W,AS!$BO:$BO,$W$7,AS!AB:AB,AS!$AA$1,AS!AG:AG,Asiakastilastot!$X67,AS!$AV:$AV,Asiakastilastot!$X$6,AS!$AW:$AW,Asiakastilastot!$Y$6,AS!$X:$X,Asiakastilastot!$Y$5,AS!$K:$K,$V$2)</f>
        <v>0</v>
      </c>
      <c r="C67" s="666" t="str">
        <f t="shared" si="7"/>
        <v>-</v>
      </c>
      <c r="D67" s="148">
        <f>SUMIFS(AS!W:W,AS!$BO:$BO,$W$7,AS!AB:AB,AS!$AA$1,AS!AG:AG,Asiakastilastot!$X67,AS!I:I,Asiakastilastot!$X$7,AS!$AV:$AV,Asiakastilastot!$X$6,AS!$AW:$AW,Asiakastilastot!$Y$6,AS!$X:$X,Asiakastilastot!$Y$5,AS!$K:$K,$V$2)</f>
        <v>0</v>
      </c>
      <c r="E67" s="666" t="str">
        <f t="shared" si="8"/>
        <v>-</v>
      </c>
      <c r="F67" s="148">
        <f>SUMIFS(AS!W:W,AS!$BO:$BO,$W$7,AS!AB:AB,AS!$AA$1,AS!AG:AG,Asiakastilastot!$X67,AS!I:I,Asiakastilastot!$Y$7,AS!$AV:$AV,Asiakastilastot!$X$6,AS!$AW:$AW,Asiakastilastot!$Y$6,AS!$X:$X,Asiakastilastot!$Y$5,AS!$K:$K,$V$2)</f>
        <v>0</v>
      </c>
      <c r="G67" s="666" t="str">
        <f t="shared" si="9"/>
        <v>-</v>
      </c>
      <c r="H67" s="228"/>
      <c r="I67"/>
      <c r="J67"/>
      <c r="K67"/>
      <c r="L67" s="229"/>
      <c r="X67" s="155" t="s">
        <v>71</v>
      </c>
    </row>
    <row r="68" spans="1:24" x14ac:dyDescent="0.25">
      <c r="A68" s="518" t="s">
        <v>787</v>
      </c>
      <c r="B68" s="148">
        <f>SUMIFS(AS!W:W,AS!$BO:$BO,$W$7,AS!AB:AB,AS!$AA$1,AS!AG:AG,Asiakastilastot!$X68,AS!$AV:$AV,Asiakastilastot!$X$6,AS!$AW:$AW,Asiakastilastot!$Y$6,AS!$X:$X,Asiakastilastot!$Y$5,AS!$K:$K,$V$2)</f>
        <v>0</v>
      </c>
      <c r="C68" s="666" t="str">
        <f t="shared" si="7"/>
        <v>-</v>
      </c>
      <c r="D68" s="148">
        <f>SUMIFS(AS!W:W,AS!$BO:$BO,$W$7,AS!AB:AB,AS!$AA$1,AS!AG:AG,Asiakastilastot!$X68,AS!I:I,Asiakastilastot!$X$7,AS!$AV:$AV,Asiakastilastot!$X$6,AS!$AW:$AW,Asiakastilastot!$Y$6,AS!$X:$X,Asiakastilastot!$Y$5,AS!$K:$K,$V$2)</f>
        <v>0</v>
      </c>
      <c r="E68" s="666" t="str">
        <f t="shared" si="8"/>
        <v>-</v>
      </c>
      <c r="F68" s="148">
        <f>SUMIFS(AS!W:W,AS!$BO:$BO,$W$7,AS!AB:AB,AS!$AA$1,AS!AG:AG,Asiakastilastot!$X68,AS!I:I,Asiakastilastot!$Y$7,AS!$AV:$AV,Asiakastilastot!$X$6,AS!$AW:$AW,Asiakastilastot!$Y$6,AS!$X:$X,Asiakastilastot!$Y$5,AS!$K:$K,$V$2)</f>
        <v>0</v>
      </c>
      <c r="G68" s="666" t="str">
        <f t="shared" si="9"/>
        <v>-</v>
      </c>
      <c r="H68" s="228"/>
      <c r="I68"/>
      <c r="J68"/>
      <c r="K68"/>
      <c r="L68" s="229"/>
      <c r="X68" s="155" t="s">
        <v>74</v>
      </c>
    </row>
    <row r="69" spans="1:24" x14ac:dyDescent="0.25">
      <c r="A69" s="518" t="s">
        <v>2</v>
      </c>
      <c r="B69" s="148">
        <f>SUMIFS(AS!W:W,AS!$BO:$BO,$W$7,AS!AB:AB,AS!$AA$1,AS!AG:AG,Asiakastilastot!$X70,AS!$AV:$AV,Asiakastilastot!$X$6,AS!$AW:$AW,Asiakastilastot!$Y$6,AS!$X:$X,Asiakastilastot!$Y$5,AS!$K:$K,$V$2)+SUMIFS(AS!W:W,AS!$BO:$BO,$W$7,AS!AB:AB,AS!$AA$1,AS!AG:AG,Asiakastilastot!$X69,AS!$AV:$AV,Asiakastilastot!$X$6,AS!$AW:$AW,Asiakastilastot!$Y$6,AS!$X:$X,Asiakastilastot!$Y$5,AS!$K:$K,$V$2)</f>
        <v>0</v>
      </c>
      <c r="C69" s="666" t="str">
        <f t="shared" si="7"/>
        <v>-</v>
      </c>
      <c r="D69" s="148">
        <f>SUMIFS(AS!W:W,AS!$BO:$BO,$W$7,AS!AB:AB,AS!$AA$1,AS!AG:AG,Asiakastilastot!$X70,AS!I:I,Asiakastilastot!$X$7,AS!$AV:$AV,Asiakastilastot!$X$6,AS!$AW:$AW,Asiakastilastot!$Y$6,AS!$X:$X,Asiakastilastot!$Y$5,AS!$K:$K,$V$2)+SUMIFS(AS!W:W,AS!$BO:$BO,$W$7,AS!AB:AB,AS!$AA$1,AS!AG:AG,Asiakastilastot!$X69,AS!I:I,Asiakastilastot!$X$7,AS!$AV:$AV,Asiakastilastot!$X$6,AS!$AW:$AW,Asiakastilastot!$Y$6,AS!$X:$X,Asiakastilastot!$Y$5,AS!$K:$K,$V$2)</f>
        <v>0</v>
      </c>
      <c r="E69" s="666" t="str">
        <f t="shared" si="8"/>
        <v>-</v>
      </c>
      <c r="F69" s="148">
        <f>SUMIFS(AS!W:W,AS!$BO:$BO,$W$7,AS!AB:AB,AS!$AA$1,AS!AG:AG,Asiakastilastot!$X70,AS!I:I,Asiakastilastot!$Y$7,AS!$AV:$AV,Asiakastilastot!$X$6,AS!$AW:$AW,Asiakastilastot!$Y$6,AS!$X:$X,Asiakastilastot!$Y$5,AS!$K:$K,$V$2)+SUMIFS(AS!W:W,AS!$BO:$BO,$W$7,AS!AB:AB,AS!$AA$1,AS!AG:AG,Asiakastilastot!$X69,AS!I:I,Asiakastilastot!$Y$7,AS!$AV:$AV,Asiakastilastot!$X$6,AS!$AW:$AW,Asiakastilastot!$Y$6,AS!$X:$X,Asiakastilastot!$Y$5,AS!$K:$K,$V$2)</f>
        <v>0</v>
      </c>
      <c r="G69" s="666" t="str">
        <f t="shared" si="9"/>
        <v>-</v>
      </c>
      <c r="H69" s="228"/>
      <c r="I69"/>
      <c r="J69"/>
      <c r="K69"/>
      <c r="L69" s="229"/>
      <c r="X69" s="28" t="s">
        <v>498</v>
      </c>
    </row>
    <row r="70" spans="1:24" x14ac:dyDescent="0.25">
      <c r="A70" s="156" t="s">
        <v>114</v>
      </c>
      <c r="B70" s="157">
        <f>SUM(B64:B69)</f>
        <v>0</v>
      </c>
      <c r="C70" s="667" t="str">
        <f t="shared" si="7"/>
        <v>-</v>
      </c>
      <c r="D70" s="157">
        <f>SUM(D64:D69)</f>
        <v>0</v>
      </c>
      <c r="E70" s="667" t="str">
        <f>IFERROR((D70/B70)*100,"-")</f>
        <v>-</v>
      </c>
      <c r="F70" s="157">
        <f>SUM(F64:F69)</f>
        <v>0</v>
      </c>
      <c r="G70" s="667" t="str">
        <f>IFERROR((F70/B70)*100,"-")</f>
        <v>-</v>
      </c>
      <c r="H70" s="228"/>
      <c r="I70"/>
      <c r="J70"/>
      <c r="K70"/>
      <c r="L70" s="229"/>
      <c r="X70" s="27" t="s">
        <v>1503</v>
      </c>
    </row>
    <row r="71" spans="1:24" x14ac:dyDescent="0.25">
      <c r="A71" s="518" t="s">
        <v>789</v>
      </c>
      <c r="B71" s="148">
        <f>SUMIFS(AS!W:W,AS!$BO:$BO,$W$7,AS!AB:AB,AS!$AA$1,AS!AG:AG,Asiakastilastot!$X71,AS!$AV:$AV,Asiakastilastot!$X$6,AS!$AW:$AW,Asiakastilastot!$Y$6,AS!$X:$X,Asiakastilastot!$Y$5,AS!$K:$K,$V$2)</f>
        <v>0</v>
      </c>
      <c r="C71" s="668" t="s">
        <v>113</v>
      </c>
      <c r="D71" s="148">
        <f>SUMIFS(AS!W:W,AS!$BO:$BO,$W$7,AS!AB:AB,AS!$AA$1,AS!AG:AG,Asiakastilastot!$X71,AS!I:I,Asiakastilastot!$X$7,AS!$AV:$AV,Asiakastilastot!$X$6,AS!$AW:$AW,Asiakastilastot!$Y$6,AS!$X:$X,Asiakastilastot!$Y$5,AS!$K:$K,$V$2)</f>
        <v>0</v>
      </c>
      <c r="E71" s="668" t="str">
        <f t="shared" si="8"/>
        <v>-</v>
      </c>
      <c r="F71" s="148">
        <f>SUMIFS(AS!W:W,AS!$BO:$BO,$W$7,AS!AB:AB,AS!$AA$1,AS!AG:AG,Asiakastilastot!$X71,AS!I:I,Asiakastilastot!$Y$7,AS!$AV:$AV,Asiakastilastot!$X$6,AS!$AW:$AW,Asiakastilastot!$Y$6,AS!$X:$X,Asiakastilastot!$Y$5,AS!$K:$K,$V$2)</f>
        <v>0</v>
      </c>
      <c r="G71" s="668" t="str">
        <f t="shared" si="9"/>
        <v>-</v>
      </c>
      <c r="H71" s="230"/>
      <c r="I71" s="231"/>
      <c r="J71" s="231"/>
      <c r="K71" s="231"/>
      <c r="L71" s="232"/>
      <c r="X71" s="28" t="s">
        <v>499</v>
      </c>
    </row>
    <row r="73" spans="1:24" x14ac:dyDescent="0.25">
      <c r="A73" s="361"/>
    </row>
    <row r="74" spans="1:24" x14ac:dyDescent="0.25">
      <c r="A74" s="152" t="str">
        <f>Y12&amp;X78&amp;X10 &amp;X12</f>
        <v xml:space="preserve">- KAIKKI: Nuorten äidinkieli - 01.01.2025-30.04.2025 </v>
      </c>
      <c r="B74" s="158"/>
      <c r="C74" s="158"/>
      <c r="D74" s="43"/>
      <c r="E74" s="88"/>
    </row>
    <row r="75" spans="1:24" ht="25.5" x14ac:dyDescent="0.25">
      <c r="A75" s="840" t="s">
        <v>96</v>
      </c>
      <c r="B75" s="57" t="s">
        <v>114</v>
      </c>
      <c r="C75" s="57" t="s">
        <v>132</v>
      </c>
      <c r="D75" s="58" t="s">
        <v>133</v>
      </c>
      <c r="E75" s="234" t="s">
        <v>134</v>
      </c>
      <c r="F75" s="834" t="str">
        <f>Y11&amp;X78&amp;" %"&amp;X10 &amp;X12</f>
        <v xml:space="preserve">Kuva: Nuorten äidinkieli % - 01.01.2025-30.04.2025 </v>
      </c>
      <c r="G75" s="835"/>
      <c r="H75" s="835"/>
      <c r="I75" s="835"/>
      <c r="J75" s="835"/>
      <c r="K75" s="835"/>
      <c r="L75" s="836"/>
    </row>
    <row r="76" spans="1:24" ht="32.25" customHeight="1" x14ac:dyDescent="0.25">
      <c r="A76" s="840"/>
      <c r="B76" s="833" t="s">
        <v>117</v>
      </c>
      <c r="C76" s="833"/>
      <c r="D76" s="833"/>
      <c r="E76" s="850"/>
      <c r="F76" s="837"/>
      <c r="G76" s="838"/>
      <c r="H76" s="838"/>
      <c r="I76" s="838"/>
      <c r="J76" s="838"/>
      <c r="K76" s="838"/>
      <c r="L76" s="839"/>
    </row>
    <row r="77" spans="1:24" ht="15" customHeight="1" x14ac:dyDescent="0.25">
      <c r="A77" s="863" t="s">
        <v>116</v>
      </c>
      <c r="B77" s="60">
        <f>SUM(B79:B81)</f>
        <v>0</v>
      </c>
      <c r="C77" s="60">
        <f>SUM(C79:C81)</f>
        <v>0</v>
      </c>
      <c r="D77" s="60">
        <f>SUM(D79:D81)</f>
        <v>0</v>
      </c>
      <c r="E77" s="245">
        <f>SUM(E79:E81)</f>
        <v>0</v>
      </c>
      <c r="F77" s="242"/>
      <c r="L77" s="229"/>
    </row>
    <row r="78" spans="1:24" ht="15" customHeight="1" x14ac:dyDescent="0.25">
      <c r="A78" s="863"/>
      <c r="B78" s="159" t="str">
        <f>IFERROR(B77/B101,"-")</f>
        <v>-</v>
      </c>
      <c r="C78" s="159" t="str">
        <f>IFERROR(C77/C101,"-")</f>
        <v>-</v>
      </c>
      <c r="D78" s="159" t="str">
        <f>IFERROR(D77/D101,"-")</f>
        <v>-</v>
      </c>
      <c r="E78" s="159" t="str">
        <f>IFERROR(E77/E101,"-")</f>
        <v>-</v>
      </c>
      <c r="F78" s="242"/>
      <c r="L78" s="229"/>
      <c r="X78" s="224" t="s">
        <v>108</v>
      </c>
    </row>
    <row r="79" spans="1:24" x14ac:dyDescent="0.25">
      <c r="A79" s="83" t="s">
        <v>15</v>
      </c>
      <c r="B79" s="148">
        <f>SUMIFS(AS!W:W,AS!$BO:$BO,$W$7,AS!AB:AB,AS!$AA$1,AS!AI:AI,Asiakastilastot!$X79,AS!AH:AH,$X$8,AS!$AV:$AV,Asiakastilastot!$X$6,AS!$AW:$AW,Asiakastilastot!$Y$6,AS!$X:$X,Asiakastilastot!$Y$5,AS!$K:$K,$V$2)</f>
        <v>0</v>
      </c>
      <c r="C79" s="148">
        <f>SUMIFS(AS!W:W,AS!$BO:$BO,$W$7,AS!AB:AB,AS!$AA$1,AS!AI:AI,Asiakastilastot!$X79,AS!AH:AH,$X$8,AS!I:I,Asiakastilastot!$X$7,AS!$AV:$AV,Asiakastilastot!$X$6,AS!$AW:$AW,Asiakastilastot!$Y$6,AS!$X:$X,Asiakastilastot!$Y$5,AS!$K:$K,$V$2)</f>
        <v>0</v>
      </c>
      <c r="D79" s="64">
        <f>SUMIFS(AS!W:W,AS!$BO:$BO,$W$7,AS!AB:AB,AS!$AA$1,AS!AI:AI,Asiakastilastot!$X79,AS!AH:AH,$X$8,AS!I:I,Asiakastilastot!$Y$7,AS!$AV:$AV,Asiakastilastot!$X$6,AS!$AW:$AW,Asiakastilastot!$Y$6,AS!$X:$X,Asiakastilastot!$Y$5,AS!$K:$K,$V$2)</f>
        <v>0</v>
      </c>
      <c r="E79" s="246">
        <f>SUMIFS(AS!W:W,AS!$BO:$BO,$W$7,AS!AB:AB,AS!$AA$1,AS!AI:AI,Asiakastilastot!$X79,AS!AH:AH,$Y$8,AS!$AV:$AV,Asiakastilastot!$X$6,AS!$AW:$AW,Asiakastilastot!$Y$6,AS!$X:$X,Asiakastilastot!$Y$5,AS!$K:$K,$V$2)</f>
        <v>0</v>
      </c>
      <c r="F79" s="241"/>
      <c r="L79" s="229"/>
      <c r="X79" s="47" t="s">
        <v>214</v>
      </c>
    </row>
    <row r="80" spans="1:24" ht="15" customHeight="1" x14ac:dyDescent="0.25">
      <c r="A80" s="83" t="s">
        <v>16</v>
      </c>
      <c r="B80" s="148">
        <f>SUMIFS(AS!W:W,AS!$BO:$BO,$W$7,AS!AB:AB,AS!$AA$1,AS!AI:AI,Asiakastilastot!$X80,AS!AH:AH,$X$8,AS!$AV:$AV,Asiakastilastot!$X$6,AS!$AW:$AW,Asiakastilastot!$Y$6,AS!$X:$X,Asiakastilastot!$Y$5,AS!$K:$K,$V$2)</f>
        <v>0</v>
      </c>
      <c r="C80" s="148">
        <f>SUMIFS(AS!W:W,AS!$BO:$BO,$W$7,AS!AB:AB,AS!$AA$1,AS!AI:AI,Asiakastilastot!$X80,AS!AH:AH,$X$8,AS!I:I,Asiakastilastot!$X$7,AS!$AV:$AV,Asiakastilastot!$X$6,AS!$AW:$AW,Asiakastilastot!$Y$6,AS!$X:$X,Asiakastilastot!$Y$5,AS!$K:$K,$V$2)</f>
        <v>0</v>
      </c>
      <c r="D80" s="64">
        <f>SUMIFS(AS!W:W,AS!$BO:$BO,$W$7,AS!AB:AB,AS!$AA$1,AS!AI:AI,Asiakastilastot!$X80,AS!AH:AH,$X$8,AS!I:I,Asiakastilastot!$Y$7,AS!$AV:$AV,Asiakastilastot!$X$6,AS!$AW:$AW,Asiakastilastot!$Y$6,AS!$X:$X,Asiakastilastot!$Y$5,AS!$K:$K,$V$2)</f>
        <v>0</v>
      </c>
      <c r="E80" s="246">
        <f>SUMIFS(AS!W:W,AS!$BO:$BO,$W$7,AS!AB:AB,AS!$AA$1,AS!AI:AI,Asiakastilastot!$X80,AS!AH:AH,$Y$8,AS!$AV:$AV,Asiakastilastot!$X$6,AS!$AW:$AW,Asiakastilastot!$Y$6,AS!$X:$X,Asiakastilastot!$Y$5,AS!$K:$K,$V$2)</f>
        <v>0</v>
      </c>
      <c r="F80" s="241"/>
      <c r="L80" s="229"/>
      <c r="X80" s="47" t="s">
        <v>235</v>
      </c>
    </row>
    <row r="81" spans="1:24" x14ac:dyDescent="0.25">
      <c r="A81" s="83" t="s">
        <v>23</v>
      </c>
      <c r="B81" s="148">
        <f>SUMIFS(AS!W:W,AS!$BO:$BO,$W$7,AS!AB:AB,AS!$AA$1,AS!AI:AI,Asiakastilastot!$X81,AS!AH:AH,$X$8,AS!$AV:$AV,Asiakastilastot!$X$6,AS!$AW:$AW,Asiakastilastot!$Y$6,AS!$X:$X,Asiakastilastot!$Y$5,AS!$K:$K,$V$2)</f>
        <v>0</v>
      </c>
      <c r="C81" s="148">
        <f>SUMIFS(AS!W:W,AS!$BO:$BO,$W$7,AS!AB:AB,AS!$AA$1,AS!AI:AI,Asiakastilastot!$X81,AS!AH:AH,$X$8,AS!I:I,Asiakastilastot!$X$7,AS!$AV:$AV,Asiakastilastot!$X$6,AS!$AW:$AW,Asiakastilastot!$Y$6,AS!$X:$X,Asiakastilastot!$Y$5,AS!$K:$K,$V$2)</f>
        <v>0</v>
      </c>
      <c r="D81" s="64">
        <f>SUMIFS(AS!W:W,AS!$BO:$BO,$W$7,AS!AB:AB,AS!$AA$1,AS!AI:AI,Asiakastilastot!$X81,AS!AH:AH,$X$8,AS!I:I,Asiakastilastot!$Y$7,AS!$AV:$AV,Asiakastilastot!$X$6,AS!$AW:$AW,Asiakastilastot!$Y$6,AS!$X:$X,Asiakastilastot!$Y$5,AS!$K:$K,$V$2)</f>
        <v>0</v>
      </c>
      <c r="E81" s="246">
        <f>SUMIFS(AS!W:W,AS!$BO:$BO,$W$7,AS!AB:AB,AS!$AA$1,AS!AI:AI,Asiakastilastot!$X81,AS!AH:AH,$Y$8,AS!$AV:$AV,Asiakastilastot!$X$6,AS!$AW:$AW,Asiakastilastot!$Y$6,AS!$X:$X,Asiakastilastot!$Y$5,AS!$K:$K,$V$2)</f>
        <v>0</v>
      </c>
      <c r="F81" s="241"/>
      <c r="L81" s="229"/>
      <c r="X81" s="47" t="s">
        <v>503</v>
      </c>
    </row>
    <row r="82" spans="1:24" x14ac:dyDescent="0.25">
      <c r="A82" s="863" t="s">
        <v>115</v>
      </c>
      <c r="B82" s="60">
        <f>SUM(B84:B96)</f>
        <v>0</v>
      </c>
      <c r="C82" s="60">
        <f>SUM(C84:C96)</f>
        <v>0</v>
      </c>
      <c r="D82" s="60">
        <f>SUM(D84:D96)</f>
        <v>0</v>
      </c>
      <c r="E82" s="245">
        <f>SUM(E84:E96)</f>
        <v>0</v>
      </c>
      <c r="F82" s="241"/>
      <c r="L82" s="229"/>
    </row>
    <row r="83" spans="1:24" x14ac:dyDescent="0.25">
      <c r="A83" s="863"/>
      <c r="B83" s="160" t="str">
        <f>IFERROR(B82/B101,"-")</f>
        <v>-</v>
      </c>
      <c r="C83" s="160" t="str">
        <f>IFERROR(C82/C101,"-")</f>
        <v>-</v>
      </c>
      <c r="D83" s="160" t="str">
        <f>IFERROR(D82/D101,"-")</f>
        <v>-</v>
      </c>
      <c r="E83" s="160" t="str">
        <f>IFERROR(E82/E101,"-")</f>
        <v>-</v>
      </c>
      <c r="F83" s="241"/>
      <c r="L83" s="229"/>
    </row>
    <row r="84" spans="1:24" x14ac:dyDescent="0.25">
      <c r="A84" s="83" t="s">
        <v>17</v>
      </c>
      <c r="B84" s="148">
        <f>SUMIFS(AS!W:W,AS!$BO:$BO,$W$7,AS!AB:AB,AS!$AA$1,AS!AI:AI,Asiakastilastot!$X84,AS!AH:AH,$X$8,AS!$AV:$AV,Asiakastilastot!$X$6,AS!$AW:$AW,Asiakastilastot!$Y$6,AS!$X:$X,Asiakastilastot!$Y$5,AS!$K:$K,$V$2)</f>
        <v>0</v>
      </c>
      <c r="C84" s="148">
        <f>SUMIFS(AS!W:W,AS!$BO:$BO,$W$7,AS!AB:AB,AS!$AA$1,AS!AI:AI,Asiakastilastot!$X84,AS!AH:AH,$X$8,AS!I:I,Asiakastilastot!$X$7,AS!$AV:$AV,Asiakastilastot!$X$6,AS!$AW:$AW,Asiakastilastot!$Y$6,AS!$X:$X,Asiakastilastot!$Y$5,AS!$K:$K,$V$2)</f>
        <v>0</v>
      </c>
      <c r="D84" s="64">
        <f>SUMIFS(AS!W:W,AS!$BO:$BO,$W$7,AS!AB:AB,AS!$AA$1,AS!AI:AI,Asiakastilastot!$X84,AS!AH:AH,$X$8,AS!I:I,Asiakastilastot!$Y$7,AS!$AV:$AV,Asiakastilastot!$X$6,AS!$AW:$AW,Asiakastilastot!$Y$6,AS!$X:$X,Asiakastilastot!$Y$5,AS!$K:$K,$V$2)</f>
        <v>0</v>
      </c>
      <c r="E84" s="246">
        <f>SUMIFS(AS!W:W,AS!$BO:$BO,$W$7,AS!AB:AB,AS!$AA$1,AS!AI:AI,Asiakastilastot!$X84,AS!AH:AH,$Y$8,AS!$AV:$AV,Asiakastilastot!$X$6,AS!$AW:$AW,Asiakastilastot!$Y$6,AS!$X:$X,Asiakastilastot!$Y$5,AS!$K:$K,$V$2)</f>
        <v>0</v>
      </c>
      <c r="F84" s="241"/>
      <c r="K84" s="27" t="str">
        <f>"n ="&amp;B101</f>
        <v>n =0</v>
      </c>
      <c r="L84" s="229"/>
      <c r="X84" s="47" t="s">
        <v>208</v>
      </c>
    </row>
    <row r="85" spans="1:24" x14ac:dyDescent="0.25">
      <c r="A85" s="83" t="s">
        <v>18</v>
      </c>
      <c r="B85" s="148">
        <f>SUMIFS(AS!W:W,AS!$BO:$BO,$W$7,AS!AB:AB,AS!$AA$1,AS!AI:AI,Asiakastilastot!$X85,AS!AH:AH,$X$8,AS!$AV:$AV,Asiakastilastot!$X$6,AS!$AW:$AW,Asiakastilastot!$Y$6,AS!$X:$X,Asiakastilastot!$Y$5,AS!$K:$K,$V$2)</f>
        <v>0</v>
      </c>
      <c r="C85" s="148">
        <f>SUMIFS(AS!W:W,AS!$BO:$BO,$W$7,AS!AB:AB,AS!$AA$1,AS!AI:AI,Asiakastilastot!$X85,AS!AH:AH,$X$8,AS!I:I,Asiakastilastot!$X$7,AS!$AV:$AV,Asiakastilastot!$X$6,AS!$AW:$AW,Asiakastilastot!$Y$6,AS!$X:$X,Asiakastilastot!$Y$5,AS!$K:$K,$V$2)</f>
        <v>0</v>
      </c>
      <c r="D85" s="64">
        <f>SUMIFS(AS!W:W,AS!$BO:$BO,$W$7,AS!AB:AB,AS!$AA$1,AS!AI:AI,Asiakastilastot!$X85,AS!AH:AH,$X$8,AS!I:I,Asiakastilastot!$Y$7,AS!$AV:$AV,Asiakastilastot!$X$6,AS!$AW:$AW,Asiakastilastot!$Y$6,AS!$X:$X,Asiakastilastot!$Y$5,AS!$K:$K,$V$2)</f>
        <v>0</v>
      </c>
      <c r="E85" s="246">
        <f>SUMIFS(AS!W:W,AS!$BO:$BO,$W$7,AS!AB:AB,AS!$AA$1,AS!AI:AI,Asiakastilastot!$X85,AS!AH:AH,$Y$8,AS!$AV:$AV,Asiakastilastot!$X$6,AS!$AW:$AW,Asiakastilastot!$Y$6,AS!$X:$X,Asiakastilastot!$Y$5,AS!$K:$K,$V$2)</f>
        <v>0</v>
      </c>
      <c r="F85" s="241"/>
      <c r="L85" s="229"/>
      <c r="X85" s="47" t="s">
        <v>253</v>
      </c>
    </row>
    <row r="86" spans="1:24" x14ac:dyDescent="0.25">
      <c r="A86" s="83" t="s">
        <v>19</v>
      </c>
      <c r="B86" s="148">
        <f>SUMIFS(AS!W:W,AS!$BO:$BO,$W$7,AS!AB:AB,AS!$AA$1,AS!AI:AI,Asiakastilastot!$X86,AS!AH:AH,$X$8,AS!$AV:$AV,Asiakastilastot!$X$6,AS!$AW:$AW,Asiakastilastot!$Y$6,AS!$X:$X,Asiakastilastot!$Y$5,AS!$K:$K,$V$2)</f>
        <v>0</v>
      </c>
      <c r="C86" s="148">
        <f>SUMIFS(AS!W:W,AS!$BO:$BO,$W$7,AS!AB:AB,AS!$AA$1,AS!AI:AI,Asiakastilastot!$X86,AS!AH:AH,$X$8,AS!I:I,Asiakastilastot!$X$7,AS!$AV:$AV,Asiakastilastot!$X$6,AS!$AW:$AW,Asiakastilastot!$Y$6,AS!$X:$X,Asiakastilastot!$Y$5,AS!$K:$K,$V$2)</f>
        <v>0</v>
      </c>
      <c r="D86" s="64">
        <f>SUMIFS(AS!W:W,AS!$BO:$BO,$W$7,AS!AB:AB,AS!$AA$1,AS!AI:AI,Asiakastilastot!$X86,AS!AH:AH,$X$8,AS!I:I,Asiakastilastot!$Y$7,AS!$AV:$AV,Asiakastilastot!$X$6,AS!$AW:$AW,Asiakastilastot!$Y$6,AS!$X:$X,Asiakastilastot!$Y$5,AS!$K:$K,$V$2)</f>
        <v>0</v>
      </c>
      <c r="E86" s="246">
        <f>SUMIFS(AS!W:W,AS!$BO:$BO,$W$7,AS!AB:AB,AS!$AA$1,AS!AI:AI,Asiakastilastot!$X86,AS!AH:AH,$Y$8,AS!$AV:$AV,Asiakastilastot!$X$6,AS!$AW:$AW,Asiakastilastot!$Y$6,AS!$X:$X,Asiakastilastot!$Y$5,AS!$K:$K,$V$2)</f>
        <v>0</v>
      </c>
      <c r="F86" s="241"/>
      <c r="L86" s="229"/>
      <c r="X86" s="47" t="s">
        <v>254</v>
      </c>
    </row>
    <row r="87" spans="1:24" ht="15" customHeight="1" x14ac:dyDescent="0.25">
      <c r="A87" s="83" t="s">
        <v>20</v>
      </c>
      <c r="B87" s="148">
        <f>SUMIFS(AS!W:W,AS!$BO:$BO,$W$7,AS!AB:AB,AS!$AA$1,AS!AI:AI,Asiakastilastot!$X87,AS!AH:AH,$X$8,AS!$AV:$AV,Asiakastilastot!$X$6,AS!$AW:$AW,Asiakastilastot!$Y$6,AS!$X:$X,Asiakastilastot!$Y$5,AS!$K:$K,$V$2)</f>
        <v>0</v>
      </c>
      <c r="C87" s="148">
        <f>SUMIFS(AS!W:W,AS!$BO:$BO,$W$7,AS!AB:AB,AS!$AA$1,AS!AI:AI,Asiakastilastot!$X87,AS!AH:AH,$X$8,AS!I:I,Asiakastilastot!$X$7,AS!$AV:$AV,Asiakastilastot!$X$6,AS!$AW:$AW,Asiakastilastot!$Y$6,AS!$X:$X,Asiakastilastot!$Y$5,AS!$K:$K,$V$2)</f>
        <v>0</v>
      </c>
      <c r="D87" s="64">
        <f>SUMIFS(AS!W:W,AS!$BO:$BO,$W$7,AS!AB:AB,AS!$AA$1,AS!AI:AI,Asiakastilastot!$X87,AS!AH:AH,$X$8,AS!I:I,Asiakastilastot!$Y$7,AS!$AV:$AV,Asiakastilastot!$X$6,AS!$AW:$AW,Asiakastilastot!$Y$6,AS!$X:$X,Asiakastilastot!$Y$5,AS!$K:$K,$V$2)</f>
        <v>0</v>
      </c>
      <c r="E87" s="246">
        <f>SUMIFS(AS!W:W,AS!$BO:$BO,$W$7,AS!AB:AB,AS!$AA$1,AS!AI:AI,Asiakastilastot!$X87,AS!AH:AH,$Y$8,AS!$AV:$AV,Asiakastilastot!$X$6,AS!$AW:$AW,Asiakastilastot!$Y$6,AS!$X:$X,Asiakastilastot!$Y$5,AS!$K:$K,$V$2)</f>
        <v>0</v>
      </c>
      <c r="F87" s="241"/>
      <c r="G87" s="27" t="str">
        <f>A77</f>
        <v xml:space="preserve">kotimaiset kielet </v>
      </c>
      <c r="H87" s="249" t="e">
        <f>B77/B101</f>
        <v>#DIV/0!</v>
      </c>
      <c r="L87" s="229"/>
      <c r="X87" s="47" t="s">
        <v>243</v>
      </c>
    </row>
    <row r="88" spans="1:24" x14ac:dyDescent="0.25">
      <c r="A88" s="83" t="s">
        <v>22</v>
      </c>
      <c r="B88" s="148">
        <f>SUMIFS(AS!W:W,AS!$BO:$BO,$W$7,AS!AB:AB,AS!$AA$1,AS!AI:AI,Asiakastilastot!$X88,AS!AH:AH,$X$8,AS!$AV:$AV,Asiakastilastot!$X$6,AS!$AW:$AW,Asiakastilastot!$Y$6,AS!$X:$X,Asiakastilastot!$Y$5,AS!$K:$K,$V$2)</f>
        <v>0</v>
      </c>
      <c r="C88" s="148">
        <f>SUMIFS(AS!W:W,AS!$BO:$BO,$W$7,AS!AB:AB,AS!$AA$1,AS!AI:AI,Asiakastilastot!$X88,AS!AH:AH,$X$8,AS!I:I,Asiakastilastot!$X$7,AS!$AV:$AV,Asiakastilastot!$X$6,AS!$AW:$AW,Asiakastilastot!$Y$6,AS!$X:$X,Asiakastilastot!$Y$5,AS!$K:$K,$V$2)</f>
        <v>0</v>
      </c>
      <c r="D88" s="64">
        <f>SUMIFS(AS!W:W,AS!$BO:$BO,$W$7,AS!AB:AB,AS!$AA$1,AS!AI:AI,Asiakastilastot!$X88,AS!AH:AH,$X$8,AS!I:I,Asiakastilastot!$Y$7,AS!$AV:$AV,Asiakastilastot!$X$6,AS!$AW:$AW,Asiakastilastot!$Y$6,AS!$X:$X,Asiakastilastot!$Y$5,AS!$K:$K,$V$2)</f>
        <v>0</v>
      </c>
      <c r="E88" s="246">
        <f>SUMIFS(AS!W:W,AS!$BO:$BO,$W$7,AS!AB:AB,AS!$AA$1,AS!AI:AI,Asiakastilastot!$X88,AS!AH:AH,$Y$8,AS!$AV:$AV,Asiakastilastot!$X$6,AS!$AW:$AW,Asiakastilastot!$Y$6,AS!$X:$X,Asiakastilastot!$Y$5,AS!$K:$K,$V$2)</f>
        <v>0</v>
      </c>
      <c r="F88" s="241"/>
      <c r="G88" s="27" t="str">
        <f>A82</f>
        <v>vierasperäiset kielet</v>
      </c>
      <c r="H88" s="249" t="str">
        <f>B83</f>
        <v>-</v>
      </c>
      <c r="L88" s="229"/>
      <c r="X88" s="47" t="s">
        <v>502</v>
      </c>
    </row>
    <row r="89" spans="1:24" x14ac:dyDescent="0.25">
      <c r="A89" s="83" t="s">
        <v>21</v>
      </c>
      <c r="B89" s="148">
        <f>SUMIFS(AS!W:W,AS!$BO:$BO,$W$7,AS!AB:AB,AS!$AA$1,AS!AI:AI,Asiakastilastot!$X89,AS!AH:AH,$X$8,AS!$AV:$AV,Asiakastilastot!$X$6,AS!$AW:$AW,Asiakastilastot!$Y$6,AS!$X:$X,Asiakastilastot!$Y$5,AS!$K:$K,$V$2)</f>
        <v>0</v>
      </c>
      <c r="C89" s="148">
        <f>SUMIFS(AS!W:W,AS!$BO:$BO,$W$7,AS!AB:AB,AS!$AA$1,AS!AI:AI,Asiakastilastot!$X89,AS!AH:AH,$X$8,AS!I:I,Asiakastilastot!$X$7,AS!$AV:$AV,Asiakastilastot!$X$6,AS!$AW:$AW,Asiakastilastot!$Y$6,AS!$X:$X,Asiakastilastot!$Y$5,AS!$K:$K,$V$2)</f>
        <v>0</v>
      </c>
      <c r="D89" s="64">
        <f>SUMIFS(AS!W:W,AS!$BO:$BO,$W$7,AS!AB:AB,AS!$AA$1,AS!AI:AI,Asiakastilastot!$X89,AS!AH:AH,$X$8,AS!I:I,Asiakastilastot!$Y$7,AS!$AV:$AV,Asiakastilastot!$X$6,AS!$AW:$AW,Asiakastilastot!$Y$6,AS!$X:$X,Asiakastilastot!$Y$5,AS!$K:$K,$V$2)</f>
        <v>0</v>
      </c>
      <c r="E89" s="246">
        <f>SUMIFS(AS!W:W,AS!$BO:$BO,$W$7,AS!AB:AB,AS!$AA$1,AS!AI:AI,Asiakastilastot!$X89,AS!AH:AH,$Y$8,AS!$AV:$AV,Asiakastilastot!$X$6,AS!$AW:$AW,Asiakastilastot!$Y$6,AS!$X:$X,Asiakastilastot!$Y$5,AS!$K:$K,$V$2)</f>
        <v>0</v>
      </c>
      <c r="F89" s="241"/>
      <c r="G89" s="27" t="str">
        <f>A97</f>
        <v>ei tietoa</v>
      </c>
      <c r="H89" s="249" t="str">
        <f>B98</f>
        <v>-</v>
      </c>
      <c r="L89" s="229"/>
      <c r="X89" s="47" t="s">
        <v>249</v>
      </c>
    </row>
    <row r="90" spans="1:24" x14ac:dyDescent="0.25">
      <c r="A90" s="83" t="s">
        <v>24</v>
      </c>
      <c r="B90" s="148">
        <f>SUMIFS(AS!W:W,AS!$BO:$BO,$W$7,AS!AB:AB,AS!$AA$1,AS!AI:AI,Asiakastilastot!$X90,AS!AH:AH,$X$8,AS!$AV:$AV,Asiakastilastot!$X$6,AS!$AW:$AW,Asiakastilastot!$Y$6,AS!$X:$X,Asiakastilastot!$Y$5,AS!$K:$K,$V$2)</f>
        <v>0</v>
      </c>
      <c r="C90" s="148">
        <f>SUMIFS(AS!W:W,AS!$BO:$BO,$W$7,AS!AB:AB,AS!$AA$1,AS!AI:AI,Asiakastilastot!$X90,AS!AH:AH,$X$8,AS!I:I,Asiakastilastot!$X$7,AS!$AV:$AV,Asiakastilastot!$X$6,AS!$AW:$AW,Asiakastilastot!$Y$6,AS!$X:$X,Asiakastilastot!$Y$5,AS!$K:$K,$V$2)</f>
        <v>0</v>
      </c>
      <c r="D90" s="64">
        <f>SUMIFS(AS!W:W,AS!$BO:$BO,$W$7,AS!AB:AB,AS!$AA$1,AS!AI:AI,Asiakastilastot!$X90,AS!AH:AH,$X$8,AS!I:I,Asiakastilastot!$Y$7,AS!$AV:$AV,Asiakastilastot!$X$6,AS!$AW:$AW,Asiakastilastot!$Y$6,AS!$X:$X,Asiakastilastot!$Y$5,AS!$K:$K,$V$2)</f>
        <v>0</v>
      </c>
      <c r="E90" s="246">
        <f>SUMIFS(AS!W:W,AS!$BO:$BO,$W$7,AS!AB:AB,AS!$AA$1,AS!AI:AI,Asiakastilastot!$X90,AS!AH:AH,$Y$8,AS!$AV:$AV,Asiakastilastot!$X$6,AS!$AW:$AW,Asiakastilastot!$Y$6,AS!$X:$X,Asiakastilastot!$Y$5,AS!$K:$K,$V$2)</f>
        <v>0</v>
      </c>
      <c r="F90" s="241"/>
      <c r="L90" s="229"/>
      <c r="X90" s="47" t="s">
        <v>504</v>
      </c>
    </row>
    <row r="91" spans="1:24" x14ac:dyDescent="0.25">
      <c r="A91" s="83" t="s">
        <v>25</v>
      </c>
      <c r="B91" s="148">
        <f>SUMIFS(AS!W:W,AS!$BO:$BO,$W$7,AS!AB:AB,AS!$AA$1,AS!AI:AI,Asiakastilastot!$X91,AS!AH:AH,$X$8,AS!$AV:$AV,Asiakastilastot!$X$6,AS!$AW:$AW,Asiakastilastot!$Y$6,AS!$X:$X,Asiakastilastot!$Y$5,AS!$K:$K,$V$2)</f>
        <v>0</v>
      </c>
      <c r="C91" s="148">
        <f>SUMIFS(AS!W:W,AS!$BO:$BO,$W$7,AS!AB:AB,AS!$AA$1,AS!AI:AI,Asiakastilastot!$X91,AS!AH:AH,$X$8,AS!I:I,Asiakastilastot!$X$7,AS!$AV:$AV,Asiakastilastot!$X$6,AS!$AW:$AW,Asiakastilastot!$Y$6,AS!$X:$X,Asiakastilastot!$Y$5,AS!$K:$K,$V$2)</f>
        <v>0</v>
      </c>
      <c r="D91" s="64">
        <f>SUMIFS(AS!W:W,AS!$BO:$BO,$W$7,AS!AB:AB,AS!$AA$1,AS!AI:AI,Asiakastilastot!$X91,AS!AH:AH,$X$8,AS!I:I,Asiakastilastot!$Y$7,AS!$AV:$AV,Asiakastilastot!$X$6,AS!$AW:$AW,Asiakastilastot!$Y$6,AS!$X:$X,Asiakastilastot!$Y$5,AS!$K:$K,$V$2)</f>
        <v>0</v>
      </c>
      <c r="E91" s="246">
        <f>SUMIFS(AS!W:W,AS!$BO:$BO,$W$7,AS!AB:AB,AS!$AA$1,AS!AI:AI,Asiakastilastot!$X91,AS!AH:AH,$Y$8,AS!$AV:$AV,Asiakastilastot!$X$6,AS!$AW:$AW,Asiakastilastot!$Y$6,AS!$X:$X,Asiakastilastot!$Y$5,AS!$K:$K,$V$2)</f>
        <v>0</v>
      </c>
      <c r="F91" s="241"/>
      <c r="L91" s="229"/>
      <c r="X91" s="47" t="s">
        <v>245</v>
      </c>
    </row>
    <row r="92" spans="1:24" x14ac:dyDescent="0.25">
      <c r="A92" s="83" t="s">
        <v>26</v>
      </c>
      <c r="B92" s="148">
        <f>SUMIFS(AS!W:W,AS!$BO:$BO,$W$7,AS!AB:AB,AS!$AA$1,AS!AI:AI,Asiakastilastot!$X92,AS!AH:AH,$X$8,AS!$AV:$AV,Asiakastilastot!$X$6,AS!$AW:$AW,Asiakastilastot!$Y$6,AS!$X:$X,Asiakastilastot!$Y$5,AS!$K:$K,$V$2)</f>
        <v>0</v>
      </c>
      <c r="C92" s="148">
        <f>SUMIFS(AS!W:W,AS!$BO:$BO,$W$7,AS!AB:AB,AS!$AA$1,AS!AI:AI,Asiakastilastot!$X92,AS!AH:AH,$X$8,AS!I:I,Asiakastilastot!$X$7,AS!$AV:$AV,Asiakastilastot!$X$6,AS!$AW:$AW,Asiakastilastot!$Y$6,AS!$X:$X,Asiakastilastot!$Y$5,AS!$K:$K,$V$2)</f>
        <v>0</v>
      </c>
      <c r="D92" s="64">
        <f>SUMIFS(AS!W:W,AS!$BO:$BO,$W$7,AS!AB:AB,AS!$AA$1,AS!AI:AI,Asiakastilastot!$X92,AS!AH:AH,$X$8,AS!I:I,Asiakastilastot!$Y$7,AS!$AV:$AV,Asiakastilastot!$X$6,AS!$AW:$AW,Asiakastilastot!$Y$6,AS!$X:$X,Asiakastilastot!$Y$5,AS!$K:$K,$V$2)</f>
        <v>0</v>
      </c>
      <c r="E92" s="246">
        <f>SUMIFS(AS!W:W,AS!$BO:$BO,$W$7,AS!AB:AB,AS!$AA$1,AS!AI:AI,Asiakastilastot!$X92,AS!AH:AH,$Y$8,AS!$AV:$AV,Asiakastilastot!$X$6,AS!$AW:$AW,Asiakastilastot!$Y$6,AS!$X:$X,Asiakastilastot!$Y$5,AS!$K:$K,$V$2)</f>
        <v>0</v>
      </c>
      <c r="F92" s="241"/>
      <c r="L92" s="229"/>
      <c r="X92" s="47" t="s">
        <v>255</v>
      </c>
    </row>
    <row r="93" spans="1:24" x14ac:dyDescent="0.25">
      <c r="A93" s="83" t="s">
        <v>1602</v>
      </c>
      <c r="B93" s="148">
        <f>SUMIFS(AS!W:W,AS!$BO:$BO,$W$7,AS!AB:AB,AS!$AA$1,AS!AI:AI,Asiakastilastot!$X93,AS!AH:AH,$X$8,AS!$AV:$AV,Asiakastilastot!$X$6,AS!$AW:$AW,Asiakastilastot!$Y$6,AS!$X:$X,Asiakastilastot!$Y$5,AS!$K:$K,$V$2)</f>
        <v>0</v>
      </c>
      <c r="C93" s="148">
        <f>SUMIFS(AS!W:W,AS!$BO:$BO,$W$7,AS!AB:AB,AS!$AA$1,AS!AI:AI,Asiakastilastot!$X93,AS!AH:AH,$X$8,AS!I:I,Asiakastilastot!$X$7,AS!$AV:$AV,Asiakastilastot!$X$6,AS!$AW:$AW,Asiakastilastot!$Y$6,AS!$X:$X,Asiakastilastot!$Y$5,AS!$K:$K,$V$2)</f>
        <v>0</v>
      </c>
      <c r="D93" s="64">
        <f>SUMIFS(AS!W:W,AS!$BO:$BO,$W$7,AS!AB:AB,AS!$AA$1,AS!AI:AI,Asiakastilastot!$X93,AS!AH:AH,$X$8,AS!I:I,Asiakastilastot!$Y$7,AS!$AV:$AV,Asiakastilastot!$X$6,AS!$AW:$AW,Asiakastilastot!$Y$6,AS!$X:$X,Asiakastilastot!$Y$5,AS!$K:$K,$V$2)</f>
        <v>0</v>
      </c>
      <c r="E93" s="246">
        <f>SUMIFS(AS!W:W,AS!$BO:$BO,$W$7,AS!AB:AB,AS!$AA$1,AS!AI:AI,Asiakastilastot!$X93,AS!AH:AH,$Y$8,AS!$AV:$AV,Asiakastilastot!$X$6,AS!$AW:$AW,Asiakastilastot!$Y$6,AS!$X:$X,Asiakastilastot!$Y$5,AS!$K:$K,$V$2)</f>
        <v>0</v>
      </c>
      <c r="F93" s="241"/>
      <c r="L93" s="229"/>
      <c r="X93" s="47" t="s">
        <v>1603</v>
      </c>
    </row>
    <row r="94" spans="1:24" x14ac:dyDescent="0.25">
      <c r="A94" s="83" t="s">
        <v>27</v>
      </c>
      <c r="B94" s="148">
        <f>SUMIFS(AS!W:W,AS!$BO:$BO,$W$7,AS!AB:AB,AS!$AA$1,AS!AI:AI,Asiakastilastot!$X94,AS!AH:AH,$X$8,AS!$AV:$AV,Asiakastilastot!$X$6,AS!$AW:$AW,Asiakastilastot!$Y$6,AS!$X:$X,Asiakastilastot!$Y$5,AS!$K:$K,$V$2)</f>
        <v>0</v>
      </c>
      <c r="C94" s="148">
        <f>SUMIFS(AS!W:W,AS!$BO:$BO,$W$7,AS!AB:AB,AS!$AA$1,AS!AI:AI,Asiakastilastot!$X94,AS!AH:AH,$X$8,AS!I:I,Asiakastilastot!$X$7,AS!$AV:$AV,Asiakastilastot!$X$6,AS!$AW:$AW,Asiakastilastot!$Y$6,AS!$X:$X,Asiakastilastot!$Y$5,AS!$K:$K,$V$2)</f>
        <v>0</v>
      </c>
      <c r="D94" s="64">
        <f>SUMIFS(AS!W:W,AS!$BO:$BO,$W$7,AS!AB:AB,AS!$AA$1,AS!AI:AI,Asiakastilastot!$X94,AS!AH:AH,$X$8,AS!I:I,Asiakastilastot!$Y$7,AS!$AV:$AV,Asiakastilastot!$X$6,AS!$AW:$AW,Asiakastilastot!$Y$6,AS!$X:$X,Asiakastilastot!$Y$5,AS!$K:$K,$V$2)</f>
        <v>0</v>
      </c>
      <c r="E94" s="246">
        <f>SUMIFS(AS!W:W,AS!$BO:$BO,$W$7,AS!AB:AB,AS!$AA$1,AS!AI:AI,Asiakastilastot!$X94,AS!AH:AH,$Y$8,AS!$AV:$AV,Asiakastilastot!$X$6,AS!$AW:$AW,Asiakastilastot!$Y$6,AS!$X:$X,Asiakastilastot!$Y$5,AS!$K:$K,$V$2)</f>
        <v>0</v>
      </c>
      <c r="F94" s="241"/>
      <c r="L94" s="229"/>
      <c r="X94" s="47" t="s">
        <v>248</v>
      </c>
    </row>
    <row r="95" spans="1:24" x14ac:dyDescent="0.25">
      <c r="A95" s="83" t="s">
        <v>28</v>
      </c>
      <c r="B95" s="148">
        <f>SUMIFS(AS!W:W,AS!$BO:$BO,$W$7,AS!AB:AB,AS!$AA$1,AS!AI:AI,Asiakastilastot!$X95,AS!AH:AH,$X$8,AS!$AV:$AV,Asiakastilastot!$X$6,AS!$AW:$AW,Asiakastilastot!$Y$6,AS!$X:$X,Asiakastilastot!$Y$5,AS!$K:$K,$V$2)</f>
        <v>0</v>
      </c>
      <c r="C95" s="148">
        <f>SUMIFS(AS!W:W,AS!$BO:$BO,$W$7,AS!AB:AB,AS!$AA$1,AS!AI:AI,Asiakastilastot!$X95,AS!AH:AH,$X$8,AS!I:I,Asiakastilastot!$X$7,AS!$AV:$AV,Asiakastilastot!$X$6,AS!$AW:$AW,Asiakastilastot!$Y$6,AS!$X:$X,Asiakastilastot!$Y$5,AS!$K:$K,$V$2)</f>
        <v>0</v>
      </c>
      <c r="D95" s="64">
        <f>SUMIFS(AS!W:W,AS!$BO:$BO,$W$7,AS!AB:AB,AS!$AA$1,AS!AI:AI,Asiakastilastot!$X95,AS!AH:AH,$X$8,AS!I:I,Asiakastilastot!$Y$7,AS!$AV:$AV,Asiakastilastot!$X$6,AS!$AW:$AW,Asiakastilastot!$Y$6,AS!$X:$X,Asiakastilastot!$Y$5,AS!$K:$K,$V$2)</f>
        <v>0</v>
      </c>
      <c r="E95" s="246">
        <f>SUMIFS(AS!W:W,AS!$BO:$BO,$W$7,AS!AB:AB,AS!$AA$1,AS!AI:AI,Asiakastilastot!$X95,AS!AH:AH,$Y$8,AS!$AV:$AV,Asiakastilastot!$X$6,AS!$AW:$AW,Asiakastilastot!$Y$6,AS!$X:$X,Asiakastilastot!$Y$5,AS!$K:$K,$V$2)</f>
        <v>0</v>
      </c>
      <c r="F95" s="241"/>
      <c r="L95" s="229"/>
      <c r="X95" s="47" t="s">
        <v>256</v>
      </c>
    </row>
    <row r="96" spans="1:24" x14ac:dyDescent="0.25">
      <c r="A96" s="83" t="s">
        <v>29</v>
      </c>
      <c r="B96" s="148">
        <f>SUMIFS(AS!W:W,AS!$BO:$BO,$W$7,AS!AB:AB,AS!$AA$1,AS!AI:AI,Asiakastilastot!$X96,AS!AH:AH,$X$8,AS!$AV:$AV,Asiakastilastot!$X$6,AS!$AW:$AW,Asiakastilastot!$Y$6,AS!$X:$X,Asiakastilastot!$Y$5,AS!$K:$K,$V$2)</f>
        <v>0</v>
      </c>
      <c r="C96" s="148">
        <f>SUMIFS(AS!W:W,AS!$BO:$BO,$W$7,AS!AB:AB,AS!$AA$1,AS!AI:AI,Asiakastilastot!$X96,AS!AH:AH,$X$8,AS!I:I,Asiakastilastot!$X$7,AS!$AV:$AV,Asiakastilastot!$X$6,AS!$AW:$AW,Asiakastilastot!$Y$6,AS!$X:$X,Asiakastilastot!$Y$5,AS!$K:$K,$V$2)</f>
        <v>0</v>
      </c>
      <c r="D96" s="64">
        <f>SUMIFS(AS!W:W,AS!$BO:$BO,$W$7,AS!AB:AB,AS!$AA$1,AS!AI:AI,Asiakastilastot!$X96,AS!AH:AH,$X$8,AS!I:I,Asiakastilastot!$Y$7,AS!$AV:$AV,Asiakastilastot!$X$6,AS!$AW:$AW,Asiakastilastot!$Y$6,AS!$X:$X,Asiakastilastot!$Y$5,AS!$K:$K,$V$2)</f>
        <v>0</v>
      </c>
      <c r="E96" s="246">
        <f>SUMIFS(AS!W:W,AS!$BO:$BO,$W$7,AS!AB:AB,AS!$AA$1,AS!AI:AI,Asiakastilastot!$X96,AS!AH:AH,$Y$8,AS!$AV:$AV,Asiakastilastot!$X$6,AS!$AW:$AW,Asiakastilastot!$Y$6,AS!$X:$X,Asiakastilastot!$Y$5,AS!$K:$K,$V$2)</f>
        <v>0</v>
      </c>
      <c r="F96" s="241"/>
      <c r="L96" s="229"/>
      <c r="X96" s="47" t="s">
        <v>505</v>
      </c>
    </row>
    <row r="97" spans="1:29" x14ac:dyDescent="0.25">
      <c r="A97" s="861" t="s">
        <v>2</v>
      </c>
      <c r="B97" s="65">
        <f>B99+B100</f>
        <v>0</v>
      </c>
      <c r="C97" s="65">
        <f>C99+C100</f>
        <v>0</v>
      </c>
      <c r="D97" s="65">
        <f>D99+D100</f>
        <v>0</v>
      </c>
      <c r="E97" s="247">
        <f>E99+E100</f>
        <v>0</v>
      </c>
      <c r="F97" s="241"/>
      <c r="L97" s="229"/>
      <c r="X97"/>
    </row>
    <row r="98" spans="1:29" x14ac:dyDescent="0.25">
      <c r="A98" s="862"/>
      <c r="B98" s="160" t="str">
        <f>IFERROR(B97/B101,"-")</f>
        <v>-</v>
      </c>
      <c r="C98" s="160" t="str">
        <f>IFERROR(C97/C101,"-")</f>
        <v>-</v>
      </c>
      <c r="D98" s="160" t="str">
        <f>IFERROR(D97/D101,"-")</f>
        <v>-</v>
      </c>
      <c r="E98" s="160" t="str">
        <f>IFERROR(E97/E101,"-")</f>
        <v>-</v>
      </c>
      <c r="F98" s="241"/>
      <c r="L98" s="229"/>
      <c r="X98"/>
    </row>
    <row r="99" spans="1:29" x14ac:dyDescent="0.25">
      <c r="A99" s="161" t="s">
        <v>2</v>
      </c>
      <c r="B99" s="63">
        <f>SUMIFS(AS!W:W,AS!$BO:$BO,$W$7,AS!AB:AB,AS!$AA$1,AS!AI:AI,Asiakastilastot!$X99,AS!AH:AH,$X$8,AS!$AV:$AV,Asiakastilastot!$X$6,AS!$AW:$AW,Asiakastilastot!$Y$6,AS!$X:$X,Asiakastilastot!$Y$5,AS!$K:$K,$V$2)</f>
        <v>0</v>
      </c>
      <c r="C99" s="63">
        <f>SUMIFS(AS!W:W,AS!$BO:$BO,$W$7,AS!AB:AB,AS!$AA$1,AS!AI:AI,Asiakastilastot!$X99,AS!AH:AH,$X$8,AS!I:I,Asiakastilastot!$X$7,AS!$AV:$AV,Asiakastilastot!$X$6,AS!$AW:$AW,Asiakastilastot!$Y$6,AS!$X:$X,Asiakastilastot!$Y$5,AS!$K:$K,$V$2)</f>
        <v>0</v>
      </c>
      <c r="D99" s="162">
        <f>SUMIFS(AS!W:W,AS!$BO:$BO,$W$7,AS!AB:AB,AS!$AA$1,AS!AI:AI,Asiakastilastot!$X99,AS!AH:AH,$X$8,AS!I:I,Asiakastilastot!$Y$7,AS!$AV:$AV,Asiakastilastot!$X$6,AS!$AW:$AW,Asiakastilastot!$Y$6,AS!$X:$X,Asiakastilastot!$Y$5,AS!$K:$K,$V$2)</f>
        <v>0</v>
      </c>
      <c r="E99" s="248">
        <f>SUMIFS(AS!W:W,AS!$BO:$BO,$W$7,AS!AB:AB,AS!$AA$1,AS!AI:AI,Asiakastilastot!$X99,AS!AH:AH,$Y$8,AS!$AV:$AV,Asiakastilastot!$X$6,AS!$AW:$AW,Asiakastilastot!$Y$6,AS!$X:$X,Asiakastilastot!$Y$5,AS!$K:$K,$V$2)</f>
        <v>0</v>
      </c>
      <c r="F99" s="241"/>
      <c r="L99" s="229"/>
      <c r="X99" s="47" t="s">
        <v>252</v>
      </c>
    </row>
    <row r="100" spans="1:29" x14ac:dyDescent="0.25">
      <c r="A100" s="161" t="s">
        <v>0</v>
      </c>
      <c r="B100" s="63">
        <f>SUMIFS(AS!W:W,AS!$BO:$BO,$W$7,AS!AB:AB,AS!$AA$1,AS!AI:AI,Asiakastilastot!$X100,AS!AH:AH,$X$8,AS!$AV:$AV,Asiakastilastot!$X$6,AS!$AW:$AW,Asiakastilastot!$Y$6,AS!$X:$X,Asiakastilastot!$Y$5,AS!$K:$K,$V$2)</f>
        <v>0</v>
      </c>
      <c r="C100" s="63">
        <f>SUMIFS(AS!W:W,AS!$BO:$BO,$W$7,AS!AB:AB,AS!$AA$1,AS!AI:AI,Asiakastilastot!$X100,AS!AH:AH,$X$8,AS!I:I,Asiakastilastot!$X$7,AS!$AV:$AV,Asiakastilastot!$X$6,AS!$AW:$AW,Asiakastilastot!$Y$6,AS!$X:$X,Asiakastilastot!$Y$5,AS!$K:$K,$V$2)</f>
        <v>0</v>
      </c>
      <c r="D100" s="162">
        <f>SUMIFS(AS!W:W,AS!$BO:$BO,$W$7,AS!AB:AB,AS!$AA$1,AS!AI:AI,Asiakastilastot!$X100,AS!AH:AH,$X$8,AS!I:I,Asiakastilastot!$Y$7,AS!$AV:$AV,Asiakastilastot!$X$6,AS!$AW:$AW,Asiakastilastot!$Y$6,AS!$X:$X,Asiakastilastot!$Y$5,AS!$K:$K,$V$2)</f>
        <v>0</v>
      </c>
      <c r="E100" s="248">
        <f>SUMIFS(AS!W:W,AS!$BO:$BO,$W$7,AS!AB:AB,AS!$AA$1,AS!AI:AI,Asiakastilastot!$X100,AS!AH:AH,$Y$8,AS!$AV:$AV,Asiakastilastot!$X$6,AS!$AW:$AW,Asiakastilastot!$Y$6,AS!$X:$X,Asiakastilastot!$Y$5,AS!$K:$K,$V$2)</f>
        <v>0</v>
      </c>
      <c r="F100" s="241"/>
      <c r="L100" s="229"/>
      <c r="X100" s="47" t="s">
        <v>0</v>
      </c>
    </row>
    <row r="101" spans="1:29" x14ac:dyDescent="0.25">
      <c r="A101" s="156" t="s">
        <v>114</v>
      </c>
      <c r="B101" s="54">
        <f>SUM(B79:B81,B84:B96,B99:B100)</f>
        <v>0</v>
      </c>
      <c r="C101" s="54">
        <f>SUM(C79:C81,C84:C96,C99:C100)</f>
        <v>0</v>
      </c>
      <c r="D101" s="54">
        <f>SUM(D79:D81,D84:D96,D99:D100)</f>
        <v>0</v>
      </c>
      <c r="E101" s="240">
        <f>SUM(E79:E81,E84:E96,E99:E100)</f>
        <v>0</v>
      </c>
      <c r="F101" s="250"/>
      <c r="G101" s="238"/>
      <c r="H101" s="238"/>
      <c r="I101" s="238"/>
      <c r="J101" s="238"/>
      <c r="K101" s="238"/>
      <c r="L101" s="232"/>
    </row>
    <row r="102" spans="1:29" x14ac:dyDescent="0.25">
      <c r="A102" s="43"/>
      <c r="B102" s="10"/>
      <c r="C102" s="10"/>
      <c r="D102" s="11"/>
      <c r="E102" s="11"/>
    </row>
    <row r="103" spans="1:29" x14ac:dyDescent="0.25">
      <c r="A103" s="361"/>
      <c r="D103" s="26"/>
      <c r="H103"/>
      <c r="I103" s="164"/>
      <c r="J103" s="164"/>
      <c r="K103" s="164"/>
    </row>
    <row r="104" spans="1:29" ht="14.45" customHeight="1" x14ac:dyDescent="0.25">
      <c r="A104" s="163" t="str">
        <f>Y12&amp;X107&amp;X10&amp;X12</f>
        <v xml:space="preserve">- KAIKKI: Nuorten koulutustilanne aloittaessa - 01.01.2025-30.04.2025 </v>
      </c>
      <c r="D104" s="26"/>
      <c r="H104" s="165"/>
      <c r="I104" s="164"/>
      <c r="J104" s="164"/>
      <c r="K104" s="164"/>
      <c r="AC104"/>
    </row>
    <row r="105" spans="1:29" ht="41.45" customHeight="1" x14ac:dyDescent="0.25">
      <c r="A105" s="859" t="s">
        <v>585</v>
      </c>
      <c r="B105" s="833" t="s">
        <v>114</v>
      </c>
      <c r="C105" s="833"/>
      <c r="D105" s="57" t="s">
        <v>132</v>
      </c>
      <c r="E105" s="58" t="s">
        <v>133</v>
      </c>
      <c r="F105" s="57" t="s">
        <v>134</v>
      </c>
      <c r="G105" s="166"/>
      <c r="H105" s="166"/>
      <c r="I105" s="166"/>
      <c r="J105" s="166"/>
      <c r="K105" s="166"/>
      <c r="L105" s="167"/>
      <c r="AB105"/>
      <c r="AC105"/>
    </row>
    <row r="106" spans="1:29" x14ac:dyDescent="0.25">
      <c r="A106" s="859"/>
      <c r="B106" s="57" t="s">
        <v>106</v>
      </c>
      <c r="C106" s="57" t="s">
        <v>176</v>
      </c>
      <c r="D106" s="57" t="s">
        <v>106</v>
      </c>
      <c r="E106" s="57" t="s">
        <v>106</v>
      </c>
      <c r="F106" s="57" t="s">
        <v>106</v>
      </c>
      <c r="G106" s="168"/>
      <c r="H106" s="168"/>
      <c r="I106" s="168"/>
      <c r="J106" s="168"/>
      <c r="K106" s="168"/>
      <c r="L106" s="169"/>
      <c r="M106" s="150"/>
      <c r="N106" s="150"/>
      <c r="O106" s="150"/>
      <c r="AB106"/>
      <c r="AC106"/>
    </row>
    <row r="107" spans="1:29" ht="14.25" customHeight="1" x14ac:dyDescent="0.25">
      <c r="A107" s="170" t="s">
        <v>68</v>
      </c>
      <c r="B107" s="171">
        <f>B108+B109+B110</f>
        <v>0</v>
      </c>
      <c r="C107" s="314" t="str">
        <f t="shared" ref="C107:C130" si="10">IFERROR(B107/B$131,"-")</f>
        <v>-</v>
      </c>
      <c r="D107" s="171">
        <f>D108+D109+D110</f>
        <v>0</v>
      </c>
      <c r="E107" s="171">
        <f>E108+E109+E110</f>
        <v>0</v>
      </c>
      <c r="F107" s="171">
        <f>F108+F109+F110</f>
        <v>0</v>
      </c>
      <c r="G107" s="172"/>
      <c r="H107" s="172"/>
      <c r="I107" s="172"/>
      <c r="J107" s="172"/>
      <c r="K107" s="172"/>
      <c r="L107" s="173"/>
      <c r="M107" s="387" t="str">
        <f t="shared" ref="M107:M130" si="11">A107</f>
        <v>Peruskoulu</v>
      </c>
      <c r="N107" s="388">
        <v>0</v>
      </c>
      <c r="O107" s="388">
        <v>0</v>
      </c>
      <c r="P107" s="51"/>
      <c r="Q107" s="51"/>
      <c r="R107" s="51"/>
      <c r="S107" s="51"/>
      <c r="T107" s="51"/>
      <c r="X107" s="224" t="s">
        <v>621</v>
      </c>
      <c r="AB107" s="98">
        <v>0</v>
      </c>
      <c r="AC107" s="98">
        <v>0</v>
      </c>
    </row>
    <row r="108" spans="1:29" ht="14.25" customHeight="1" x14ac:dyDescent="0.25">
      <c r="A108" s="161" t="s">
        <v>119</v>
      </c>
      <c r="B108" s="148">
        <f>SUMIFS(AS!$W:$W,AS!$BO:$BO,$W$7,AS!$AB:$AB,AS!$AA$1,AS!$AK:$AK,Asiakastilastot!$X108,AS!$AH:$AH,$X$8,AS!$AV:$AV,Asiakastilastot!$X$6,AS!$AW:$AW,Asiakastilastot!$Y$6,AS!$X:$X,Asiakastilastot!$Y$5,AS!$K:$K,$V$2)</f>
        <v>0</v>
      </c>
      <c r="C108" s="315" t="str">
        <f t="shared" si="10"/>
        <v>-</v>
      </c>
      <c r="D108" s="63">
        <f>SUMIFS(AS!W:W,AS!$BO:$BO,$W$7,AS!AB:AB,AS!$AA$1,AS!AK:AK,Asiakastilastot!$X108,AS!AH:AH,$X$8,AS!I:I,Asiakastilastot!$X$7,AS!$AV:$AV,Asiakastilastot!$X$6,AS!$AW:$AW,Asiakastilastot!$Y$6,AS!$X:$X,Asiakastilastot!$Y$5,AS!$K:$K,$V$2)</f>
        <v>0</v>
      </c>
      <c r="E108" s="162">
        <f>SUMIFS(AS!W:W,AS!$BO:$BO,$W$7,AS!AB:AB,AS!$AA$1,AS!AK:AK,Asiakastilastot!$X108,AS!AH:AH,$X$8,AS!I:I,Asiakastilastot!$Y$7,AS!$AV:$AV,Asiakastilastot!$X$6,AS!$AW:$AW,Asiakastilastot!$Y$6,AS!$X:$X,Asiakastilastot!$Y$5,AS!$K:$K,$V$2)</f>
        <v>0</v>
      </c>
      <c r="F108" s="162">
        <f>SUMIFS(AS!W:W,AS!$BO:$BO,$W$7,AS!AB:AB,AS!$AA$1,AS!AK:AK,Asiakastilastot!$X108,AS!AH:AH,$Y$8,AS!$AV:$AV,Asiakastilastot!$X$6,AS!$AW:$AW,Asiakastilastot!$Y$6,AS!$X:$X,Asiakastilastot!$Y$5,AS!$K:$K,$V$2)</f>
        <v>0</v>
      </c>
      <c r="G108" s="33"/>
      <c r="H108" s="33"/>
      <c r="I108" s="33"/>
      <c r="J108" s="33"/>
      <c r="K108" s="33"/>
      <c r="L108" s="34"/>
      <c r="M108" s="387" t="str">
        <f t="shared" si="11"/>
        <v>Edelleen peruskoulussa</v>
      </c>
      <c r="N108" s="388">
        <f t="shared" ref="N108:O110" si="12">D108</f>
        <v>0</v>
      </c>
      <c r="O108" s="388">
        <f t="shared" si="12"/>
        <v>0</v>
      </c>
      <c r="P108" s="51"/>
      <c r="Q108" s="51"/>
      <c r="R108" s="51"/>
      <c r="S108" s="51"/>
      <c r="T108" s="51"/>
      <c r="X108" s="35" t="s">
        <v>371</v>
      </c>
      <c r="AB108" s="98" t="e">
        <f>$D108/$B$131</f>
        <v>#DIV/0!</v>
      </c>
      <c r="AC108" s="98" t="e">
        <f>$E108/$B$131</f>
        <v>#DIV/0!</v>
      </c>
    </row>
    <row r="109" spans="1:29" ht="14.25" customHeight="1" x14ac:dyDescent="0.25">
      <c r="A109" s="161" t="s">
        <v>125</v>
      </c>
      <c r="B109" s="148">
        <f>SUMIFS(AS!$W:$W,AS!$BO:$BO,$W$7,AS!$AB:$AB,AS!$AA$1,AS!$AK:$AK,Asiakastilastot!$X109,AS!$AH:$AH,$X$8,AS!$AV:$AV,Asiakastilastot!$X$6,AS!$AW:$AW,Asiakastilastot!$Y$6,AS!$X:$X,Asiakastilastot!$Y$5,AS!$K:$K,$V$2)</f>
        <v>0</v>
      </c>
      <c r="C109" s="315" t="str">
        <f t="shared" si="10"/>
        <v>-</v>
      </c>
      <c r="D109" s="63">
        <f>SUMIFS(AS!W:W,AS!$BO:$BO,$W$7,AS!AB:AB,AS!$AA$1,AS!AK:AK,Asiakastilastot!$X109,AS!AH:AH,$X$8,AS!I:I,Asiakastilastot!$X$7,AS!$AV:$AV,Asiakastilastot!$X$6,AS!$AW:$AW,Asiakastilastot!$Y$6,AS!$X:$X,Asiakastilastot!$Y$5,AS!$K:$K,$V$2)</f>
        <v>0</v>
      </c>
      <c r="E109" s="162">
        <f>SUMIFS(AS!W:W,AS!$BO:$BO,$W$7,AS!AB:AB,AS!$AA$1,AS!AK:AK,Asiakastilastot!$X109,AS!AH:AH,$X$8,AS!I:I,Asiakastilastot!$Y$7,AS!$AV:$AV,Asiakastilastot!$X$6,AS!$AW:$AW,Asiakastilastot!$Y$6,AS!$X:$X,Asiakastilastot!$Y$5,AS!$K:$K,$V$2)</f>
        <v>0</v>
      </c>
      <c r="F109" s="162">
        <f>SUMIFS(AS!W:W,AS!$BO:$BO,$W$7,AS!AB:AB,AS!$AA$1,AS!AK:AK,Asiakastilastot!$X109,AS!AH:AH,$Y$8,AS!$AV:$AV,Asiakastilastot!$X$6,AS!$AW:$AW,Asiakastilastot!$Y$6,AS!$X:$X,Asiakastilastot!$Y$5,AS!$K:$K,$V$2)</f>
        <v>0</v>
      </c>
      <c r="G109" s="33"/>
      <c r="H109" s="33"/>
      <c r="I109" s="33"/>
      <c r="J109" s="33"/>
      <c r="K109" s="33"/>
      <c r="L109" s="34"/>
      <c r="M109" s="387" t="str">
        <f t="shared" si="11"/>
        <v>Peruskoulu keskeytynyt</v>
      </c>
      <c r="N109" s="388">
        <f t="shared" si="12"/>
        <v>0</v>
      </c>
      <c r="O109" s="388">
        <f t="shared" si="12"/>
        <v>0</v>
      </c>
      <c r="P109" s="51"/>
      <c r="Q109" s="51"/>
      <c r="R109" s="51"/>
      <c r="S109" s="51"/>
      <c r="T109" s="51"/>
      <c r="X109" s="35" t="s">
        <v>355</v>
      </c>
      <c r="AB109" s="98" t="e">
        <f>$D109/$B$131</f>
        <v>#DIV/0!</v>
      </c>
      <c r="AC109" s="98" t="e">
        <f>$E109/$B$131</f>
        <v>#DIV/0!</v>
      </c>
    </row>
    <row r="110" spans="1:29" ht="14.25" customHeight="1" x14ac:dyDescent="0.25">
      <c r="A110" s="161" t="s">
        <v>177</v>
      </c>
      <c r="B110" s="148">
        <f>SUMIFS(AS!$W:$W,AS!$BO:$BO,$W$7,AS!$AB:$AB,AS!$AA$1,AS!$AK:$AK,Asiakastilastot!$X110,AS!$AH:$AH,$X$8,AS!$AV:$AV,Asiakastilastot!$X$6,AS!$AW:$AW,Asiakastilastot!$Y$6,AS!$X:$X,Asiakastilastot!$Y$5,AS!$K:$K,$V$2)</f>
        <v>0</v>
      </c>
      <c r="C110" s="315" t="str">
        <f t="shared" si="10"/>
        <v>-</v>
      </c>
      <c r="D110" s="63">
        <f>SUMIFS(AS!W:W,AS!$BO:$BO,$W$7,AS!AB:AB,AS!$AA$1,AS!AK:AK,Asiakastilastot!$X110,AS!AH:AH,$X$8,AS!I:I,Asiakastilastot!$X$7,AS!$AV:$AV,Asiakastilastot!$X$6,AS!$AW:$AW,Asiakastilastot!$Y$6,AS!$X:$X,Asiakastilastot!$Y$5,AS!$K:$K,$V$2)</f>
        <v>0</v>
      </c>
      <c r="E110" s="162">
        <f>SUMIFS(AS!W:W,AS!$BO:$BO,$W$7,AS!AB:AB,AS!$AA$1,AS!AK:AK,Asiakastilastot!$X110,AS!AH:AH,$X$8,AS!I:I,Asiakastilastot!$Y$7,AS!$AV:$AV,Asiakastilastot!$X$6,AS!$AW:$AW,Asiakastilastot!$Y$6,AS!$X:$X,Asiakastilastot!$Y$5,AS!$K:$K,$V$2)</f>
        <v>0</v>
      </c>
      <c r="F110" s="162">
        <f>SUMIFS(AS!W:W,AS!$BO:$BO,$W$7,AS!AB:AB,AS!$AA$1,AS!AK:AK,Asiakastilastot!$X110,AS!AH:AH,$Y$8,AS!$AV:$AV,Asiakastilastot!$X$6,AS!$AW:$AW,Asiakastilastot!$Y$6,AS!$X:$X,Asiakastilastot!$Y$5,AS!$K:$K,$V$2)</f>
        <v>0</v>
      </c>
      <c r="G110" s="33"/>
      <c r="H110" s="33"/>
      <c r="I110" s="33"/>
      <c r="J110" s="33"/>
      <c r="K110" s="33"/>
      <c r="L110" s="34"/>
      <c r="M110" s="387" t="str">
        <f t="shared" si="11"/>
        <v xml:space="preserve">Peruskoulu suoritettu </v>
      </c>
      <c r="N110" s="388">
        <f t="shared" si="12"/>
        <v>0</v>
      </c>
      <c r="O110" s="388">
        <f t="shared" si="12"/>
        <v>0</v>
      </c>
      <c r="P110" s="51"/>
      <c r="Q110" s="51"/>
      <c r="R110" s="51"/>
      <c r="S110" s="51"/>
      <c r="T110" s="51"/>
      <c r="X110" s="35" t="s">
        <v>358</v>
      </c>
      <c r="AB110" s="98" t="e">
        <f>$D110/$B$131</f>
        <v>#DIV/0!</v>
      </c>
      <c r="AC110" s="98" t="e">
        <f>$E110/$B$131</f>
        <v>#DIV/0!</v>
      </c>
    </row>
    <row r="111" spans="1:29" ht="14.25" customHeight="1" x14ac:dyDescent="0.25">
      <c r="A111" s="170" t="s">
        <v>73</v>
      </c>
      <c r="B111" s="171">
        <f>B112+B113+B114+B115</f>
        <v>0</v>
      </c>
      <c r="C111" s="314" t="str">
        <f t="shared" si="10"/>
        <v>-</v>
      </c>
      <c r="D111" s="171">
        <f>D112+D113+D114+D115</f>
        <v>0</v>
      </c>
      <c r="E111" s="171">
        <f>E112+E113+E114+E115</f>
        <v>0</v>
      </c>
      <c r="F111" s="171">
        <f>F112+F113+F114+F115</f>
        <v>0</v>
      </c>
      <c r="G111" s="174"/>
      <c r="H111" s="174"/>
      <c r="I111" s="174"/>
      <c r="J111" s="174"/>
      <c r="K111" s="174"/>
      <c r="L111" s="175"/>
      <c r="M111" s="387" t="str">
        <f t="shared" si="11"/>
        <v>Lukio</v>
      </c>
      <c r="N111" s="388"/>
      <c r="O111" s="388"/>
      <c r="P111" s="51"/>
      <c r="Q111" s="51"/>
      <c r="R111" s="51"/>
      <c r="S111" s="51"/>
      <c r="T111" s="51"/>
      <c r="AB111" s="98"/>
      <c r="AC111" s="98"/>
    </row>
    <row r="112" spans="1:29" ht="14.25" customHeight="1" x14ac:dyDescent="0.25">
      <c r="A112" s="161" t="s">
        <v>126</v>
      </c>
      <c r="B112" s="148">
        <f>SUMIFS(AS!$W:$W,AS!$BO:$BO,$W$7,AS!$AB:$AB,AS!$AA$1,AS!$AK:$AK,Asiakastilastot!$X112,AS!$AH:$AH,$X$8,AS!$AV:$AV,Asiakastilastot!$X$6,AS!$AW:$AW,Asiakastilastot!$Y$6,AS!$X:$X,Asiakastilastot!$Y$5,AS!$K:$K,$V$2)</f>
        <v>0</v>
      </c>
      <c r="C112" s="315" t="str">
        <f t="shared" si="10"/>
        <v>-</v>
      </c>
      <c r="D112" s="63">
        <f>SUMIFS(AS!W:W,AS!$BO:$BO,$W$7,AS!AB:AB,AS!$AA$1,AS!AK:AK,Asiakastilastot!$X112,AS!AH:AH,$X$8,AS!I:I,Asiakastilastot!$X$7,AS!$AV:$AV,Asiakastilastot!$X$6,AS!$AW:$AW,Asiakastilastot!$Y$6,AS!$X:$X,Asiakastilastot!$Y$5,AS!$K:$K,$V$2)</f>
        <v>0</v>
      </c>
      <c r="E112" s="162">
        <f>SUMIFS(AS!W:W,AS!$BO:$BO,$W$7,AS!AB:AB,AS!$AA$1,AS!AK:AK,Asiakastilastot!$X112,AS!AH:AH,$X$8,AS!I:I,Asiakastilastot!$Y$7,AS!$AV:$AV,Asiakastilastot!$X$6,AS!$AW:$AW,Asiakastilastot!$Y$6,AS!$X:$X,Asiakastilastot!$Y$5,AS!$K:$K,$V$2)</f>
        <v>0</v>
      </c>
      <c r="F112" s="162">
        <f>SUMIFS(AS!W:W,AS!$BO:$BO,$W$7,AS!AB:AB,AS!$AA$1,AS!AK:AK,Asiakastilastot!$X112,AS!AH:AH,$Y$8,AS!$AV:$AV,Asiakastilastot!$X$6,AS!$AW:$AW,Asiakastilastot!$Y$6,AS!$X:$X,Asiakastilastot!$Y$5,AS!$K:$K,$V$2)</f>
        <v>0</v>
      </c>
      <c r="G112" s="33"/>
      <c r="H112" s="33"/>
      <c r="I112" s="33"/>
      <c r="J112" s="33"/>
      <c r="K112" s="33"/>
      <c r="L112" s="34"/>
      <c r="M112" s="387" t="str">
        <f t="shared" si="11"/>
        <v>Suorittamassa lukiota</v>
      </c>
      <c r="N112" s="388">
        <f t="shared" ref="N112:O115" si="13">D112</f>
        <v>0</v>
      </c>
      <c r="O112" s="388">
        <f t="shared" si="13"/>
        <v>0</v>
      </c>
      <c r="P112" s="51"/>
      <c r="Q112" s="51"/>
      <c r="R112" s="51"/>
      <c r="S112" s="51"/>
      <c r="T112" s="51"/>
      <c r="X112" s="35" t="s">
        <v>347</v>
      </c>
      <c r="AB112" s="98" t="e">
        <f>$D112/$B$131</f>
        <v>#DIV/0!</v>
      </c>
      <c r="AC112" s="98" t="e">
        <f>$E112/$B$131</f>
        <v>#DIV/0!</v>
      </c>
    </row>
    <row r="113" spans="1:29" ht="14.25" customHeight="1" x14ac:dyDescent="0.25">
      <c r="A113" s="161" t="s">
        <v>127</v>
      </c>
      <c r="B113" s="148">
        <f>SUMIFS(AS!$W:$W,AS!$BO:$BO,$W$7,AS!$AB:$AB,AS!$AA$1,AS!$AK:$AK,Asiakastilastot!$X113,AS!$AH:$AH,$X$8,AS!$AV:$AV,Asiakastilastot!$X$6,AS!$AW:$AW,Asiakastilastot!$Y$6,AS!$X:$X,Asiakastilastot!$Y$5,AS!$K:$K,$V$2)</f>
        <v>0</v>
      </c>
      <c r="C113" s="315" t="str">
        <f t="shared" si="10"/>
        <v>-</v>
      </c>
      <c r="D113" s="63">
        <f>SUMIFS(AS!W:W,AS!$BO:$BO,$W$7,AS!AB:AB,AS!$AA$1,AS!AK:AK,Asiakastilastot!$X113,AS!AH:AH,$X$8,AS!I:I,Asiakastilastot!$X$7,AS!$AV:$AV,Asiakastilastot!$X$6,AS!$AW:$AW,Asiakastilastot!$Y$6,AS!$X:$X,Asiakastilastot!$Y$5,AS!$K:$K,$V$2)</f>
        <v>0</v>
      </c>
      <c r="E113" s="162">
        <f>SUMIFS(AS!W:W,AS!$BO:$BO,$W$7,AS!AB:AB,AS!$AA$1,AS!AK:AK,Asiakastilastot!$X113,AS!AH:AH,$X$8,AS!I:I,Asiakastilastot!$Y$7,AS!$AV:$AV,Asiakastilastot!$X$6,AS!$AW:$AW,Asiakastilastot!$Y$6,AS!$X:$X,Asiakastilastot!$Y$5,AS!$K:$K,$V$2)</f>
        <v>0</v>
      </c>
      <c r="F113" s="162">
        <f>SUMIFS(AS!W:W,AS!$BO:$BO,$W$7,AS!AB:AB,AS!$AA$1,AS!AK:AK,Asiakastilastot!$X113,AS!AH:AH,$Y$8,AS!$AV:$AV,Asiakastilastot!$X$6,AS!$AW:$AW,Asiakastilastot!$Y$6,AS!$X:$X,Asiakastilastot!$Y$5,AS!$K:$K,$V$2)</f>
        <v>0</v>
      </c>
      <c r="G113" s="33"/>
      <c r="H113" s="33"/>
      <c r="I113" s="33"/>
      <c r="J113" s="33"/>
      <c r="K113" s="33"/>
      <c r="L113" s="34"/>
      <c r="M113" s="387" t="str">
        <f t="shared" si="11"/>
        <v>Lukio keskeytynyt</v>
      </c>
      <c r="N113" s="388">
        <f t="shared" si="13"/>
        <v>0</v>
      </c>
      <c r="O113" s="388">
        <f t="shared" si="13"/>
        <v>0</v>
      </c>
      <c r="P113" s="51"/>
      <c r="Q113" s="51"/>
      <c r="R113" s="51"/>
      <c r="S113" s="51"/>
      <c r="T113" s="51"/>
      <c r="X113" s="35" t="s">
        <v>369</v>
      </c>
      <c r="AB113" s="98" t="e">
        <f>$D113/$B$131</f>
        <v>#DIV/0!</v>
      </c>
      <c r="AC113" s="98" t="e">
        <f>$E113/$B$131</f>
        <v>#DIV/0!</v>
      </c>
    </row>
    <row r="114" spans="1:29" ht="14.25" customHeight="1" x14ac:dyDescent="0.25">
      <c r="A114" s="161" t="s">
        <v>120</v>
      </c>
      <c r="B114" s="148">
        <f>SUMIFS(AS!$W:$W,AS!$BO:$BO,$W$7,AS!$AB:$AB,AS!$AA$1,AS!$AK:$AK,Asiakastilastot!$X114,AS!$AH:$AH,$X$8,AS!$AV:$AV,Asiakastilastot!$X$6,AS!$AW:$AW,Asiakastilastot!$Y$6,AS!$X:$X,Asiakastilastot!$Y$5,AS!$K:$K,$V$2)</f>
        <v>0</v>
      </c>
      <c r="C114" s="315" t="str">
        <f t="shared" si="10"/>
        <v>-</v>
      </c>
      <c r="D114" s="63">
        <f>SUMIFS(AS!W:W,AS!$BO:$BO,$W$7,AS!AB:AB,AS!$AA$1,AS!AK:AK,Asiakastilastot!$X114,AS!AH:AH,$X$8,AS!I:I,Asiakastilastot!$X$7,AS!$AV:$AV,Asiakastilastot!$X$6,AS!$AW:$AW,Asiakastilastot!$Y$6,AS!$X:$X,Asiakastilastot!$Y$5,AS!$K:$K,$V$2)</f>
        <v>0</v>
      </c>
      <c r="E114" s="162">
        <f>SUMIFS(AS!W:W,AS!$BO:$BO,$W$7,AS!AB:AB,AS!$AA$1,AS!AK:AK,Asiakastilastot!$X114,AS!AH:AH,$X$8,AS!I:I,Asiakastilastot!$Y$7,AS!$AV:$AV,Asiakastilastot!$X$6,AS!$AW:$AW,Asiakastilastot!$Y$6,AS!$X:$X,Asiakastilastot!$Y$5,AS!$K:$K,$V$2)</f>
        <v>0</v>
      </c>
      <c r="F114" s="162">
        <f>SUMIFS(AS!W:W,AS!$BO:$BO,$W$7,AS!AB:AB,AS!$AA$1,AS!AK:AK,Asiakastilastot!$X114,AS!AH:AH,$Y$8,AS!$AV:$AV,Asiakastilastot!$X$6,AS!$AW:$AW,Asiakastilastot!$Y$6,AS!$X:$X,Asiakastilastot!$Y$5,AS!$K:$K,$V$2)</f>
        <v>0</v>
      </c>
      <c r="G114" s="33"/>
      <c r="H114" s="33"/>
      <c r="I114" s="33"/>
      <c r="J114" s="33"/>
      <c r="K114" s="33"/>
      <c r="L114" s="34"/>
      <c r="M114" s="387" t="str">
        <f t="shared" si="11"/>
        <v>Lukion oppimäärä</v>
      </c>
      <c r="N114" s="388">
        <f t="shared" si="13"/>
        <v>0</v>
      </c>
      <c r="O114" s="388">
        <f t="shared" si="13"/>
        <v>0</v>
      </c>
      <c r="X114" s="35" t="s">
        <v>380</v>
      </c>
      <c r="AB114" s="98" t="e">
        <f>$D114/$B$131</f>
        <v>#DIV/0!</v>
      </c>
      <c r="AC114" s="98" t="e">
        <f>$E114/$B$131</f>
        <v>#DIV/0!</v>
      </c>
    </row>
    <row r="115" spans="1:29" ht="14.25" customHeight="1" x14ac:dyDescent="0.25">
      <c r="A115" s="161" t="s">
        <v>128</v>
      </c>
      <c r="B115" s="148">
        <f>SUMIFS(AS!$W:$W,AS!$BO:$BO,$W$7,AS!$AB:$AB,AS!$AA$1,AS!$AK:$AK,Asiakastilastot!$X115,AS!$AH:$AH,$X$8,AS!$AV:$AV,Asiakastilastot!$X$6,AS!$AW:$AW,Asiakastilastot!$Y$6,AS!$X:$X,Asiakastilastot!$Y$5,AS!$K:$K,$V$2)</f>
        <v>0</v>
      </c>
      <c r="C115" s="315" t="str">
        <f t="shared" si="10"/>
        <v>-</v>
      </c>
      <c r="D115" s="63">
        <f>SUMIFS(AS!W:W,AS!$BO:$BO,$W$7,AS!AB:AB,AS!$AA$1,AS!AK:AK,Asiakastilastot!$X115,AS!AH:AH,$X$8,AS!I:I,Asiakastilastot!$X$7,AS!$AV:$AV,Asiakastilastot!$X$6,AS!$AW:$AW,Asiakastilastot!$Y$6,AS!$X:$X,Asiakastilastot!$Y$5,AS!$K:$K,$V$2)</f>
        <v>0</v>
      </c>
      <c r="E115" s="162">
        <f>SUMIFS(AS!W:W,AS!$BO:$BO,$W$7,AS!AB:AB,AS!$AA$1,AS!AK:AK,Asiakastilastot!$X115,AS!AH:AH,$X$8,AS!I:I,Asiakastilastot!$Y$7,AS!$AV:$AV,Asiakastilastot!$X$6,AS!$AW:$AW,Asiakastilastot!$Y$6,AS!$X:$X,Asiakastilastot!$Y$5,AS!$K:$K,$V$2)</f>
        <v>0</v>
      </c>
      <c r="F115" s="162">
        <f>SUMIFS(AS!W:W,AS!$BO:$BO,$W$7,AS!AB:AB,AS!$AA$1,AS!AK:AK,Asiakastilastot!$X115,AS!AH:AH,$Y$8,AS!$AV:$AV,Asiakastilastot!$X$6,AS!$AW:$AW,Asiakastilastot!$Y$6,AS!$X:$X,Asiakastilastot!$Y$5,AS!$K:$K,$V$2)</f>
        <v>0</v>
      </c>
      <c r="G115" s="33"/>
      <c r="H115" s="33"/>
      <c r="I115" s="33"/>
      <c r="J115" s="33"/>
      <c r="K115" s="33"/>
      <c r="L115" s="34"/>
      <c r="M115" s="387" t="str">
        <f t="shared" si="11"/>
        <v>Ylioppilas</v>
      </c>
      <c r="N115" s="388">
        <f t="shared" si="13"/>
        <v>0</v>
      </c>
      <c r="O115" s="388">
        <f t="shared" si="13"/>
        <v>0</v>
      </c>
      <c r="X115" s="35" t="s">
        <v>379</v>
      </c>
      <c r="AB115" s="98" t="e">
        <f>$D115/$B$131</f>
        <v>#DIV/0!</v>
      </c>
      <c r="AC115" s="98" t="e">
        <f>$E115/$B$131</f>
        <v>#DIV/0!</v>
      </c>
    </row>
    <row r="116" spans="1:29" ht="14.25" customHeight="1" x14ac:dyDescent="0.25">
      <c r="A116" s="170" t="s">
        <v>84</v>
      </c>
      <c r="B116" s="171">
        <f>B117+B118+B119</f>
        <v>0</v>
      </c>
      <c r="C116" s="314" t="str">
        <f t="shared" si="10"/>
        <v>-</v>
      </c>
      <c r="D116" s="171">
        <f>D117+D118+D119</f>
        <v>0</v>
      </c>
      <c r="E116" s="171">
        <f>E117+E118+E119</f>
        <v>0</v>
      </c>
      <c r="F116" s="171">
        <f>F117+F118+F119</f>
        <v>0</v>
      </c>
      <c r="G116" s="174"/>
      <c r="H116" s="174"/>
      <c r="I116" s="174"/>
      <c r="J116" s="174"/>
      <c r="K116" s="174"/>
      <c r="L116" s="175"/>
      <c r="M116" s="387" t="str">
        <f t="shared" si="11"/>
        <v>Ammatillinen perustutkinto</v>
      </c>
      <c r="N116" s="388"/>
      <c r="O116" s="388"/>
      <c r="AB116" s="98"/>
      <c r="AC116" s="98"/>
    </row>
    <row r="117" spans="1:29" ht="14.25" customHeight="1" x14ac:dyDescent="0.25">
      <c r="A117" s="161" t="s">
        <v>582</v>
      </c>
      <c r="B117" s="148">
        <f>SUMIFS(AS!$W:$W,AS!$BO:$BO,$W$7,AS!$AB:$AB,AS!$AA$1,AS!$AK:$AK,Asiakastilastot!$X117,AS!$AH:$AH,$X$8,AS!$AV:$AV,Asiakastilastot!$X$6,AS!$AW:$AW,Asiakastilastot!$Y$6,AS!$X:$X,Asiakastilastot!$Y$5,AS!$K:$K,$V$2)</f>
        <v>0</v>
      </c>
      <c r="C117" s="315" t="str">
        <f t="shared" si="10"/>
        <v>-</v>
      </c>
      <c r="D117" s="63">
        <f>SUMIFS(AS!W:W,AS!$BO:$BO,$W$7,AS!AB:AB,AS!$AA$1,AS!AK:AK,Asiakastilastot!$X117,AS!AH:AH,$X$8,AS!I:I,Asiakastilastot!$X$7,AS!$AV:$AV,Asiakastilastot!$X$6,AS!$AW:$AW,Asiakastilastot!$Y$6,AS!$X:$X,Asiakastilastot!$Y$5,AS!$K:$K,$V$2)</f>
        <v>0</v>
      </c>
      <c r="E117" s="162">
        <f>SUMIFS(AS!W:W,AS!$BO:$BO,$W$7,AS!AB:AB,AS!$AA$1,AS!AK:AK,Asiakastilastot!$X117,AS!AH:AH,$X$8,AS!I:I,Asiakastilastot!$Y$7,AS!$AV:$AV,Asiakastilastot!$X$6,AS!$AW:$AW,Asiakastilastot!$Y$6,AS!$X:$X,Asiakastilastot!$Y$5,AS!$K:$K,$V$2)</f>
        <v>0</v>
      </c>
      <c r="F117" s="162">
        <f>SUMIFS(AS!W:W,AS!$BO:$BO,$W$7,AS!AB:AB,AS!$AA$1,AS!AK:AK,Asiakastilastot!$X117,AS!AH:AH,$Y$8,AS!$AV:$AV,Asiakastilastot!$X$6,AS!$AW:$AW,Asiakastilastot!$Y$6,AS!$X:$X,Asiakastilastot!$Y$5,AS!$K:$K,$V$2)</f>
        <v>0</v>
      </c>
      <c r="G117" s="33"/>
      <c r="H117" s="33"/>
      <c r="I117" s="33"/>
      <c r="J117" s="33"/>
      <c r="K117" s="33"/>
      <c r="L117" s="34"/>
      <c r="M117" s="387" t="str">
        <f t="shared" si="11"/>
        <v>Suorittamassa 2. asteen ammatillista tutkintoa</v>
      </c>
      <c r="N117" s="388">
        <f t="shared" ref="N117:O119" si="14">D117</f>
        <v>0</v>
      </c>
      <c r="O117" s="388">
        <f t="shared" si="14"/>
        <v>0</v>
      </c>
      <c r="X117" s="155" t="s">
        <v>364</v>
      </c>
      <c r="AB117" s="98" t="e">
        <f>$D117/$B$131</f>
        <v>#DIV/0!</v>
      </c>
      <c r="AC117" s="98" t="e">
        <f>$E117/$B$131</f>
        <v>#DIV/0!</v>
      </c>
    </row>
    <row r="118" spans="1:29" ht="14.25" customHeight="1" x14ac:dyDescent="0.25">
      <c r="A118" s="161" t="s">
        <v>129</v>
      </c>
      <c r="B118" s="148">
        <f>SUMIFS(AS!$W:$W,AS!$BO:$BO,$W$7,AS!$AB:$AB,AS!$AA$1,AS!$AK:$AK,Asiakastilastot!$X118,AS!$AH:$AH,$X$8,AS!$AV:$AV,Asiakastilastot!$X$6,AS!$AW:$AW,Asiakastilastot!$Y$6,AS!$X:$X,Asiakastilastot!$Y$5,AS!$K:$K,$V$2)</f>
        <v>0</v>
      </c>
      <c r="C118" s="315" t="str">
        <f t="shared" si="10"/>
        <v>-</v>
      </c>
      <c r="D118" s="63">
        <f>SUMIFS(AS!W:W,AS!$BO:$BO,$W$7,AS!AB:AB,AS!$AA$1,AS!AK:AK,Asiakastilastot!$X118,AS!AH:AH,$X$8,AS!I:I,Asiakastilastot!$X$7,AS!$AV:$AV,Asiakastilastot!$X$6,AS!$AW:$AW,Asiakastilastot!$Y$6,AS!$X:$X,Asiakastilastot!$Y$5,AS!$K:$K,$V$2)</f>
        <v>0</v>
      </c>
      <c r="E118" s="162">
        <f>SUMIFS(AS!W:W,AS!$BO:$BO,$W$7,AS!AB:AB,AS!$AA$1,AS!AK:AK,Asiakastilastot!$X118,AS!AH:AH,$X$8,AS!I:I,Asiakastilastot!$Y$7,AS!$AV:$AV,Asiakastilastot!$X$6,AS!$AW:$AW,Asiakastilastot!$Y$6,AS!$X:$X,Asiakastilastot!$Y$5,AS!$K:$K,$V$2)</f>
        <v>0</v>
      </c>
      <c r="F118" s="162">
        <f>SUMIFS(AS!W:W,AS!$BO:$BO,$W$7,AS!AB:AB,AS!$AA$1,AS!AK:AK,Asiakastilastot!$X118,AS!AH:AH,$Y$8,AS!$AV:$AV,Asiakastilastot!$X$6,AS!$AW:$AW,Asiakastilastot!$Y$6,AS!$X:$X,Asiakastilastot!$Y$5,AS!$K:$K,$V$2)</f>
        <v>0</v>
      </c>
      <c r="G118" s="33"/>
      <c r="H118" s="33"/>
      <c r="I118" s="33"/>
      <c r="J118" s="33"/>
      <c r="K118" s="33"/>
      <c r="L118" s="34"/>
      <c r="M118" s="387" t="str">
        <f t="shared" si="11"/>
        <v>Keskeytynyt 2. asteen ammatillinen tutkinto</v>
      </c>
      <c r="N118" s="388">
        <f t="shared" si="14"/>
        <v>0</v>
      </c>
      <c r="O118" s="388">
        <f t="shared" si="14"/>
        <v>0</v>
      </c>
      <c r="X118" s="155" t="s">
        <v>350</v>
      </c>
      <c r="AB118" s="98" t="e">
        <f>$D118/$B$131</f>
        <v>#DIV/0!</v>
      </c>
      <c r="AC118" s="98" t="e">
        <f>$E118/$B$131</f>
        <v>#DIV/0!</v>
      </c>
    </row>
    <row r="119" spans="1:29" ht="14.25" customHeight="1" x14ac:dyDescent="0.25">
      <c r="A119" s="161" t="s">
        <v>30</v>
      </c>
      <c r="B119" s="148">
        <f>SUMIFS(AS!$W:$W,AS!$BO:$BO,$W$7,AS!$AB:$AB,AS!$AA$1,AS!$AK:$AK,Asiakastilastot!$X119,AS!$AH:$AH,$X$8,AS!$AV:$AV,Asiakastilastot!$X$6,AS!$AW:$AW,Asiakastilastot!$Y$6,AS!$X:$X,Asiakastilastot!$Y$5,AS!$K:$K,$V$2)</f>
        <v>0</v>
      </c>
      <c r="C119" s="315" t="str">
        <f t="shared" si="10"/>
        <v>-</v>
      </c>
      <c r="D119" s="63">
        <f>SUMIFS(AS!W:W,AS!$BO:$BO,$W$7,AS!AB:AB,AS!$AA$1,AS!AK:AK,Asiakastilastot!$X119,AS!AH:AH,$X$8,AS!I:I,Asiakastilastot!$X$7,AS!$AV:$AV,Asiakastilastot!$X$6,AS!$AW:$AW,Asiakastilastot!$Y$6,AS!$X:$X,Asiakastilastot!$Y$5,AS!$K:$K,$V$2)</f>
        <v>0</v>
      </c>
      <c r="E119" s="162">
        <f>SUMIFS(AS!W:W,AS!$BO:$BO,$W$7,AS!AB:AB,AS!$AA$1,AS!AK:AK,Asiakastilastot!$X119,AS!AH:AH,$X$8,AS!I:I,Asiakastilastot!$Y$7,AS!$AV:$AV,Asiakastilastot!$X$6,AS!$AW:$AW,Asiakastilastot!$Y$6,AS!$X:$X,Asiakastilastot!$Y$5,AS!$K:$K,$V$2)</f>
        <v>0</v>
      </c>
      <c r="F119" s="162">
        <f>SUMIFS(AS!W:W,AS!$BO:$BO,$W$7,AS!AB:AB,AS!$AA$1,AS!AK:AK,Asiakastilastot!$X119,AS!AH:AH,$Y$8,AS!$AV:$AV,Asiakastilastot!$X$6,AS!$AW:$AW,Asiakastilastot!$Y$6,AS!$X:$X,Asiakastilastot!$Y$5,AS!$K:$K,$V$2)</f>
        <v>0</v>
      </c>
      <c r="G119" s="33"/>
      <c r="H119" s="33"/>
      <c r="I119" s="33"/>
      <c r="J119" s="33"/>
      <c r="K119" s="33"/>
      <c r="L119" s="34"/>
      <c r="M119" s="387" t="str">
        <f t="shared" si="11"/>
        <v>2. asteen ammatillinen tutkinto suoritettu</v>
      </c>
      <c r="N119" s="388">
        <f t="shared" si="14"/>
        <v>0</v>
      </c>
      <c r="O119" s="388">
        <f t="shared" si="14"/>
        <v>0</v>
      </c>
      <c r="X119" s="155" t="s">
        <v>373</v>
      </c>
      <c r="AB119" s="98" t="e">
        <f>$D119/$B$131</f>
        <v>#DIV/0!</v>
      </c>
      <c r="AC119" s="98" t="e">
        <f>$E119/$B$131</f>
        <v>#DIV/0!</v>
      </c>
    </row>
    <row r="120" spans="1:29" ht="14.25" customHeight="1" x14ac:dyDescent="0.25">
      <c r="A120" s="170" t="s">
        <v>121</v>
      </c>
      <c r="B120" s="171">
        <f>B122+B123+B121</f>
        <v>0</v>
      </c>
      <c r="C120" s="314" t="str">
        <f t="shared" si="10"/>
        <v>-</v>
      </c>
      <c r="D120" s="171">
        <f>D122+D123+D121</f>
        <v>0</v>
      </c>
      <c r="E120" s="171">
        <f>E122+E123+E121</f>
        <v>0</v>
      </c>
      <c r="F120" s="171">
        <f>F122+F123+F121</f>
        <v>0</v>
      </c>
      <c r="G120" s="174"/>
      <c r="H120" s="174"/>
      <c r="I120" s="174"/>
      <c r="J120" s="174"/>
      <c r="K120" s="174"/>
      <c r="L120" s="175"/>
      <c r="M120" s="387" t="str">
        <f t="shared" si="11"/>
        <v>Korkeakoulututkinto</v>
      </c>
      <c r="N120" s="388"/>
      <c r="O120" s="388"/>
      <c r="AB120" s="98"/>
      <c r="AC120" s="98"/>
    </row>
    <row r="121" spans="1:29" ht="14.25" customHeight="1" x14ac:dyDescent="0.25">
      <c r="A121" s="161" t="s">
        <v>547</v>
      </c>
      <c r="B121" s="148">
        <f>SUMIFS(AS!$W:$W,AS!$BO:$BO,$W$7,AS!$AB:$AB,AS!$AA$1,AS!$AK:$AK,Asiakastilastot!$X121,AS!$AH:$AH,$X$8,AS!$AV:$AV,Asiakastilastot!$X$6,AS!$AW:$AW,Asiakastilastot!$Y$6,AS!$X:$X,Asiakastilastot!$Y$5,AS!$K:$K,$V$2)</f>
        <v>0</v>
      </c>
      <c r="C121" s="315" t="str">
        <f t="shared" si="10"/>
        <v>-</v>
      </c>
      <c r="D121" s="63">
        <f>SUMIFS(AS!W:W,AS!$BO:$BO,$W$7,AS!AB:AB,AS!$AA$1,AS!AK:AK,Asiakastilastot!$X121,AS!AH:AH,$X$8,AS!I:I,Asiakastilastot!$X$7,AS!$AV:$AV,Asiakastilastot!$X$6,AS!$AW:$AW,Asiakastilastot!$Y$6,AS!$X:$X,Asiakastilastot!$Y$5,AS!$K:$K,$V$2)</f>
        <v>0</v>
      </c>
      <c r="E121" s="162">
        <f>SUMIFS(AS!W:W,AS!$BO:$BO,$W$7,AS!AB:AB,AS!$AA$1,AS!AK:AK,Asiakastilastot!$X121,AS!AH:AH,$X$8,AS!I:I,Asiakastilastot!$Y$7,AS!$AV:$AV,Asiakastilastot!$X$6,AS!$AW:$AW,Asiakastilastot!$Y$6,AS!$X:$X,Asiakastilastot!$Y$5,AS!$K:$K,$V$2)</f>
        <v>0</v>
      </c>
      <c r="F121" s="162">
        <f>SUMIFS(AS!W:W,AS!$BO:$BO,$W$7,AS!AB:AB,AS!$AA$1,AS!AK:AK,Asiakastilastot!$X121,AS!AH:AH,$Y$8,AS!$AV:$AV,Asiakastilastot!$X$6,AS!$AW:$AW,Asiakastilastot!$Y$6,AS!$X:$X,Asiakastilastot!$Y$5,AS!$K:$K,$V$2)</f>
        <v>0</v>
      </c>
      <c r="G121" s="33"/>
      <c r="H121" s="33"/>
      <c r="I121" s="33"/>
      <c r="J121" s="33"/>
      <c r="K121" s="33"/>
      <c r="L121" s="34"/>
      <c r="M121" s="387" t="str">
        <f t="shared" si="11"/>
        <v>Suorittamassa korkeakoulututkintoa</v>
      </c>
      <c r="N121" s="388">
        <f t="shared" ref="N121:O123" si="15">D121</f>
        <v>0</v>
      </c>
      <c r="O121" s="388">
        <f t="shared" si="15"/>
        <v>0</v>
      </c>
      <c r="X121" s="155" t="s">
        <v>506</v>
      </c>
      <c r="AB121" s="98" t="e">
        <f>$D121/$B$131</f>
        <v>#DIV/0!</v>
      </c>
      <c r="AC121" s="98" t="e">
        <f>$E121/$B$131</f>
        <v>#DIV/0!</v>
      </c>
    </row>
    <row r="122" spans="1:29" ht="14.25" customHeight="1" x14ac:dyDescent="0.25">
      <c r="A122" s="161" t="s">
        <v>130</v>
      </c>
      <c r="B122" s="148">
        <f>SUMIFS(AS!$W:$W,AS!$BO:$BO,$W$7,AS!$AB:$AB,AS!$AA$1,AS!$AK:$AK,Asiakastilastot!$X122,AS!$AH:$AH,$X$8,AS!$AV:$AV,Asiakastilastot!$X$6,AS!$AW:$AW,Asiakastilastot!$Y$6,AS!$X:$X,Asiakastilastot!$Y$5,AS!$K:$K,$V$2)</f>
        <v>0</v>
      </c>
      <c r="C122" s="315" t="str">
        <f t="shared" si="10"/>
        <v>-</v>
      </c>
      <c r="D122" s="63">
        <f>SUMIFS(AS!W:W,AS!$BO:$BO,$W$7,AS!AB:AB,AS!$AA$1,AS!AK:AK,Asiakastilastot!$X122,AS!AH:AH,$X$8,AS!I:I,Asiakastilastot!$X$7,AS!$AV:$AV,Asiakastilastot!$X$6,AS!$AW:$AW,Asiakastilastot!$Y$6,AS!$X:$X,Asiakastilastot!$Y$5,AS!$K:$K,$V$2)</f>
        <v>0</v>
      </c>
      <c r="E122" s="162">
        <f>SUMIFS(AS!W:W,AS!$BO:$BO,$W$7,AS!AB:AB,AS!$AA$1,AS!AK:AK,Asiakastilastot!$X122,AS!AH:AH,$X$8,AS!I:I,Asiakastilastot!$Y$7,AS!$AV:$AV,Asiakastilastot!$X$6,AS!$AW:$AW,Asiakastilastot!$Y$6,AS!$X:$X,Asiakastilastot!$Y$5,AS!$K:$K,$V$2)</f>
        <v>0</v>
      </c>
      <c r="F122" s="162">
        <f>SUMIFS(AS!W:W,AS!$BO:$BO,$W$7,AS!AB:AB,AS!$AA$1,AS!AK:AK,Asiakastilastot!$X122,AS!AH:AH,$Y$8,AS!$AV:$AV,Asiakastilastot!$X$6,AS!$AW:$AW,Asiakastilastot!$Y$6,AS!$X:$X,Asiakastilastot!$Y$5,AS!$K:$K,$V$2)</f>
        <v>0</v>
      </c>
      <c r="G122" s="33"/>
      <c r="H122" s="33"/>
      <c r="I122" s="33"/>
      <c r="J122" s="33"/>
      <c r="K122" s="33"/>
      <c r="L122" s="34"/>
      <c r="M122" s="387" t="str">
        <f t="shared" si="11"/>
        <v xml:space="preserve">Keskeytynyt korkeakoulututkinto </v>
      </c>
      <c r="N122" s="388">
        <f t="shared" si="15"/>
        <v>0</v>
      </c>
      <c r="O122" s="388">
        <f t="shared" si="15"/>
        <v>0</v>
      </c>
      <c r="X122" s="155" t="s">
        <v>381</v>
      </c>
      <c r="AB122" s="98" t="e">
        <f>$D122/$B$131</f>
        <v>#DIV/0!</v>
      </c>
      <c r="AC122" s="98" t="e">
        <f>$E122/$B$131</f>
        <v>#DIV/0!</v>
      </c>
    </row>
    <row r="123" spans="1:29" ht="14.25" customHeight="1" x14ac:dyDescent="0.25">
      <c r="A123" s="161" t="s">
        <v>131</v>
      </c>
      <c r="B123" s="148">
        <f>SUMIFS(AS!$W:$W,AS!$BO:$BO,$W$7,AS!$AB:$AB,AS!$AA$1,AS!$AK:$AK,Asiakastilastot!$X123,AS!$AH:$AH,$X$8,AS!$AV:$AV,Asiakastilastot!$X$6,AS!$AW:$AW,Asiakastilastot!$Y$6,AS!$X:$X,Asiakastilastot!$Y$5,AS!$K:$K,$V$2)</f>
        <v>0</v>
      </c>
      <c r="C123" s="315" t="str">
        <f t="shared" si="10"/>
        <v>-</v>
      </c>
      <c r="D123" s="63">
        <f>SUMIFS(AS!W:W,AS!$BO:$BO,$W$7,AS!AB:AB,AS!$AA$1,AS!AK:AK,Asiakastilastot!$X123,AS!AH:AH,$X$8,AS!I:I,Asiakastilastot!$X$7,AS!$AV:$AV,Asiakastilastot!$X$6,AS!$AW:$AW,Asiakastilastot!$Y$6,AS!$X:$X,Asiakastilastot!$Y$5,AS!$K:$K,$V$2)</f>
        <v>0</v>
      </c>
      <c r="E123" s="162">
        <f>SUMIFS(AS!W:W,AS!$BO:$BO,$W$7,AS!AB:AB,AS!$AA$1,AS!AK:AK,Asiakastilastot!$X123,AS!AH:AH,$X$8,AS!I:I,Asiakastilastot!$Y$7,AS!$AV:$AV,Asiakastilastot!$X$6,AS!$AW:$AW,Asiakastilastot!$Y$6,AS!$X:$X,Asiakastilastot!$Y$5,AS!$K:$K,$V$2)</f>
        <v>0</v>
      </c>
      <c r="F123" s="162">
        <f>SUMIFS(AS!W:W,AS!$BO:$BO,$W$7,AS!AB:AB,AS!$AA$1,AS!AK:AK,Asiakastilastot!$X123,AS!AH:AH,$Y$8,AS!$AV:$AV,Asiakastilastot!$X$6,AS!$AW:$AW,Asiakastilastot!$Y$6,AS!$X:$X,Asiakastilastot!$Y$5,AS!$K:$K,$V$2)</f>
        <v>0</v>
      </c>
      <c r="G123" s="33"/>
      <c r="H123" s="33"/>
      <c r="I123" s="33"/>
      <c r="J123" s="33"/>
      <c r="K123" s="33"/>
      <c r="L123" s="34"/>
      <c r="M123" s="387" t="str">
        <f t="shared" si="11"/>
        <v>Korkeakoulututkinto suoritettu</v>
      </c>
      <c r="N123" s="388">
        <f t="shared" si="15"/>
        <v>0</v>
      </c>
      <c r="O123" s="388">
        <f t="shared" si="15"/>
        <v>0</v>
      </c>
      <c r="X123" s="155" t="s">
        <v>377</v>
      </c>
      <c r="AB123" s="98" t="e">
        <f>$D123/$B$131</f>
        <v>#DIV/0!</v>
      </c>
      <c r="AC123" s="98" t="e">
        <f>$E123/$B$131</f>
        <v>#DIV/0!</v>
      </c>
    </row>
    <row r="124" spans="1:29" ht="14.25" customHeight="1" x14ac:dyDescent="0.25">
      <c r="A124" s="170" t="s">
        <v>122</v>
      </c>
      <c r="B124" s="171">
        <f>B126+B127</f>
        <v>0</v>
      </c>
      <c r="C124" s="314" t="str">
        <f t="shared" si="10"/>
        <v>-</v>
      </c>
      <c r="D124" s="171">
        <f>D126+D127</f>
        <v>0</v>
      </c>
      <c r="E124" s="171">
        <f>E126+E127</f>
        <v>0</v>
      </c>
      <c r="F124" s="171">
        <f>F126+F127</f>
        <v>0</v>
      </c>
      <c r="G124" s="174"/>
      <c r="H124" s="174"/>
      <c r="I124" s="174"/>
      <c r="J124" s="174"/>
      <c r="K124" s="174"/>
      <c r="L124" s="175"/>
      <c r="M124" s="387" t="str">
        <f t="shared" si="11"/>
        <v>Muu tutkinto</v>
      </c>
      <c r="N124" s="388"/>
      <c r="O124" s="388"/>
      <c r="AB124" s="98"/>
      <c r="AC124" s="98"/>
    </row>
    <row r="125" spans="1:29" ht="14.25" customHeight="1" x14ac:dyDescent="0.25">
      <c r="A125" s="161" t="s">
        <v>1250</v>
      </c>
      <c r="B125" s="148">
        <f>SUMIFS(AS!$W:$W,AS!$BO:$BO,$W$7,AS!$AB:$AB,AS!$AA$1,AS!$AK:$AK,Asiakastilastot!$X125,AS!$AH:$AH,$X$8,AS!$AV:$AV,Asiakastilastot!$X$6,AS!$AW:$AW,Asiakastilastot!$Y$6,AS!$X:$X,Asiakastilastot!$Y$5,AS!$K:$K,$V$2)</f>
        <v>0</v>
      </c>
      <c r="C125" s="315" t="str">
        <f t="shared" si="10"/>
        <v>-</v>
      </c>
      <c r="D125" s="63">
        <f>SUMIFS(AS!W:W,AS!$BO:$BO,$W$7,AS!AB:AB,AS!$AA$1,AS!AK:AK,Asiakastilastot!$X125,AS!AH:AH,$X$8,AS!I:I,Asiakastilastot!$X$7,AS!$AV:$AV,Asiakastilastot!$X$6,AS!$AW:$AW,Asiakastilastot!$Y$6,AS!$X:$X,Asiakastilastot!$Y$5,AS!$K:$K,$V$2)</f>
        <v>0</v>
      </c>
      <c r="E125" s="162">
        <f>SUMIFS(AS!W:W,AS!$BO:$BO,$W$7,AS!AB:AB,AS!$AA$1,AS!AK:AK,Asiakastilastot!$X125,AS!AH:AH,$X$8,AS!I:I,Asiakastilastot!$Y$7,AS!$AV:$AV,Asiakastilastot!$X$6,AS!$AW:$AW,Asiakastilastot!$Y$6,AS!$X:$X,Asiakastilastot!$Y$5,AS!$K:$K,$V$2)</f>
        <v>0</v>
      </c>
      <c r="F125" s="162">
        <f>SUMIFS(AS!W:W,AS!$BO:$BO,$W$7,AS!AB:AB,AS!$AA$1,AS!AK:AK,Asiakastilastot!$X125,AS!AH:AH,$Y$8,AS!$AV:$AV,Asiakastilastot!$X$6,AS!$AW:$AW,Asiakastilastot!$Y$6,AS!$X:$X,Asiakastilastot!$Y$5,AS!$K:$K,$V$2)</f>
        <v>0</v>
      </c>
      <c r="G125" s="33"/>
      <c r="H125" s="33"/>
      <c r="I125" s="33"/>
      <c r="J125" s="33"/>
      <c r="K125" s="33"/>
      <c r="L125" s="34"/>
      <c r="M125" s="387"/>
      <c r="N125" s="388"/>
      <c r="O125" s="388"/>
      <c r="X125" s="155" t="s">
        <v>1460</v>
      </c>
      <c r="AB125" s="98" t="e">
        <f>$D125/$B$131</f>
        <v>#DIV/0!</v>
      </c>
      <c r="AC125" s="98" t="e">
        <f>$E125/$B$131</f>
        <v>#DIV/0!</v>
      </c>
    </row>
    <row r="126" spans="1:29" ht="14.25" customHeight="1" x14ac:dyDescent="0.25">
      <c r="A126" s="161" t="s">
        <v>124</v>
      </c>
      <c r="B126" s="148">
        <f>SUMIFS(AS!$W:$W,AS!$BO:$BO,$W$7,AS!$AB:$AB,AS!$AA$1,AS!$AK:$AK,Asiakastilastot!$X126,AS!$AH:$AH,$X$8,AS!$AV:$AV,Asiakastilastot!$X$6,AS!$AW:$AW,Asiakastilastot!$Y$6,AS!$X:$X,Asiakastilastot!$Y$5,AS!$K:$K,$V$2)</f>
        <v>0</v>
      </c>
      <c r="C126" s="315" t="str">
        <f t="shared" si="10"/>
        <v>-</v>
      </c>
      <c r="D126" s="63">
        <f>SUMIFS(AS!W:W,AS!$BO:$BO,$W$7,AS!AB:AB,AS!$AA$1,AS!AK:AK,Asiakastilastot!$X126,AS!AH:AH,$X$8,AS!I:I,Asiakastilastot!$X$7,AS!$AV:$AV,Asiakastilastot!$X$6,AS!$AW:$AW,Asiakastilastot!$Y$6,AS!$X:$X,Asiakastilastot!$Y$5,AS!$K:$K,$V$2)</f>
        <v>0</v>
      </c>
      <c r="E126" s="162">
        <f>SUMIFS(AS!W:W,AS!$BO:$BO,$W$7,AS!AB:AB,AS!$AA$1,AS!AK:AK,Asiakastilastot!$X126,AS!AH:AH,$X$8,AS!I:I,Asiakastilastot!$Y$7,AS!$AV:$AV,Asiakastilastot!$X$6,AS!$AW:$AW,Asiakastilastot!$Y$6,AS!$X:$X,Asiakastilastot!$Y$5,AS!$K:$K,$V$2)</f>
        <v>0</v>
      </c>
      <c r="F126" s="162">
        <f>SUMIFS(AS!W:W,AS!$BO:$BO,$W$7,AS!AB:AB,AS!$AA$1,AS!AK:AK,Asiakastilastot!$X126,AS!AH:AH,$Y$8,AS!$AV:$AV,Asiakastilastot!$X$6,AS!$AW:$AW,Asiakastilastot!$Y$6,AS!$X:$X,Asiakastilastot!$Y$5,AS!$K:$K,$V$2)</f>
        <v>0</v>
      </c>
      <c r="G126" s="33"/>
      <c r="H126" s="33"/>
      <c r="I126" s="33"/>
      <c r="J126" s="33"/>
      <c r="K126" s="33"/>
      <c r="L126" s="34"/>
      <c r="M126" s="387" t="str">
        <f>A126</f>
        <v>Ulkomailla suoritettu tutkinto</v>
      </c>
      <c r="N126" s="388">
        <f>D126</f>
        <v>0</v>
      </c>
      <c r="O126" s="388">
        <f>E126</f>
        <v>0</v>
      </c>
      <c r="X126" s="155" t="s">
        <v>394</v>
      </c>
      <c r="AB126" s="98" t="e">
        <f>$D126/$B$131</f>
        <v>#DIV/0!</v>
      </c>
      <c r="AC126" s="98" t="e">
        <f>$E126/$B$131</f>
        <v>#DIV/0!</v>
      </c>
    </row>
    <row r="127" spans="1:29" ht="14.25" customHeight="1" x14ac:dyDescent="0.25">
      <c r="A127" s="161" t="s">
        <v>63</v>
      </c>
      <c r="B127" s="148">
        <f>SUMIFS(AS!$W:$W,AS!$BO:$BO,$W$7,AS!$AB:$AB,AS!$AA$1,AS!$AK:$AK,Asiakastilastot!$X127,AS!$AH:$AH,$X$8,AS!$AV:$AV,Asiakastilastot!$X$6,AS!$AW:$AW,Asiakastilastot!$Y$6,AS!$X:$X,Asiakastilastot!$Y$5,AS!$K:$K,$V$2)</f>
        <v>0</v>
      </c>
      <c r="C127" s="315" t="str">
        <f t="shared" si="10"/>
        <v>-</v>
      </c>
      <c r="D127" s="63">
        <f>SUMIFS(AS!W:W,AS!$BO:$BO,$W$7,AS!AB:AB,AS!$AA$1,AS!AK:AK,Asiakastilastot!$X127,AS!AH:AH,$X$8,AS!I:I,Asiakastilastot!$X$7,AS!$AV:$AV,Asiakastilastot!$X$6,AS!$AW:$AW,Asiakastilastot!$Y$6,AS!$X:$X,Asiakastilastot!$Y$5,AS!$K:$K,$V$2)</f>
        <v>0</v>
      </c>
      <c r="E127" s="162">
        <f>SUMIFS(AS!W:W,AS!$BO:$BO,$W$7,AS!AB:AB,AS!$AA$1,AS!AK:AK,Asiakastilastot!$X127,AS!AH:AH,$X$8,AS!I:I,Asiakastilastot!$Y$7,AS!$AV:$AV,Asiakastilastot!$X$6,AS!$AW:$AW,Asiakastilastot!$Y$6,AS!$X:$X,Asiakastilastot!$Y$5,AS!$K:$K,$V$2)</f>
        <v>0</v>
      </c>
      <c r="F127" s="162">
        <f>SUMIFS(AS!W:W,AS!$BO:$BO,$W$7,AS!AB:AB,AS!$AA$1,AS!AK:AK,Asiakastilastot!$X127,AS!AH:AH,$Y$8,AS!$AV:$AV,Asiakastilastot!$X$6,AS!$AW:$AW,Asiakastilastot!$Y$6,AS!$X:$X,Asiakastilastot!$Y$5,AS!$K:$K,$V$2)</f>
        <v>0</v>
      </c>
      <c r="G127" s="33"/>
      <c r="H127" s="33"/>
      <c r="I127" s="33"/>
      <c r="J127" s="33"/>
      <c r="K127" s="33"/>
      <c r="L127" s="34"/>
      <c r="M127" s="387" t="str">
        <f t="shared" si="11"/>
        <v>Muu</v>
      </c>
      <c r="N127" s="388">
        <f>D127</f>
        <v>0</v>
      </c>
      <c r="O127" s="388">
        <f>E127</f>
        <v>0</v>
      </c>
      <c r="X127" s="155" t="s">
        <v>399</v>
      </c>
      <c r="AB127" s="98" t="e">
        <f>$D127/$B$131</f>
        <v>#DIV/0!</v>
      </c>
      <c r="AC127" s="98" t="e">
        <f>$E127/$B$131</f>
        <v>#DIV/0!</v>
      </c>
    </row>
    <row r="128" spans="1:29" ht="14.25" customHeight="1" x14ac:dyDescent="0.25">
      <c r="A128" s="170" t="s">
        <v>97</v>
      </c>
      <c r="B128" s="171">
        <f>B130+B129</f>
        <v>0</v>
      </c>
      <c r="C128" s="314" t="str">
        <f t="shared" si="10"/>
        <v>-</v>
      </c>
      <c r="D128" s="171">
        <f>D130+D129</f>
        <v>0</v>
      </c>
      <c r="E128" s="171">
        <f>E130+E129</f>
        <v>0</v>
      </c>
      <c r="F128" s="171">
        <f>F130+F129</f>
        <v>0</v>
      </c>
      <c r="G128" s="174"/>
      <c r="H128" s="174"/>
      <c r="I128" s="174"/>
      <c r="J128" s="174"/>
      <c r="K128" s="174"/>
      <c r="L128" s="175"/>
      <c r="M128" s="387" t="str">
        <f t="shared" si="11"/>
        <v>Ei tietoa</v>
      </c>
      <c r="N128" s="388"/>
      <c r="O128" s="388"/>
      <c r="X128"/>
      <c r="AB128" s="98"/>
      <c r="AC128" s="98"/>
    </row>
    <row r="129" spans="1:29" ht="14.25" customHeight="1" x14ac:dyDescent="0.25">
      <c r="A129" s="161" t="s">
        <v>97</v>
      </c>
      <c r="B129" s="63">
        <f>SUMIFS(AS!W:W,AS!$BO:$BO,$W$7,AS!AB:AB,AS!$AA$1,AS!AK:AK,Asiakastilastot!$X129,AS!AH:AH,$X$8,AS!$AV:$AV,Asiakastilastot!$X$6,AS!$AW:$AW,Asiakastilastot!$Y$6,AS!$X:$X,Asiakastilastot!$Y$5,AS!$K:$K,$V$2)</f>
        <v>0</v>
      </c>
      <c r="C129" s="315" t="str">
        <f t="shared" si="10"/>
        <v>-</v>
      </c>
      <c r="D129" s="63">
        <f>SUMIFS(AS!W:W,AS!$BO:$BO,$W$7,AS!AB:AB,AS!$AA$1,AS!AK:AK,Asiakastilastot!$X129,AS!AH:AH,$X$8,AS!I:I,Asiakastilastot!$X$7,AS!$AV:$AV,Asiakastilastot!$X$6,AS!$AW:$AW,Asiakastilastot!$Y$6,AS!$X:$X,Asiakastilastot!$Y$5,AS!$K:$K,$V$2)</f>
        <v>0</v>
      </c>
      <c r="E129" s="162">
        <f>SUMIFS(AS!W:W,AS!$BO:$BO,$W$7,AS!AB:AB,AS!$AA$1,AS!AK:AK,Asiakastilastot!$X129,AS!AH:AH,$X$8,AS!I:I,Asiakastilastot!$Y$7,AS!$AV:$AV,Asiakastilastot!$X$6,AS!$AW:$AW,Asiakastilastot!$Y$6,AS!$X:$X,Asiakastilastot!$Y$5,AS!$K:$K,$V$2)</f>
        <v>0</v>
      </c>
      <c r="F129" s="162">
        <f>SUMIFS(AS!W:W,AS!$BO:$BO,$W$7,AS!AB:AB,AS!$AA$1,AS!AK:AK,Asiakastilastot!$X129,AS!AH:AH,$Y$8,AS!$AV:$AV,Asiakastilastot!$X$6,AS!$AW:$AW,Asiakastilastot!$Y$6,AS!$X:$X,Asiakastilastot!$Y$5,AS!$K:$K,$V$2)</f>
        <v>0</v>
      </c>
      <c r="G129" s="39"/>
      <c r="H129" s="39"/>
      <c r="I129" s="39"/>
      <c r="J129" s="39"/>
      <c r="K129" s="39"/>
      <c r="L129" s="40"/>
      <c r="M129" s="387" t="str">
        <f t="shared" si="11"/>
        <v>Ei tietoa</v>
      </c>
      <c r="N129" s="388">
        <f>D129</f>
        <v>0</v>
      </c>
      <c r="O129" s="388">
        <f>E129</f>
        <v>0</v>
      </c>
      <c r="X129" s="155" t="s">
        <v>365</v>
      </c>
      <c r="AB129" s="98" t="e">
        <f>$D129/$B$131</f>
        <v>#DIV/0!</v>
      </c>
      <c r="AC129" s="98" t="e">
        <f>$E129/$B$131</f>
        <v>#DIV/0!</v>
      </c>
    </row>
    <row r="130" spans="1:29" ht="14.25" customHeight="1" x14ac:dyDescent="0.25">
      <c r="A130" s="161" t="s">
        <v>548</v>
      </c>
      <c r="B130" s="63">
        <f>SUMIFS(AS!W:W,AS!$BO:$BO,$W$7,AS!AB:AB,AS!$AA$1,AS!AK:AK,"",AS!AH:AH,$X$8,AS!$AV:$AV,Asiakastilastot!$X$6,AS!$AW:$AW,Asiakastilastot!$Y$6,AS!$X:$X,Asiakastilastot!$Y$5,AS!$K:$K,$V$2)</f>
        <v>0</v>
      </c>
      <c r="C130" s="315" t="str">
        <f t="shared" si="10"/>
        <v>-</v>
      </c>
      <c r="D130" s="63">
        <f>SUMIFS(AS!W:W,AS!$BO:$BO,$W$7,AS!AB:AB,AS!$AA$1,AS!AK:AK,"",AS!AH:AH,$X$8,AS!I:I,Asiakastilastot!$X$7,AS!$AV:$AV,Asiakastilastot!$X$6,AS!$AW:$AW,Asiakastilastot!$Y$6,AS!$X:$X,Asiakastilastot!$Y$5,AS!$K:$K,$V$2)</f>
        <v>0</v>
      </c>
      <c r="E130" s="162">
        <f>SUMIFS(AS!W:W,AS!$BO:$BO,$W$7,AS!AB:AB,AS!$AA$1,AS!AK:AK,"",AS!AH:AH,$X$8,AS!I:I,Asiakastilastot!$Y$7,AS!$AV:$AV,Asiakastilastot!$X$6,AS!$AW:$AW,Asiakastilastot!$Y$6,AS!$X:$X,Asiakastilastot!$Y$5,AS!$K:$K,$V$2)</f>
        <v>0</v>
      </c>
      <c r="F130" s="162">
        <f>SUMIFS(AS!W:W,AS!$BO:$BO,$W$7,AS!AB:AB,AS!$AA$1,AS!AK:AK,"",AS!AH:AH,$Y$8,AS!$AV:$AV,Asiakastilastot!$X$6,AS!$AW:$AW,Asiakastilastot!$Y$6,AS!$X:$X,Asiakastilastot!$Y$5,AS!$K:$K,$V$2)</f>
        <v>0</v>
      </c>
      <c r="G130" s="39"/>
      <c r="H130" s="39"/>
      <c r="I130" s="39"/>
      <c r="J130" s="39"/>
      <c r="K130" s="39"/>
      <c r="L130" s="40"/>
      <c r="M130" s="387" t="str">
        <f t="shared" si="11"/>
        <v>Ei kirjattu</v>
      </c>
      <c r="N130" s="388">
        <f>D130</f>
        <v>0</v>
      </c>
      <c r="O130" s="388">
        <f>E130</f>
        <v>0</v>
      </c>
      <c r="X130"/>
      <c r="AB130" s="98" t="e">
        <f>$D130/$B$131</f>
        <v>#DIV/0!</v>
      </c>
      <c r="AC130" s="98" t="e">
        <f>$E130/$B$131</f>
        <v>#DIV/0!</v>
      </c>
    </row>
    <row r="131" spans="1:29" ht="18.75" customHeight="1" x14ac:dyDescent="0.25">
      <c r="A131" s="156" t="s">
        <v>114</v>
      </c>
      <c r="B131" s="66">
        <f>B128+B124+B120+B116+B111+B107</f>
        <v>0</v>
      </c>
      <c r="C131" s="316" t="str">
        <f>IFERROR(C128+C124+C120+C116+C111+C107,"-")</f>
        <v>-</v>
      </c>
      <c r="D131" s="66">
        <f>D128+D124+D120+D116+D111+D107</f>
        <v>0</v>
      </c>
      <c r="E131" s="66">
        <f>E128+E124+E120+E116+E111+E107</f>
        <v>0</v>
      </c>
      <c r="F131" s="66">
        <f>F128+F124+F120+F116+F111+F107</f>
        <v>0</v>
      </c>
      <c r="G131" s="41"/>
      <c r="H131" s="41"/>
      <c r="I131" s="41"/>
      <c r="J131" s="41"/>
      <c r="K131" s="41"/>
      <c r="L131" s="42"/>
      <c r="M131" s="150"/>
      <c r="N131" s="150"/>
      <c r="O131" s="150"/>
      <c r="U131" s="88"/>
      <c r="V131" s="88"/>
      <c r="W131" s="88"/>
      <c r="AC131"/>
    </row>
    <row r="132" spans="1:29" ht="14.45" customHeight="1" x14ac:dyDescent="0.25">
      <c r="A132"/>
      <c r="B132"/>
      <c r="C132"/>
      <c r="D132"/>
      <c r="E132"/>
      <c r="F132"/>
      <c r="G132"/>
      <c r="H132"/>
      <c r="M132" s="150"/>
      <c r="N132" s="150"/>
      <c r="O132" s="150"/>
      <c r="U132" s="88"/>
      <c r="V132" s="88"/>
      <c r="W132" s="88"/>
      <c r="AC132"/>
    </row>
    <row r="133" spans="1:29" ht="14.45" customHeight="1" x14ac:dyDescent="0.25">
      <c r="A133" s="361"/>
      <c r="M133" s="150"/>
      <c r="N133" s="150"/>
      <c r="O133" s="150"/>
      <c r="U133" s="88"/>
      <c r="V133" s="88"/>
      <c r="W133" s="88"/>
      <c r="AC133"/>
    </row>
    <row r="134" spans="1:29" x14ac:dyDescent="0.25">
      <c r="A134" s="163" t="str">
        <f>Y12&amp;X136&amp;X10&amp;X12</f>
        <v xml:space="preserve">- KAIKKI: Nuorten ylin suoritettu tutkinto aloitustilanteessa - 01.01.2025-30.04.2025 </v>
      </c>
      <c r="D134" s="26"/>
      <c r="M134" s="150"/>
      <c r="N134" s="150"/>
      <c r="O134" s="150"/>
      <c r="U134" s="88"/>
      <c r="V134" s="88"/>
      <c r="W134" s="88"/>
    </row>
    <row r="135" spans="1:29" ht="38.25" x14ac:dyDescent="0.25">
      <c r="A135" s="859" t="s">
        <v>101</v>
      </c>
      <c r="B135" s="833" t="s">
        <v>114</v>
      </c>
      <c r="C135" s="833"/>
      <c r="D135" s="57" t="s">
        <v>132</v>
      </c>
      <c r="E135" s="58" t="s">
        <v>133</v>
      </c>
      <c r="F135" s="57" t="s">
        <v>134</v>
      </c>
      <c r="G135" s="166"/>
      <c r="H135" s="166"/>
      <c r="I135" s="166"/>
      <c r="J135" s="166"/>
      <c r="K135" s="166"/>
      <c r="L135" s="167"/>
      <c r="M135" s="150"/>
      <c r="N135" s="150"/>
      <c r="O135" s="150"/>
      <c r="U135" s="88"/>
      <c r="V135" s="88"/>
      <c r="W135" s="88"/>
      <c r="X135"/>
    </row>
    <row r="136" spans="1:29" x14ac:dyDescent="0.25">
      <c r="A136" s="859"/>
      <c r="B136" s="57" t="s">
        <v>106</v>
      </c>
      <c r="C136" s="57" t="s">
        <v>176</v>
      </c>
      <c r="D136" s="57" t="s">
        <v>106</v>
      </c>
      <c r="E136" s="57" t="s">
        <v>106</v>
      </c>
      <c r="F136" s="57" t="s">
        <v>106</v>
      </c>
      <c r="G136" s="168"/>
      <c r="H136" s="168"/>
      <c r="I136" s="168"/>
      <c r="J136" s="168"/>
      <c r="K136" s="168"/>
      <c r="L136" s="169"/>
      <c r="M136" s="150"/>
      <c r="N136" s="150"/>
      <c r="O136" s="150"/>
      <c r="X136" s="225" t="s">
        <v>622</v>
      </c>
    </row>
    <row r="137" spans="1:29" x14ac:dyDescent="0.25">
      <c r="A137" s="170" t="s">
        <v>68</v>
      </c>
      <c r="B137" s="171">
        <f>B138+B139+B140</f>
        <v>0</v>
      </c>
      <c r="C137" s="317" t="str">
        <f>IFERROR(B137/B$154,"-")</f>
        <v>-</v>
      </c>
      <c r="D137" s="171">
        <f>D138+D139+D140</f>
        <v>0</v>
      </c>
      <c r="E137" s="171">
        <f>E138+E139+E140</f>
        <v>0</v>
      </c>
      <c r="F137" s="171">
        <f>F138+F139+F140</f>
        <v>0</v>
      </c>
      <c r="G137" s="172"/>
      <c r="H137" s="172"/>
      <c r="I137" s="172"/>
      <c r="J137" s="172"/>
      <c r="K137" s="172"/>
      <c r="L137" s="173"/>
      <c r="M137" s="150"/>
      <c r="N137" s="150" t="s">
        <v>132</v>
      </c>
      <c r="O137" s="150" t="s">
        <v>133</v>
      </c>
      <c r="X137"/>
      <c r="AB137"/>
      <c r="AC137"/>
    </row>
    <row r="138" spans="1:29" x14ac:dyDescent="0.25">
      <c r="A138" s="161" t="s">
        <v>119</v>
      </c>
      <c r="B138" s="148">
        <f>SUMIFS(AS!W:W,AS!$BO:$BO,$W$7,AS!AB:AB,AS!$AA$1,AS!AJ:AJ,Asiakastilastot!$X138,AS!AH:AH,$X$8,AS!$AV:$AV,Asiakastilastot!$X$6,AS!$AW:$AW,Asiakastilastot!$Y$6,AS!$X:$X,Asiakastilastot!$Y$5,AS!$K:$K,$V$2)</f>
        <v>0</v>
      </c>
      <c r="C138" s="315" t="str">
        <f t="shared" ref="C138:C153" si="16">IFERROR(B138/B$154,"-")</f>
        <v>-</v>
      </c>
      <c r="D138" s="63">
        <f>SUMIFS(AS!W:W,AS!$BO:$BO,$W$7,AS!AB:AB,AS!$AA$1,AS!AJ:AJ,Asiakastilastot!$X138,AS!AH:AH,$X$8,AS!I:I,Asiakastilastot!$X$7,AS!$AV:$AV,Asiakastilastot!$X$6,AS!$AW:$AW,Asiakastilastot!$Y$6,AS!$X:$X,Asiakastilastot!$Y$5,AS!$K:$K,$V$2)</f>
        <v>0</v>
      </c>
      <c r="E138" s="162">
        <f>SUMIFS(AS!W:W,AS!$BO:$BO,$W$7,AS!AB:AB,AS!$AA$1,AS!AJ:AJ,Asiakastilastot!$X138,AS!AH:AH,$X$8,AS!I:I,Asiakastilastot!$Y$7,AS!$AV:$AV,Asiakastilastot!$X$6,AS!$AW:$AW,Asiakastilastot!$Y$6,AS!$X:$X,Asiakastilastot!$Y$5,AS!$K:$K,$V$2)</f>
        <v>0</v>
      </c>
      <c r="F138" s="162">
        <f>SUMIFS(AS!W:W,AS!$BO:$BO,$W$7,AS!AB:AB,AS!$AA$1,AS!AJ:AJ,Asiakastilastot!$X138,AS!AH:AH,$Y$8,AS!$AV:$AV,Asiakastilastot!$X$6,AS!$AW:$AW,Asiakastilastot!$Y$6,AS!$X:$X,Asiakastilastot!$Y$5,AS!$K:$K,$V$2)</f>
        <v>0</v>
      </c>
      <c r="G138" s="33"/>
      <c r="H138" s="33"/>
      <c r="I138" s="33"/>
      <c r="J138" s="33"/>
      <c r="K138" s="33"/>
      <c r="L138" s="34"/>
      <c r="M138" s="387" t="str">
        <f t="shared" ref="M138:M154" si="17">A137</f>
        <v>Peruskoulu</v>
      </c>
      <c r="N138" s="388">
        <v>0</v>
      </c>
      <c r="O138" s="388">
        <v>0</v>
      </c>
      <c r="X138" s="47" t="s">
        <v>404</v>
      </c>
      <c r="AB138"/>
      <c r="AC138"/>
    </row>
    <row r="139" spans="1:29" x14ac:dyDescent="0.25">
      <c r="A139" s="161" t="s">
        <v>125</v>
      </c>
      <c r="B139" s="148">
        <f>SUMIFS(AS!W:W,AS!$BO:$BO,$W$7,AS!AB:AB,AS!$AA$1,AS!AJ:AJ,Asiakastilastot!$X139,AS!AH:AH,$X$8,AS!$AV:$AV,Asiakastilastot!$X$6,AS!$AW:$AW,Asiakastilastot!$Y$6,AS!$X:$X,Asiakastilastot!$Y$5,AS!$K:$K,$V$2)</f>
        <v>0</v>
      </c>
      <c r="C139" s="315" t="str">
        <f t="shared" si="16"/>
        <v>-</v>
      </c>
      <c r="D139" s="63">
        <f>SUMIFS(AS!W:W,AS!$BO:$BO,$W$7,AS!AB:AB,AS!$AA$1,AS!AJ:AJ,Asiakastilastot!$X139,AS!AH:AH,$X$8,AS!I:I,Asiakastilastot!$X$7,AS!$AV:$AV,Asiakastilastot!$X$6,AS!$AW:$AW,Asiakastilastot!$Y$6,AS!$X:$X,Asiakastilastot!$Y$5,AS!$K:$K,$V$2)</f>
        <v>0</v>
      </c>
      <c r="E139" s="162">
        <f>SUMIFS(AS!W:W,AS!$BO:$BO,$W$7,AS!AB:AB,AS!$AA$1,AS!AJ:AJ,Asiakastilastot!$X139,AS!AH:AH,$X$8,AS!I:I,Asiakastilastot!$Y$7,AS!$AV:$AV,Asiakastilastot!$X$6,AS!$AW:$AW,Asiakastilastot!$Y$6,AS!$X:$X,Asiakastilastot!$Y$5,AS!$K:$K,$V$2)</f>
        <v>0</v>
      </c>
      <c r="F139" s="162">
        <f>SUMIFS(AS!W:W,AS!$BO:$BO,$W$7,AS!AB:AB,AS!$AA$1,AS!AJ:AJ,Asiakastilastot!$X139,AS!AH:AH,$Y$8,AS!$AV:$AV,Asiakastilastot!$X$6,AS!$AW:$AW,Asiakastilastot!$Y$6,AS!$X:$X,Asiakastilastot!$Y$5,AS!$K:$K,$V$2)</f>
        <v>0</v>
      </c>
      <c r="G139" s="33"/>
      <c r="H139" s="33"/>
      <c r="I139" s="33"/>
      <c r="J139" s="33"/>
      <c r="K139" s="33"/>
      <c r="L139" s="34"/>
      <c r="M139" s="387" t="str">
        <f t="shared" si="17"/>
        <v>Edelleen peruskoulussa</v>
      </c>
      <c r="N139" s="388">
        <f t="shared" ref="N139:O141" si="18">D138</f>
        <v>0</v>
      </c>
      <c r="O139" s="388">
        <f t="shared" si="18"/>
        <v>0</v>
      </c>
      <c r="X139" s="47" t="s">
        <v>354</v>
      </c>
      <c r="AB139"/>
      <c r="AC139"/>
    </row>
    <row r="140" spans="1:29" x14ac:dyDescent="0.25">
      <c r="A140" s="161" t="s">
        <v>177</v>
      </c>
      <c r="B140" s="148">
        <f>SUMIFS(AS!W:W,AS!$BO:$BO,$W$7,AS!AB:AB,AS!$AA$1,AS!AJ:AJ,Asiakastilastot!$X140,AS!AH:AH,$X$8,AS!$AV:$AV,Asiakastilastot!$X$6,AS!$AW:$AW,Asiakastilastot!$Y$6,AS!$X:$X,Asiakastilastot!$Y$5,AS!$K:$K,$V$2)</f>
        <v>0</v>
      </c>
      <c r="C140" s="315" t="str">
        <f t="shared" si="16"/>
        <v>-</v>
      </c>
      <c r="D140" s="63">
        <f>SUMIFS(AS!W:W,AS!$BO:$BO,$W$7,AS!AB:AB,AS!$AA$1,AS!AJ:AJ,Asiakastilastot!$X140,AS!AH:AH,$X$8,AS!I:I,Asiakastilastot!$X$7,AS!$AV:$AV,Asiakastilastot!$X$6,AS!$AW:$AW,Asiakastilastot!$Y$6,AS!$X:$X,Asiakastilastot!$Y$5,AS!$K:$K,$V$2)</f>
        <v>0</v>
      </c>
      <c r="E140" s="162">
        <f>SUMIFS(AS!W:W,AS!$BO:$BO,$W$7,AS!AB:AB,AS!$AA$1,AS!AJ:AJ,Asiakastilastot!$X140,AS!AH:AH,$X$8,AS!I:I,Asiakastilastot!$Y$7,AS!$AV:$AV,Asiakastilastot!$X$6,AS!$AW:$AW,Asiakastilastot!$Y$6,AS!$X:$X,Asiakastilastot!$Y$5,AS!$K:$K,$V$2)</f>
        <v>0</v>
      </c>
      <c r="F140" s="162">
        <f>SUMIFS(AS!W:W,AS!$BO:$BO,$W$7,AS!AB:AB,AS!$AA$1,AS!AJ:AJ,Asiakastilastot!$X140,AS!AH:AH,$Y$8,AS!$AV:$AV,Asiakastilastot!$X$6,AS!$AW:$AW,Asiakastilastot!$Y$6,AS!$X:$X,Asiakastilastot!$Y$5,AS!$K:$K,$V$2)</f>
        <v>0</v>
      </c>
      <c r="G140" s="33"/>
      <c r="H140" s="33"/>
      <c r="I140" s="33"/>
      <c r="J140" s="33"/>
      <c r="K140" s="33"/>
      <c r="L140" s="34"/>
      <c r="M140" s="387" t="str">
        <f t="shared" si="17"/>
        <v>Peruskoulu keskeytynyt</v>
      </c>
      <c r="N140" s="388">
        <f t="shared" si="18"/>
        <v>0</v>
      </c>
      <c r="O140" s="388">
        <f t="shared" si="18"/>
        <v>0</v>
      </c>
      <c r="X140" s="47" t="s">
        <v>346</v>
      </c>
      <c r="AB140"/>
      <c r="AC140"/>
    </row>
    <row r="141" spans="1:29" x14ac:dyDescent="0.25">
      <c r="A141" s="170" t="s">
        <v>565</v>
      </c>
      <c r="B141" s="171">
        <f>B142+B143+B144</f>
        <v>0</v>
      </c>
      <c r="C141" s="317" t="str">
        <f t="shared" si="16"/>
        <v>-</v>
      </c>
      <c r="D141" s="171">
        <f>D142+D143+D144</f>
        <v>0</v>
      </c>
      <c r="E141" s="171">
        <f>E142+E143+E144</f>
        <v>0</v>
      </c>
      <c r="F141" s="171">
        <f>F142+F143+F144</f>
        <v>0</v>
      </c>
      <c r="G141" s="174"/>
      <c r="H141" s="174"/>
      <c r="I141" s="174"/>
      <c r="J141" s="174"/>
      <c r="K141" s="174"/>
      <c r="L141" s="175"/>
      <c r="M141" s="387" t="str">
        <f t="shared" si="17"/>
        <v xml:space="preserve">Peruskoulu suoritettu </v>
      </c>
      <c r="N141" s="388">
        <f t="shared" si="18"/>
        <v>0</v>
      </c>
      <c r="O141" s="388">
        <f t="shared" si="18"/>
        <v>0</v>
      </c>
      <c r="X141"/>
      <c r="AB141"/>
      <c r="AC141"/>
    </row>
    <row r="142" spans="1:29" x14ac:dyDescent="0.25">
      <c r="A142" s="161" t="s">
        <v>120</v>
      </c>
      <c r="B142" s="148">
        <f>SUMIFS(AS!W:W,AS!$BO:$BO,$W$7,AS!AB:AB,AS!$AA$1,AS!AJ:AJ,Asiakastilastot!$X142,AS!AH:AH,$X$8,AS!$AV:$AV,Asiakastilastot!$X$6,AS!$AW:$AW,Asiakastilastot!$Y$6,AS!$X:$X,Asiakastilastot!$Y$5,AS!$K:$K,$V$2)</f>
        <v>0</v>
      </c>
      <c r="C142" s="315" t="str">
        <f t="shared" si="16"/>
        <v>-</v>
      </c>
      <c r="D142" s="63">
        <f>SUMIFS(AS!W:W,AS!$BO:$BO,$W$7,AS!AB:AB,AS!$AA$1,AS!AJ:AJ,Asiakastilastot!$X142,AS!AH:AH,$X$8,AS!I:I,Asiakastilastot!$X$7,AS!$AV:$AV,Asiakastilastot!$X$6,AS!$AW:$AW,Asiakastilastot!$Y$6,AS!$X:$X,Asiakastilastot!$Y$5,AS!$K:$K,$V$2)</f>
        <v>0</v>
      </c>
      <c r="E142" s="162">
        <f>SUMIFS(AS!W:W,AS!$BO:$BO,$W$7,AS!AB:AB,AS!$AA$1,AS!AJ:AJ,Asiakastilastot!$X142,AS!AH:AH,$X$8,AS!I:I,Asiakastilastot!$Y$7,AS!$AV:$AV,Asiakastilastot!$X$6,AS!$AW:$AW,Asiakastilastot!$Y$6,AS!$X:$X,Asiakastilastot!$Y$5,AS!$K:$K,$V$2)</f>
        <v>0</v>
      </c>
      <c r="F142" s="162">
        <f>SUMIFS(AS!W:W,AS!$BO:$BO,$W$7,AS!AB:AB,AS!$AA$1,AS!AJ:AJ,Asiakastilastot!$X142,AS!AH:AH,$Y$8,AS!$AV:$AV,Asiakastilastot!$X$6,AS!$AW:$AW,Asiakastilastot!$Y$6,AS!$X:$X,Asiakastilastot!$Y$5,AS!$K:$K,$V$2)</f>
        <v>0</v>
      </c>
      <c r="G142" s="33"/>
      <c r="H142" s="33"/>
      <c r="I142" s="33"/>
      <c r="J142" s="33"/>
      <c r="K142" s="33"/>
      <c r="L142" s="34"/>
      <c r="M142" s="387" t="str">
        <f t="shared" si="17"/>
        <v>Toinen aste</v>
      </c>
      <c r="N142" s="388"/>
      <c r="O142" s="388"/>
      <c r="X142" s="47" t="s">
        <v>407</v>
      </c>
      <c r="AB142"/>
      <c r="AC142"/>
    </row>
    <row r="143" spans="1:29" x14ac:dyDescent="0.25">
      <c r="A143" s="161" t="s">
        <v>128</v>
      </c>
      <c r="B143" s="148">
        <f>SUMIFS(AS!W:W,AS!$BO:$BO,$W$7,AS!AB:AB,AS!$AA$1,AS!AJ:AJ,Asiakastilastot!$X143,AS!AH:AH,$X$8,AS!$AV:$AV,Asiakastilastot!$X$6,AS!$AW:$AW,Asiakastilastot!$Y$6,AS!$X:$X,Asiakastilastot!$Y$5,AS!$K:$K,$V$2)</f>
        <v>0</v>
      </c>
      <c r="C143" s="315" t="str">
        <f t="shared" si="16"/>
        <v>-</v>
      </c>
      <c r="D143" s="63">
        <f>SUMIFS(AS!W:W,AS!$BO:$BO,$W$7,AS!AB:AB,AS!$AA$1,AS!AJ:AJ,Asiakastilastot!$X143,AS!AH:AH,$X$8,AS!I:I,Asiakastilastot!$X$7,AS!$AV:$AV,Asiakastilastot!$X$6,AS!$AW:$AW,Asiakastilastot!$Y$6,AS!$X:$X,Asiakastilastot!$Y$5,AS!$K:$K,$V$2)</f>
        <v>0</v>
      </c>
      <c r="E143" s="162">
        <f>SUMIFS(AS!W:W,AS!$BO:$BO,$W$7,AS!AB:AB,AS!$AA$1,AS!AJ:AJ,Asiakastilastot!$X143,AS!AH:AH,$X$8,AS!I:I,Asiakastilastot!$Y$7,AS!$AV:$AV,Asiakastilastot!$X$6,AS!$AW:$AW,Asiakastilastot!$Y$6,AS!$X:$X,Asiakastilastot!$Y$5,AS!$K:$K,$V$2)</f>
        <v>0</v>
      </c>
      <c r="F143" s="162">
        <f>SUMIFS(AS!W:W,AS!$BO:$BO,$W$7,AS!AB:AB,AS!$AA$1,AS!AJ:AJ,Asiakastilastot!$X143,AS!AH:AH,$Y$8,AS!$AV:$AV,Asiakastilastot!$X$6,AS!$AW:$AW,Asiakastilastot!$Y$6,AS!$X:$X,Asiakastilastot!$Y$5,AS!$K:$K,$V$2)</f>
        <v>0</v>
      </c>
      <c r="G143" s="33"/>
      <c r="H143" s="33"/>
      <c r="I143" s="33"/>
      <c r="J143" s="33"/>
      <c r="K143" s="33"/>
      <c r="L143" s="34"/>
      <c r="M143" s="387" t="str">
        <f t="shared" si="17"/>
        <v>Lukion oppimäärä</v>
      </c>
      <c r="N143" s="388">
        <f t="shared" ref="N143:O145" si="19">D142</f>
        <v>0</v>
      </c>
      <c r="O143" s="388">
        <f t="shared" si="19"/>
        <v>0</v>
      </c>
      <c r="X143" s="47" t="s">
        <v>400</v>
      </c>
      <c r="AB143"/>
      <c r="AC143"/>
    </row>
    <row r="144" spans="1:29" x14ac:dyDescent="0.25">
      <c r="A144" s="161" t="s">
        <v>30</v>
      </c>
      <c r="B144" s="148">
        <f>SUMIFS(AS!W:W,AS!$BO:$BO,$W$7,AS!AB:AB,AS!$AA$1,AS!AJ:AJ,Asiakastilastot!$X144,AS!AH:AH,$X$8,AS!$AV:$AV,Asiakastilastot!$X$6,AS!$AW:$AW,Asiakastilastot!$Y$6,AS!$X:$X,Asiakastilastot!$Y$5,AS!$K:$K,$V$2)</f>
        <v>0</v>
      </c>
      <c r="C144" s="315" t="str">
        <f t="shared" si="16"/>
        <v>-</v>
      </c>
      <c r="D144" s="63">
        <f>SUMIFS(AS!W:W,AS!$BO:$BO,$W$7,AS!AB:AB,AS!$AA$1,AS!AJ:AJ,Asiakastilastot!$X144,AS!AH:AH,$X$8,AS!I:I,Asiakastilastot!$X$7,AS!$AV:$AV,Asiakastilastot!$X$6,AS!$AW:$AW,Asiakastilastot!$Y$6,AS!$X:$X,Asiakastilastot!$Y$5,AS!$K:$K,$V$2)</f>
        <v>0</v>
      </c>
      <c r="E144" s="162">
        <f>SUMIFS(AS!W:W,AS!$BO:$BO,$W$7,AS!AB:AB,AS!$AA$1,AS!AJ:AJ,Asiakastilastot!$X144,AS!AH:AH,$X$8,AS!I:I,Asiakastilastot!$Y$7,AS!$AV:$AV,Asiakastilastot!$X$6,AS!$AW:$AW,Asiakastilastot!$Y$6,AS!$X:$X,Asiakastilastot!$Y$5,AS!$K:$K,$V$2)</f>
        <v>0</v>
      </c>
      <c r="F144" s="162">
        <f>SUMIFS(AS!W:W,AS!$BO:$BO,$W$7,AS!AB:AB,AS!$AA$1,AS!AJ:AJ,Asiakastilastot!$X144,AS!AH:AH,$Y$8,AS!$AV:$AV,Asiakastilastot!$X$6,AS!$AW:$AW,Asiakastilastot!$Y$6,AS!$X:$X,Asiakastilastot!$Y$5,AS!$K:$K,$V$2)</f>
        <v>0</v>
      </c>
      <c r="G144" s="33"/>
      <c r="H144" s="33"/>
      <c r="I144" s="33"/>
      <c r="J144" s="33"/>
      <c r="K144" s="33"/>
      <c r="L144" s="34"/>
      <c r="M144" s="387" t="str">
        <f t="shared" si="17"/>
        <v>Ylioppilas</v>
      </c>
      <c r="N144" s="388">
        <f t="shared" si="19"/>
        <v>0</v>
      </c>
      <c r="O144" s="388">
        <f t="shared" si="19"/>
        <v>0</v>
      </c>
      <c r="X144" s="47" t="s">
        <v>401</v>
      </c>
      <c r="AB144"/>
      <c r="AC144"/>
    </row>
    <row r="145" spans="1:29" x14ac:dyDescent="0.25">
      <c r="A145" s="170" t="s">
        <v>121</v>
      </c>
      <c r="B145" s="171">
        <f>B147+B146</f>
        <v>0</v>
      </c>
      <c r="C145" s="317" t="str">
        <f t="shared" si="16"/>
        <v>-</v>
      </c>
      <c r="D145" s="171">
        <f>D147+D146</f>
        <v>0</v>
      </c>
      <c r="E145" s="171">
        <f>E147+E146</f>
        <v>0</v>
      </c>
      <c r="F145" s="171">
        <f>F147+F146</f>
        <v>0</v>
      </c>
      <c r="G145" s="174"/>
      <c r="H145" s="174"/>
      <c r="I145" s="174"/>
      <c r="J145" s="174"/>
      <c r="K145" s="174"/>
      <c r="L145" s="175"/>
      <c r="M145" s="387" t="str">
        <f t="shared" si="17"/>
        <v>2. asteen ammatillinen tutkinto suoritettu</v>
      </c>
      <c r="N145" s="388">
        <f t="shared" si="19"/>
        <v>0</v>
      </c>
      <c r="O145" s="388">
        <f t="shared" si="19"/>
        <v>0</v>
      </c>
      <c r="X145"/>
      <c r="AB145"/>
      <c r="AC145"/>
    </row>
    <row r="146" spans="1:29" x14ac:dyDescent="0.25">
      <c r="A146" s="161" t="s">
        <v>566</v>
      </c>
      <c r="B146" s="148">
        <f>SUMIFS(AS!W:W,AS!$BO:$BO,$W$7,AS!AB:AB,AS!$AA$1,AS!AJ:AJ,Asiakastilastot!$X146,AS!AH:AH,$X$8,AS!$AV:$AV,Asiakastilastot!$X$6,AS!$AW:$AW,Asiakastilastot!$Y$6,AS!$X:$X,Asiakastilastot!$Y$5,AS!$K:$K,$V$2)</f>
        <v>0</v>
      </c>
      <c r="C146" s="315" t="str">
        <f t="shared" si="16"/>
        <v>-</v>
      </c>
      <c r="D146" s="63">
        <f>SUMIFS(AS!W:W,AS!$BO:$BO,$W$7,AS!AB:AB,AS!$AA$1,AS!AJ:AJ,Asiakastilastot!$X146,AS!AH:AH,$X$8,AS!I:I,Asiakastilastot!$X$7,AS!$AV:$AV,Asiakastilastot!$X$6,AS!$AW:$AW,Asiakastilastot!$Y$6,AS!$X:$X,Asiakastilastot!$Y$5,AS!$K:$K,$V$2)</f>
        <v>0</v>
      </c>
      <c r="E146" s="162">
        <f>SUMIFS(AS!W:W,AS!$BO:$BO,$W$7,AS!AB:AB,AS!$AA$1,AS!AJ:AJ,Asiakastilastot!$X146,AS!AH:AH,$X$8,AS!I:I,Asiakastilastot!$Y$7,AS!$AV:$AV,Asiakastilastot!$X$6,AS!$AW:$AW,Asiakastilastot!$Y$6,AS!$X:$X,Asiakastilastot!$Y$5,AS!$K:$K,$V$2)</f>
        <v>0</v>
      </c>
      <c r="F146" s="162">
        <f>SUMIFS(AS!W:W,AS!$BO:$BO,$W$7,AS!AB:AB,AS!$AA$1,AS!AJ:AJ,Asiakastilastot!$X146,AS!AH:AH,$Y$8,AS!$AV:$AV,Asiakastilastot!$X$6,AS!$AW:$AW,Asiakastilastot!$Y$6,AS!$X:$X,Asiakastilastot!$Y$5,AS!$K:$K,$V$2)</f>
        <v>0</v>
      </c>
      <c r="G146" s="33"/>
      <c r="H146" s="33"/>
      <c r="I146" s="33"/>
      <c r="J146" s="33"/>
      <c r="K146" s="33"/>
      <c r="L146" s="34"/>
      <c r="M146" s="387" t="str">
        <f t="shared" si="17"/>
        <v>Korkeakoulututkinto</v>
      </c>
      <c r="N146" s="388"/>
      <c r="O146" s="388"/>
      <c r="X146" s="47" t="s">
        <v>406</v>
      </c>
    </row>
    <row r="147" spans="1:29" x14ac:dyDescent="0.25">
      <c r="A147" s="161" t="s">
        <v>567</v>
      </c>
      <c r="B147" s="148">
        <f>SUMIFS(AS!W:W,AS!$BO:$BO,$W$7,AS!AB:AB,AS!$AA$1,AS!AJ:AJ,Asiakastilastot!$X147,AS!AH:AH,$X$8,AS!$AV:$AV,Asiakastilastot!$X$6,AS!$AW:$AW,Asiakastilastot!$Y$6,AS!$X:$X,Asiakastilastot!$Y$5,AS!$K:$K,$V$2)</f>
        <v>0</v>
      </c>
      <c r="C147" s="315" t="str">
        <f t="shared" si="16"/>
        <v>-</v>
      </c>
      <c r="D147" s="63">
        <f>SUMIFS(AS!W:W,AS!$BO:$BO,$W$7,AS!AB:AB,AS!$AA$1,AS!AJ:AJ,Asiakastilastot!$X147,AS!AH:AH,$X$8,AS!I:I,Asiakastilastot!$X$7,AS!$AV:$AV,Asiakastilastot!$X$6,AS!$AW:$AW,Asiakastilastot!$Y$6,AS!$X:$X,Asiakastilastot!$Y$5,AS!$K:$K,$V$2)</f>
        <v>0</v>
      </c>
      <c r="E147" s="162">
        <f>SUMIFS(AS!W:W,AS!$BO:$BO,$W$7,AS!AB:AB,AS!$AA$1,AS!AJ:AJ,Asiakastilastot!$X147,AS!AH:AH,$X$8,AS!I:I,Asiakastilastot!$Y$7,AS!$AV:$AV,Asiakastilastot!$X$6,AS!$AW:$AW,Asiakastilastot!$Y$6,AS!$X:$X,Asiakastilastot!$Y$5,AS!$K:$K,$V$2)</f>
        <v>0</v>
      </c>
      <c r="F147" s="162">
        <f>SUMIFS(AS!W:W,AS!$BO:$BO,$W$7,AS!AB:AB,AS!$AA$1,AS!AJ:AJ,Asiakastilastot!$X147,AS!AH:AH,$Y$8,AS!$AV:$AV,Asiakastilastot!$X$6,AS!$AW:$AW,Asiakastilastot!$Y$6,AS!$X:$X,Asiakastilastot!$Y$5,AS!$K:$K,$V$2)</f>
        <v>0</v>
      </c>
      <c r="G147" s="33"/>
      <c r="H147" s="33"/>
      <c r="I147" s="33"/>
      <c r="J147" s="33"/>
      <c r="K147" s="33"/>
      <c r="L147" s="34"/>
      <c r="M147" s="387" t="str">
        <f t="shared" si="17"/>
        <v>Ammattikorkeakoulututkinto</v>
      </c>
      <c r="N147" s="388">
        <f>D146</f>
        <v>0</v>
      </c>
      <c r="O147" s="388">
        <f>E146</f>
        <v>0</v>
      </c>
      <c r="X147" s="47" t="s">
        <v>403</v>
      </c>
    </row>
    <row r="148" spans="1:29" x14ac:dyDescent="0.25">
      <c r="A148" s="170" t="s">
        <v>122</v>
      </c>
      <c r="B148" s="171">
        <f>B149+B150</f>
        <v>0</v>
      </c>
      <c r="C148" s="317" t="str">
        <f t="shared" si="16"/>
        <v>-</v>
      </c>
      <c r="D148" s="171">
        <f>D149+D150</f>
        <v>0</v>
      </c>
      <c r="E148" s="171">
        <f>E149+E150</f>
        <v>0</v>
      </c>
      <c r="F148" s="171">
        <f>F149+F150</f>
        <v>0</v>
      </c>
      <c r="G148" s="174"/>
      <c r="H148" s="174"/>
      <c r="I148" s="174"/>
      <c r="J148" s="174"/>
      <c r="K148" s="174"/>
      <c r="L148" s="175"/>
      <c r="M148" s="387" t="str">
        <f t="shared" si="17"/>
        <v>Yliopistotutkinto</v>
      </c>
      <c r="N148" s="388">
        <f>D147</f>
        <v>0</v>
      </c>
      <c r="O148" s="388">
        <f>E147</f>
        <v>0</v>
      </c>
      <c r="X148"/>
    </row>
    <row r="149" spans="1:29" x14ac:dyDescent="0.25">
      <c r="A149" s="161" t="s">
        <v>124</v>
      </c>
      <c r="B149" s="148">
        <f>SUMIFS(AS!W:W,AS!$BO:$BO,$W$7,AS!AB:AB,AS!$AA$1,AS!AJ:AJ,Asiakastilastot!$X149,AS!AH:AH,$X$8,AS!$AV:$AV,Asiakastilastot!$X$6,AS!$AW:$AW,Asiakastilastot!$Y$6,AS!$X:$X,Asiakastilastot!$Y$5,AS!$K:$K,$V$2)</f>
        <v>0</v>
      </c>
      <c r="C149" s="315" t="str">
        <f t="shared" si="16"/>
        <v>-</v>
      </c>
      <c r="D149" s="63">
        <f>SUMIFS(AS!W:W,AS!$BO:$BO,$W$7,AS!AB:AB,AS!$AA$1,AS!AJ:AJ,Asiakastilastot!$X149,AS!AH:AH,$X$8,AS!I:I,Asiakastilastot!$X$7,AS!$AV:$AV,Asiakastilastot!$X$6,AS!$AW:$AW,Asiakastilastot!$Y$6,AS!$X:$X,Asiakastilastot!$Y$5,AS!$K:$K,$V$2)</f>
        <v>0</v>
      </c>
      <c r="E149" s="162">
        <f>SUMIFS(AS!W:W,AS!$BO:$BO,$W$7,AS!AB:AB,AS!$AA$1,AS!AJ:AJ,Asiakastilastot!$X149,AS!AH:AH,$X$8,AS!I:I,Asiakastilastot!$Y$7,AS!$AV:$AV,Asiakastilastot!$X$6,AS!$AW:$AW,Asiakastilastot!$Y$6,AS!$X:$X,Asiakastilastot!$Y$5,AS!$K:$K,$V$2)</f>
        <v>0</v>
      </c>
      <c r="F149" s="162">
        <f>SUMIFS(AS!W:W,AS!$BO:$BO,$W$7,AS!AB:AB,AS!$AA$1,AS!AJ:AJ,Asiakastilastot!$X149,AS!AH:AH,$Y$8,AS!$AV:$AV,Asiakastilastot!$X$6,AS!$AW:$AW,Asiakastilastot!$Y$6,AS!$X:$X,Asiakastilastot!$Y$5,AS!$K:$K,$V$2)</f>
        <v>0</v>
      </c>
      <c r="G149" s="33"/>
      <c r="H149" s="33"/>
      <c r="I149" s="33"/>
      <c r="J149" s="33"/>
      <c r="K149" s="33"/>
      <c r="L149" s="34"/>
      <c r="M149" s="387" t="str">
        <f t="shared" si="17"/>
        <v>Muu tutkinto</v>
      </c>
      <c r="N149" s="388"/>
      <c r="O149" s="388"/>
      <c r="X149" s="47" t="s">
        <v>507</v>
      </c>
    </row>
    <row r="150" spans="1:29" x14ac:dyDescent="0.25">
      <c r="A150" s="161" t="s">
        <v>63</v>
      </c>
      <c r="B150" s="148">
        <f>SUMIFS(AS!W:W,AS!$BO:$BO,$W$7,AS!AB:AB,AS!$AA$1,AS!AJ:AJ,Asiakastilastot!$X150,AS!AH:AH,$X$8,AS!$AV:$AV,Asiakastilastot!$X$6,AS!$AW:$AW,Asiakastilastot!$Y$6,AS!$X:$X,Asiakastilastot!$Y$5,AS!$K:$K,$V$2)</f>
        <v>0</v>
      </c>
      <c r="C150" s="315" t="str">
        <f t="shared" si="16"/>
        <v>-</v>
      </c>
      <c r="D150" s="63">
        <f>SUMIFS(AS!W:W,AS!$BO:$BO,$W$7,AS!AB:AB,AS!$AA$1,AS!AJ:AJ,Asiakastilastot!$X150,AS!AH:AH,$X$8,AS!I:I,Asiakastilastot!$X$7,AS!$AV:$AV,Asiakastilastot!$X$6,AS!$AW:$AW,Asiakastilastot!$Y$6,AS!$X:$X,Asiakastilastot!$Y$5,AS!$K:$K,$V$2)</f>
        <v>0</v>
      </c>
      <c r="E150" s="162">
        <f>SUMIFS(AS!W:W,AS!$BO:$BO,$W$7,AS!AB:AB,AS!$AA$1,AS!AJ:AJ,Asiakastilastot!$X150,AS!AH:AH,$X$8,AS!I:I,Asiakastilastot!$Y$7,AS!$AV:$AV,Asiakastilastot!$X$6,AS!$AW:$AW,Asiakastilastot!$Y$6,AS!$X:$X,Asiakastilastot!$Y$5,AS!$K:$K,$V$2)</f>
        <v>0</v>
      </c>
      <c r="F150" s="162">
        <f>SUMIFS(AS!W:W,AS!$BO:$BO,$W$7,AS!AB:AB,AS!$AA$1,AS!AJ:AJ,Asiakastilastot!$X150,AS!AH:AH,$Y$8,AS!$AV:$AV,Asiakastilastot!$X$6,AS!$AW:$AW,Asiakastilastot!$Y$6,AS!$X:$X,Asiakastilastot!$Y$5,AS!$K:$K,$V$2)</f>
        <v>0</v>
      </c>
      <c r="G150" s="33"/>
      <c r="H150" s="33"/>
      <c r="I150" s="33"/>
      <c r="J150" s="33"/>
      <c r="K150" s="33"/>
      <c r="L150" s="34"/>
      <c r="M150" s="387" t="str">
        <f t="shared" si="17"/>
        <v>Ulkomailla suoritettu tutkinto</v>
      </c>
      <c r="N150" s="388">
        <f>D149</f>
        <v>0</v>
      </c>
      <c r="O150" s="388">
        <f>E149</f>
        <v>0</v>
      </c>
      <c r="X150" s="47" t="s">
        <v>405</v>
      </c>
    </row>
    <row r="151" spans="1:29" x14ac:dyDescent="0.25">
      <c r="A151" s="170" t="s">
        <v>97</v>
      </c>
      <c r="B151" s="171">
        <f>B153+B152</f>
        <v>0</v>
      </c>
      <c r="C151" s="317" t="str">
        <f t="shared" si="16"/>
        <v>-</v>
      </c>
      <c r="D151" s="171">
        <f>D153+D152</f>
        <v>0</v>
      </c>
      <c r="E151" s="171">
        <f>E153+E152</f>
        <v>0</v>
      </c>
      <c r="F151" s="171">
        <f>F153+F152</f>
        <v>0</v>
      </c>
      <c r="G151" s="174"/>
      <c r="H151" s="174"/>
      <c r="I151" s="174"/>
      <c r="J151" s="174"/>
      <c r="K151" s="174"/>
      <c r="L151" s="175"/>
      <c r="M151" s="387" t="str">
        <f t="shared" si="17"/>
        <v>Muu</v>
      </c>
      <c r="N151" s="388">
        <f>D150</f>
        <v>0</v>
      </c>
      <c r="O151" s="388">
        <f>E150</f>
        <v>0</v>
      </c>
      <c r="X151" s="47"/>
    </row>
    <row r="152" spans="1:29" x14ac:dyDescent="0.25">
      <c r="A152" s="161" t="s">
        <v>97</v>
      </c>
      <c r="B152" s="148">
        <f>SUMIFS(AS!W:W,AS!$BO:$BO,$W$7,AS!AB:AB,AS!$AA$1,AS!AJ:AJ,Asiakastilastot!$X152,AS!AH:AH,$X$8,AS!$AV:$AV,Asiakastilastot!$X$6,AS!$AW:$AW,Asiakastilastot!$Y$6,AS!$X:$X,Asiakastilastot!$Y$5,AS!$K:$K,$V$2)</f>
        <v>0</v>
      </c>
      <c r="C152" s="315" t="str">
        <f t="shared" si="16"/>
        <v>-</v>
      </c>
      <c r="D152" s="63">
        <f>SUMIFS(AS!W:W,AS!$BO:$BO,$W$7,AS!AB:AB,AS!$AA$1,AS!AJ:AJ,Asiakastilastot!$X152,AS!AH:AH,$X$8,AS!I:I,Asiakastilastot!$X$7,AS!$AV:$AV,Asiakastilastot!$X$6,AS!$AW:$AW,Asiakastilastot!$Y$6,AS!$X:$X,Asiakastilastot!$Y$5,AS!$K:$K,$V$2)</f>
        <v>0</v>
      </c>
      <c r="E152" s="162">
        <f>SUMIFS(AS!W:W,AS!$BO:$BO,$W$7,AS!AB:AB,AS!$AA$1,AS!AJ:AJ,Asiakastilastot!$X152,AS!AH:AH,$X$8,AS!I:I,Asiakastilastot!$Y$7,AS!$AV:$AV,Asiakastilastot!$X$6,AS!$AW:$AW,Asiakastilastot!$Y$6,AS!$X:$X,Asiakastilastot!$Y$5,AS!$K:$K,$V$2)</f>
        <v>0</v>
      </c>
      <c r="F152" s="162">
        <f>SUMIFS(AS!W:W,AS!$BO:$BO,$W$7,AS!AB:AB,AS!$AA$1,AS!AJ:AJ,Asiakastilastot!$X152,AS!AH:AH,$Y$8,AS!$AV:$AV,Asiakastilastot!$X$6,AS!$AW:$AW,Asiakastilastot!$Y$6,AS!$X:$X,Asiakastilastot!$Y$5,AS!$K:$K,$V$2)</f>
        <v>0</v>
      </c>
      <c r="G152" s="39"/>
      <c r="H152" s="39"/>
      <c r="I152" s="39"/>
      <c r="J152" s="39"/>
      <c r="K152" s="39"/>
      <c r="L152" s="40"/>
      <c r="M152" s="387" t="str">
        <f t="shared" si="17"/>
        <v>Ei tietoa</v>
      </c>
      <c r="N152" s="388"/>
      <c r="O152" s="388"/>
      <c r="X152" s="47" t="s">
        <v>402</v>
      </c>
    </row>
    <row r="153" spans="1:29" x14ac:dyDescent="0.25">
      <c r="A153" s="161" t="s">
        <v>548</v>
      </c>
      <c r="B153" s="148">
        <f>SUMIFS(AS!W:W,AS!$BO:$BO,$W$7,AS!AB:AB,AS!$AA$1,AS!AJ:AJ,"",AS!AH:AH,$X$8,AS!$AV:$AV,Asiakastilastot!$X$6,AS!$AW:$AW,Asiakastilastot!$Y$6,AS!$X:$X,Asiakastilastot!$Y$5,AS!$K:$K,$V$2)</f>
        <v>0</v>
      </c>
      <c r="C153" s="315" t="str">
        <f t="shared" si="16"/>
        <v>-</v>
      </c>
      <c r="D153" s="63">
        <f>SUMIFS(AS!W:W,AS!$BO:$BO,$W$7,AS!AB:AB,AS!$AA$1,AS!AJ:AJ,"",AS!AH:AH,$X$8,AS!I:I,Asiakastilastot!$X$7,AS!$AV:$AV,Asiakastilastot!$X$6,AS!$AW:$AW,Asiakastilastot!$Y$6,AS!$X:$X,Asiakastilastot!$Y$5,AS!$K:$K,$V$2)</f>
        <v>0</v>
      </c>
      <c r="E153" s="162">
        <f>SUMIFS(AS!W:W,AS!$BO:$BO,$W$7,AS!AB:AB,AS!$AA$1,AS!AJ:AJ,"",AS!AH:AH,$X$8,AS!I:I,Asiakastilastot!$Y$7,AS!$AV:$AV,Asiakastilastot!$X$6,AS!$AW:$AW,Asiakastilastot!$Y$6,AS!$X:$X,Asiakastilastot!$Y$5,AS!$K:$K,$V$2)</f>
        <v>0</v>
      </c>
      <c r="F153" s="162">
        <f>SUMIFS(AS!W:W,AS!$BO:$BO,$W$7,AS!AB:AB,AS!$AA$1,AS!AJ:AJ,"",AS!AH:AH,$Y$8,AS!$AV:$AV,Asiakastilastot!$X$6,AS!$AW:$AW,Asiakastilastot!$Y$6,AS!$X:$X,Asiakastilastot!$Y$5,AS!$K:$K,$V$2)</f>
        <v>0</v>
      </c>
      <c r="G153" s="39"/>
      <c r="H153" s="39"/>
      <c r="I153" s="39"/>
      <c r="J153" s="39"/>
      <c r="K153" s="39"/>
      <c r="L153" s="40"/>
      <c r="M153" s="387" t="str">
        <f t="shared" si="17"/>
        <v>Ei tietoa</v>
      </c>
      <c r="N153" s="388">
        <f>D152</f>
        <v>0</v>
      </c>
      <c r="O153" s="388">
        <f>E152</f>
        <v>0</v>
      </c>
    </row>
    <row r="154" spans="1:29" x14ac:dyDescent="0.25">
      <c r="A154" s="156" t="s">
        <v>114</v>
      </c>
      <c r="B154" s="66">
        <f>B151+B148+B145+B141+B137</f>
        <v>0</v>
      </c>
      <c r="C154" s="316" t="str">
        <f>IFERROR(C151+C148+C145+C141+C137,"-")</f>
        <v>-</v>
      </c>
      <c r="D154" s="66">
        <f>D151+D148+D145+D141+D137</f>
        <v>0</v>
      </c>
      <c r="E154" s="66">
        <f>E151+E148+E145+E141+E137</f>
        <v>0</v>
      </c>
      <c r="F154" s="66">
        <f>F151+F148+F145+F141+F137</f>
        <v>0</v>
      </c>
      <c r="G154" s="41"/>
      <c r="H154" s="41"/>
      <c r="I154" s="41"/>
      <c r="J154" s="41"/>
      <c r="K154" s="41"/>
      <c r="L154" s="42"/>
      <c r="M154" s="387" t="str">
        <f t="shared" si="17"/>
        <v>Ei kirjattu</v>
      </c>
      <c r="N154" s="388">
        <f>D153</f>
        <v>0</v>
      </c>
      <c r="O154" s="388">
        <f>E153</f>
        <v>0</v>
      </c>
      <c r="U154" s="88"/>
      <c r="V154" s="88"/>
      <c r="W154" s="88"/>
    </row>
    <row r="155" spans="1:29" x14ac:dyDescent="0.25">
      <c r="A155" s="226"/>
      <c r="M155" s="150"/>
      <c r="N155" s="150"/>
      <c r="O155" s="150"/>
    </row>
    <row r="156" spans="1:29" x14ac:dyDescent="0.25">
      <c r="M156" s="150"/>
      <c r="N156" s="150"/>
      <c r="O156" s="150"/>
    </row>
    <row r="157" spans="1:29" x14ac:dyDescent="0.25">
      <c r="A157" s="834" t="str">
        <f>Y11&amp;Y12&amp;X107&amp;" %"&amp;X10&amp;X12</f>
        <v xml:space="preserve">Kuva: - KAIKKI: Nuorten koulutustilanne aloittaessa % - 01.01.2025-30.04.2025 </v>
      </c>
      <c r="B157" s="835"/>
      <c r="C157" s="835"/>
      <c r="D157" s="836"/>
      <c r="E157" s="834" t="str">
        <f>Y11&amp;Y12&amp;X136&amp;" %"&amp;X10&amp;X12</f>
        <v xml:space="preserve">Kuva: - KAIKKI: Nuorten ylin suoritettu tutkinto aloitustilanteessa % - 01.01.2025-30.04.2025 </v>
      </c>
      <c r="F157" s="835"/>
      <c r="G157" s="835"/>
      <c r="H157" s="835"/>
      <c r="I157" s="835"/>
      <c r="J157" s="835"/>
      <c r="K157" s="835"/>
      <c r="L157" s="836"/>
    </row>
    <row r="158" spans="1:29" x14ac:dyDescent="0.25">
      <c r="A158" s="837"/>
      <c r="B158" s="838"/>
      <c r="C158" s="838"/>
      <c r="D158" s="839"/>
      <c r="E158" s="837"/>
      <c r="F158" s="838"/>
      <c r="G158" s="838"/>
      <c r="H158" s="838"/>
      <c r="I158" s="838"/>
      <c r="J158" s="838"/>
      <c r="K158" s="838"/>
      <c r="L158" s="839"/>
    </row>
    <row r="159" spans="1:29" x14ac:dyDescent="0.25">
      <c r="A159" s="242"/>
      <c r="D159" s="229"/>
      <c r="E159" s="242"/>
      <c r="L159" s="229"/>
    </row>
    <row r="160" spans="1:29" x14ac:dyDescent="0.25">
      <c r="A160" s="242"/>
      <c r="B160" s="235" t="str">
        <f>A104</f>
        <v xml:space="preserve">- KAIKKI: Nuorten koulutustilanne aloittaessa - 01.01.2025-30.04.2025 </v>
      </c>
      <c r="C160" s="236" t="s">
        <v>677</v>
      </c>
      <c r="D160" s="229"/>
      <c r="E160" s="242"/>
      <c r="G160" s="235" t="str">
        <f>A134</f>
        <v xml:space="preserve">- KAIKKI: Nuorten ylin suoritettu tutkinto aloitustilanteessa - 01.01.2025-30.04.2025 </v>
      </c>
      <c r="H160" s="236" t="s">
        <v>677</v>
      </c>
      <c r="L160" s="229"/>
    </row>
    <row r="161" spans="1:12" x14ac:dyDescent="0.25">
      <c r="A161" s="242"/>
      <c r="B161" s="242" t="str">
        <f>A107</f>
        <v>Peruskoulu</v>
      </c>
      <c r="C161" s="252" t="str">
        <f>C107</f>
        <v>-</v>
      </c>
      <c r="D161" s="229"/>
      <c r="E161" s="242"/>
      <c r="G161" s="242" t="str">
        <f>A137</f>
        <v>Peruskoulu</v>
      </c>
      <c r="H161" s="254" t="str">
        <f>C137</f>
        <v>-</v>
      </c>
      <c r="L161" s="229"/>
    </row>
    <row r="162" spans="1:12" x14ac:dyDescent="0.25">
      <c r="A162" s="242"/>
      <c r="B162" s="242" t="str">
        <f>G162</f>
        <v>Toinen aste</v>
      </c>
      <c r="C162" s="252" t="e">
        <f>C111+C116</f>
        <v>#VALUE!</v>
      </c>
      <c r="D162" s="229"/>
      <c r="E162" s="242"/>
      <c r="G162" s="242" t="str">
        <f>A141</f>
        <v>Toinen aste</v>
      </c>
      <c r="H162" s="254" t="str">
        <f>C141</f>
        <v>-</v>
      </c>
    </row>
    <row r="163" spans="1:12" x14ac:dyDescent="0.25">
      <c r="A163" s="242"/>
      <c r="B163" s="242" t="str">
        <f>A120</f>
        <v>Korkeakoulututkinto</v>
      </c>
      <c r="C163" s="252" t="str">
        <f>C120</f>
        <v>-</v>
      </c>
      <c r="D163" s="229"/>
      <c r="E163" s="242"/>
      <c r="G163" s="242" t="str">
        <f>A145</f>
        <v>Korkeakoulututkinto</v>
      </c>
      <c r="H163" s="254" t="str">
        <f>C145</f>
        <v>-</v>
      </c>
    </row>
    <row r="164" spans="1:12" x14ac:dyDescent="0.25">
      <c r="A164" s="242"/>
      <c r="B164" s="242" t="str">
        <f>A124</f>
        <v>Muu tutkinto</v>
      </c>
      <c r="C164" s="252" t="str">
        <f>C124</f>
        <v>-</v>
      </c>
      <c r="D164" s="229"/>
      <c r="E164" s="242"/>
      <c r="G164" s="242" t="str">
        <f>A148</f>
        <v>Muu tutkinto</v>
      </c>
      <c r="H164" s="254" t="str">
        <f>C148</f>
        <v>-</v>
      </c>
    </row>
    <row r="165" spans="1:12" x14ac:dyDescent="0.25">
      <c r="A165" s="242"/>
      <c r="B165" s="237" t="str">
        <f>A129</f>
        <v>Ei tietoa</v>
      </c>
      <c r="C165" s="253" t="str">
        <f>C128</f>
        <v>-</v>
      </c>
      <c r="D165" s="229"/>
      <c r="E165" s="242"/>
      <c r="G165" s="237" t="str">
        <f>A151</f>
        <v>Ei tietoa</v>
      </c>
      <c r="H165" s="255" t="str">
        <f>C151</f>
        <v>-</v>
      </c>
    </row>
    <row r="166" spans="1:12" x14ac:dyDescent="0.25">
      <c r="A166" s="242"/>
      <c r="D166" s="229"/>
      <c r="E166" s="242"/>
    </row>
    <row r="167" spans="1:12" x14ac:dyDescent="0.25">
      <c r="A167" s="242"/>
      <c r="D167" s="229"/>
      <c r="E167" s="242"/>
    </row>
    <row r="168" spans="1:12" x14ac:dyDescent="0.25">
      <c r="A168" s="242"/>
      <c r="D168" s="229"/>
      <c r="E168" s="242"/>
    </row>
    <row r="169" spans="1:12" x14ac:dyDescent="0.25">
      <c r="A169" s="242"/>
      <c r="D169" s="229"/>
      <c r="E169" s="242"/>
    </row>
    <row r="170" spans="1:12" x14ac:dyDescent="0.25">
      <c r="A170" s="242"/>
      <c r="D170" s="229"/>
      <c r="E170" s="242"/>
    </row>
    <row r="171" spans="1:12" x14ac:dyDescent="0.25">
      <c r="A171" s="242"/>
      <c r="D171" s="229"/>
      <c r="E171" s="242"/>
    </row>
    <row r="172" spans="1:12" x14ac:dyDescent="0.25">
      <c r="A172" s="237"/>
      <c r="B172" s="251"/>
      <c r="C172" s="251"/>
      <c r="D172" s="232"/>
      <c r="E172" s="237"/>
      <c r="F172" s="238"/>
      <c r="G172" s="238"/>
      <c r="H172" s="238"/>
    </row>
    <row r="174" spans="1:12" x14ac:dyDescent="0.25">
      <c r="A174" s="352" t="s">
        <v>746</v>
      </c>
    </row>
  </sheetData>
  <sheetProtection sheet="1"/>
  <mergeCells count="26">
    <mergeCell ref="A157:D158"/>
    <mergeCell ref="E157:L158"/>
    <mergeCell ref="A135:A136"/>
    <mergeCell ref="B135:C135"/>
    <mergeCell ref="F62:G62"/>
    <mergeCell ref="D62:E62"/>
    <mergeCell ref="A97:A98"/>
    <mergeCell ref="B105:C105"/>
    <mergeCell ref="A105:A106"/>
    <mergeCell ref="A77:A78"/>
    <mergeCell ref="A82:A83"/>
    <mergeCell ref="A62:A63"/>
    <mergeCell ref="B62:C62"/>
    <mergeCell ref="B33:C33"/>
    <mergeCell ref="F33:L34"/>
    <mergeCell ref="F75:L76"/>
    <mergeCell ref="B13:C13"/>
    <mergeCell ref="A13:A14"/>
    <mergeCell ref="H62:L62"/>
    <mergeCell ref="G13:L14"/>
    <mergeCell ref="A33:A34"/>
    <mergeCell ref="B76:E76"/>
    <mergeCell ref="A75:A76"/>
    <mergeCell ref="A23:A24"/>
    <mergeCell ref="B23:C23"/>
    <mergeCell ref="G23:L24"/>
  </mergeCells>
  <dataValidations count="3">
    <dataValidation type="list" allowBlank="1" showInputMessage="1" showErrorMessage="1" sqref="A4" xr:uid="{00000000-0002-0000-0100-000000000000}">
      <formula1>$W$2:$W$5</formula1>
    </dataValidation>
    <dataValidation type="date" allowBlank="1" showInputMessage="1" showErrorMessage="1" error="Kirjoita päivämäärä muodossa _x000a_pp.kk.vvvv_x000a__x000a_Päivämäärän on oltava _x000a_suurempi kuin 01.01.2008 ja _x000a_pienempi kuin 31.12.2020" sqref="A2:A3" xr:uid="{00000000-0002-0000-0100-000002000000}">
      <formula1>39448</formula1>
      <formula2>73415</formula2>
    </dataValidation>
    <dataValidation type="list" allowBlank="1" showInputMessage="1" showErrorMessage="1" sqref="A6" xr:uid="{57A082CC-EFFA-4C47-AD48-E58152BEEE45}">
      <formula1>$Y$1:$Y$3</formula1>
    </dataValidation>
  </dataValidations>
  <hyperlinks>
    <hyperlink ref="A174" location="Asiakastilastot!A1" display="Sivun alkuun" xr:uid="{00000000-0004-0000-0100-000000000000}"/>
  </hyperlinks>
  <pageMargins left="0.25" right="0.25" top="0.28999999999999998" bottom="0.83333333333333337" header="0" footer="0"/>
  <pageSetup paperSize="9" scale="78" fitToHeight="0" orientation="landscape" r:id="rId1"/>
  <headerFooter>
    <oddFooter>&amp;L 
Etsivä org
Etsivätie 1
01000, E-kunta&amp;C&amp;G&amp;R&amp;P/&amp;N</oddFooter>
  </headerFooter>
  <rowBreaks count="4" manualBreakCount="4">
    <brk id="59" max="16383" man="1"/>
    <brk id="73" max="16383" man="1"/>
    <brk id="101" max="16383" man="1"/>
    <brk id="132" max="16383" man="1"/>
  </rowBreaks>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100-000003000000}">
          <x14:formula1>
            <xm:f>Parkki!$O$53:$O$82</xm:f>
          </x14:formula1>
          <xm:sqref>A5</xm:sqref>
        </x14:dataValidation>
        <x14:dataValidation type="list" allowBlank="1" showInputMessage="1" showErrorMessage="1" xr:uid="{F20EB9F4-CE1D-4A51-914A-D0518B49C5D1}">
          <x14:formula1>
            <xm:f>Parkki!$O$19:$O$48</xm:f>
          </x14:formula1>
          <xm:sqref>A7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3"/>
  <dimension ref="A1:BH106"/>
  <sheetViews>
    <sheetView showGridLines="0" zoomScaleNormal="100" workbookViewId="0">
      <selection activeCell="N14" sqref="N14"/>
    </sheetView>
  </sheetViews>
  <sheetFormatPr defaultColWidth="9.140625" defaultRowHeight="15" x14ac:dyDescent="0.25"/>
  <cols>
    <col min="1" max="1" width="50.85546875" bestFit="1" customWidth="1"/>
    <col min="2" max="6" width="9.5703125" customWidth="1"/>
    <col min="7" max="12" width="9.140625" customWidth="1"/>
    <col min="13" max="13" width="9.28515625" customWidth="1"/>
    <col min="14" max="14" width="11.7109375" style="51" customWidth="1"/>
    <col min="15" max="15" width="11.7109375" style="387" customWidth="1"/>
    <col min="16" max="17" width="9.140625" style="387" customWidth="1"/>
    <col min="18" max="18" width="9.140625" style="51" customWidth="1"/>
    <col min="19" max="19" width="9.140625" customWidth="1"/>
    <col min="20" max="23" width="9.140625" hidden="1" customWidth="1"/>
    <col min="24" max="24" width="36.42578125" hidden="1" customWidth="1"/>
    <col min="25" max="25" width="31.7109375" hidden="1" customWidth="1"/>
    <col min="26" max="31" width="9.140625" hidden="1" customWidth="1"/>
    <col min="32" max="33" width="43.85546875" hidden="1" customWidth="1"/>
    <col min="34" max="41" width="9.140625" hidden="1" customWidth="1"/>
    <col min="42" max="42" width="63.7109375" hidden="1" customWidth="1"/>
    <col min="43" max="60" width="9.140625" hidden="1" customWidth="1"/>
  </cols>
  <sheetData>
    <row r="1" spans="1:60" ht="15.75" thickBot="1" x14ac:dyDescent="0.3">
      <c r="A1" s="306" t="s">
        <v>624</v>
      </c>
      <c r="S1" s="51"/>
      <c r="T1" s="143" t="s">
        <v>623</v>
      </c>
      <c r="U1" s="143" t="s">
        <v>623</v>
      </c>
      <c r="V1" s="143" t="s">
        <v>623</v>
      </c>
      <c r="W1" s="143" t="s">
        <v>623</v>
      </c>
      <c r="X1" s="143" t="s">
        <v>623</v>
      </c>
      <c r="Y1" s="179" t="s">
        <v>625</v>
      </c>
      <c r="Z1" s="143" t="s">
        <v>623</v>
      </c>
      <c r="AA1" s="143" t="s">
        <v>623</v>
      </c>
      <c r="AB1" s="143" t="s">
        <v>623</v>
      </c>
      <c r="AC1" s="143" t="s">
        <v>623</v>
      </c>
      <c r="AD1" s="143" t="s">
        <v>623</v>
      </c>
      <c r="AE1" s="143" t="s">
        <v>623</v>
      </c>
      <c r="AF1" s="143" t="s">
        <v>623</v>
      </c>
      <c r="AG1" s="143" t="s">
        <v>623</v>
      </c>
      <c r="AH1" s="143" t="s">
        <v>623</v>
      </c>
      <c r="AI1" s="681" t="s">
        <v>623</v>
      </c>
      <c r="AJ1" s="681" t="s">
        <v>623</v>
      </c>
      <c r="AK1" s="681" t="s">
        <v>623</v>
      </c>
      <c r="AL1" s="681" t="s">
        <v>623</v>
      </c>
      <c r="AP1" s="143" t="s">
        <v>623</v>
      </c>
      <c r="AQ1" s="143" t="s">
        <v>623</v>
      </c>
      <c r="AR1" s="143" t="s">
        <v>623</v>
      </c>
      <c r="AS1" s="143" t="s">
        <v>623</v>
      </c>
      <c r="AT1" s="143" t="s">
        <v>623</v>
      </c>
      <c r="AU1" s="143" t="s">
        <v>623</v>
      </c>
      <c r="AV1" s="143" t="s">
        <v>623</v>
      </c>
      <c r="AW1" s="143" t="s">
        <v>623</v>
      </c>
      <c r="AX1" s="143" t="s">
        <v>623</v>
      </c>
      <c r="AY1" s="143" t="s">
        <v>623</v>
      </c>
      <c r="AZ1" s="143" t="s">
        <v>623</v>
      </c>
      <c r="BA1" s="143" t="s">
        <v>623</v>
      </c>
      <c r="BB1" s="143" t="s">
        <v>623</v>
      </c>
      <c r="BC1" s="143" t="s">
        <v>623</v>
      </c>
      <c r="BD1" s="143" t="s">
        <v>623</v>
      </c>
      <c r="BE1" s="143" t="s">
        <v>623</v>
      </c>
      <c r="BF1" s="143" t="s">
        <v>623</v>
      </c>
      <c r="BG1" s="143" t="s">
        <v>623</v>
      </c>
      <c r="BH1" s="143" t="s">
        <v>623</v>
      </c>
    </row>
    <row r="2" spans="1:60" x14ac:dyDescent="0.25">
      <c r="A2" s="305">
        <f>Asiakastilastot!$A$2</f>
        <v>45658</v>
      </c>
      <c r="B2" t="s">
        <v>670</v>
      </c>
      <c r="V2" s="181" t="str">
        <f>IF(A7="","*",INDEX(AE5:AE55,MATCH(A7,AD5:AD55,0)))</f>
        <v>*</v>
      </c>
      <c r="W2" s="182" t="s">
        <v>720</v>
      </c>
      <c r="X2" s="183" t="s">
        <v>568</v>
      </c>
      <c r="Y2" s="179" t="s">
        <v>626</v>
      </c>
      <c r="Z2" s="382" t="s">
        <v>811</v>
      </c>
      <c r="AA2" s="177" t="s">
        <v>639</v>
      </c>
      <c r="AB2" s="44" t="s">
        <v>638</v>
      </c>
      <c r="AC2" s="177" t="s">
        <v>639</v>
      </c>
      <c r="AD2" s="44" t="s">
        <v>1601</v>
      </c>
      <c r="AL2" s="15"/>
    </row>
    <row r="3" spans="1:60" x14ac:dyDescent="0.25">
      <c r="A3" s="305">
        <f>Asiakastilastot!$A$3</f>
        <v>45777</v>
      </c>
      <c r="B3" t="s">
        <v>671</v>
      </c>
      <c r="W3" s="184" t="s">
        <v>910</v>
      </c>
      <c r="X3" s="185" t="s">
        <v>205</v>
      </c>
      <c r="Y3" s="179" t="s">
        <v>819</v>
      </c>
      <c r="Z3" s="382" t="s">
        <v>812</v>
      </c>
      <c r="AA3" s="177" t="s">
        <v>635</v>
      </c>
      <c r="AB3" s="44" t="e">
        <f>INDEX(Data_Omakoodi!K:K,MATCH($AB$2,Data_Omakoodi!$I:$I,0))</f>
        <v>#N/A</v>
      </c>
      <c r="AC3" s="177" t="s">
        <v>635</v>
      </c>
      <c r="AD3" s="44" t="e">
        <f>INDEX(Data_Omakoodi!K:K,MATCH($AD$2,Data_Omakoodi!$I:$I,0))</f>
        <v>#N/A</v>
      </c>
      <c r="AG3" t="s">
        <v>1521</v>
      </c>
      <c r="AH3" s="176" t="s">
        <v>1649</v>
      </c>
      <c r="AI3" s="15"/>
      <c r="AJ3" t="s">
        <v>1522</v>
      </c>
      <c r="AK3" s="176" t="s">
        <v>1648</v>
      </c>
      <c r="AL3" s="15"/>
    </row>
    <row r="4" spans="1:60" x14ac:dyDescent="0.25">
      <c r="A4" s="200" t="s">
        <v>720</v>
      </c>
      <c r="B4" t="s">
        <v>576</v>
      </c>
      <c r="W4" s="184" t="s">
        <v>722</v>
      </c>
      <c r="X4" s="185" t="s">
        <v>230</v>
      </c>
      <c r="Y4" t="s">
        <v>568</v>
      </c>
      <c r="Z4" s="382" t="s">
        <v>1031</v>
      </c>
      <c r="AA4" s="177" t="s">
        <v>640</v>
      </c>
      <c r="AB4" s="44" t="str">
        <f>IFERROR(MATCH($AB$2,Data_Omakoodi!$I:$I,0),"")</f>
        <v/>
      </c>
      <c r="AC4" s="177" t="s">
        <v>640</v>
      </c>
      <c r="AD4" s="44" t="str">
        <f>IFERROR(MATCH($AD$2,Data_Omakoodi!$I:$I,0),"")</f>
        <v/>
      </c>
      <c r="AG4" s="739"/>
      <c r="AH4" s="739" t="s">
        <v>1523</v>
      </c>
      <c r="AI4" s="15"/>
      <c r="AJ4" s="739"/>
      <c r="AK4" s="739" t="s">
        <v>1523</v>
      </c>
      <c r="AL4" s="15"/>
    </row>
    <row r="5" spans="1:60" ht="15.75" thickBot="1" x14ac:dyDescent="0.3">
      <c r="A5" s="200" t="s">
        <v>719</v>
      </c>
      <c r="B5" t="s">
        <v>579</v>
      </c>
      <c r="W5" s="186" t="s">
        <v>723</v>
      </c>
      <c r="X5" s="187" t="s">
        <v>212</v>
      </c>
      <c r="Y5" s="181" t="str">
        <f>IF(A6="","*",IF(A6=Y1,"*",IF(A6=Y3,X9,"*")))</f>
        <v>*</v>
      </c>
      <c r="AA5" s="177" t="s">
        <v>568</v>
      </c>
      <c r="AB5" s="44" t="s">
        <v>719</v>
      </c>
      <c r="AC5" s="177" t="s">
        <v>568</v>
      </c>
      <c r="AD5" s="44" t="s">
        <v>1524</v>
      </c>
      <c r="AE5" s="177" t="s">
        <v>568</v>
      </c>
      <c r="AG5" s="739" t="str">
        <f>TEXT(AD5,"@")</f>
        <v>Kaikki yksiköt</v>
      </c>
      <c r="AH5" s="739">
        <f>IF(AG5&lt;&gt;"",ROW(),"")</f>
        <v>5</v>
      </c>
      <c r="AJ5" s="739" t="str">
        <f>TEXT(AB5,"@")</f>
        <v>Kaikki kunnat</v>
      </c>
      <c r="AK5" s="739">
        <f>IF(AJ5&lt;&gt;"",ROW(),"")</f>
        <v>5</v>
      </c>
      <c r="AL5" s="15"/>
    </row>
    <row r="6" spans="1:60" x14ac:dyDescent="0.25">
      <c r="A6" s="200" t="s">
        <v>625</v>
      </c>
      <c r="B6" t="s">
        <v>799</v>
      </c>
      <c r="O6" s="387" t="s">
        <v>1654</v>
      </c>
      <c r="X6" s="181" t="str">
        <f>IF(A4="","*",INDEX($X$2:X5,MATCH($A$4,$W$2:$W$5,0)))</f>
        <v>*</v>
      </c>
      <c r="Y6" s="181" t="str">
        <f>IF(A5="","*",INDEX(AA5:AA55,MATCH(A5,AB5:AB55,0)))</f>
        <v>*</v>
      </c>
      <c r="AA6" s="177" t="s">
        <v>644</v>
      </c>
      <c r="AB6" s="188" t="s">
        <v>643</v>
      </c>
      <c r="AC6" s="177" t="s">
        <v>644</v>
      </c>
      <c r="AD6" s="188" t="s">
        <v>1525</v>
      </c>
      <c r="AE6" s="177" t="s">
        <v>644</v>
      </c>
      <c r="AG6" s="739" t="str">
        <f t="shared" ref="AG6:AG55" si="0">TEXT(AD6,"@")</f>
        <v>Ei yksiköitä</v>
      </c>
      <c r="AH6" s="739">
        <f t="shared" ref="AH6:AH55" si="1">IF(AG6&lt;&gt;"",ROW(),"")</f>
        <v>6</v>
      </c>
      <c r="AJ6" s="739" t="str">
        <f t="shared" ref="AJ6:AJ55" si="2">TEXT(AB6,"@")</f>
        <v>Ei kuntaluokkaa</v>
      </c>
      <c r="AK6" s="739">
        <f t="shared" ref="AK6:AK55" si="3">IF(AJ6&lt;&gt;"",ROW(),"")</f>
        <v>6</v>
      </c>
      <c r="AL6" s="15"/>
    </row>
    <row r="7" spans="1:60" x14ac:dyDescent="0.25">
      <c r="A7" s="493" t="s">
        <v>1524</v>
      </c>
      <c r="B7" t="s">
        <v>1557</v>
      </c>
      <c r="W7" s="181" t="str">
        <f>IF(A6=Y2,"OK","*")</f>
        <v>*</v>
      </c>
      <c r="X7" s="28" t="s">
        <v>207</v>
      </c>
      <c r="Y7" s="28" t="s">
        <v>213</v>
      </c>
      <c r="AA7" s="177" t="s">
        <v>62</v>
      </c>
      <c r="AB7" s="188" t="s">
        <v>641</v>
      </c>
      <c r="AC7" s="177" t="s">
        <v>62</v>
      </c>
      <c r="AD7" s="188" t="s">
        <v>1526</v>
      </c>
      <c r="AE7" s="177" t="s">
        <v>62</v>
      </c>
      <c r="AF7" s="27"/>
      <c r="AG7" s="739" t="str">
        <f t="shared" si="0"/>
        <v>Muut yksiköt</v>
      </c>
      <c r="AH7" s="739">
        <f t="shared" si="1"/>
        <v>7</v>
      </c>
      <c r="AJ7" s="739" t="str">
        <f t="shared" si="2"/>
        <v>Muut kunnat</v>
      </c>
      <c r="AK7" s="739">
        <f t="shared" si="3"/>
        <v>7</v>
      </c>
      <c r="AL7" s="15"/>
    </row>
    <row r="8" spans="1:60" x14ac:dyDescent="0.25">
      <c r="W8" s="27"/>
      <c r="X8" s="35" t="s">
        <v>546</v>
      </c>
      <c r="Y8" s="35" t="s">
        <v>593</v>
      </c>
      <c r="AA8" s="176" t="str">
        <f>IFERROR(IF(INDEX(Data_Omakoodi!H:H,MATCH($AK$3&amp;$AL8,Data_Omakoodi!A:A,0))="P","",$AK$3&amp;$AL8),$AK$3&amp;$AL8)</f>
        <v>ComboBox_EtKuntakoodi_00000001</v>
      </c>
      <c r="AB8" s="44" t="str">
        <f>IFERROR(INDEX(Data_Omakoodi!E:E,MATCH(AA8,Data_Omakoodi!A:A,0)),"")</f>
        <v/>
      </c>
      <c r="AC8" t="str">
        <f>IFERROR(IF(INDEX(Data_Omakoodi!H:H,MATCH($AH$3&amp;$AL8,Data_Omakoodi!A:A,0))="P","",$AH$3&amp;$AL8),$AH$3&amp;$AL8)</f>
        <v>ComboBox_TyHlo_yksikko_00000001</v>
      </c>
      <c r="AD8" s="44" t="str">
        <f>IFERROR(INDEX(Data_Omakoodi!E:E,MATCH(AC8,Data_Omakoodi!A:A,0)),"")</f>
        <v/>
      </c>
      <c r="AE8" t="str">
        <f>IFERROR(IF(INDEX(Data_Omakoodi!H:H,MATCH($AH$3&amp;$AL8,Data_Omakoodi!A:A,0))="P","",$AH$3&amp;$AL8),$AH$3&amp;$AL8)</f>
        <v>ComboBox_TyHlo_yksikko_00000001</v>
      </c>
      <c r="AF8" t="s">
        <v>1527</v>
      </c>
      <c r="AG8" s="739" t="str">
        <f>TEXT(AD8,"@")</f>
        <v/>
      </c>
      <c r="AH8" s="739" t="str">
        <f t="shared" si="1"/>
        <v/>
      </c>
      <c r="AJ8" s="739" t="str">
        <f t="shared" si="2"/>
        <v/>
      </c>
      <c r="AK8" s="739" t="str">
        <f t="shared" si="3"/>
        <v/>
      </c>
      <c r="AL8" s="370" t="s">
        <v>1639</v>
      </c>
      <c r="AP8" t="s">
        <v>1344</v>
      </c>
    </row>
    <row r="9" spans="1:60" x14ac:dyDescent="0.25">
      <c r="W9" s="27"/>
      <c r="X9" s="178" t="s">
        <v>486</v>
      </c>
      <c r="Y9" s="27"/>
      <c r="AA9" s="176" t="str">
        <f>IFERROR(IF(INDEX(Data_Omakoodi!H:H,MATCH($AK$3&amp;$AL9,Data_Omakoodi!A:A,0))="P","",$AK$3&amp;$AL9),$AK$3&amp;$AL9)</f>
        <v>ComboBox_EtKuntakoodi_00000002</v>
      </c>
      <c r="AB9" s="44" t="str">
        <f>IFERROR(INDEX(Data_Omakoodi!E:E,MATCH(AA9,Data_Omakoodi!A:A,0)),"")</f>
        <v/>
      </c>
      <c r="AC9" t="str">
        <f>IFERROR(IF(INDEX(Data_Omakoodi!H:H,MATCH($AH$3&amp;$AL9,Data_Omakoodi!A:A,0))="P","",$AH$3&amp;$AL9),$AH$3&amp;$AL9)</f>
        <v>ComboBox_TyHlo_yksikko_00000002</v>
      </c>
      <c r="AD9" s="44" t="str">
        <f>IFERROR(INDEX(Data_Omakoodi!E:E,MATCH(AC9,Data_Omakoodi!A:A,0)),"")</f>
        <v/>
      </c>
      <c r="AE9" t="str">
        <f>IFERROR(IF(INDEX(Data_Omakoodi!H:H,MATCH($AH$3&amp;$AL9,Data_Omakoodi!A:A,0))="P","",$AH$3&amp;$AL9),$AH$3&amp;$AL9)</f>
        <v>ComboBox_TyHlo_yksikko_00000002</v>
      </c>
      <c r="AF9" t="s">
        <v>1528</v>
      </c>
      <c r="AG9" s="739" t="str">
        <f t="shared" si="0"/>
        <v/>
      </c>
      <c r="AH9" s="739" t="str">
        <f t="shared" si="1"/>
        <v/>
      </c>
      <c r="AJ9" s="739" t="str">
        <f t="shared" si="2"/>
        <v/>
      </c>
      <c r="AK9" s="739" t="str">
        <f t="shared" si="3"/>
        <v/>
      </c>
      <c r="AL9" s="370" t="s">
        <v>1640</v>
      </c>
      <c r="AP9" t="s">
        <v>1343</v>
      </c>
    </row>
    <row r="10" spans="1:60" x14ac:dyDescent="0.25">
      <c r="A10" s="361"/>
      <c r="N10" s="864" t="str">
        <f>"Kaikki ilmoitukset nuorista "&amp;X10</f>
        <v xml:space="preserve">Kaikki ilmoitukset nuorista 01.01.2025-30.04.2025 </v>
      </c>
      <c r="O10" s="864"/>
      <c r="W10" s="27"/>
      <c r="X10" s="221" t="str">
        <f>TEXT($A$2,$X$11)&amp;"-"&amp;TEXT($A$3,$X$11)&amp;" "</f>
        <v xml:space="preserve">01.01.2025-30.04.2025 </v>
      </c>
      <c r="AA10" s="176" t="str">
        <f>IFERROR(IF(INDEX(Data_Omakoodi!H:H,MATCH($AK$3&amp;$AL10,Data_Omakoodi!A:A,0))="P","",$AK$3&amp;$AL10),$AK$3&amp;$AL10)</f>
        <v>ComboBox_EtKuntakoodi_00000003</v>
      </c>
      <c r="AB10" s="44" t="str">
        <f>IFERROR(INDEX(Data_Omakoodi!E:E,MATCH(AA10,Data_Omakoodi!A:A,0)),"")</f>
        <v/>
      </c>
      <c r="AC10" t="str">
        <f>IFERROR(IF(INDEX(Data_Omakoodi!H:H,MATCH($AH$3&amp;$AL10,Data_Omakoodi!A:A,0))="P","",$AH$3&amp;$AL10),$AH$3&amp;$AL10)</f>
        <v>ComboBox_TyHlo_yksikko_00000003</v>
      </c>
      <c r="AD10" s="44" t="str">
        <f>IFERROR(INDEX(Data_Omakoodi!E:E,MATCH(AC10,Data_Omakoodi!A:A,0)),"")</f>
        <v/>
      </c>
      <c r="AE10" t="str">
        <f>IFERROR(IF(INDEX(Data_Omakoodi!H:H,MATCH($AH$3&amp;$AL10,Data_Omakoodi!A:A,0))="P","",$AH$3&amp;$AL10),$AH$3&amp;$AL10)</f>
        <v>ComboBox_TyHlo_yksikko_00000003</v>
      </c>
      <c r="AF10" t="s">
        <v>1529</v>
      </c>
      <c r="AG10" s="739" t="str">
        <f t="shared" si="0"/>
        <v/>
      </c>
      <c r="AH10" s="739" t="str">
        <f t="shared" si="1"/>
        <v/>
      </c>
      <c r="AJ10" s="739" t="str">
        <f t="shared" si="2"/>
        <v/>
      </c>
      <c r="AK10" s="739" t="str">
        <f t="shared" si="3"/>
        <v/>
      </c>
      <c r="AL10" s="370" t="s">
        <v>1641</v>
      </c>
    </row>
    <row r="11" spans="1:60" x14ac:dyDescent="0.25">
      <c r="A11" s="97" t="str">
        <f>X14&amp;Y12&amp;X10&amp;X12</f>
        <v xml:space="preserve">- KAIKKI: 01.01.2025-30.04.2025 </v>
      </c>
      <c r="B11" s="27"/>
      <c r="C11" s="27"/>
      <c r="D11" s="27"/>
      <c r="E11" s="27"/>
      <c r="F11" s="27"/>
      <c r="N11" s="865"/>
      <c r="O11" s="865"/>
      <c r="W11" s="27"/>
      <c r="X11" s="222" t="s">
        <v>675</v>
      </c>
      <c r="Y11" s="222" t="s">
        <v>676</v>
      </c>
      <c r="AA11" s="176" t="str">
        <f>IFERROR(IF(INDEX(Data_Omakoodi!H:H,MATCH($AK$3&amp;$AL11,Data_Omakoodi!A:A,0))="P","",$AK$3&amp;$AL11),$AK$3&amp;$AL11)</f>
        <v>ComboBox_EtKuntakoodi_00000004</v>
      </c>
      <c r="AB11" s="44" t="str">
        <f>IFERROR(INDEX(Data_Omakoodi!E:E,MATCH(AA11,Data_Omakoodi!A:A,0)),"")</f>
        <v/>
      </c>
      <c r="AC11" t="str">
        <f>IFERROR(IF(INDEX(Data_Omakoodi!H:H,MATCH($AH$3&amp;$AL11,Data_Omakoodi!A:A,0))="P","",$AH$3&amp;$AL11),$AH$3&amp;$AL11)</f>
        <v>ComboBox_TyHlo_yksikko_00000004</v>
      </c>
      <c r="AD11" s="44" t="str">
        <f>IFERROR(INDEX(Data_Omakoodi!E:E,MATCH(AC11,Data_Omakoodi!A:A,0)),"")</f>
        <v/>
      </c>
      <c r="AE11" t="str">
        <f>IFERROR(IF(INDEX(Data_Omakoodi!H:H,MATCH($AH$3&amp;$AL11,Data_Omakoodi!A:A,0))="P","",$AH$3&amp;$AL11),$AH$3&amp;$AL11)</f>
        <v>ComboBox_TyHlo_yksikko_00000004</v>
      </c>
      <c r="AF11" t="s">
        <v>1530</v>
      </c>
      <c r="AG11" s="739" t="str">
        <f t="shared" si="0"/>
        <v/>
      </c>
      <c r="AH11" s="739" t="str">
        <f t="shared" si="1"/>
        <v/>
      </c>
      <c r="AJ11" s="739" t="str">
        <f t="shared" si="2"/>
        <v/>
      </c>
      <c r="AK11" s="739" t="str">
        <f t="shared" si="3"/>
        <v/>
      </c>
      <c r="AL11" s="370" t="s">
        <v>1642</v>
      </c>
      <c r="AP11" s="144" t="s">
        <v>1341</v>
      </c>
      <c r="AW11" t="s">
        <v>794</v>
      </c>
      <c r="AY11" s="1" t="s">
        <v>1263</v>
      </c>
      <c r="AZ11" s="603" t="s">
        <v>1264</v>
      </c>
      <c r="BA11" s="603" t="s">
        <v>1265</v>
      </c>
      <c r="BB11" s="405" t="s">
        <v>794</v>
      </c>
      <c r="BC11" s="405" t="s">
        <v>1266</v>
      </c>
      <c r="BD11" s="27" t="s">
        <v>1267</v>
      </c>
      <c r="BE11" s="88" t="s">
        <v>226</v>
      </c>
    </row>
    <row r="12" spans="1:60" ht="39.75" customHeight="1" x14ac:dyDescent="0.25">
      <c r="A12" s="57" t="s">
        <v>118</v>
      </c>
      <c r="B12" s="833" t="s">
        <v>114</v>
      </c>
      <c r="C12" s="833"/>
      <c r="D12" s="57" t="s">
        <v>132</v>
      </c>
      <c r="E12" s="58" t="s">
        <v>133</v>
      </c>
      <c r="F12" s="57" t="s">
        <v>134</v>
      </c>
      <c r="G12" s="67"/>
      <c r="H12" s="68"/>
      <c r="I12" s="68"/>
      <c r="J12" s="68"/>
      <c r="K12" s="68"/>
      <c r="L12" s="68"/>
      <c r="M12" s="69"/>
      <c r="N12" s="833" t="s">
        <v>114</v>
      </c>
      <c r="O12" s="833"/>
      <c r="P12" s="57" t="s">
        <v>132</v>
      </c>
      <c r="Q12" s="58" t="s">
        <v>133</v>
      </c>
      <c r="R12" s="57" t="s">
        <v>134</v>
      </c>
      <c r="W12" s="27"/>
      <c r="X12" s="221" t="str">
        <f>IF(A4=W2,IF(A5=AB5,"","("&amp;A5&amp;")"),IF(A5=AB5,"("&amp;A4&amp;")","("&amp;A4&amp;"/"&amp;A5&amp;")"))&amp;IF(A7=AD5,"","("&amp;A7&amp;")")</f>
        <v/>
      </c>
      <c r="Y12" s="221" t="str">
        <f>IF($A$6=$Y$2,$Z$3,IF(A6=Y1,$Z$2,Z4))</f>
        <v xml:space="preserve">- KAIKKI: </v>
      </c>
      <c r="AA12" s="176" t="str">
        <f>IFERROR(IF(INDEX(Data_Omakoodi!H:H,MATCH($AK$3&amp;$AL12,Data_Omakoodi!A:A,0))="P","",$AK$3&amp;$AL12),$AK$3&amp;$AL12)</f>
        <v>ComboBox_EtKuntakoodi_00000005</v>
      </c>
      <c r="AB12" s="44" t="str">
        <f>IFERROR(INDEX(Data_Omakoodi!E:E,MATCH(AA12,Data_Omakoodi!A:A,0)),"")</f>
        <v/>
      </c>
      <c r="AC12" t="str">
        <f>IFERROR(IF(INDEX(Data_Omakoodi!H:H,MATCH($AH$3&amp;$AL12,Data_Omakoodi!A:A,0))="P","",$AH$3&amp;$AL12),$AH$3&amp;$AL12)</f>
        <v>ComboBox_TyHlo_yksikko_00000005</v>
      </c>
      <c r="AD12" s="44" t="str">
        <f>IFERROR(INDEX(Data_Omakoodi!E:E,MATCH(AC12,Data_Omakoodi!A:A,0)),"")</f>
        <v/>
      </c>
      <c r="AE12" t="str">
        <f>IFERROR(IF(INDEX(Data_Omakoodi!H:H,MATCH($AH$3&amp;$AL12,Data_Omakoodi!A:A,0))="P","",$AH$3&amp;$AL12),$AH$3&amp;$AL12)</f>
        <v>ComboBox_TyHlo_yksikko_00000005</v>
      </c>
      <c r="AF12" t="s">
        <v>1531</v>
      </c>
      <c r="AG12" s="739" t="str">
        <f t="shared" si="0"/>
        <v/>
      </c>
      <c r="AH12" s="739" t="str">
        <f t="shared" si="1"/>
        <v/>
      </c>
      <c r="AJ12" s="739" t="str">
        <f t="shared" si="2"/>
        <v/>
      </c>
      <c r="AK12" s="739" t="str">
        <f t="shared" si="3"/>
        <v/>
      </c>
      <c r="AL12" s="370" t="s">
        <v>1643</v>
      </c>
      <c r="AP12" s="177" t="s">
        <v>1042</v>
      </c>
    </row>
    <row r="13" spans="1:60" x14ac:dyDescent="0.25">
      <c r="A13" s="56"/>
      <c r="B13" s="57" t="s">
        <v>106</v>
      </c>
      <c r="C13" s="57" t="s">
        <v>176</v>
      </c>
      <c r="D13" s="57" t="s">
        <v>106</v>
      </c>
      <c r="E13" s="57" t="s">
        <v>106</v>
      </c>
      <c r="F13" s="57" t="s">
        <v>106</v>
      </c>
      <c r="G13" s="70"/>
      <c r="H13" s="30"/>
      <c r="I13" s="30"/>
      <c r="J13" s="30"/>
      <c r="K13" s="30"/>
      <c r="L13" s="30"/>
      <c r="M13" s="71"/>
      <c r="N13" s="57" t="s">
        <v>106</v>
      </c>
      <c r="O13" s="57" t="s">
        <v>176</v>
      </c>
      <c r="P13" s="57" t="s">
        <v>106</v>
      </c>
      <c r="Q13" s="57" t="s">
        <v>106</v>
      </c>
      <c r="R13" s="57" t="s">
        <v>106</v>
      </c>
      <c r="AA13" s="176" t="str">
        <f>IFERROR(IF(INDEX(Data_Omakoodi!H:H,MATCH($AK$3&amp;$AL13,Data_Omakoodi!A:A,0))="P","",$AK$3&amp;$AL13),$AK$3&amp;$AL13)</f>
        <v>ComboBox_EtKuntakoodi_00000006</v>
      </c>
      <c r="AB13" s="44" t="str">
        <f>IFERROR(INDEX(Data_Omakoodi!E:E,MATCH(AA13,Data_Omakoodi!A:A,0)),"")</f>
        <v/>
      </c>
      <c r="AC13" t="str">
        <f>IFERROR(IF(INDEX(Data_Omakoodi!H:H,MATCH($AH$3&amp;$AL13,Data_Omakoodi!A:A,0))="P","",$AH$3&amp;$AL13),$AH$3&amp;$AL13)</f>
        <v>ComboBox_TyHlo_yksikko_00000006</v>
      </c>
      <c r="AD13" s="44" t="str">
        <f>IFERROR(INDEX(Data_Omakoodi!E:E,MATCH(AC13,Data_Omakoodi!A:A,0)),"")</f>
        <v/>
      </c>
      <c r="AE13" t="str">
        <f>IFERROR(IF(INDEX(Data_Omakoodi!H:H,MATCH($AH$3&amp;$AL13,Data_Omakoodi!A:A,0))="P","",$AH$3&amp;$AL13),$AH$3&amp;$AL13)</f>
        <v>ComboBox_TyHlo_yksikko_00000006</v>
      </c>
      <c r="AF13" t="s">
        <v>1532</v>
      </c>
      <c r="AG13" s="739" t="str">
        <f t="shared" si="0"/>
        <v/>
      </c>
      <c r="AH13" s="739" t="str">
        <f t="shared" si="1"/>
        <v/>
      </c>
      <c r="AJ13" s="739" t="str">
        <f t="shared" si="2"/>
        <v/>
      </c>
      <c r="AK13" s="739" t="str">
        <f t="shared" si="3"/>
        <v/>
      </c>
      <c r="AL13" s="370" t="s">
        <v>1644</v>
      </c>
      <c r="AP13" s="177"/>
      <c r="AQ13" s="512" t="s">
        <v>593</v>
      </c>
      <c r="AR13" s="530" t="s">
        <v>114</v>
      </c>
      <c r="AS13" s="530" t="s">
        <v>132</v>
      </c>
      <c r="AT13" s="530" t="s">
        <v>133</v>
      </c>
    </row>
    <row r="14" spans="1:60" ht="15" customHeight="1" x14ac:dyDescent="0.25">
      <c r="A14" s="59" t="s">
        <v>67</v>
      </c>
      <c r="B14" s="60">
        <f>SUM(B15:B23)</f>
        <v>0</v>
      </c>
      <c r="C14" s="61" t="str">
        <f>IFERROR(B14/B$63,"-")</f>
        <v>-</v>
      </c>
      <c r="D14" s="60">
        <f>SUM(D15:D23)</f>
        <v>0</v>
      </c>
      <c r="E14" s="60">
        <f t="shared" ref="E14:F14" si="4">SUM(E15:E23)</f>
        <v>0</v>
      </c>
      <c r="F14" s="60">
        <f t="shared" si="4"/>
        <v>0</v>
      </c>
      <c r="G14" s="72"/>
      <c r="H14" s="32"/>
      <c r="I14" s="32"/>
      <c r="J14" s="32"/>
      <c r="K14" s="32"/>
      <c r="L14" s="32"/>
      <c r="M14" s="73"/>
      <c r="N14" s="60">
        <f>SUM(N15:N23)</f>
        <v>0</v>
      </c>
      <c r="O14" s="61" t="str">
        <f>IFERROR(N14/N$63,"-")</f>
        <v>-</v>
      </c>
      <c r="P14" s="60">
        <f>SUM(P15:P23)</f>
        <v>0</v>
      </c>
      <c r="Q14" s="60">
        <f t="shared" ref="Q14:R14" si="5">SUM(Q15:Q23)</f>
        <v>0</v>
      </c>
      <c r="R14" s="60">
        <f t="shared" si="5"/>
        <v>0</v>
      </c>
      <c r="AA14" s="176" t="str">
        <f>IFERROR(IF(INDEX(Data_Omakoodi!H:H,MATCH($AK$3&amp;$AL14,Data_Omakoodi!A:A,0))="P","",$AK$3&amp;$AL14),$AK$3&amp;$AL14)</f>
        <v>ComboBox_EtKuntakoodi_00000007</v>
      </c>
      <c r="AB14" s="44" t="str">
        <f>IFERROR(INDEX(Data_Omakoodi!E:E,MATCH(AA14,Data_Omakoodi!A:A,0)),"")</f>
        <v/>
      </c>
      <c r="AC14" t="str">
        <f>IFERROR(IF(INDEX(Data_Omakoodi!H:H,MATCH($AH$3&amp;$AL14,Data_Omakoodi!A:A,0))="P","",$AH$3&amp;$AL14),$AH$3&amp;$AL14)</f>
        <v>ComboBox_TyHlo_yksikko_00000007</v>
      </c>
      <c r="AD14" s="44" t="str">
        <f>IFERROR(INDEX(Data_Omakoodi!E:E,MATCH(AC14,Data_Omakoodi!A:A,0)),"")</f>
        <v/>
      </c>
      <c r="AE14" t="str">
        <f>IFERROR(IF(INDEX(Data_Omakoodi!H:H,MATCH($AH$3&amp;$AL14,Data_Omakoodi!A:A,0))="P","",$AH$3&amp;$AL14),$AH$3&amp;$AL14)</f>
        <v>ComboBox_TyHlo_yksikko_00000007</v>
      </c>
      <c r="AF14" t="s">
        <v>1533</v>
      </c>
      <c r="AG14" s="739" t="str">
        <f t="shared" si="0"/>
        <v/>
      </c>
      <c r="AH14" s="739" t="str">
        <f t="shared" si="1"/>
        <v/>
      </c>
      <c r="AJ14" s="739" t="str">
        <f t="shared" si="2"/>
        <v/>
      </c>
      <c r="AK14" s="739" t="str">
        <f t="shared" si="3"/>
        <v/>
      </c>
      <c r="AL14" s="370" t="s">
        <v>1645</v>
      </c>
      <c r="AP14" t="s">
        <v>568</v>
      </c>
    </row>
    <row r="15" spans="1:60" ht="15" customHeight="1" x14ac:dyDescent="0.25">
      <c r="A15" s="62" t="s">
        <v>68</v>
      </c>
      <c r="B15" s="63">
        <f>SUMIFS(AS!$W:$W,AS!$BO:$BO,$W$7,AS!$AB:$AB,AS!$AA$1,AS!$AH:$AH,$X$8,AS!$AT:$AT,Saapuminen!$AP15,AS!$AV:$AV,Saapuminen!$X$6,AS!$AW:$AW,Saapuminen!$Y$6,AS!$X:$X,Saapuminen!$Y$5,AS!$K:$K,Saapuminen!$V$2)+AR15</f>
        <v>0</v>
      </c>
      <c r="C15" s="318" t="str">
        <f>IFERROR(B15/B$63,"-")</f>
        <v>-</v>
      </c>
      <c r="D15" s="63">
        <f>SUMIFS(AS!$W:$W,AS!$BO:$BO,$W$7,AS!$AB:$AB,AS!$AA$1,AS!$AH:$AH,$X$8,AS!$AT:$AT,Saapuminen!$AP15,AS!$AV:$AV,Saapuminen!$X$6,AS!$I:$I,Saapuminen!$X$7,AS!$AW:$AW,Saapuminen!$Y$6,AS!$X:$X,Saapuminen!$Y$5,AS!$K:$K,Saapuminen!$V$2)+AS15</f>
        <v>0</v>
      </c>
      <c r="E15" s="63">
        <f>SUMIFS(AS!$W:$W,AS!$BO:$BO,$W$7,AS!$AB:$AB,AS!$AA$1,AS!$AH:$AH,$X$8,AS!$AT:$AT,Saapuminen!$AP15,AS!$AV:$AV,Saapuminen!$X$6,AS!$I:$I,Saapuminen!$Y$7,AS!$AW:$AW,Saapuminen!$Y$6,AS!$X:$X,Saapuminen!$Y$5,AS!$K:$K,Saapuminen!$V$2)+AT15</f>
        <v>0</v>
      </c>
      <c r="F15" s="63">
        <f>SUMIFS(AS!$W:$W,AS!$BO:$BO,$W$7,AS!$AB:$AB,AS!$AA$1,AS!$AH:$AH,$Y$8,AS!$AT:$AT,Saapuminen!$AP15,AS!$AV:$AV,Saapuminen!$X$6,AS!$AW:$AW,Saapuminen!$Y$6,AS!$X:$X,Saapuminen!$Y$5,AS!$K:$K,Saapuminen!$V$2)</f>
        <v>0</v>
      </c>
      <c r="G15" s="74"/>
      <c r="H15" s="33"/>
      <c r="I15" s="33"/>
      <c r="J15" s="33"/>
      <c r="K15" s="33"/>
      <c r="L15" s="33"/>
      <c r="M15" s="75"/>
      <c r="N15" s="63">
        <f>SUMIFS(JA!Z:Z,JA!X:X,AP15,JA!AF:AF,"OK",JA!AE:AE,"OK")</f>
        <v>0</v>
      </c>
      <c r="O15" s="318" t="str">
        <f t="shared" ref="O15:O22" si="6">IFERROR(N15/N$63,"-")</f>
        <v>-</v>
      </c>
      <c r="P15" s="63">
        <f>SUMIFS(JA!Z:Z,JA!X:X,AP15,JA!AF:AF,"OK",JA!AE:AE,"OK")</f>
        <v>0</v>
      </c>
      <c r="Q15" s="63">
        <f>SUMIFS(JA!Z:Z,JA!X:X,AP15,JA!AF:AF,"OK",JA!AE:AE,"OK")</f>
        <v>0</v>
      </c>
      <c r="R15" s="63">
        <f>SUMIFS(JA!Z:Z,JA!X:X,AP15,JA!AF:AF,"OK",JA!AE:AE,"OK")</f>
        <v>0</v>
      </c>
      <c r="AA15" s="176" t="str">
        <f>IFERROR(IF(INDEX(Data_Omakoodi!H:H,MATCH($AK$3&amp;$AL15,Data_Omakoodi!A:A,0))="P","",$AK$3&amp;$AL15),$AK$3&amp;$AL15)</f>
        <v>ComboBox_EtKuntakoodi_00000008</v>
      </c>
      <c r="AB15" s="44" t="str">
        <f>IFERROR(INDEX(Data_Omakoodi!E:E,MATCH(AA15,Data_Omakoodi!A:A,0)),"")</f>
        <v/>
      </c>
      <c r="AC15" t="str">
        <f>IFERROR(IF(INDEX(Data_Omakoodi!H:H,MATCH($AH$3&amp;$AL15,Data_Omakoodi!A:A,0))="P","",$AH$3&amp;$AL15),$AH$3&amp;$AL15)</f>
        <v>ComboBox_TyHlo_yksikko_00000008</v>
      </c>
      <c r="AD15" s="44" t="str">
        <f>IFERROR(INDEX(Data_Omakoodi!E:E,MATCH(AC15,Data_Omakoodi!A:A,0)),"")</f>
        <v/>
      </c>
      <c r="AE15" t="str">
        <f>IFERROR(IF(INDEX(Data_Omakoodi!H:H,MATCH($AH$3&amp;$AL15,Data_Omakoodi!A:A,0))="P","",$AH$3&amp;$AL15),$AH$3&amp;$AL15)</f>
        <v>ComboBox_TyHlo_yksikko_00000008</v>
      </c>
      <c r="AF15" t="s">
        <v>1534</v>
      </c>
      <c r="AG15" s="739" t="str">
        <f t="shared" si="0"/>
        <v/>
      </c>
      <c r="AH15" s="739" t="str">
        <f t="shared" si="1"/>
        <v/>
      </c>
      <c r="AJ15" s="739" t="str">
        <f t="shared" si="2"/>
        <v/>
      </c>
      <c r="AK15" s="739" t="str">
        <f t="shared" si="3"/>
        <v/>
      </c>
      <c r="AL15" s="370" t="s">
        <v>1646</v>
      </c>
      <c r="AP15" s="35" t="s">
        <v>240</v>
      </c>
      <c r="AR15">
        <f>SUMIFS(AS!$W:$W,AS!$BO:$BO,$W$7,AS!$AB:$AB,AS!$AA$1,AS!$AH:$AH,$X$8,AS!$AT:$AT,Saapuminen!$AQ15,AS!$AV:$AV,Saapuminen!$X$6,AS!$AW:$AW,Saapuminen!$Y$6,AS!$X:$X,Saapuminen!$Y$5,AS!$K:$K,Saapuminen!$V$2)</f>
        <v>0</v>
      </c>
      <c r="AS15">
        <f>SUMIFS(AS!$W:$W,AS!$BO:$BO,$W$7,AS!$AB:$AB,AS!$AA$1,AS!$AH:$AH,$X$8,AS!$AT:$AT,Saapuminen!$AQ15,AS!$AV:$AV,Saapuminen!$X$6,AS!$I:$I,Saapuminen!$X$7,AS!$AW:$AW,Saapuminen!$Y$6,AS!$X:$X,Saapuminen!$Y$5,AS!$K:$K,Saapuminen!$V$2)</f>
        <v>0</v>
      </c>
      <c r="AT15">
        <f>SUMIFS(AS!$W:$W,AS!$BO:$BO,$W$7,AS!$AB:$AB,AS!$AA$1,AS!$AH:$AH,$X$8,AS!$AT:$AT,Saapuminen!$AQ15,AS!$AV:$AV,Saapuminen!$X$6,AS!$I:$I,Saapuminen!$Y$7,AS!$AW:$AW,Saapuminen!$Y$6,AS!$X:$X,Saapuminen!$Y$5,AS!$K:$K,Saapuminen!$V$2)</f>
        <v>0</v>
      </c>
      <c r="AY15" s="607" t="s">
        <v>67</v>
      </c>
      <c r="AZ15" s="1" t="s">
        <v>1246</v>
      </c>
      <c r="BA15" s="1" t="s">
        <v>1247</v>
      </c>
      <c r="BB15" s="405" t="s">
        <v>791</v>
      </c>
      <c r="BC15" s="405" t="s">
        <v>1248</v>
      </c>
      <c r="BD15" s="610" t="s">
        <v>1249</v>
      </c>
      <c r="BE15" s="88" t="s">
        <v>240</v>
      </c>
    </row>
    <row r="16" spans="1:60" ht="15" customHeight="1" x14ac:dyDescent="0.25">
      <c r="A16" s="62" t="s">
        <v>1250</v>
      </c>
      <c r="B16" s="63">
        <f>SUMIFS(AS!$W:$W,AS!$BO:$BO,$W$7,AS!$AB:$AB,AS!$AA$1,AS!$AH:$AH,$X$8,AS!$AT:$AT,Saapuminen!$AP16,AS!$AV:$AV,Saapuminen!$X$6,AS!$AW:$AW,Saapuminen!$Y$6,AS!$X:$X,Saapuminen!$Y$5,AS!$K:$K,Saapuminen!$V$2)+AR16</f>
        <v>0</v>
      </c>
      <c r="C16" s="318"/>
      <c r="D16" s="63">
        <f>SUMIFS(AS!$W:$W,AS!$BO:$BO,$W$7,AS!$AB:$AB,AS!$AA$1,AS!$AH:$AH,$X$8,AS!$AT:$AT,Saapuminen!$AP16,AS!$AV:$AV,Saapuminen!$X$6,AS!$I:$I,Saapuminen!$X$7,AS!$AW:$AW,Saapuminen!$Y$6,AS!$X:$X,Saapuminen!$Y$5,AS!$K:$K,Saapuminen!$V$2)+AS16</f>
        <v>0</v>
      </c>
      <c r="E16" s="63">
        <f>SUMIFS(AS!$W:$W,AS!$BO:$BO,$W$7,AS!$AB:$AB,AS!$AA$1,AS!$AH:$AH,$X$8,AS!$AT:$AT,Saapuminen!$AP16,AS!$AV:$AV,Saapuminen!$X$6,AS!$I:$I,Saapuminen!$Y$7,AS!$AW:$AW,Saapuminen!$Y$6,AS!$X:$X,Saapuminen!$Y$5,AS!$K:$K,Saapuminen!$V$2)+AT16</f>
        <v>0</v>
      </c>
      <c r="F16" s="63">
        <f>SUMIFS(AS!$W:$W,AS!$BO:$BO,$W$7,AS!$AB:$AB,AS!$AA$1,AS!$AH:$AH,$Y$8,AS!$AT:$AT,Saapuminen!$AP16,AS!$AV:$AV,Saapuminen!$X$6,AS!$AW:$AW,Saapuminen!$Y$6,AS!$X:$X,Saapuminen!$Y$5,AS!$K:$K,Saapuminen!$V$2)</f>
        <v>0</v>
      </c>
      <c r="G16" s="74"/>
      <c r="H16" s="33"/>
      <c r="I16" s="33"/>
      <c r="J16" s="33"/>
      <c r="K16" s="33"/>
      <c r="L16" s="33"/>
      <c r="M16" s="75"/>
      <c r="N16" s="63">
        <f>SUMIFS(JA!Z:Z,JA!X:X,AP16,JA!AF:AF,"OK",JA!AE:AE,"OK")</f>
        <v>0</v>
      </c>
      <c r="O16" s="318" t="str">
        <f t="shared" si="6"/>
        <v>-</v>
      </c>
      <c r="P16" s="63">
        <f>SUMIFS(JA!Z:Z,JA!X:X,AP16,JA!AF:AF,"OK",JA!AE:AE,"OK")</f>
        <v>0</v>
      </c>
      <c r="Q16" s="63">
        <f>SUMIFS(JA!Z:Z,JA!X:X,AP16,JA!AF:AF,"OK",JA!AE:AE,"OK")</f>
        <v>0</v>
      </c>
      <c r="R16" s="63">
        <f>SUMIFS(JA!Z:Z,JA!X:X,AP16,JA!AF:AF,"OK",JA!AE:AE,"OK")</f>
        <v>0</v>
      </c>
      <c r="AA16" s="176" t="str">
        <f>IFERROR(IF(INDEX(Data_Omakoodi!H:H,MATCH($AK$3&amp;$AL16,Data_Omakoodi!A:A,0))="P","",$AK$3&amp;$AL16),$AK$3&amp;$AL16)</f>
        <v>ComboBox_EtKuntakoodi_00000009</v>
      </c>
      <c r="AB16" s="44" t="str">
        <f>IFERROR(INDEX(Data_Omakoodi!E:E,MATCH(AA16,Data_Omakoodi!A:A,0)),"")</f>
        <v/>
      </c>
      <c r="AC16" t="str">
        <f>IFERROR(IF(INDEX(Data_Omakoodi!H:H,MATCH($AH$3&amp;$AL16,Data_Omakoodi!A:A,0))="P","",$AH$3&amp;$AL16),$AH$3&amp;$AL16)</f>
        <v>ComboBox_TyHlo_yksikko_00000009</v>
      </c>
      <c r="AD16" s="44" t="str">
        <f>IFERROR(INDEX(Data_Omakoodi!E:E,MATCH(AC16,Data_Omakoodi!A:A,0)),"")</f>
        <v/>
      </c>
      <c r="AE16" t="str">
        <f>IFERROR(IF(INDEX(Data_Omakoodi!H:H,MATCH($AH$3&amp;$AL16,Data_Omakoodi!A:A,0))="P","",$AH$3&amp;$AL16),$AH$3&amp;$AL16)</f>
        <v>ComboBox_TyHlo_yksikko_00000009</v>
      </c>
      <c r="AF16" t="s">
        <v>1535</v>
      </c>
      <c r="AG16" s="739" t="str">
        <f t="shared" si="0"/>
        <v/>
      </c>
      <c r="AH16" s="739" t="str">
        <f t="shared" si="1"/>
        <v/>
      </c>
      <c r="AJ16" s="739" t="str">
        <f t="shared" si="2"/>
        <v/>
      </c>
      <c r="AK16" s="739" t="str">
        <f t="shared" si="3"/>
        <v/>
      </c>
      <c r="AL16" s="370" t="s">
        <v>1647</v>
      </c>
      <c r="AP16" s="616" t="s">
        <v>1220</v>
      </c>
      <c r="AR16">
        <f>SUMIFS(AS!$W:$W,AS!$BO:$BO,$W$7,AS!$AB:$AB,AS!$AA$1,AS!$AH:$AH,$X$8,AS!$AT:$AT,Saapuminen!$AQ16,AS!$AV:$AV,Saapuminen!$X$6,AS!$AW:$AW,Saapuminen!$Y$6,AS!$X:$X,Saapuminen!$Y$5,AS!$K:$K,Saapuminen!$V$2)</f>
        <v>0</v>
      </c>
      <c r="AS16">
        <f>SUMIFS(AS!$W:$W,AS!$BO:$BO,$W$7,AS!$AB:$AB,AS!$AA$1,AS!$AH:$AH,$X$8,AS!$AT:$AT,Saapuminen!$AQ16,AS!$AV:$AV,Saapuminen!$X$6,AS!$I:$I,Saapuminen!$X$7,AS!$AW:$AW,Saapuminen!$Y$6,AS!$X:$X,Saapuminen!$Y$5,AS!$K:$K,Saapuminen!$V$2)</f>
        <v>0</v>
      </c>
      <c r="AT16">
        <f>SUMIFS(AS!$W:$W,AS!$BO:$BO,$W$7,AS!$AB:$AB,AS!$AA$1,AS!$AH:$AH,$X$8,AS!$AT:$AT,Saapuminen!$AQ16,AS!$AV:$AV,Saapuminen!$X$6,AS!$I:$I,Saapuminen!$Y$7,AS!$AW:$AW,Saapuminen!$Y$6,AS!$X:$X,Saapuminen!$Y$5,AS!$K:$K,Saapuminen!$V$2)</f>
        <v>0</v>
      </c>
      <c r="AY16" s="607" t="s">
        <v>67</v>
      </c>
      <c r="AZ16" s="1" t="s">
        <v>1246</v>
      </c>
      <c r="BA16" s="1" t="s">
        <v>1247</v>
      </c>
      <c r="BB16" s="405" t="s">
        <v>1250</v>
      </c>
      <c r="BC16" s="602" t="s">
        <v>1251</v>
      </c>
      <c r="BD16" s="602" t="s">
        <v>1252</v>
      </c>
      <c r="BE16" s="88" t="s">
        <v>1220</v>
      </c>
    </row>
    <row r="17" spans="1:57" ht="15" customHeight="1" x14ac:dyDescent="0.25">
      <c r="A17" s="62" t="s">
        <v>73</v>
      </c>
      <c r="B17" s="63">
        <f>SUMIFS(AS!$W:$W,AS!$BO:$BO,$W$7,AS!$AB:$AB,AS!$AA$1,AS!$AH:$AH,$X$8,AS!$AT:$AT,Saapuminen!$AP17,AS!$AV:$AV,Saapuminen!$X$6,AS!$AW:$AW,Saapuminen!$Y$6,AS!$X:$X,Saapuminen!$Y$5,AS!$K:$K,Saapuminen!$V$2)+AR17</f>
        <v>0</v>
      </c>
      <c r="C17" s="318" t="str">
        <f t="shared" ref="C17:C22" si="7">IFERROR(B17/B$63,"-")</f>
        <v>-</v>
      </c>
      <c r="D17" s="63">
        <f>SUMIFS(AS!$W:$W,AS!$BO:$BO,$W$7,AS!$AB:$AB,AS!$AA$1,AS!$AH:$AH,$X$8,AS!$AT:$AT,Saapuminen!$AP17,AS!$AV:$AV,Saapuminen!$X$6,AS!$I:$I,Saapuminen!$X$7,AS!$AW:$AW,Saapuminen!$Y$6,AS!$X:$X,Saapuminen!$Y$5,AS!$K:$K,Saapuminen!$V$2)+AS17</f>
        <v>0</v>
      </c>
      <c r="E17" s="63">
        <f>SUMIFS(AS!$W:$W,AS!$BO:$BO,$W$7,AS!$AB:$AB,AS!$AA$1,AS!$AH:$AH,$X$8,AS!$AT:$AT,Saapuminen!$AP17,AS!$AV:$AV,Saapuminen!$X$6,AS!$I:$I,Saapuminen!$Y$7,AS!$AW:$AW,Saapuminen!$Y$6,AS!$X:$X,Saapuminen!$Y$5,AS!$K:$K,Saapuminen!$V$2)+AT17</f>
        <v>0</v>
      </c>
      <c r="F17" s="63">
        <f>SUMIFS(AS!$W:$W,AS!$BO:$BO,$W$7,AS!$AB:$AB,AS!$AA$1,AS!$AH:$AH,$Y$8,AS!$AT:$AT,Saapuminen!$AP17,AS!$AV:$AV,Saapuminen!$X$6,AS!$AW:$AW,Saapuminen!$Y$6,AS!$X:$X,Saapuminen!$Y$5,AS!$K:$K,Saapuminen!$V$2)</f>
        <v>0</v>
      </c>
      <c r="G17" s="74"/>
      <c r="H17" s="33"/>
      <c r="I17" s="33"/>
      <c r="J17" s="33"/>
      <c r="K17" s="33"/>
      <c r="L17" s="33"/>
      <c r="M17" s="75"/>
      <c r="N17" s="63">
        <f>SUMIFS(JA!Z:Z,JA!X:X,AP17,JA!AF:AF,"OK",JA!AE:AE,"OK")</f>
        <v>0</v>
      </c>
      <c r="O17" s="318" t="str">
        <f t="shared" si="6"/>
        <v>-</v>
      </c>
      <c r="P17" s="63">
        <f>SUMIFS(JA!Z:Z,JA!X:X,AP17,JA!AF:AF,"OK",JA!AE:AE,"OK")</f>
        <v>0</v>
      </c>
      <c r="Q17" s="63">
        <f>SUMIFS(JA!Z:Z,JA!X:X,AP17,JA!AF:AF,"OK",JA!AE:AE,"OK")</f>
        <v>0</v>
      </c>
      <c r="R17" s="63">
        <f>SUMIFS(JA!Z:Z,JA!X:X,AP17,JA!AF:AF,"OK",JA!AE:AE,"OK")</f>
        <v>0</v>
      </c>
      <c r="AA17" s="176" t="str">
        <f>IFERROR(IF(INDEX(Data_Omakoodi!H:H,MATCH($AK$3&amp;$AL17,Data_Omakoodi!A:A,0))="P","",$AK$3&amp;$AL17),$AK$3&amp;$AL17)</f>
        <v>ComboBox_EtKuntakoodi_00000010</v>
      </c>
      <c r="AB17" s="44" t="str">
        <f>IFERROR(INDEX(Data_Omakoodi!E:E,MATCH(AA17,Data_Omakoodi!A:A,0)),"")</f>
        <v/>
      </c>
      <c r="AC17" t="str">
        <f>IFERROR(IF(INDEX(Data_Omakoodi!H:H,MATCH($AH$3&amp;$AL17,Data_Omakoodi!A:A,0))="P","",$AH$3&amp;$AL17),$AH$3&amp;$AL17)</f>
        <v>ComboBox_TyHlo_yksikko_00000010</v>
      </c>
      <c r="AD17" s="44" t="str">
        <f>IFERROR(INDEX(Data_Omakoodi!E:E,MATCH(AC17,Data_Omakoodi!A:A,0)),"")</f>
        <v/>
      </c>
      <c r="AE17" t="str">
        <f>IFERROR(IF(INDEX(Data_Omakoodi!H:H,MATCH($AH$3&amp;$AL17,Data_Omakoodi!A:A,0))="P","",$AH$3&amp;$AL17),$AH$3&amp;$AL17)</f>
        <v>ComboBox_TyHlo_yksikko_00000010</v>
      </c>
      <c r="AF17" t="s">
        <v>1536</v>
      </c>
      <c r="AG17" s="739" t="str">
        <f t="shared" si="0"/>
        <v/>
      </c>
      <c r="AH17" s="739" t="str">
        <f t="shared" si="1"/>
        <v/>
      </c>
      <c r="AJ17" s="739" t="str">
        <f t="shared" si="2"/>
        <v/>
      </c>
      <c r="AK17" s="739" t="str">
        <f t="shared" si="3"/>
        <v/>
      </c>
      <c r="AL17">
        <v>10</v>
      </c>
      <c r="AP17" s="35" t="s">
        <v>247</v>
      </c>
      <c r="AR17">
        <f>SUMIFS(AS!$W:$W,AS!$BO:$BO,$W$7,AS!$AB:$AB,AS!$AA$1,AS!$AH:$AH,$X$8,AS!$AT:$AT,Saapuminen!$AQ17,AS!$AV:$AV,Saapuminen!$X$6,AS!$AW:$AW,Saapuminen!$Y$6,AS!$X:$X,Saapuminen!$Y$5,AS!$K:$K,Saapuminen!$V$2)</f>
        <v>0</v>
      </c>
      <c r="AS17">
        <f>SUMIFS(AS!$W:$W,AS!$BO:$BO,$W$7,AS!$AB:$AB,AS!$AA$1,AS!$AH:$AH,$X$8,AS!$AT:$AT,Saapuminen!$AQ17,AS!$AV:$AV,Saapuminen!$X$6,AS!$I:$I,Saapuminen!$X$7,AS!$AW:$AW,Saapuminen!$Y$6,AS!$X:$X,Saapuminen!$Y$5,AS!$K:$K,Saapuminen!$V$2)</f>
        <v>0</v>
      </c>
      <c r="AT17">
        <f>SUMIFS(AS!$W:$W,AS!$BO:$BO,$W$7,AS!$AB:$AB,AS!$AA$1,AS!$AH:$AH,$X$8,AS!$AT:$AT,Saapuminen!$AQ17,AS!$AV:$AV,Saapuminen!$X$6,AS!$I:$I,Saapuminen!$Y$7,AS!$AW:$AW,Saapuminen!$Y$6,AS!$X:$X,Saapuminen!$Y$5,AS!$K:$K,Saapuminen!$V$2)</f>
        <v>0</v>
      </c>
      <c r="AY17" s="607" t="s">
        <v>67</v>
      </c>
      <c r="AZ17" s="1" t="s">
        <v>1246</v>
      </c>
      <c r="BA17" s="1" t="s">
        <v>1247</v>
      </c>
      <c r="BB17" s="405" t="s">
        <v>792</v>
      </c>
      <c r="BC17" s="405" t="s">
        <v>1253</v>
      </c>
      <c r="BD17" s="610" t="s">
        <v>1254</v>
      </c>
      <c r="BE17" s="88" t="s">
        <v>247</v>
      </c>
    </row>
    <row r="18" spans="1:57" ht="15" customHeight="1" x14ac:dyDescent="0.25">
      <c r="A18" s="62" t="s">
        <v>1061</v>
      </c>
      <c r="B18" s="63">
        <f>SUMIFS(AS!$W:$W,AS!$BO:$BO,$W$7,AS!$AB:$AB,AS!$AA$1,AS!$AH:$AH,$X$8,AS!$AT:$AT,Saapuminen!$AP18,AS!$AV:$AV,Saapuminen!$X$6,AS!$AW:$AW,Saapuminen!$Y$6,AS!$X:$X,Saapuminen!$Y$5,AS!$K:$K,Saapuminen!$V$2)+AR18</f>
        <v>0</v>
      </c>
      <c r="C18" s="318" t="str">
        <f t="shared" si="7"/>
        <v>-</v>
      </c>
      <c r="D18" s="63">
        <f>SUMIFS(AS!$W:$W,AS!$BO:$BO,$W$7,AS!$AB:$AB,AS!$AA$1,AS!$AH:$AH,$X$8,AS!$AT:$AT,Saapuminen!$AP18,AS!$AV:$AV,Saapuminen!$X$6,AS!$I:$I,Saapuminen!$X$7,AS!$AW:$AW,Saapuminen!$Y$6,AS!$X:$X,Saapuminen!$Y$5,AS!$K:$K,Saapuminen!$V$2)+AS18</f>
        <v>0</v>
      </c>
      <c r="E18" s="63">
        <f>SUMIFS(AS!$W:$W,AS!$BO:$BO,$W$7,AS!$AB:$AB,AS!$AA$1,AS!$AH:$AH,$X$8,AS!$AT:$AT,Saapuminen!$AP18,AS!$AV:$AV,Saapuminen!$X$6,AS!$I:$I,Saapuminen!$Y$7,AS!$AW:$AW,Saapuminen!$Y$6,AS!$X:$X,Saapuminen!$Y$5,AS!$K:$K,Saapuminen!$V$2)+AT18</f>
        <v>0</v>
      </c>
      <c r="F18" s="63">
        <f>SUMIFS(AS!$W:$W,AS!$BO:$BO,$W$7,AS!$AB:$AB,AS!$AA$1,AS!$AH:$AH,$Y$8,AS!$AT:$AT,Saapuminen!$AP18,AS!$AV:$AV,Saapuminen!$X$6,AS!$AW:$AW,Saapuminen!$Y$6,AS!$X:$X,Saapuminen!$Y$5,AS!$K:$K,Saapuminen!$V$2)</f>
        <v>0</v>
      </c>
      <c r="G18" s="74"/>
      <c r="H18" s="33"/>
      <c r="I18" s="33"/>
      <c r="J18" s="33"/>
      <c r="K18" s="33"/>
      <c r="L18" s="33"/>
      <c r="M18" s="75"/>
      <c r="N18" s="63">
        <f>SUMIFS(JA!Z:Z,JA!X:X,AP18,JA!AF:AF,"OK",JA!AE:AE,"OK")</f>
        <v>0</v>
      </c>
      <c r="O18" s="318" t="str">
        <f t="shared" si="6"/>
        <v>-</v>
      </c>
      <c r="P18" s="63">
        <f>SUMIFS(JA!Z:Z,JA!X:X,AP18,JA!AF:AF,"OK",JA!AE:AE,"OK")</f>
        <v>0</v>
      </c>
      <c r="Q18" s="63">
        <f>SUMIFS(JA!Z:Z,JA!X:X,AP18,JA!AF:AF,"OK",JA!AE:AE,"OK")</f>
        <v>0</v>
      </c>
      <c r="R18" s="63">
        <f>SUMIFS(JA!Z:Z,JA!X:X,AP18,JA!AF:AF,"OK",JA!AE:AE,"OK")</f>
        <v>0</v>
      </c>
      <c r="AA18" s="176" t="str">
        <f>IFERROR(IF(INDEX(Data_Omakoodi!H:H,MATCH($AK$3&amp;$AL18,Data_Omakoodi!A:A,0))="P","",$AK$3&amp;$AL18),$AK$3&amp;$AL18)</f>
        <v>ComboBox_EtKuntakoodi_00000011</v>
      </c>
      <c r="AB18" s="44" t="str">
        <f>IFERROR(INDEX(Data_Omakoodi!E:E,MATCH(AA18,Data_Omakoodi!A:A,0)),"")</f>
        <v/>
      </c>
      <c r="AC18" t="str">
        <f>IFERROR(IF(INDEX(Data_Omakoodi!H:H,MATCH($AH$3&amp;$AL18,Data_Omakoodi!A:A,0))="P","",$AH$3&amp;$AL18),$AH$3&amp;$AL18)</f>
        <v>ComboBox_TyHlo_yksikko_00000011</v>
      </c>
      <c r="AD18" s="44" t="str">
        <f>IFERROR(INDEX(Data_Omakoodi!E:E,MATCH(AC18,Data_Omakoodi!A:A,0)),"")</f>
        <v/>
      </c>
      <c r="AE18" t="str">
        <f>IFERROR(IF(INDEX(Data_Omakoodi!H:H,MATCH($AH$3&amp;$AL18,Data_Omakoodi!A:A,0))="P","",$AH$3&amp;$AL18),$AH$3&amp;$AL18)</f>
        <v>ComboBox_TyHlo_yksikko_00000011</v>
      </c>
      <c r="AF18" t="s">
        <v>1537</v>
      </c>
      <c r="AG18" s="739" t="str">
        <f t="shared" si="0"/>
        <v/>
      </c>
      <c r="AH18" s="739" t="str">
        <f t="shared" si="1"/>
        <v/>
      </c>
      <c r="AJ18" s="739" t="str">
        <f t="shared" si="2"/>
        <v/>
      </c>
      <c r="AK18" s="739" t="str">
        <f t="shared" si="3"/>
        <v/>
      </c>
      <c r="AL18">
        <v>11</v>
      </c>
      <c r="AP18" s="514" t="s">
        <v>1041</v>
      </c>
      <c r="AQ18" s="513" t="s">
        <v>219</v>
      </c>
      <c r="AR18">
        <f>SUMIFS(AS!$W:$W,AS!$BO:$BO,$W$7,AS!$AB:$AB,AS!$AA$1,AS!$AH:$AH,$X$8,AS!$AT:$AT,Saapuminen!$AQ18,AS!$AV:$AV,Saapuminen!$X$6,AS!$AW:$AW,Saapuminen!$Y$6,AS!$X:$X,Saapuminen!$Y$5,AS!$K:$K,Saapuminen!$V$2)</f>
        <v>0</v>
      </c>
      <c r="AS18">
        <f>SUMIFS(AS!$W:$W,AS!$BO:$BO,$W$7,AS!$AB:$AB,AS!$AA$1,AS!$AH:$AH,$X$8,AS!$AT:$AT,Saapuminen!$AQ18,AS!$AV:$AV,Saapuminen!$X$6,AS!$I:$I,Saapuminen!$X$7,AS!$AW:$AW,Saapuminen!$Y$6,AS!$X:$X,Saapuminen!$Y$5,AS!$K:$K,Saapuminen!$V$2)</f>
        <v>0</v>
      </c>
      <c r="AT18">
        <f>SUMIFS(AS!$W:$W,AS!$BO:$BO,$W$7,AS!$AB:$AB,AS!$AA$1,AS!$AH:$AH,$X$8,AS!$AT:$AT,Saapuminen!$AQ18,AS!$AV:$AV,Saapuminen!$X$6,AS!$I:$I,Saapuminen!$Y$7,AS!$AW:$AW,Saapuminen!$Y$6,AS!$X:$X,Saapuminen!$Y$5,AS!$K:$K,Saapuminen!$V$2)</f>
        <v>0</v>
      </c>
      <c r="AY18" s="607" t="s">
        <v>67</v>
      </c>
      <c r="AZ18" s="1" t="s">
        <v>1246</v>
      </c>
      <c r="BA18" s="1" t="s">
        <v>1247</v>
      </c>
      <c r="BB18" s="405" t="s">
        <v>1065</v>
      </c>
      <c r="BC18" s="405" t="s">
        <v>1255</v>
      </c>
      <c r="BD18" s="610" t="s">
        <v>1256</v>
      </c>
      <c r="BE18" s="88" t="s">
        <v>1041</v>
      </c>
    </row>
    <row r="19" spans="1:57" ht="15" customHeight="1" x14ac:dyDescent="0.25">
      <c r="A19" s="62" t="s">
        <v>1606</v>
      </c>
      <c r="B19" s="63">
        <f>SUMIFS(AS!$W:$W,AS!$BO:$BO,$W$7,AS!$AB:$AB,AS!$AA$1,AS!$AH:$AH,$X$8,AS!$AT:$AT,Saapuminen!$AP19,AS!$AV:$AV,Saapuminen!$X$6,AS!$AW:$AW,Saapuminen!$Y$6,AS!$X:$X,Saapuminen!$Y$5,AS!$K:$K,Saapuminen!$V$2)+AR19</f>
        <v>0</v>
      </c>
      <c r="C19" s="318" t="str">
        <f t="shared" si="7"/>
        <v>-</v>
      </c>
      <c r="D19" s="63">
        <f>SUMIFS(AS!$W:$W,AS!$BO:$BO,$W$7,AS!$AB:$AB,AS!$AA$1,AS!$AH:$AH,$X$8,AS!$AT:$AT,Saapuminen!$AP19,AS!$AV:$AV,Saapuminen!$X$6,AS!$I:$I,Saapuminen!$X$7,AS!$AW:$AW,Saapuminen!$Y$6,AS!$X:$X,Saapuminen!$Y$5,AS!$K:$K,Saapuminen!$V$2)+AS19</f>
        <v>0</v>
      </c>
      <c r="E19" s="63">
        <f>SUMIFS(AS!$W:$W,AS!$BO:$BO,$W$7,AS!$AB:$AB,AS!$AA$1,AS!$AH:$AH,$X$8,AS!$AT:$AT,Saapuminen!$AP19,AS!$AV:$AV,Saapuminen!$X$6,AS!$I:$I,Saapuminen!$Y$7,AS!$AW:$AW,Saapuminen!$Y$6,AS!$X:$X,Saapuminen!$Y$5,AS!$K:$K,Saapuminen!$V$2)+AT19</f>
        <v>0</v>
      </c>
      <c r="F19" s="63">
        <f>SUMIFS(AS!$W:$W,AS!$BO:$BO,$W$7,AS!$AB:$AB,AS!$AA$1,AS!$AH:$AH,$Y$8,AS!$AT:$AT,Saapuminen!$AP19,AS!$AV:$AV,Saapuminen!$X$6,AS!$AW:$AW,Saapuminen!$Y$6,AS!$X:$X,Saapuminen!$Y$5,AS!$K:$K,Saapuminen!$V$2)</f>
        <v>0</v>
      </c>
      <c r="G19" s="74"/>
      <c r="H19" s="33"/>
      <c r="I19" s="33"/>
      <c r="J19" s="33"/>
      <c r="K19" s="33"/>
      <c r="L19" s="33"/>
      <c r="M19" s="75"/>
      <c r="N19" s="63">
        <f>SUMIFS(JA!Z:Z,JA!X:X,AP19,JA!AF:AF,"OK",JA!AE:AE,"OK")</f>
        <v>0</v>
      </c>
      <c r="O19" s="318" t="str">
        <f t="shared" si="6"/>
        <v>-</v>
      </c>
      <c r="P19" s="63">
        <f>SUMIFS(JA!Z:Z,JA!X:X,AP19,JA!AF:AF,"OK",JA!AE:AE,"OK")</f>
        <v>0</v>
      </c>
      <c r="Q19" s="63">
        <f>SUMIFS(JA!Z:Z,JA!X:X,AP19,JA!AF:AF,"OK",JA!AE:AE,"OK")</f>
        <v>0</v>
      </c>
      <c r="R19" s="63">
        <f>SUMIFS(JA!Z:Z,JA!X:X,AP19,JA!AF:AF,"OK",JA!AE:AE,"OK")</f>
        <v>0</v>
      </c>
      <c r="AA19" s="176" t="str">
        <f>IFERROR(IF(INDEX(Data_Omakoodi!H:H,MATCH($AK$3&amp;$AL19,Data_Omakoodi!A:A,0))="P","",$AK$3&amp;$AL19),$AK$3&amp;$AL19)</f>
        <v>ComboBox_EtKuntakoodi_00000012</v>
      </c>
      <c r="AB19" s="44" t="str">
        <f>IFERROR(INDEX(Data_Omakoodi!E:E,MATCH(AA19,Data_Omakoodi!A:A,0)),"")</f>
        <v/>
      </c>
      <c r="AC19" t="str">
        <f>IFERROR(IF(INDEX(Data_Omakoodi!H:H,MATCH($AH$3&amp;$AL19,Data_Omakoodi!A:A,0))="P","",$AH$3&amp;$AL19),$AH$3&amp;$AL19)</f>
        <v>ComboBox_TyHlo_yksikko_00000012</v>
      </c>
      <c r="AD19" s="44" t="str">
        <f>IFERROR(INDEX(Data_Omakoodi!E:E,MATCH(AC19,Data_Omakoodi!A:A,0)),"")</f>
        <v/>
      </c>
      <c r="AE19" t="str">
        <f>IFERROR(IF(INDEX(Data_Omakoodi!H:H,MATCH($AH$3&amp;$AL19,Data_Omakoodi!A:A,0))="P","",$AH$3&amp;$AL19),$AH$3&amp;$AL19)</f>
        <v>ComboBox_TyHlo_yksikko_00000012</v>
      </c>
      <c r="AF19" t="s">
        <v>1538</v>
      </c>
      <c r="AG19" s="739" t="str">
        <f t="shared" si="0"/>
        <v/>
      </c>
      <c r="AH19" s="739" t="str">
        <f t="shared" si="1"/>
        <v/>
      </c>
      <c r="AJ19" s="739" t="str">
        <f t="shared" si="2"/>
        <v/>
      </c>
      <c r="AK19" s="739" t="str">
        <f t="shared" si="3"/>
        <v/>
      </c>
      <c r="AL19">
        <v>12</v>
      </c>
      <c r="AP19" s="514" t="s">
        <v>1607</v>
      </c>
      <c r="AQ19" s="763"/>
      <c r="AR19">
        <f>SUMIFS(AS!$W:$W,AS!$BO:$BO,$W$7,AS!$AB:$AB,AS!$AA$1,AS!$AH:$AH,$X$8,AS!$AT:$AT,Saapuminen!$AQ19,AS!$AV:$AV,Saapuminen!$X$6,AS!$AW:$AW,Saapuminen!$Y$6,AS!$X:$X,Saapuminen!$Y$5,AS!$K:$K,Saapuminen!$V$2)</f>
        <v>0</v>
      </c>
      <c r="AS19">
        <f>SUMIFS(AS!$W:$W,AS!$BO:$BO,$W$7,AS!$AB:$AB,AS!$AA$1,AS!$AH:$AH,$X$8,AS!$AT:$AT,Saapuminen!$AQ19,AS!$AV:$AV,Saapuminen!$X$6,AS!$I:$I,Saapuminen!$X$7,AS!$AW:$AW,Saapuminen!$Y$6,AS!$X:$X,Saapuminen!$Y$5,AS!$K:$K,Saapuminen!$V$2)</f>
        <v>0</v>
      </c>
      <c r="AT19">
        <f>SUMIFS(AS!$W:$W,AS!$BO:$BO,$W$7,AS!$AB:$AB,AS!$AA$1,AS!$AH:$AH,$X$8,AS!$AT:$AT,Saapuminen!$AQ19,AS!$AV:$AV,Saapuminen!$X$6,AS!$I:$I,Saapuminen!$Y$7,AS!$AW:$AW,Saapuminen!$Y$6,AS!$X:$X,Saapuminen!$Y$5,AS!$K:$K,Saapuminen!$V$2)</f>
        <v>0</v>
      </c>
      <c r="AY19" s="607"/>
      <c r="AZ19" s="1"/>
      <c r="BA19" s="1"/>
      <c r="BB19" s="405"/>
      <c r="BC19" s="405"/>
      <c r="BD19" s="610"/>
      <c r="BE19" s="88"/>
    </row>
    <row r="20" spans="1:57" ht="15" customHeight="1" x14ac:dyDescent="0.25">
      <c r="A20" s="62" t="s">
        <v>1345</v>
      </c>
      <c r="B20" s="63">
        <f>SUMIFS(AS!$W:$W,AS!$BO:$BO,$W$7,AS!$AB:$AB,AS!$AA$1,AS!$AH:$AH,$X$8,AS!$AT:$AT,Saapuminen!$AP20,AS!$AV:$AV,Saapuminen!$X$6,AS!$AW:$AW,Saapuminen!$Y$6,AS!$X:$X,Saapuminen!$Y$5,AS!$K:$K,Saapuminen!$V$2)+AR20</f>
        <v>0</v>
      </c>
      <c r="C20" s="318" t="str">
        <f t="shared" si="7"/>
        <v>-</v>
      </c>
      <c r="D20" s="63">
        <f>SUMIFS(AS!$W:$W,AS!$BO:$BO,$W$7,AS!$AB:$AB,AS!$AA$1,AS!$AH:$AH,$X$8,AS!$AT:$AT,Saapuminen!$AP20,AS!$AV:$AV,Saapuminen!$X$6,AS!$I:$I,Saapuminen!$X$7,AS!$AW:$AW,Saapuminen!$Y$6,AS!$X:$X,Saapuminen!$Y$5,AS!$K:$K,Saapuminen!$V$2)+AS20</f>
        <v>0</v>
      </c>
      <c r="E20" s="63">
        <f>SUMIFS(AS!$W:$W,AS!$BO:$BO,$W$7,AS!$AB:$AB,AS!$AA$1,AS!$AH:$AH,$X$8,AS!$AT:$AT,Saapuminen!$AP20,AS!$AV:$AV,Saapuminen!$X$6,AS!$I:$I,Saapuminen!$Y$7,AS!$AW:$AW,Saapuminen!$Y$6,AS!$X:$X,Saapuminen!$Y$5,AS!$K:$K,Saapuminen!$V$2)+AT20</f>
        <v>0</v>
      </c>
      <c r="F20" s="63">
        <f>SUMIFS(AS!$W:$W,AS!$BO:$BO,$W$7,AS!$AB:$AB,AS!$AA$1,AS!$AH:$AH,$Y$8,AS!$AT:$AT,Saapuminen!$AP20,AS!$AV:$AV,Saapuminen!$X$6,AS!$AW:$AW,Saapuminen!$Y$6,AS!$X:$X,Saapuminen!$Y$5,AS!$K:$K,Saapuminen!$V$2)</f>
        <v>0</v>
      </c>
      <c r="G20" s="74"/>
      <c r="H20" s="33"/>
      <c r="I20" s="33"/>
      <c r="J20" s="33"/>
      <c r="K20" s="33"/>
      <c r="L20" s="33"/>
      <c r="M20" s="75"/>
      <c r="N20" s="63">
        <f>SUMIFS(JA!Z:Z,JA!X:X,AP20,JA!AF:AF,"OK",JA!AE:AE,"OK")</f>
        <v>0</v>
      </c>
      <c r="O20" s="318" t="str">
        <f t="shared" si="6"/>
        <v>-</v>
      </c>
      <c r="P20" s="63">
        <f>SUMIFS(JA!Z:Z,JA!X:X,AP20,JA!AF:AF,"OK",JA!AE:AE,"OK")</f>
        <v>0</v>
      </c>
      <c r="Q20" s="63">
        <f>SUMIFS(JA!Z:Z,JA!X:X,AP20,JA!AF:AF,"OK",JA!AE:AE,"OK")</f>
        <v>0</v>
      </c>
      <c r="R20" s="63">
        <f>SUMIFS(JA!Z:Z,JA!X:X,AP20,JA!AF:AF,"OK",JA!AE:AE,"OK")</f>
        <v>0</v>
      </c>
      <c r="AA20" s="176" t="str">
        <f>IFERROR(IF(INDEX(Data_Omakoodi!H:H,MATCH($AK$3&amp;$AL20,Data_Omakoodi!A:A,0))="P","",$AK$3&amp;$AL20),$AK$3&amp;$AL20)</f>
        <v>ComboBox_EtKuntakoodi_00000013</v>
      </c>
      <c r="AB20" s="44" t="str">
        <f>IFERROR(INDEX(Data_Omakoodi!E:E,MATCH(AA20,Data_Omakoodi!A:A,0)),"")</f>
        <v/>
      </c>
      <c r="AC20" t="str">
        <f>IFERROR(IF(INDEX(Data_Omakoodi!H:H,MATCH($AH$3&amp;$AL20,Data_Omakoodi!A:A,0))="P","",$AH$3&amp;$AL20),$AH$3&amp;$AL20)</f>
        <v>ComboBox_TyHlo_yksikko_00000013</v>
      </c>
      <c r="AD20" s="44" t="str">
        <f>IFERROR(INDEX(Data_Omakoodi!E:E,MATCH(AC20,Data_Omakoodi!A:A,0)),"")</f>
        <v/>
      </c>
      <c r="AE20" t="str">
        <f>IFERROR(IF(INDEX(Data_Omakoodi!H:H,MATCH($AH$3&amp;$AL20,Data_Omakoodi!A:A,0))="P","",$AH$3&amp;$AL20),$AH$3&amp;$AL20)</f>
        <v>ComboBox_TyHlo_yksikko_00000013</v>
      </c>
      <c r="AF20" t="s">
        <v>1539</v>
      </c>
      <c r="AG20" s="739" t="str">
        <f t="shared" si="0"/>
        <v/>
      </c>
      <c r="AH20" s="739" t="str">
        <f t="shared" si="1"/>
        <v/>
      </c>
      <c r="AJ20" s="739" t="str">
        <f t="shared" si="2"/>
        <v/>
      </c>
      <c r="AK20" s="739" t="str">
        <f t="shared" si="3"/>
        <v/>
      </c>
      <c r="AL20">
        <v>13</v>
      </c>
      <c r="AP20" s="514" t="s">
        <v>1039</v>
      </c>
      <c r="AR20">
        <f>SUMIFS(AS!$W:$W,AS!$BO:$BO,$W$7,AS!$AB:$AB,AS!$AA$1,AS!$AH:$AH,$X$8,AS!$AT:$AT,Saapuminen!$AQ20,AS!$AV:$AV,Saapuminen!$X$6,AS!$AW:$AW,Saapuminen!$Y$6,AS!$X:$X,Saapuminen!$Y$5,AS!$K:$K,Saapuminen!$V$2)</f>
        <v>0</v>
      </c>
      <c r="AS20">
        <f>SUMIFS(AS!$W:$W,AS!$BO:$BO,$W$7,AS!$AB:$AB,AS!$AA$1,AS!$AH:$AH,$X$8,AS!$AT:$AT,Saapuminen!$AQ20,AS!$AV:$AV,Saapuminen!$X$6,AS!$I:$I,Saapuminen!$X$7,AS!$AW:$AW,Saapuminen!$Y$6,AS!$X:$X,Saapuminen!$Y$5,AS!$K:$K,Saapuminen!$V$2)</f>
        <v>0</v>
      </c>
      <c r="AT20">
        <f>SUMIFS(AS!$W:$W,AS!$BO:$BO,$W$7,AS!$AB:$AB,AS!$AA$1,AS!$AH:$AH,$X$8,AS!$AT:$AT,Saapuminen!$AQ20,AS!$AV:$AV,Saapuminen!$X$6,AS!$I:$I,Saapuminen!$Y$7,AS!$AW:$AW,Saapuminen!$Y$6,AS!$X:$X,Saapuminen!$Y$5,AS!$K:$K,Saapuminen!$V$2)</f>
        <v>0</v>
      </c>
      <c r="AY20" s="607" t="s">
        <v>67</v>
      </c>
      <c r="AZ20" s="1" t="s">
        <v>1246</v>
      </c>
      <c r="BA20" s="1" t="s">
        <v>1247</v>
      </c>
      <c r="BB20" s="405" t="s">
        <v>1066</v>
      </c>
      <c r="BC20" s="405" t="s">
        <v>1257</v>
      </c>
      <c r="BD20" s="405" t="s">
        <v>1258</v>
      </c>
      <c r="BE20" s="88" t="s">
        <v>1039</v>
      </c>
    </row>
    <row r="21" spans="1:57" ht="15" customHeight="1" x14ac:dyDescent="0.25">
      <c r="A21" s="62" t="s">
        <v>1346</v>
      </c>
      <c r="B21" s="63">
        <f>SUMIFS(AS!$W:$W,AS!$BO:$BO,$W$7,AS!$AB:$AB,AS!$AA$1,AS!$AH:$AH,$X$8,AS!$AT:$AT,Saapuminen!$AP21,AS!$AV:$AV,Saapuminen!$X$6,AS!$AW:$AW,Saapuminen!$Y$6,AS!$X:$X,Saapuminen!$Y$5,AS!$K:$K,Saapuminen!$V$2)+AR21</f>
        <v>0</v>
      </c>
      <c r="C21" s="318" t="str">
        <f t="shared" si="7"/>
        <v>-</v>
      </c>
      <c r="D21" s="63">
        <f>SUMIFS(AS!$W:$W,AS!$BO:$BO,$W$7,AS!$AB:$AB,AS!$AA$1,AS!$AH:$AH,$X$8,AS!$AT:$AT,Saapuminen!$AP21,AS!$AV:$AV,Saapuminen!$X$6,AS!$I:$I,Saapuminen!$X$7,AS!$AW:$AW,Saapuminen!$Y$6,AS!$X:$X,Saapuminen!$Y$5,AS!$K:$K,Saapuminen!$V$2)+AS21</f>
        <v>0</v>
      </c>
      <c r="E21" s="63">
        <f>SUMIFS(AS!$W:$W,AS!$BO:$BO,$W$7,AS!$AB:$AB,AS!$AA$1,AS!$AH:$AH,$X$8,AS!$AT:$AT,Saapuminen!$AP21,AS!$AV:$AV,Saapuminen!$X$6,AS!$I:$I,Saapuminen!$Y$7,AS!$AW:$AW,Saapuminen!$Y$6,AS!$X:$X,Saapuminen!$Y$5,AS!$K:$K,Saapuminen!$V$2)+AT21</f>
        <v>0</v>
      </c>
      <c r="F21" s="63">
        <f>SUMIFS(AS!$W:$W,AS!$BO:$BO,$W$7,AS!$AB:$AB,AS!$AA$1,AS!$AH:$AH,$Y$8,AS!$AT:$AT,Saapuminen!$AP21,AS!$AV:$AV,Saapuminen!$X$6,AS!$AW:$AW,Saapuminen!$Y$6,AS!$X:$X,Saapuminen!$Y$5,AS!$K:$K,Saapuminen!$V$2)</f>
        <v>0</v>
      </c>
      <c r="G21" s="74"/>
      <c r="H21" s="33"/>
      <c r="I21" s="33"/>
      <c r="J21" s="33"/>
      <c r="K21" s="33"/>
      <c r="L21" s="33"/>
      <c r="M21" s="75"/>
      <c r="N21" s="63">
        <f>SUMIFS(JA!Z:Z,JA!X:X,AP21,JA!AF:AF,"OK",JA!AE:AE,"OK")</f>
        <v>0</v>
      </c>
      <c r="O21" s="318" t="str">
        <f t="shared" si="6"/>
        <v>-</v>
      </c>
      <c r="P21" s="63">
        <f>SUMIFS(JA!Z:Z,JA!X:X,AP21,JA!AF:AF,"OK",JA!AE:AE,"OK")</f>
        <v>0</v>
      </c>
      <c r="Q21" s="63">
        <f>SUMIFS(JA!Z:Z,JA!X:X,AP21,JA!AF:AF,"OK",JA!AE:AE,"OK")</f>
        <v>0</v>
      </c>
      <c r="R21" s="63">
        <f>SUMIFS(JA!Z:Z,JA!X:X,AP21,JA!AF:AF,"OK",JA!AE:AE,"OK")</f>
        <v>0</v>
      </c>
      <c r="AA21" s="176" t="str">
        <f>IFERROR(IF(INDEX(Data_Omakoodi!H:H,MATCH($AK$3&amp;$AL21,Data_Omakoodi!A:A,0))="P","",$AK$3&amp;$AL21),$AK$3&amp;$AL21)</f>
        <v>ComboBox_EtKuntakoodi_00000014</v>
      </c>
      <c r="AB21" s="44" t="str">
        <f>IFERROR(INDEX(Data_Omakoodi!E:E,MATCH(AA21,Data_Omakoodi!A:A,0)),"")</f>
        <v/>
      </c>
      <c r="AC21" t="str">
        <f>IFERROR(IF(INDEX(Data_Omakoodi!H:H,MATCH($AH$3&amp;$AL21,Data_Omakoodi!A:A,0))="P","",$AH$3&amp;$AL21),$AH$3&amp;$AL21)</f>
        <v>ComboBox_TyHlo_yksikko_00000014</v>
      </c>
      <c r="AD21" s="44" t="str">
        <f>IFERROR(INDEX(Data_Omakoodi!E:E,MATCH(AC21,Data_Omakoodi!A:A,0)),"")</f>
        <v/>
      </c>
      <c r="AE21" t="str">
        <f>IFERROR(IF(INDEX(Data_Omakoodi!H:H,MATCH($AH$3&amp;$AL21,Data_Omakoodi!A:A,0))="P","",$AH$3&amp;$AL21),$AH$3&amp;$AL21)</f>
        <v>ComboBox_TyHlo_yksikko_00000014</v>
      </c>
      <c r="AF21" t="s">
        <v>1540</v>
      </c>
      <c r="AG21" s="739" t="str">
        <f t="shared" si="0"/>
        <v/>
      </c>
      <c r="AH21" s="739" t="str">
        <f t="shared" si="1"/>
        <v/>
      </c>
      <c r="AJ21" s="739" t="str">
        <f t="shared" si="2"/>
        <v/>
      </c>
      <c r="AK21" s="739" t="str">
        <f t="shared" si="3"/>
        <v/>
      </c>
      <c r="AL21">
        <v>14</v>
      </c>
      <c r="AP21" s="514" t="s">
        <v>1040</v>
      </c>
      <c r="AR21">
        <f>SUMIFS(AS!$W:$W,AS!$BO:$BO,$W$7,AS!$AB:$AB,AS!$AA$1,AS!$AH:$AH,$X$8,AS!$AT:$AT,Saapuminen!$AQ21,AS!$AV:$AV,Saapuminen!$X$6,AS!$AW:$AW,Saapuminen!$Y$6,AS!$X:$X,Saapuminen!$Y$5,AS!$K:$K,Saapuminen!$V$2)</f>
        <v>0</v>
      </c>
      <c r="AS21">
        <f>SUMIFS(AS!$W:$W,AS!$BO:$BO,$W$7,AS!$AB:$AB,AS!$AA$1,AS!$AH:$AH,$X$8,AS!$AT:$AT,Saapuminen!$AQ21,AS!$AV:$AV,Saapuminen!$X$6,AS!$I:$I,Saapuminen!$X$7,AS!$AW:$AW,Saapuminen!$Y$6,AS!$X:$X,Saapuminen!$Y$5,AS!$K:$K,Saapuminen!$V$2)</f>
        <v>0</v>
      </c>
      <c r="AT21">
        <f>SUMIFS(AS!$W:$W,AS!$BO:$BO,$W$7,AS!$AB:$AB,AS!$AA$1,AS!$AH:$AH,$X$8,AS!$AT:$AT,Saapuminen!$AQ21,AS!$AV:$AV,Saapuminen!$X$6,AS!$I:$I,Saapuminen!$Y$7,AS!$AW:$AW,Saapuminen!$Y$6,AS!$X:$X,Saapuminen!$Y$5,AS!$K:$K,Saapuminen!$V$2)</f>
        <v>0</v>
      </c>
      <c r="AY21" s="607" t="s">
        <v>67</v>
      </c>
      <c r="AZ21" s="1" t="s">
        <v>1246</v>
      </c>
      <c r="BA21" s="1" t="s">
        <v>1247</v>
      </c>
      <c r="BB21" s="405" t="s">
        <v>1067</v>
      </c>
      <c r="BC21" s="405" t="s">
        <v>1259</v>
      </c>
      <c r="BD21" s="405" t="s">
        <v>1260</v>
      </c>
      <c r="BE21" s="88" t="s">
        <v>1040</v>
      </c>
    </row>
    <row r="22" spans="1:57" ht="15" customHeight="1" x14ac:dyDescent="0.25">
      <c r="A22" s="62" t="s">
        <v>141</v>
      </c>
      <c r="B22" s="63">
        <f>SUMIFS(AS!$W:$W,AS!$BO:$BO,$W$7,AS!$AB:$AB,AS!$AA$1,AS!$AH:$AH,$X$8,AS!$AT:$AT,Saapuminen!$AP22,AS!$AV:$AV,Saapuminen!$X$6,AS!$AW:$AW,Saapuminen!$Y$6,AS!$X:$X,Saapuminen!$Y$5,AS!$K:$K,Saapuminen!$V$2)+AR22</f>
        <v>0</v>
      </c>
      <c r="C22" s="318" t="str">
        <f t="shared" si="7"/>
        <v>-</v>
      </c>
      <c r="D22" s="63">
        <f>SUMIFS(AS!$W:$W,AS!$BO:$BO,$W$7,AS!$AB:$AB,AS!$AA$1,AS!$AH:$AH,$X$8,AS!$AT:$AT,Saapuminen!$AP22,AS!$AV:$AV,Saapuminen!$X$6,AS!$I:$I,Saapuminen!$X$7,AS!$AW:$AW,Saapuminen!$Y$6,AS!$X:$X,Saapuminen!$Y$5,AS!$K:$K,Saapuminen!$V$2)+AS22</f>
        <v>0</v>
      </c>
      <c r="E22" s="63">
        <f>SUMIFS(AS!$W:$W,AS!$BO:$BO,$W$7,AS!$AB:$AB,AS!$AA$1,AS!$AH:$AH,$X$8,AS!$AT:$AT,Saapuminen!$AP22,AS!$AV:$AV,Saapuminen!$X$6,AS!$I:$I,Saapuminen!$Y$7,AS!$AW:$AW,Saapuminen!$Y$6,AS!$X:$X,Saapuminen!$Y$5,AS!$K:$K,Saapuminen!$V$2)+AT22</f>
        <v>0</v>
      </c>
      <c r="F22" s="63">
        <f>SUMIFS(AS!$W:$W,AS!$BO:$BO,$W$7,AS!$AB:$AB,AS!$AA$1,AS!$AH:$AH,$Y$8,AS!$AT:$AT,Saapuminen!$AP22,AS!$AV:$AV,Saapuminen!$X$6,AS!$AW:$AW,Saapuminen!$Y$6,AS!$X:$X,Saapuminen!$Y$5,AS!$K:$K,Saapuminen!$V$2)</f>
        <v>0</v>
      </c>
      <c r="G22" s="74"/>
      <c r="H22" s="33"/>
      <c r="I22" s="33"/>
      <c r="J22" s="33"/>
      <c r="K22" s="33"/>
      <c r="L22" s="33"/>
      <c r="M22" s="75"/>
      <c r="N22" s="63">
        <f>SUMIFS(JA!Z:Z,JA!X:X,AP22,JA!AF:AF,"OK",JA!AE:AE,"OK")</f>
        <v>0</v>
      </c>
      <c r="O22" s="318" t="str">
        <f t="shared" si="6"/>
        <v>-</v>
      </c>
      <c r="P22" s="63">
        <f>SUMIFS(JA!Z:Z,JA!X:X,AP22,JA!AF:AF,"OK",JA!AE:AE,"OK")</f>
        <v>0</v>
      </c>
      <c r="Q22" s="63">
        <f>SUMIFS(JA!Z:Z,JA!X:X,AP22,JA!AF:AF,"OK",JA!AE:AE,"OK")</f>
        <v>0</v>
      </c>
      <c r="R22" s="63">
        <f>SUMIFS(JA!Z:Z,JA!X:X,AP22,JA!AF:AF,"OK",JA!AE:AE,"OK")</f>
        <v>0</v>
      </c>
      <c r="AA22" s="176" t="str">
        <f>IFERROR(IF(INDEX(Data_Omakoodi!H:H,MATCH($AK$3&amp;$AL22,Data_Omakoodi!A:A,0))="P","",$AK$3&amp;$AL22),$AK$3&amp;$AL22)</f>
        <v>ComboBox_EtKuntakoodi_00000015</v>
      </c>
      <c r="AB22" s="44" t="str">
        <f>IFERROR(INDEX(Data_Omakoodi!E:E,MATCH(AA22,Data_Omakoodi!A:A,0)),"")</f>
        <v/>
      </c>
      <c r="AC22" t="str">
        <f>IFERROR(IF(INDEX(Data_Omakoodi!H:H,MATCH($AH$3&amp;$AL22,Data_Omakoodi!A:A,0))="P","",$AH$3&amp;$AL22),$AH$3&amp;$AL22)</f>
        <v>ComboBox_TyHlo_yksikko_00000015</v>
      </c>
      <c r="AD22" s="44" t="str">
        <f>IFERROR(INDEX(Data_Omakoodi!E:E,MATCH(AC22,Data_Omakoodi!A:A,0)),"")</f>
        <v/>
      </c>
      <c r="AE22" t="str">
        <f>IFERROR(IF(INDEX(Data_Omakoodi!H:H,MATCH($AH$3&amp;$AL22,Data_Omakoodi!A:A,0))="P","",$AH$3&amp;$AL22),$AH$3&amp;$AL22)</f>
        <v>ComboBox_TyHlo_yksikko_00000015</v>
      </c>
      <c r="AF22" t="s">
        <v>1541</v>
      </c>
      <c r="AG22" s="739" t="str">
        <f t="shared" si="0"/>
        <v/>
      </c>
      <c r="AH22" s="739" t="str">
        <f t="shared" si="1"/>
        <v/>
      </c>
      <c r="AJ22" s="739" t="str">
        <f t="shared" si="2"/>
        <v/>
      </c>
      <c r="AK22" s="739" t="str">
        <f t="shared" si="3"/>
        <v/>
      </c>
      <c r="AL22">
        <v>15</v>
      </c>
      <c r="AP22" s="35" t="s">
        <v>217</v>
      </c>
      <c r="AR22">
        <f>SUMIFS(AS!$W:$W,AS!$BO:$BO,$W$7,AS!$AB:$AB,AS!$AA$1,AS!$AH:$AH,$X$8,AS!$AT:$AT,Saapuminen!$AQ22,AS!$AV:$AV,Saapuminen!$X$6,AS!$AW:$AW,Saapuminen!$Y$6,AS!$X:$X,Saapuminen!$Y$5,AS!$K:$K,Saapuminen!$V$2)</f>
        <v>0</v>
      </c>
      <c r="AS22">
        <f>SUMIFS(AS!$W:$W,AS!$BO:$BO,$W$7,AS!$AB:$AB,AS!$AA$1,AS!$AH:$AH,$X$8,AS!$AT:$AT,Saapuminen!$AQ22,AS!$AV:$AV,Saapuminen!$X$6,AS!$I:$I,Saapuminen!$X$7,AS!$AW:$AW,Saapuminen!$Y$6,AS!$X:$X,Saapuminen!$Y$5,AS!$K:$K,Saapuminen!$V$2)</f>
        <v>0</v>
      </c>
      <c r="AT22">
        <f>SUMIFS(AS!$W:$W,AS!$BO:$BO,$W$7,AS!$AB:$AB,AS!$AA$1,AS!$AH:$AH,$X$8,AS!$AT:$AT,Saapuminen!$AQ22,AS!$AV:$AV,Saapuminen!$X$6,AS!$I:$I,Saapuminen!$Y$7,AS!$AW:$AW,Saapuminen!$Y$6,AS!$X:$X,Saapuminen!$Y$5,AS!$K:$K,Saapuminen!$V$2)</f>
        <v>0</v>
      </c>
      <c r="AY22" s="607" t="s">
        <v>67</v>
      </c>
      <c r="AZ22" s="1" t="s">
        <v>1246</v>
      </c>
      <c r="BA22" s="1" t="s">
        <v>1247</v>
      </c>
      <c r="BB22" s="405" t="s">
        <v>793</v>
      </c>
      <c r="BC22" s="405" t="s">
        <v>1261</v>
      </c>
      <c r="BD22" s="610" t="s">
        <v>1262</v>
      </c>
      <c r="BE22" s="88" t="s">
        <v>217</v>
      </c>
    </row>
    <row r="23" spans="1:57" ht="15" customHeight="1" x14ac:dyDescent="0.25">
      <c r="A23" s="62" t="s">
        <v>1610</v>
      </c>
      <c r="B23" s="63">
        <f>SUMIFS(AS!$W:$W,AS!$BO:$BO,$W$7,AS!$AB:$AB,AS!$AA$1,AS!$AH:$AH,$X$8,AS!$AT:$AT,Saapuminen!$AP23,AS!$AV:$AV,Saapuminen!$X$6,AS!$AW:$AW,Saapuminen!$Y$6,AS!$X:$X,Saapuminen!$Y$5,AS!$K:$K,Saapuminen!$V$2)+AR23</f>
        <v>0</v>
      </c>
      <c r="C23" s="318" t="str">
        <f t="shared" ref="C23" si="8">IFERROR(B23/B$63,"-")</f>
        <v>-</v>
      </c>
      <c r="D23" s="63">
        <f>SUMIFS(AS!$W:$W,AS!$BO:$BO,$W$7,AS!$AB:$AB,AS!$AA$1,AS!$AH:$AH,$X$8,AS!$AT:$AT,Saapuminen!$AP23,AS!$AV:$AV,Saapuminen!$X$6,AS!$I:$I,Saapuminen!$X$7,AS!$AW:$AW,Saapuminen!$Y$6,AS!$X:$X,Saapuminen!$Y$5,AS!$K:$K,Saapuminen!$V$2)+AS23</f>
        <v>0</v>
      </c>
      <c r="E23" s="63">
        <f>SUMIFS(AS!$W:$W,AS!$BO:$BO,$W$7,AS!$AB:$AB,AS!$AA$1,AS!$AH:$AH,$X$8,AS!$AT:$AT,Saapuminen!$AP23,AS!$AV:$AV,Saapuminen!$X$6,AS!$I:$I,Saapuminen!$Y$7,AS!$AW:$AW,Saapuminen!$Y$6,AS!$X:$X,Saapuminen!$Y$5,AS!$K:$K,Saapuminen!$V$2)+AT23</f>
        <v>0</v>
      </c>
      <c r="F23" s="63">
        <f>SUMIFS(AS!$W:$W,AS!$BO:$BO,$W$7,AS!$AB:$AB,AS!$AA$1,AS!$AH:$AH,$Y$8,AS!$AT:$AT,Saapuminen!$AP23,AS!$AV:$AV,Saapuminen!$X$6,AS!$AW:$AW,Saapuminen!$Y$6,AS!$X:$X,Saapuminen!$Y$5,AS!$K:$K,Saapuminen!$V$2)</f>
        <v>0</v>
      </c>
      <c r="G23" s="74"/>
      <c r="H23" s="33"/>
      <c r="I23" s="33"/>
      <c r="J23" s="33"/>
      <c r="K23" s="33"/>
      <c r="L23" s="33"/>
      <c r="M23" s="75"/>
      <c r="N23" s="63">
        <f>SUMIFS(JA!Z:Z,JA!X:X,AP23,JA!AF:AF,"OK",JA!AE:AE,"OK")</f>
        <v>0</v>
      </c>
      <c r="O23" s="318" t="str">
        <f t="shared" ref="O23" si="9">IFERROR(N23/N$63,"-")</f>
        <v>-</v>
      </c>
      <c r="P23" s="63">
        <f>SUMIFS(JA!Z:Z,JA!X:X,AP23,JA!AF:AF,"OK",JA!AE:AE,"OK")</f>
        <v>0</v>
      </c>
      <c r="Q23" s="63">
        <f>SUMIFS(JA!Z:Z,JA!X:X,AP23,JA!AF:AF,"OK",JA!AE:AE,"OK")</f>
        <v>0</v>
      </c>
      <c r="R23" s="63">
        <f>SUMIFS(JA!Z:Z,JA!X:X,AP23,JA!AF:AF,"OK",JA!AE:AE,"OK")</f>
        <v>0</v>
      </c>
      <c r="AA23" s="176" t="str">
        <f>IFERROR(IF(INDEX(Data_Omakoodi!H:H,MATCH($AK$3&amp;$AL23,Data_Omakoodi!A:A,0))="P","",$AK$3&amp;$AL23),$AK$3&amp;$AL23)</f>
        <v>ComboBox_EtKuntakoodi_00000016</v>
      </c>
      <c r="AB23" s="44" t="str">
        <f>IFERROR(INDEX(Data_Omakoodi!E:E,MATCH(AA23,Data_Omakoodi!A:A,0)),"")</f>
        <v/>
      </c>
      <c r="AC23" t="str">
        <f>IFERROR(IF(INDEX(Data_Omakoodi!H:H,MATCH($AH$3&amp;$AL23,Data_Omakoodi!A:A,0))="P","",$AH$3&amp;$AL23),$AH$3&amp;$AL23)</f>
        <v>ComboBox_TyHlo_yksikko_00000016</v>
      </c>
      <c r="AD23" s="44" t="str">
        <f>IFERROR(INDEX(Data_Omakoodi!E:E,MATCH(AC23,Data_Omakoodi!A:A,0)),"")</f>
        <v/>
      </c>
      <c r="AE23" t="str">
        <f>IFERROR(IF(INDEX(Data_Omakoodi!H:H,MATCH($AH$3&amp;$AL23,Data_Omakoodi!A:A,0))="P","",$AH$3&amp;$AL23),$AH$3&amp;$AL23)</f>
        <v>ComboBox_TyHlo_yksikko_00000016</v>
      </c>
      <c r="AF23" t="s">
        <v>1542</v>
      </c>
      <c r="AG23" s="739" t="str">
        <f t="shared" si="0"/>
        <v/>
      </c>
      <c r="AH23" s="739" t="str">
        <f t="shared" si="1"/>
        <v/>
      </c>
      <c r="AJ23" s="739" t="str">
        <f t="shared" si="2"/>
        <v/>
      </c>
      <c r="AK23" s="739" t="str">
        <f t="shared" si="3"/>
        <v/>
      </c>
      <c r="AL23">
        <v>16</v>
      </c>
      <c r="AP23" s="35" t="s">
        <v>1609</v>
      </c>
      <c r="AR23">
        <f>SUMIFS(AS!$W:$W,AS!$BO:$BO,$W$7,AS!$AB:$AB,AS!$AA$1,AS!$AH:$AH,$X$8,AS!$AT:$AT,Saapuminen!$AQ23,AS!$AV:$AV,Saapuminen!$X$6,AS!$AW:$AW,Saapuminen!$Y$6,AS!$X:$X,Saapuminen!$Y$5,AS!$K:$K,Saapuminen!$V$2)</f>
        <v>0</v>
      </c>
      <c r="AS23">
        <f>SUMIFS(AS!$W:$W,AS!$BO:$BO,$W$7,AS!$AB:$AB,AS!$AA$1,AS!$AH:$AH,$X$8,AS!$AT:$AT,Saapuminen!$AQ23,AS!$AV:$AV,Saapuminen!$X$6,AS!$I:$I,Saapuminen!$X$7,AS!$AW:$AW,Saapuminen!$Y$6,AS!$X:$X,Saapuminen!$Y$5,AS!$K:$K,Saapuminen!$V$2)</f>
        <v>0</v>
      </c>
      <c r="AT23">
        <f>SUMIFS(AS!$W:$W,AS!$BO:$BO,$W$7,AS!$AB:$AB,AS!$AA$1,AS!$AH:$AH,$X$8,AS!$AT:$AT,Saapuminen!$AQ23,AS!$AV:$AV,Saapuminen!$X$6,AS!$I:$I,Saapuminen!$Y$7,AS!$AW:$AW,Saapuminen!$Y$6,AS!$X:$X,Saapuminen!$Y$5,AS!$K:$K,Saapuminen!$V$2)</f>
        <v>0</v>
      </c>
      <c r="AY23" s="607"/>
      <c r="AZ23" s="1"/>
      <c r="BA23" s="1"/>
      <c r="BB23" s="405"/>
      <c r="BC23" s="405"/>
      <c r="BD23" s="610"/>
      <c r="BE23" s="88"/>
    </row>
    <row r="24" spans="1:57" ht="15" customHeight="1" x14ac:dyDescent="0.25">
      <c r="A24" s="59" t="s">
        <v>1608</v>
      </c>
      <c r="B24" s="65">
        <f>SUM(B25:B30)</f>
        <v>0</v>
      </c>
      <c r="C24" s="61" t="str">
        <f t="shared" ref="C24:C50" si="10">IFERROR(B24/B$63,"-")</f>
        <v>-</v>
      </c>
      <c r="D24" s="65">
        <f>SUM(D25:D30)</f>
        <v>0</v>
      </c>
      <c r="E24" s="65">
        <f>SUM(E25:E30)</f>
        <v>0</v>
      </c>
      <c r="F24" s="65">
        <f>SUM(F25:F30)</f>
        <v>0</v>
      </c>
      <c r="G24" s="76"/>
      <c r="H24" s="38"/>
      <c r="I24" s="38"/>
      <c r="J24" s="38"/>
      <c r="K24" s="38"/>
      <c r="L24" s="38"/>
      <c r="M24" s="77"/>
      <c r="N24" s="65">
        <f>SUM(N25:N30)</f>
        <v>0</v>
      </c>
      <c r="O24" s="61" t="str">
        <f t="shared" ref="O24:O62" si="11">IFERROR(N24/N$63,"-")</f>
        <v>-</v>
      </c>
      <c r="P24" s="65">
        <f>SUM(P25:P30)</f>
        <v>0</v>
      </c>
      <c r="Q24" s="65">
        <f>SUM(Q25:Q30)</f>
        <v>0</v>
      </c>
      <c r="R24" s="65">
        <f>SUM(R25:R30)</f>
        <v>0</v>
      </c>
      <c r="AA24" s="176" t="str">
        <f>IFERROR(IF(INDEX(Data_Omakoodi!H:H,MATCH($AK$3&amp;$AL24,Data_Omakoodi!A:A,0))="P","",$AK$3&amp;$AL24),$AK$3&amp;$AL24)</f>
        <v>ComboBox_EtKuntakoodi_00000017</v>
      </c>
      <c r="AB24" s="44" t="str">
        <f>IFERROR(INDEX(Data_Omakoodi!E:E,MATCH(AA24,Data_Omakoodi!A:A,0)),"")</f>
        <v/>
      </c>
      <c r="AC24" t="str">
        <f>IFERROR(IF(INDEX(Data_Omakoodi!H:H,MATCH($AH$3&amp;$AL24,Data_Omakoodi!A:A,0))="P","",$AH$3&amp;$AL24),$AH$3&amp;$AL24)</f>
        <v>ComboBox_TyHlo_yksikko_00000017</v>
      </c>
      <c r="AD24" s="44" t="str">
        <f>IFERROR(INDEX(Data_Omakoodi!E:E,MATCH(AC24,Data_Omakoodi!A:A,0)),"")</f>
        <v/>
      </c>
      <c r="AE24" t="str">
        <f>IFERROR(IF(INDEX(Data_Omakoodi!H:H,MATCH($AH$3&amp;$AL24,Data_Omakoodi!A:A,0))="P","",$AH$3&amp;$AL24),$AH$3&amp;$AL24)</f>
        <v>ComboBox_TyHlo_yksikko_00000017</v>
      </c>
      <c r="AF24" t="s">
        <v>1543</v>
      </c>
      <c r="AG24" s="739" t="str">
        <f t="shared" si="0"/>
        <v/>
      </c>
      <c r="AH24" s="739" t="str">
        <f t="shared" si="1"/>
        <v/>
      </c>
      <c r="AJ24" s="739" t="str">
        <f t="shared" si="2"/>
        <v/>
      </c>
      <c r="AK24" s="739" t="str">
        <f t="shared" si="3"/>
        <v/>
      </c>
      <c r="AL24">
        <v>17</v>
      </c>
      <c r="AP24" s="620"/>
      <c r="AY24" s="607"/>
      <c r="AZ24" s="1"/>
      <c r="BA24" s="1"/>
      <c r="BB24" s="405"/>
      <c r="BC24" s="405"/>
      <c r="BD24" s="610"/>
      <c r="BE24" s="88"/>
    </row>
    <row r="25" spans="1:57" ht="15" customHeight="1" x14ac:dyDescent="0.25">
      <c r="A25" s="62" t="s">
        <v>1347</v>
      </c>
      <c r="B25" s="63">
        <f>SUMIFS(AS!$W:$W,AS!$BO:$BO,$W$7,AS!$AB:$AB,AS!$AA$1,AS!$AH:$AH,$X$8,AS!$AT:$AT,Saapuminen!$AP25,AS!$AV:$AV,Saapuminen!$X$6,AS!$AW:$AW,Saapuminen!$Y$6,AS!$X:$X,Saapuminen!$Y$5,AS!$K:$K,Saapuminen!$V$2)+AR25</f>
        <v>0</v>
      </c>
      <c r="C25" s="318" t="str">
        <f t="shared" si="10"/>
        <v>-</v>
      </c>
      <c r="D25" s="63">
        <f>SUMIFS(AS!$W:$W,AS!$BO:$BO,$W$7,AS!$AB:$AB,AS!$AA$1,AS!$AH:$AH,$X$8,AS!$AT:$AT,Saapuminen!$AP25,AS!$AV:$AV,Saapuminen!$X$6,AS!$I:$I,Saapuminen!$X$7,AS!$AW:$AW,Saapuminen!$Y$6,AS!$X:$X,Saapuminen!$Y$5,AS!$K:$K,Saapuminen!$V$2)+AS25</f>
        <v>0</v>
      </c>
      <c r="E25" s="63">
        <f>SUMIFS(AS!$W:$W,AS!$BO:$BO,$W$7,AS!$AB:$AB,AS!$AA$1,AS!$AH:$AH,$X$8,AS!$AT:$AT,Saapuminen!$AP25,AS!$AV:$AV,Saapuminen!$X$6,AS!$I:$I,Saapuminen!$Y$7,AS!$AW:$AW,Saapuminen!$Y$6,AS!$X:$X,Saapuminen!$Y$5,AS!$K:$K,Saapuminen!$V$2)+AT25</f>
        <v>0</v>
      </c>
      <c r="F25" s="63">
        <f>SUMIFS(AS!$W:$W,AS!$BO:$BO,$W$7,AS!$AB:$AB,AS!$AA$1,AS!$AH:$AH,$Y$8,AS!$AT:$AT,Saapuminen!$AP25,AS!$AV:$AV,Saapuminen!$X$6,AS!$AW:$AW,Saapuminen!$Y$6,AS!$X:$X,Saapuminen!$Y$5,AS!$K:$K,Saapuminen!$V$2)</f>
        <v>0</v>
      </c>
      <c r="G25" s="74"/>
      <c r="H25" s="33"/>
      <c r="I25" s="33"/>
      <c r="J25" s="33"/>
      <c r="K25" s="33"/>
      <c r="L25" s="33"/>
      <c r="M25" s="75"/>
      <c r="N25" s="63">
        <f>SUMIFS(JA!Z:Z,JA!X:X,AP25,JA!AF:AF,"OK",JA!AE:AE,"OK")</f>
        <v>0</v>
      </c>
      <c r="O25" s="318" t="str">
        <f t="shared" si="11"/>
        <v>-</v>
      </c>
      <c r="P25" s="63">
        <f>SUMIFS(JA!Z:Z,JA!X:X,AP25,JA!AF:AF,"OK",JA!AE:AE,"OK")</f>
        <v>0</v>
      </c>
      <c r="Q25" s="63">
        <f>SUMIFS(JA!Z:Z,JA!X:X,AP25,JA!AF:AF,"OK",JA!AE:AE,"OK")</f>
        <v>0</v>
      </c>
      <c r="R25" s="63">
        <f>SUMIFS(JA!Z:Z,JA!X:X,AP25,JA!AF:AF,"OK",JA!AE:AE,"OK")</f>
        <v>0</v>
      </c>
      <c r="AA25" s="176" t="str">
        <f>IFERROR(IF(INDEX(Data_Omakoodi!H:H,MATCH($AK$3&amp;$AL25,Data_Omakoodi!A:A,0))="P","",$AK$3&amp;$AL25),$AK$3&amp;$AL25)</f>
        <v>ComboBox_EtKuntakoodi_00000018</v>
      </c>
      <c r="AB25" s="44" t="str">
        <f>IFERROR(INDEX(Data_Omakoodi!E:E,MATCH(AA25,Data_Omakoodi!A:A,0)),"")</f>
        <v/>
      </c>
      <c r="AC25" t="str">
        <f>IFERROR(IF(INDEX(Data_Omakoodi!H:H,MATCH($AH$3&amp;$AL25,Data_Omakoodi!A:A,0))="P","",$AH$3&amp;$AL25),$AH$3&amp;$AL25)</f>
        <v>ComboBox_TyHlo_yksikko_00000018</v>
      </c>
      <c r="AD25" s="44" t="str">
        <f>IFERROR(INDEX(Data_Omakoodi!E:E,MATCH(AC25,Data_Omakoodi!A:A,0)),"")</f>
        <v/>
      </c>
      <c r="AE25" t="str">
        <f>IFERROR(IF(INDEX(Data_Omakoodi!H:H,MATCH($AH$3&amp;$AL25,Data_Omakoodi!A:A,0))="P","",$AH$3&amp;$AL25),$AH$3&amp;$AL25)</f>
        <v>ComboBox_TyHlo_yksikko_00000018</v>
      </c>
      <c r="AF25" t="s">
        <v>1544</v>
      </c>
      <c r="AG25" s="739" t="str">
        <f t="shared" si="0"/>
        <v/>
      </c>
      <c r="AH25" s="739" t="str">
        <f t="shared" si="1"/>
        <v/>
      </c>
      <c r="AJ25" s="739" t="str">
        <f t="shared" si="2"/>
        <v/>
      </c>
      <c r="AK25" s="739" t="str">
        <f t="shared" si="3"/>
        <v/>
      </c>
      <c r="AL25">
        <v>18</v>
      </c>
      <c r="AP25" s="514" t="s">
        <v>1043</v>
      </c>
      <c r="AR25">
        <f>SUMIFS(AS!$W:$W,AS!$BO:$BO,$W$7,AS!$AB:$AB,AS!$AA$1,AS!$AH:$AH,$X$8,AS!$AT:$AT,Saapuminen!$AQ25,AS!$AV:$AV,Saapuminen!$X$6,AS!$AW:$AW,Saapuminen!$Y$6,AS!$X:$X,Saapuminen!$Y$5,AS!$K:$K,Saapuminen!$V$2)</f>
        <v>0</v>
      </c>
      <c r="AS25">
        <f>SUMIFS(AS!$W:$W,AS!$BO:$BO,$W$7,AS!$AB:$AB,AS!$AA$1,AS!$AH:$AH,$X$8,AS!$AT:$AT,Saapuminen!$AQ25,AS!$AV:$AV,Saapuminen!$X$6,AS!$I:$I,Saapuminen!$X$7,AS!$AW:$AW,Saapuminen!$Y$6,AS!$X:$X,Saapuminen!$Y$5,AS!$K:$K,Saapuminen!$V$2)</f>
        <v>0</v>
      </c>
      <c r="AT25">
        <f>SUMIFS(AS!$W:$W,AS!$BO:$BO,$W$7,AS!$AB:$AB,AS!$AA$1,AS!$AH:$AH,$X$8,AS!$AT:$AT,Saapuminen!$AQ25,AS!$AV:$AV,Saapuminen!$X$6,AS!$I:$I,Saapuminen!$Y$7,AS!$AW:$AW,Saapuminen!$Y$6,AS!$X:$X,Saapuminen!$Y$5,AS!$K:$K,Saapuminen!$V$2)</f>
        <v>0</v>
      </c>
      <c r="AY25" s="1" t="s">
        <v>1263</v>
      </c>
      <c r="AZ25" s="603" t="s">
        <v>1264</v>
      </c>
      <c r="BA25" s="603" t="s">
        <v>1265</v>
      </c>
      <c r="BB25" s="405" t="s">
        <v>1068</v>
      </c>
      <c r="BC25" s="405" t="s">
        <v>1268</v>
      </c>
      <c r="BD25" s="609" t="s">
        <v>1269</v>
      </c>
      <c r="BE25" s="88" t="s">
        <v>1043</v>
      </c>
    </row>
    <row r="26" spans="1:57" ht="15" customHeight="1" x14ac:dyDescent="0.25">
      <c r="A26" s="62" t="s">
        <v>1348</v>
      </c>
      <c r="B26" s="63">
        <f>SUMIFS(AS!$W:$W,AS!$BO:$BO,$W$7,AS!$AB:$AB,AS!$AA$1,AS!$AH:$AH,$X$8,AS!$AT:$AT,Saapuminen!$AP26,AS!$AV:$AV,Saapuminen!$X$6,AS!$AW:$AW,Saapuminen!$Y$6,AS!$X:$X,Saapuminen!$Y$5,AS!$K:$K,Saapuminen!$V$2)+AR26</f>
        <v>0</v>
      </c>
      <c r="C26" s="318" t="str">
        <f t="shared" si="10"/>
        <v>-</v>
      </c>
      <c r="D26" s="63">
        <f>SUMIFS(AS!$W:$W,AS!$BO:$BO,$W$7,AS!$AB:$AB,AS!$AA$1,AS!$AH:$AH,$X$8,AS!$AT:$AT,Saapuminen!$AP26,AS!$AV:$AV,Saapuminen!$X$6,AS!$I:$I,Saapuminen!$X$7,AS!$AW:$AW,Saapuminen!$Y$6,AS!$X:$X,Saapuminen!$Y$5,AS!$K:$K,Saapuminen!$V$2)+AS26</f>
        <v>0</v>
      </c>
      <c r="E26" s="63">
        <f>SUMIFS(AS!$W:$W,AS!$BO:$BO,$W$7,AS!$AB:$AB,AS!$AA$1,AS!$AH:$AH,$X$8,AS!$AT:$AT,Saapuminen!$AP26,AS!$AV:$AV,Saapuminen!$X$6,AS!$I:$I,Saapuminen!$Y$7,AS!$AW:$AW,Saapuminen!$Y$6,AS!$X:$X,Saapuminen!$Y$5,AS!$K:$K,Saapuminen!$V$2)+AT26</f>
        <v>0</v>
      </c>
      <c r="F26" s="63">
        <f>SUMIFS(AS!$W:$W,AS!$BO:$BO,$W$7,AS!$AB:$AB,AS!$AA$1,AS!$AH:$AH,$Y$8,AS!$AT:$AT,Saapuminen!$AP26,AS!$AV:$AV,Saapuminen!$X$6,AS!$AW:$AW,Saapuminen!$Y$6,AS!$X:$X,Saapuminen!$Y$5,AS!$K:$K,Saapuminen!$V$2)</f>
        <v>0</v>
      </c>
      <c r="G26" s="74"/>
      <c r="H26" s="33"/>
      <c r="I26" s="33"/>
      <c r="J26" s="33"/>
      <c r="K26" s="33"/>
      <c r="L26" s="33"/>
      <c r="M26" s="75"/>
      <c r="N26" s="63">
        <f>SUMIFS(JA!Z:Z,JA!X:X,AP26,JA!AF:AF,"OK",JA!AE:AE,"OK")</f>
        <v>0</v>
      </c>
      <c r="O26" s="318" t="str">
        <f t="shared" si="11"/>
        <v>-</v>
      </c>
      <c r="P26" s="63">
        <f>SUMIFS(JA!Z:Z,JA!X:X,AP26,JA!AF:AF,"OK",JA!AE:AE,"OK")</f>
        <v>0</v>
      </c>
      <c r="Q26" s="63">
        <f>SUMIFS(JA!Z:Z,JA!X:X,AP26,JA!AF:AF,"OK",JA!AE:AE,"OK")</f>
        <v>0</v>
      </c>
      <c r="R26" s="63">
        <f>SUMIFS(JA!Z:Z,JA!X:X,AP26,JA!AF:AF,"OK",JA!AE:AE,"OK")</f>
        <v>0</v>
      </c>
      <c r="AA26" s="176" t="str">
        <f>IFERROR(IF(INDEX(Data_Omakoodi!H:H,MATCH($AK$3&amp;$AL26,Data_Omakoodi!A:A,0))="P","",$AK$3&amp;$AL26),$AK$3&amp;$AL26)</f>
        <v>ComboBox_EtKuntakoodi_00000019</v>
      </c>
      <c r="AB26" s="44" t="str">
        <f>IFERROR(INDEX(Data_Omakoodi!E:E,MATCH(AA26,Data_Omakoodi!A:A,0)),"")</f>
        <v/>
      </c>
      <c r="AC26" t="str">
        <f>IFERROR(IF(INDEX(Data_Omakoodi!H:H,MATCH($AH$3&amp;$AL26,Data_Omakoodi!A:A,0))="P","",$AH$3&amp;$AL26),$AH$3&amp;$AL26)</f>
        <v>ComboBox_TyHlo_yksikko_00000019</v>
      </c>
      <c r="AD26" s="44" t="str">
        <f>IFERROR(INDEX(Data_Omakoodi!E:E,MATCH(AC26,Data_Omakoodi!A:A,0)),"")</f>
        <v/>
      </c>
      <c r="AE26" t="str">
        <f>IFERROR(IF(INDEX(Data_Omakoodi!H:H,MATCH($AH$3&amp;$AL26,Data_Omakoodi!A:A,0))="P","",$AH$3&amp;$AL26),$AH$3&amp;$AL26)</f>
        <v>ComboBox_TyHlo_yksikko_00000019</v>
      </c>
      <c r="AF26" t="s">
        <v>1545</v>
      </c>
      <c r="AG26" s="739" t="str">
        <f t="shared" si="0"/>
        <v/>
      </c>
      <c r="AH26" s="739" t="str">
        <f t="shared" si="1"/>
        <v/>
      </c>
      <c r="AJ26" s="739" t="str">
        <f t="shared" si="2"/>
        <v/>
      </c>
      <c r="AK26" s="739" t="str">
        <f t="shared" si="3"/>
        <v/>
      </c>
      <c r="AL26">
        <v>19</v>
      </c>
      <c r="AP26" s="514" t="s">
        <v>1044</v>
      </c>
      <c r="AR26">
        <f>SUMIFS(AS!$W:$W,AS!$BO:$BO,$W$7,AS!$AB:$AB,AS!$AA$1,AS!$AH:$AH,$X$8,AS!$AT:$AT,Saapuminen!$AQ26,AS!$AV:$AV,Saapuminen!$X$6,AS!$AW:$AW,Saapuminen!$Y$6,AS!$X:$X,Saapuminen!$Y$5,AS!$K:$K,Saapuminen!$V$2)</f>
        <v>0</v>
      </c>
      <c r="AS26">
        <f>SUMIFS(AS!$W:$W,AS!$BO:$BO,$W$7,AS!$AB:$AB,AS!$AA$1,AS!$AH:$AH,$X$8,AS!$AT:$AT,Saapuminen!$AQ26,AS!$AV:$AV,Saapuminen!$X$6,AS!$I:$I,Saapuminen!$X$7,AS!$AW:$AW,Saapuminen!$Y$6,AS!$X:$X,Saapuminen!$Y$5,AS!$K:$K,Saapuminen!$V$2)</f>
        <v>0</v>
      </c>
      <c r="AT26">
        <f>SUMIFS(AS!$W:$W,AS!$BO:$BO,$W$7,AS!$AB:$AB,AS!$AA$1,AS!$AH:$AH,$X$8,AS!$AT:$AT,Saapuminen!$AQ26,AS!$AV:$AV,Saapuminen!$X$6,AS!$I:$I,Saapuminen!$Y$7,AS!$AW:$AW,Saapuminen!$Y$6,AS!$X:$X,Saapuminen!$Y$5,AS!$K:$K,Saapuminen!$V$2)</f>
        <v>0</v>
      </c>
      <c r="AY26" s="1" t="s">
        <v>1263</v>
      </c>
      <c r="AZ26" s="603" t="s">
        <v>1264</v>
      </c>
      <c r="BA26" s="603" t="s">
        <v>1265</v>
      </c>
      <c r="BB26" s="405" t="s">
        <v>1069</v>
      </c>
      <c r="BC26" s="405" t="s">
        <v>1270</v>
      </c>
      <c r="BD26" s="609" t="s">
        <v>1271</v>
      </c>
      <c r="BE26" s="88" t="s">
        <v>1044</v>
      </c>
    </row>
    <row r="27" spans="1:57" ht="15" customHeight="1" x14ac:dyDescent="0.25">
      <c r="A27" s="62" t="s">
        <v>1349</v>
      </c>
      <c r="B27" s="63">
        <f>SUMIFS(AS!$W:$W,AS!$BO:$BO,$W$7,AS!$AB:$AB,AS!$AA$1,AS!$AH:$AH,$X$8,AS!$AT:$AT,Saapuminen!$AP27,AS!$AV:$AV,Saapuminen!$X$6,AS!$AW:$AW,Saapuminen!$Y$6,AS!$X:$X,Saapuminen!$Y$5,AS!$K:$K,Saapuminen!$V$2)+AR27</f>
        <v>0</v>
      </c>
      <c r="C27" s="318" t="str">
        <f t="shared" si="10"/>
        <v>-</v>
      </c>
      <c r="D27" s="63">
        <f>SUMIFS(AS!$W:$W,AS!$BO:$BO,$W$7,AS!$AB:$AB,AS!$AA$1,AS!$AH:$AH,$X$8,AS!$AT:$AT,Saapuminen!$AP27,AS!$AV:$AV,Saapuminen!$X$6,AS!$I:$I,Saapuminen!$X$7,AS!$AW:$AW,Saapuminen!$Y$6,AS!$X:$X,Saapuminen!$Y$5,AS!$K:$K,Saapuminen!$V$2)+AS27</f>
        <v>0</v>
      </c>
      <c r="E27" s="63">
        <f>SUMIFS(AS!$W:$W,AS!$BO:$BO,$W$7,AS!$AB:$AB,AS!$AA$1,AS!$AH:$AH,$X$8,AS!$AT:$AT,Saapuminen!$AP27,AS!$AV:$AV,Saapuminen!$X$6,AS!$I:$I,Saapuminen!$Y$7,AS!$AW:$AW,Saapuminen!$Y$6,AS!$X:$X,Saapuminen!$Y$5,AS!$K:$K,Saapuminen!$V$2)+AT27</f>
        <v>0</v>
      </c>
      <c r="F27" s="63">
        <f>SUMIFS(AS!$W:$W,AS!$BO:$BO,$W$7,AS!$AB:$AB,AS!$AA$1,AS!$AH:$AH,$Y$8,AS!$AT:$AT,Saapuminen!$AP27,AS!$AV:$AV,Saapuminen!$X$6,AS!$AW:$AW,Saapuminen!$Y$6,AS!$X:$X,Saapuminen!$Y$5,AS!$K:$K,Saapuminen!$V$2)</f>
        <v>0</v>
      </c>
      <c r="G27" s="74"/>
      <c r="H27" s="33"/>
      <c r="I27" s="33"/>
      <c r="J27" s="33"/>
      <c r="K27" s="33"/>
      <c r="L27" s="33"/>
      <c r="M27" s="75"/>
      <c r="N27" s="63">
        <f>SUMIFS(JA!Z:Z,JA!X:X,AP27,JA!AF:AF,"OK",JA!AE:AE,"OK")</f>
        <v>0</v>
      </c>
      <c r="O27" s="318" t="str">
        <f t="shared" si="11"/>
        <v>-</v>
      </c>
      <c r="P27" s="63">
        <f>SUMIFS(JA!Z:Z,JA!X:X,AP27,JA!AF:AF,"OK",JA!AE:AE,"OK")</f>
        <v>0</v>
      </c>
      <c r="Q27" s="63">
        <f>SUMIFS(JA!Z:Z,JA!X:X,AP27,JA!AF:AF,"OK",JA!AE:AE,"OK")</f>
        <v>0</v>
      </c>
      <c r="R27" s="63">
        <f>SUMIFS(JA!Z:Z,JA!X:X,AP27,JA!AF:AF,"OK",JA!AE:AE,"OK")</f>
        <v>0</v>
      </c>
      <c r="AA27" s="176" t="str">
        <f>IFERROR(IF(INDEX(Data_Omakoodi!H:H,MATCH($AK$3&amp;$AL27,Data_Omakoodi!A:A,0))="P","",$AK$3&amp;$AL27),$AK$3&amp;$AL27)</f>
        <v>ComboBox_EtKuntakoodi_00000020</v>
      </c>
      <c r="AB27" s="44" t="str">
        <f>IFERROR(INDEX(Data_Omakoodi!E:E,MATCH(AA27,Data_Omakoodi!A:A,0)),"")</f>
        <v/>
      </c>
      <c r="AC27" t="str">
        <f>IFERROR(IF(INDEX(Data_Omakoodi!H:H,MATCH($AH$3&amp;$AL27,Data_Omakoodi!A:A,0))="P","",$AH$3&amp;$AL27),$AH$3&amp;$AL27)</f>
        <v>ComboBox_TyHlo_yksikko_00000020</v>
      </c>
      <c r="AD27" s="44" t="str">
        <f>IFERROR(INDEX(Data_Omakoodi!E:E,MATCH(AC27,Data_Omakoodi!A:A,0)),"")</f>
        <v/>
      </c>
      <c r="AE27" t="str">
        <f>IFERROR(IF(INDEX(Data_Omakoodi!H:H,MATCH($AH$3&amp;$AL27,Data_Omakoodi!A:A,0))="P","",$AH$3&amp;$AL27),$AH$3&amp;$AL27)</f>
        <v>ComboBox_TyHlo_yksikko_00000020</v>
      </c>
      <c r="AF27" t="s">
        <v>1546</v>
      </c>
      <c r="AG27" s="739" t="str">
        <f t="shared" si="0"/>
        <v/>
      </c>
      <c r="AH27" s="739" t="str">
        <f t="shared" si="1"/>
        <v/>
      </c>
      <c r="AJ27" s="739" t="str">
        <f t="shared" si="2"/>
        <v/>
      </c>
      <c r="AK27" s="739" t="str">
        <f t="shared" si="3"/>
        <v/>
      </c>
      <c r="AL27">
        <v>20</v>
      </c>
      <c r="AP27" s="514" t="s">
        <v>1045</v>
      </c>
      <c r="AQ27" s="617" t="s">
        <v>226</v>
      </c>
      <c r="AR27">
        <f>SUMIFS(AS!$W:$W,AS!$BO:$BO,$W$7,AS!$AB:$AB,AS!$AA$1,AS!$AH:$AH,$X$8,AS!$AT:$AT,Saapuminen!$AQ27,AS!$AV:$AV,Saapuminen!$X$6,AS!$AW:$AW,Saapuminen!$Y$6,AS!$X:$X,Saapuminen!$Y$5,AS!$K:$K,Saapuminen!$V$2)</f>
        <v>0</v>
      </c>
      <c r="AS27">
        <f>SUMIFS(AS!$W:$W,AS!$BO:$BO,$W$7,AS!$AB:$AB,AS!$AA$1,AS!$AH:$AH,$X$8,AS!$AT:$AT,Saapuminen!$AQ27,AS!$AV:$AV,Saapuminen!$X$6,AS!$I:$I,Saapuminen!$X$7,AS!$AW:$AW,Saapuminen!$Y$6,AS!$X:$X,Saapuminen!$Y$5,AS!$K:$K,Saapuminen!$V$2)</f>
        <v>0</v>
      </c>
      <c r="AT27">
        <f>SUMIFS(AS!$W:$W,AS!$BO:$BO,$W$7,AS!$AB:$AB,AS!$AA$1,AS!$AH:$AH,$X$8,AS!$AT:$AT,Saapuminen!$AQ27,AS!$AV:$AV,Saapuminen!$X$6,AS!$I:$I,Saapuminen!$Y$7,AS!$AW:$AW,Saapuminen!$Y$6,AS!$X:$X,Saapuminen!$Y$5,AS!$K:$K,Saapuminen!$V$2)</f>
        <v>0</v>
      </c>
      <c r="AY27" s="1" t="s">
        <v>1263</v>
      </c>
      <c r="AZ27" s="603" t="s">
        <v>1264</v>
      </c>
      <c r="BA27" s="603" t="s">
        <v>1265</v>
      </c>
      <c r="BB27" s="405" t="s">
        <v>1070</v>
      </c>
      <c r="BC27" s="405" t="s">
        <v>1272</v>
      </c>
      <c r="BD27" s="609" t="s">
        <v>1273</v>
      </c>
      <c r="BE27" s="88" t="s">
        <v>1045</v>
      </c>
    </row>
    <row r="28" spans="1:57" ht="15" customHeight="1" x14ac:dyDescent="0.25">
      <c r="A28" s="62" t="s">
        <v>1354</v>
      </c>
      <c r="B28" s="63">
        <f>SUMIFS(AS!$W:$W,AS!$BO:$BO,$W$7,AS!$AB:$AB,AS!$AA$1,AS!$AH:$AH,$X$8,AS!$AT:$AT,Saapuminen!$AP28,AS!$AV:$AV,Saapuminen!$X$6,AS!$AW:$AW,Saapuminen!$Y$6,AS!$X:$X,Saapuminen!$Y$5,AS!$K:$K,Saapuminen!$V$2)+AR28</f>
        <v>0</v>
      </c>
      <c r="C28" s="318" t="str">
        <f t="shared" si="10"/>
        <v>-</v>
      </c>
      <c r="D28" s="63">
        <f>SUMIFS(AS!$W:$W,AS!$BO:$BO,$W$7,AS!$AB:$AB,AS!$AA$1,AS!$AH:$AH,$X$8,AS!$AT:$AT,Saapuminen!$AP28,AS!$AV:$AV,Saapuminen!$X$6,AS!$I:$I,Saapuminen!$X$7,AS!$AW:$AW,Saapuminen!$Y$6,AS!$X:$X,Saapuminen!$Y$5,AS!$K:$K,Saapuminen!$V$2)+AS28</f>
        <v>0</v>
      </c>
      <c r="E28" s="63">
        <f>SUMIFS(AS!$W:$W,AS!$BO:$BO,$W$7,AS!$AB:$AB,AS!$AA$1,AS!$AH:$AH,$X$8,AS!$AT:$AT,Saapuminen!$AP28,AS!$AV:$AV,Saapuminen!$X$6,AS!$I:$I,Saapuminen!$Y$7,AS!$AW:$AW,Saapuminen!$Y$6,AS!$X:$X,Saapuminen!$Y$5,AS!$K:$K,Saapuminen!$V$2)+AT28</f>
        <v>0</v>
      </c>
      <c r="F28" s="63">
        <f>SUMIFS(AS!$W:$W,AS!$BO:$BO,$W$7,AS!$AB:$AB,AS!$AA$1,AS!$AH:$AH,$Y$8,AS!$AT:$AT,Saapuminen!$AP28,AS!$AV:$AV,Saapuminen!$X$6,AS!$AW:$AW,Saapuminen!$Y$6,AS!$X:$X,Saapuminen!$Y$5,AS!$K:$K,Saapuminen!$V$2)</f>
        <v>0</v>
      </c>
      <c r="G28" s="74"/>
      <c r="H28" s="33"/>
      <c r="I28" s="33"/>
      <c r="J28" s="33"/>
      <c r="K28" s="33"/>
      <c r="L28" s="33"/>
      <c r="M28" s="75"/>
      <c r="N28" s="63">
        <f>SUMIFS(JA!Z:Z,JA!X:X,AP28,JA!AF:AF,"OK",JA!AE:AE,"OK")</f>
        <v>0</v>
      </c>
      <c r="O28" s="318" t="str">
        <f t="shared" si="11"/>
        <v>-</v>
      </c>
      <c r="P28" s="63">
        <f>SUMIFS(JA!Z:Z,JA!X:X,AP28,JA!AF:AF,"OK",JA!AE:AE,"OK")</f>
        <v>0</v>
      </c>
      <c r="Q28" s="63">
        <f>SUMIFS(JA!Z:Z,JA!X:X,AP28,JA!AF:AF,"OK",JA!AE:AE,"OK")</f>
        <v>0</v>
      </c>
      <c r="R28" s="63">
        <f>SUMIFS(JA!Z:Z,JA!X:X,AP28,JA!AF:AF,"OK",JA!AE:AE,"OK")</f>
        <v>0</v>
      </c>
      <c r="AA28" s="176" t="str">
        <f>IFERROR(IF(INDEX(Data_Omakoodi!H:H,MATCH($AK$3&amp;$AL28,Data_Omakoodi!A:A,0))="P","",$AK$3&amp;$AL28),$AK$3&amp;$AL28)</f>
        <v>ComboBox_EtKuntakoodi_00000021</v>
      </c>
      <c r="AB28" s="44" t="str">
        <f>IFERROR(INDEX(Data_Omakoodi!E:E,MATCH(AA28,Data_Omakoodi!A:A,0)),"")</f>
        <v/>
      </c>
      <c r="AC28" t="str">
        <f>IFERROR(IF(INDEX(Data_Omakoodi!H:H,MATCH($AH$3&amp;$AL28,Data_Omakoodi!A:A,0))="P","",$AH$3&amp;$AL28),$AH$3&amp;$AL28)</f>
        <v>ComboBox_TyHlo_yksikko_00000021</v>
      </c>
      <c r="AD28" s="44" t="str">
        <f>IFERROR(INDEX(Data_Omakoodi!E:E,MATCH(AC28,Data_Omakoodi!A:A,0)),"")</f>
        <v/>
      </c>
      <c r="AE28" t="str">
        <f>IFERROR(IF(INDEX(Data_Omakoodi!H:H,MATCH($AH$3&amp;$AL28,Data_Omakoodi!A:A,0))="P","",$AH$3&amp;$AL28),$AH$3&amp;$AL28)</f>
        <v>ComboBox_TyHlo_yksikko_00000021</v>
      </c>
      <c r="AF28" t="s">
        <v>1547</v>
      </c>
      <c r="AG28" s="739" t="str">
        <f t="shared" si="0"/>
        <v/>
      </c>
      <c r="AH28" s="739" t="str">
        <f t="shared" si="1"/>
        <v/>
      </c>
      <c r="AJ28" s="739" t="str">
        <f t="shared" si="2"/>
        <v/>
      </c>
      <c r="AK28" s="739" t="str">
        <f t="shared" si="3"/>
        <v/>
      </c>
      <c r="AL28">
        <v>21</v>
      </c>
      <c r="AP28" s="143" t="s">
        <v>1245</v>
      </c>
      <c r="AQ28" s="144" t="s">
        <v>221</v>
      </c>
      <c r="AR28">
        <f>SUMIFS(AS!$W:$W,AS!$BO:$BO,$W$7,AS!$AB:$AB,AS!$AA$1,AS!$AH:$AH,$X$8,AS!$AT:$AT,Saapuminen!$AQ28,AS!$AV:$AV,Saapuminen!$X$6,AS!$AW:$AW,Saapuminen!$Y$6,AS!$X:$X,Saapuminen!$Y$5,AS!$K:$K,Saapuminen!$V$2)</f>
        <v>0</v>
      </c>
      <c r="AS28">
        <f>SUMIFS(AS!$W:$W,AS!$BO:$BO,$W$7,AS!$AB:$AB,AS!$AA$1,AS!$AH:$AH,$X$8,AS!$AT:$AT,Saapuminen!$AQ28,AS!$AV:$AV,Saapuminen!$X$6,AS!$I:$I,Saapuminen!$X$7,AS!$AW:$AW,Saapuminen!$Y$6,AS!$X:$X,Saapuminen!$Y$5,AS!$K:$K,Saapuminen!$V$2)</f>
        <v>0</v>
      </c>
      <c r="AT28">
        <f>SUMIFS(AS!$W:$W,AS!$BO:$BO,$W$7,AS!$AB:$AB,AS!$AA$1,AS!$AH:$AH,$X$8,AS!$AT:$AT,Saapuminen!$AQ28,AS!$AV:$AV,Saapuminen!$X$6,AS!$I:$I,Saapuminen!$Y$7,AS!$AW:$AW,Saapuminen!$Y$6,AS!$X:$X,Saapuminen!$Y$5,AS!$K:$K,Saapuminen!$V$2)</f>
        <v>0</v>
      </c>
      <c r="AY28" s="1" t="s">
        <v>1263</v>
      </c>
      <c r="AZ28" s="603" t="s">
        <v>1264</v>
      </c>
      <c r="BA28" s="603" t="s">
        <v>1265</v>
      </c>
      <c r="BB28" s="405" t="s">
        <v>1274</v>
      </c>
      <c r="BC28" s="604" t="s">
        <v>1275</v>
      </c>
      <c r="BD28" s="611" t="s">
        <v>1276</v>
      </c>
      <c r="BE28" s="88" t="s">
        <v>1245</v>
      </c>
    </row>
    <row r="29" spans="1:57" ht="15" customHeight="1" x14ac:dyDescent="0.25">
      <c r="A29" s="62" t="s">
        <v>1355</v>
      </c>
      <c r="B29" s="63">
        <f>SUMIFS(AS!$W:$W,AS!$BO:$BO,$W$7,AS!$AB:$AB,AS!$AA$1,AS!$AH:$AH,$X$8,AS!$AT:$AT,Saapuminen!$AP29,AS!$AV:$AV,Saapuminen!$X$6,AS!$AW:$AW,Saapuminen!$Y$6,AS!$X:$X,Saapuminen!$Y$5,AS!$K:$K,Saapuminen!$V$2)+AR29</f>
        <v>0</v>
      </c>
      <c r="C29" s="318" t="str">
        <f t="shared" si="10"/>
        <v>-</v>
      </c>
      <c r="D29" s="63">
        <f>SUMIFS(AS!$W:$W,AS!$BO:$BO,$W$7,AS!$AB:$AB,AS!$AA$1,AS!$AH:$AH,$X$8,AS!$AT:$AT,Saapuminen!$AP29,AS!$AV:$AV,Saapuminen!$X$6,AS!$I:$I,Saapuminen!$X$7,AS!$AW:$AW,Saapuminen!$Y$6,AS!$X:$X,Saapuminen!$Y$5,AS!$K:$K,Saapuminen!$V$2)+AS29</f>
        <v>0</v>
      </c>
      <c r="E29" s="63">
        <f>SUMIFS(AS!$W:$W,AS!$BO:$BO,$W$7,AS!$AB:$AB,AS!$AA$1,AS!$AH:$AH,$X$8,AS!$AT:$AT,Saapuminen!$AP29,AS!$AV:$AV,Saapuminen!$X$6,AS!$I:$I,Saapuminen!$Y$7,AS!$AW:$AW,Saapuminen!$Y$6,AS!$X:$X,Saapuminen!$Y$5,AS!$K:$K,Saapuminen!$V$2)+AT29</f>
        <v>0</v>
      </c>
      <c r="F29" s="63">
        <f>SUMIFS(AS!$W:$W,AS!$BO:$BO,$W$7,AS!$AB:$AB,AS!$AA$1,AS!$AH:$AH,$Y$8,AS!$AT:$AT,Saapuminen!$AP29,AS!$AV:$AV,Saapuminen!$X$6,AS!$AW:$AW,Saapuminen!$Y$6,AS!$X:$X,Saapuminen!$Y$5,AS!$K:$K,Saapuminen!$V$2)</f>
        <v>0</v>
      </c>
      <c r="G29" s="74"/>
      <c r="H29" s="33"/>
      <c r="I29" s="33"/>
      <c r="J29" s="33"/>
      <c r="K29" s="33"/>
      <c r="L29" s="33"/>
      <c r="M29" s="75"/>
      <c r="N29" s="63">
        <f>SUMIFS(JA!Z:Z,JA!X:X,AP29,JA!AF:AF,"OK",JA!AE:AE,"OK")</f>
        <v>0</v>
      </c>
      <c r="O29" s="318" t="str">
        <f t="shared" si="11"/>
        <v>-</v>
      </c>
      <c r="P29" s="63">
        <f>SUMIFS(JA!Z:Z,JA!X:X,AP29,JA!AF:AF,"OK",JA!AE:AE,"OK")</f>
        <v>0</v>
      </c>
      <c r="Q29" s="63">
        <f>SUMIFS(JA!Z:Z,JA!X:X,AP29,JA!AF:AF,"OK",JA!AE:AE,"OK")</f>
        <v>0</v>
      </c>
      <c r="R29" s="63">
        <f>SUMIFS(JA!Z:Z,JA!X:X,AP29,JA!AF:AF,"OK",JA!AE:AE,"OK")</f>
        <v>0</v>
      </c>
      <c r="AA29" s="176" t="str">
        <f>IFERROR(IF(INDEX(Data_Omakoodi!H:H,MATCH($AK$3&amp;$AL29,Data_Omakoodi!A:A,0))="P","",$AK$3&amp;$AL29),$AK$3&amp;$AL29)</f>
        <v>ComboBox_EtKuntakoodi_00000022</v>
      </c>
      <c r="AB29" s="44" t="str">
        <f>IFERROR(INDEX(Data_Omakoodi!E:E,MATCH(AA29,Data_Omakoodi!A:A,0)),"")</f>
        <v/>
      </c>
      <c r="AC29" t="str">
        <f>IFERROR(IF(INDEX(Data_Omakoodi!H:H,MATCH($AH$3&amp;$AL29,Data_Omakoodi!A:A,0))="P","",$AH$3&amp;$AL29),$AH$3&amp;$AL29)</f>
        <v>ComboBox_TyHlo_yksikko_00000022</v>
      </c>
      <c r="AD29" s="44" t="str">
        <f>IFERROR(INDEX(Data_Omakoodi!E:E,MATCH(AC29,Data_Omakoodi!A:A,0)),"")</f>
        <v/>
      </c>
      <c r="AE29" t="str">
        <f>IFERROR(IF(INDEX(Data_Omakoodi!H:H,MATCH($AH$3&amp;$AL29,Data_Omakoodi!A:A,0))="P","",$AH$3&amp;$AL29),$AH$3&amp;$AL29)</f>
        <v>ComboBox_TyHlo_yksikko_00000022</v>
      </c>
      <c r="AF29" t="s">
        <v>1548</v>
      </c>
      <c r="AG29" s="739" t="str">
        <f t="shared" si="0"/>
        <v/>
      </c>
      <c r="AH29" s="739" t="str">
        <f t="shared" si="1"/>
        <v/>
      </c>
      <c r="AJ29" s="739" t="str">
        <f t="shared" si="2"/>
        <v/>
      </c>
      <c r="AK29" s="739" t="str">
        <f t="shared" si="3"/>
        <v/>
      </c>
      <c r="AL29">
        <v>22</v>
      </c>
      <c r="AP29" s="143" t="s">
        <v>1219</v>
      </c>
      <c r="AQ29" s="144" t="s">
        <v>508</v>
      </c>
      <c r="AR29">
        <f>SUMIFS(AS!$W:$W,AS!$BO:$BO,$W$7,AS!$AB:$AB,AS!$AA$1,AS!$AH:$AH,$X$8,AS!$AT:$AT,Saapuminen!$AQ29,AS!$AV:$AV,Saapuminen!$X$6,AS!$AW:$AW,Saapuminen!$Y$6,AS!$X:$X,Saapuminen!$Y$5,AS!$K:$K,Saapuminen!$V$2)</f>
        <v>0</v>
      </c>
      <c r="AS29">
        <f>SUMIFS(AS!$W:$W,AS!$BO:$BO,$W$7,AS!$AB:$AB,AS!$AA$1,AS!$AH:$AH,$X$8,AS!$AT:$AT,Saapuminen!$AQ29,AS!$AV:$AV,Saapuminen!$X$6,AS!$I:$I,Saapuminen!$X$7,AS!$AW:$AW,Saapuminen!$Y$6,AS!$X:$X,Saapuminen!$Y$5,AS!$K:$K,Saapuminen!$V$2)</f>
        <v>0</v>
      </c>
      <c r="AT29">
        <f>SUMIFS(AS!$W:$W,AS!$BO:$BO,$W$7,AS!$AB:$AB,AS!$AA$1,AS!$AH:$AH,$X$8,AS!$AT:$AT,Saapuminen!$AQ29,AS!$AV:$AV,Saapuminen!$X$6,AS!$I:$I,Saapuminen!$Y$7,AS!$AW:$AW,Saapuminen!$Y$6,AS!$X:$X,Saapuminen!$Y$5,AS!$K:$K,Saapuminen!$V$2)</f>
        <v>0</v>
      </c>
      <c r="AY29" s="1" t="s">
        <v>1263</v>
      </c>
      <c r="AZ29" s="603" t="s">
        <v>1264</v>
      </c>
      <c r="BA29" s="603" t="s">
        <v>1265</v>
      </c>
      <c r="BB29" s="405" t="s">
        <v>1342</v>
      </c>
      <c r="BC29" s="604" t="s">
        <v>1277</v>
      </c>
      <c r="BD29" s="611" t="s">
        <v>1278</v>
      </c>
      <c r="BE29" s="88" t="s">
        <v>1219</v>
      </c>
    </row>
    <row r="30" spans="1:57" ht="15" customHeight="1" x14ac:dyDescent="0.25">
      <c r="A30" s="62" t="s">
        <v>1356</v>
      </c>
      <c r="B30" s="63">
        <f>SUMIFS(AS!$W:$W,AS!$BO:$BO,$W$7,AS!$AB:$AB,AS!$AA$1,AS!$AH:$AH,$X$8,AS!$AT:$AT,Saapuminen!$AP30,AS!$AV:$AV,Saapuminen!$X$6,AS!$AW:$AW,Saapuminen!$Y$6,AS!$X:$X,Saapuminen!$Y$5,AS!$K:$K,Saapuminen!$V$2)+AR30</f>
        <v>0</v>
      </c>
      <c r="C30" s="318" t="str">
        <f t="shared" si="10"/>
        <v>-</v>
      </c>
      <c r="D30" s="63">
        <f>SUMIFS(AS!$W:$W,AS!$BO:$BO,$W$7,AS!$AB:$AB,AS!$AA$1,AS!$AH:$AH,$X$8,AS!$AT:$AT,Saapuminen!$AP30,AS!$AV:$AV,Saapuminen!$X$6,AS!$I:$I,Saapuminen!$X$7,AS!$AW:$AW,Saapuminen!$Y$6,AS!$X:$X,Saapuminen!$Y$5,AS!$K:$K,Saapuminen!$V$2)+AS30</f>
        <v>0</v>
      </c>
      <c r="E30" s="63">
        <f>SUMIFS(AS!$W:$W,AS!$BO:$BO,$W$7,AS!$AB:$AB,AS!$AA$1,AS!$AH:$AH,$X$8,AS!$AT:$AT,Saapuminen!$AP30,AS!$AV:$AV,Saapuminen!$X$6,AS!$I:$I,Saapuminen!$Y$7,AS!$AW:$AW,Saapuminen!$Y$6,AS!$X:$X,Saapuminen!$Y$5,AS!$K:$K,Saapuminen!$V$2)+AT30</f>
        <v>0</v>
      </c>
      <c r="F30" s="63">
        <f>SUMIFS(AS!$W:$W,AS!$BO:$BO,$W$7,AS!$AB:$AB,AS!$AA$1,AS!$AH:$AH,$Y$8,AS!$AT:$AT,Saapuminen!$AP30,AS!$AV:$AV,Saapuminen!$X$6,AS!$AW:$AW,Saapuminen!$Y$6,AS!$X:$X,Saapuminen!$Y$5,AS!$K:$K,Saapuminen!$V$2)</f>
        <v>0</v>
      </c>
      <c r="G30" s="74"/>
      <c r="H30" s="33"/>
      <c r="I30" s="33"/>
      <c r="J30" s="33"/>
      <c r="K30" s="33"/>
      <c r="L30" s="33"/>
      <c r="M30" s="75"/>
      <c r="N30" s="63">
        <f>SUMIFS(JA!Z:Z,JA!X:X,AP30,JA!AF:AF,"OK",JA!AE:AE,"OK")</f>
        <v>0</v>
      </c>
      <c r="O30" s="318" t="str">
        <f t="shared" si="11"/>
        <v>-</v>
      </c>
      <c r="P30" s="63">
        <f>SUMIFS(JA!Z:Z,JA!X:X,AP30,JA!AF:AF,"OK",JA!AE:AE,"OK")</f>
        <v>0</v>
      </c>
      <c r="Q30" s="63">
        <f>SUMIFS(JA!Z:Z,JA!X:X,AP30,JA!AF:AF,"OK",JA!AE:AE,"OK")</f>
        <v>0</v>
      </c>
      <c r="R30" s="63">
        <f>SUMIFS(JA!Z:Z,JA!X:X,AP30,JA!AF:AF,"OK",JA!AE:AE,"OK")</f>
        <v>0</v>
      </c>
      <c r="AA30" s="176" t="str">
        <f>IFERROR(IF(INDEX(Data_Omakoodi!H:H,MATCH($AK$3&amp;$AL30,Data_Omakoodi!A:A,0))="P","",$AK$3&amp;$AL30),$AK$3&amp;$AL30)</f>
        <v>ComboBox_EtKuntakoodi_00000023</v>
      </c>
      <c r="AB30" s="44" t="str">
        <f>IFERROR(INDEX(Data_Omakoodi!E:E,MATCH(AA30,Data_Omakoodi!A:A,0)),"")</f>
        <v/>
      </c>
      <c r="AC30" t="str">
        <f>IFERROR(IF(INDEX(Data_Omakoodi!H:H,MATCH($AH$3&amp;$AL30,Data_Omakoodi!A:A,0))="P","",$AH$3&amp;$AL30),$AH$3&amp;$AL30)</f>
        <v>ComboBox_TyHlo_yksikko_00000023</v>
      </c>
      <c r="AD30" s="44" t="str">
        <f>IFERROR(INDEX(Data_Omakoodi!E:E,MATCH(AC30,Data_Omakoodi!A:A,0)),"")</f>
        <v/>
      </c>
      <c r="AE30" t="str">
        <f>IFERROR(IF(INDEX(Data_Omakoodi!H:H,MATCH($AH$3&amp;$AL30,Data_Omakoodi!A:A,0))="P","",$AH$3&amp;$AL30),$AH$3&amp;$AL30)</f>
        <v>ComboBox_TyHlo_yksikko_00000023</v>
      </c>
      <c r="AF30" t="s">
        <v>1549</v>
      </c>
      <c r="AG30" s="739" t="str">
        <f t="shared" si="0"/>
        <v/>
      </c>
      <c r="AH30" s="739" t="str">
        <f t="shared" si="1"/>
        <v/>
      </c>
      <c r="AJ30" s="739" t="str">
        <f t="shared" si="2"/>
        <v/>
      </c>
      <c r="AK30" s="739" t="str">
        <f t="shared" si="3"/>
        <v/>
      </c>
      <c r="AL30">
        <v>23</v>
      </c>
      <c r="AP30" s="143" t="s">
        <v>1222</v>
      </c>
      <c r="AQ30" s="144" t="s">
        <v>1046</v>
      </c>
      <c r="AR30">
        <f>SUMIFS(AS!$W:$W,AS!$BO:$BO,$W$7,AS!$AB:$AB,AS!$AA$1,AS!$AH:$AH,$X$8,AS!$AT:$AT,Saapuminen!$AQ30,AS!$AV:$AV,Saapuminen!$X$6,AS!$AW:$AW,Saapuminen!$Y$6,AS!$X:$X,Saapuminen!$Y$5,AS!$K:$K,Saapuminen!$V$2)</f>
        <v>0</v>
      </c>
      <c r="AS30">
        <f>SUMIFS(AS!$W:$W,AS!$BO:$BO,$W$7,AS!$AB:$AB,AS!$AA$1,AS!$AH:$AH,$X$8,AS!$AT:$AT,Saapuminen!$AQ30,AS!$AV:$AV,Saapuminen!$X$6,AS!$I:$I,Saapuminen!$X$7,AS!$AW:$AW,Saapuminen!$Y$6,AS!$X:$X,Saapuminen!$Y$5,AS!$K:$K,Saapuminen!$V$2)</f>
        <v>0</v>
      </c>
      <c r="AT30">
        <f>SUMIFS(AS!$W:$W,AS!$BO:$BO,$W$7,AS!$AB:$AB,AS!$AA$1,AS!$AH:$AH,$X$8,AS!$AT:$AT,Saapuminen!$AQ30,AS!$AV:$AV,Saapuminen!$X$6,AS!$I:$I,Saapuminen!$Y$7,AS!$AW:$AW,Saapuminen!$Y$6,AS!$X:$X,Saapuminen!$Y$5,AS!$K:$K,Saapuminen!$V$2)</f>
        <v>0</v>
      </c>
      <c r="AY30" s="1" t="s">
        <v>1263</v>
      </c>
      <c r="AZ30" s="603" t="s">
        <v>1264</v>
      </c>
      <c r="BA30" s="603" t="s">
        <v>1265</v>
      </c>
      <c r="BB30" s="405" t="s">
        <v>1279</v>
      </c>
      <c r="BC30" s="604" t="s">
        <v>1280</v>
      </c>
      <c r="BD30" s="611" t="s">
        <v>1281</v>
      </c>
      <c r="BE30" s="88" t="s">
        <v>1222</v>
      </c>
    </row>
    <row r="31" spans="1:57" ht="15" customHeight="1" x14ac:dyDescent="0.25">
      <c r="A31" s="59" t="s">
        <v>81</v>
      </c>
      <c r="B31" s="65">
        <f>SUM(B32:B35)</f>
        <v>0</v>
      </c>
      <c r="C31" s="61" t="str">
        <f t="shared" si="10"/>
        <v>-</v>
      </c>
      <c r="D31" s="65">
        <f t="shared" ref="D31:F31" si="12">SUM(D32:D35)</f>
        <v>0</v>
      </c>
      <c r="E31" s="65">
        <f t="shared" si="12"/>
        <v>0</v>
      </c>
      <c r="F31" s="65">
        <f t="shared" si="12"/>
        <v>0</v>
      </c>
      <c r="G31" s="76"/>
      <c r="H31" s="38"/>
      <c r="I31" s="38"/>
      <c r="J31" s="38"/>
      <c r="K31" s="38"/>
      <c r="L31" s="38"/>
      <c r="M31" s="77"/>
      <c r="N31" s="65">
        <f>SUM(N32:N35)</f>
        <v>0</v>
      </c>
      <c r="O31" s="61" t="str">
        <f t="shared" si="11"/>
        <v>-</v>
      </c>
      <c r="P31" s="65">
        <f>SUM(P32:P35)</f>
        <v>0</v>
      </c>
      <c r="Q31" s="65">
        <f t="shared" ref="Q31:R31" si="13">SUM(Q32:Q35)</f>
        <v>0</v>
      </c>
      <c r="R31" s="65">
        <f t="shared" si="13"/>
        <v>0</v>
      </c>
      <c r="AA31" s="176" t="str">
        <f>IFERROR(IF(INDEX(Data_Omakoodi!H:H,MATCH($AK$3&amp;$AL31,Data_Omakoodi!A:A,0))="P","",$AK$3&amp;$AL31),$AK$3&amp;$AL31)</f>
        <v>ComboBox_EtKuntakoodi_00000024</v>
      </c>
      <c r="AB31" s="44" t="str">
        <f>IFERROR(INDEX(Data_Omakoodi!E:E,MATCH(AA31,Data_Omakoodi!A:A,0)),"")</f>
        <v/>
      </c>
      <c r="AC31" t="str">
        <f>IFERROR(IF(INDEX(Data_Omakoodi!H:H,MATCH($AH$3&amp;$AL31,Data_Omakoodi!A:A,0))="P","",$AH$3&amp;$AL31),$AH$3&amp;$AL31)</f>
        <v>ComboBox_TyHlo_yksikko_00000024</v>
      </c>
      <c r="AD31" s="44" t="str">
        <f>IFERROR(INDEX(Data_Omakoodi!E:E,MATCH(AC31,Data_Omakoodi!A:A,0)),"")</f>
        <v/>
      </c>
      <c r="AE31" t="str">
        <f>IFERROR(IF(INDEX(Data_Omakoodi!H:H,MATCH($AH$3&amp;$AL31,Data_Omakoodi!A:A,0))="P","",$AH$3&amp;$AL31),$AH$3&amp;$AL31)</f>
        <v>ComboBox_TyHlo_yksikko_00000024</v>
      </c>
      <c r="AF31" t="s">
        <v>1550</v>
      </c>
      <c r="AG31" s="739" t="str">
        <f t="shared" si="0"/>
        <v/>
      </c>
      <c r="AH31" s="739" t="str">
        <f t="shared" si="1"/>
        <v/>
      </c>
      <c r="AJ31" s="739" t="str">
        <f t="shared" si="2"/>
        <v/>
      </c>
      <c r="AK31" s="739" t="str">
        <f t="shared" si="3"/>
        <v/>
      </c>
      <c r="AL31">
        <v>24</v>
      </c>
    </row>
    <row r="32" spans="1:57" ht="15" customHeight="1" x14ac:dyDescent="0.25">
      <c r="A32" s="62" t="s">
        <v>1062</v>
      </c>
      <c r="B32" s="63">
        <f>SUMIFS(AS!$W:$W,AS!$BO:$BO,$W$7,AS!$AB:$AB,AS!$AA$1,AS!$AH:$AH,$X$8,AS!$AT:$AT,Saapuminen!$AP32,AS!$AV:$AV,Saapuminen!$X$6,AS!$AW:$AW,Saapuminen!$Y$6,AS!$X:$X,Saapuminen!$Y$5,AS!$K:$K,Saapuminen!$V$2)+AR32</f>
        <v>0</v>
      </c>
      <c r="C32" s="318" t="str">
        <f t="shared" si="10"/>
        <v>-</v>
      </c>
      <c r="D32" s="63">
        <f>SUMIFS(AS!$W:$W,AS!$BO:$BO,$W$7,AS!$AB:$AB,AS!$AA$1,AS!$AH:$AH,$X$8,AS!$AT:$AT,Saapuminen!$AP32,AS!$AV:$AV,Saapuminen!$X$6,AS!$I:$I,Saapuminen!$X$7,AS!$AW:$AW,Saapuminen!$Y$6,AS!$X:$X,Saapuminen!$Y$5,AS!$K:$K,Saapuminen!$V$2)+AS32</f>
        <v>0</v>
      </c>
      <c r="E32" s="63">
        <f>SUMIFS(AS!$W:$W,AS!$BO:$BO,$W$7,AS!$AB:$AB,AS!$AA$1,AS!$AH:$AH,$X$8,AS!$AT:$AT,Saapuminen!$AP32,AS!$AV:$AV,Saapuminen!$X$6,AS!$I:$I,Saapuminen!$Y$7,AS!$AW:$AW,Saapuminen!$Y$6,AS!$X:$X,Saapuminen!$Y$5,AS!$K:$K,Saapuminen!$V$2)+AT32</f>
        <v>0</v>
      </c>
      <c r="F32" s="63">
        <f>SUMIFS(AS!$W:$W,AS!$BO:$BO,$W$7,AS!$AB:$AB,AS!$AA$1,AS!$AH:$AH,$Y$8,AS!$AT:$AT,Saapuminen!$AP32,AS!$AV:$AV,Saapuminen!$X$6,AS!$AW:$AW,Saapuminen!$Y$6,AS!$X:$X,Saapuminen!$Y$5,AS!$K:$K,Saapuminen!$V$2)</f>
        <v>0</v>
      </c>
      <c r="G32" s="74"/>
      <c r="H32" s="33"/>
      <c r="I32" s="33"/>
      <c r="J32" s="33"/>
      <c r="K32" s="33"/>
      <c r="L32" s="33"/>
      <c r="M32" s="75"/>
      <c r="N32" s="63">
        <f>SUMIFS(JA!Z:Z,JA!X:X,AP32,JA!AF:AF,"OK",JA!AE:AE,"OK")</f>
        <v>0</v>
      </c>
      <c r="O32" s="318" t="str">
        <f t="shared" si="11"/>
        <v>-</v>
      </c>
      <c r="P32" s="63">
        <f>SUMIFS(JA!Z:Z,JA!X:X,AP32,JA!AF:AF,"OK",JA!AE:AE,"OK")</f>
        <v>0</v>
      </c>
      <c r="Q32" s="63">
        <f>SUMIFS(JA!Z:Z,JA!X:X,AP32,JA!AF:AF,"OK",JA!AE:AE,"OK")</f>
        <v>0</v>
      </c>
      <c r="R32" s="63">
        <f>SUMIFS(JA!Z:Z,JA!X:X,AP32,JA!AF:AF,"OK",JA!AE:AE,"OK")</f>
        <v>0</v>
      </c>
      <c r="AA32" s="176" t="str">
        <f>IFERROR(IF(INDEX(Data_Omakoodi!H:H,MATCH($AK$3&amp;$AL32,Data_Omakoodi!A:A,0))="P","",$AK$3&amp;$AL32),$AK$3&amp;$AL32)</f>
        <v>ComboBox_EtKuntakoodi_00000025</v>
      </c>
      <c r="AB32" s="44" t="str">
        <f>IFERROR(INDEX(Data_Omakoodi!E:E,MATCH(AA32,Data_Omakoodi!A:A,0)),"")</f>
        <v/>
      </c>
      <c r="AC32" t="str">
        <f>IFERROR(IF(INDEX(Data_Omakoodi!H:H,MATCH($AH$3&amp;$AL32,Data_Omakoodi!A:A,0))="P","",$AH$3&amp;$AL32),$AH$3&amp;$AL32)</f>
        <v>ComboBox_TyHlo_yksikko_00000025</v>
      </c>
      <c r="AD32" s="44" t="str">
        <f>IFERROR(INDEX(Data_Omakoodi!E:E,MATCH(AC32,Data_Omakoodi!A:A,0)),"")</f>
        <v/>
      </c>
      <c r="AE32" t="str">
        <f>IFERROR(IF(INDEX(Data_Omakoodi!H:H,MATCH($AH$3&amp;$AL32,Data_Omakoodi!A:A,0))="P","",$AH$3&amp;$AL32),$AH$3&amp;$AL32)</f>
        <v>ComboBox_TyHlo_yksikko_00000025</v>
      </c>
      <c r="AF32" t="s">
        <v>1551</v>
      </c>
      <c r="AG32" s="739" t="str">
        <f t="shared" si="0"/>
        <v/>
      </c>
      <c r="AH32" s="739" t="str">
        <f t="shared" si="1"/>
        <v/>
      </c>
      <c r="AJ32" s="739" t="str">
        <f t="shared" si="2"/>
        <v/>
      </c>
      <c r="AK32" s="739" t="str">
        <f t="shared" si="3"/>
        <v/>
      </c>
      <c r="AL32">
        <v>25</v>
      </c>
      <c r="AP32" s="514" t="s">
        <v>1047</v>
      </c>
      <c r="AQ32" s="513" t="s">
        <v>250</v>
      </c>
      <c r="AR32">
        <f>SUMIFS(AS!$W:$W,AS!$BO:$BO,$W$7,AS!$AB:$AB,AS!$AA$1,AS!$AH:$AH,$X$8,AS!$AT:$AT,Saapuminen!$AQ32,AS!$AV:$AV,Saapuminen!$X$6,AS!$AW:$AW,Saapuminen!$Y$6,AS!$X:$X,Saapuminen!$Y$5,AS!$K:$K,Saapuminen!$V$2)</f>
        <v>0</v>
      </c>
      <c r="AS32">
        <f>SUMIFS(AS!$W:$W,AS!$BO:$BO,$W$7,AS!$AB:$AB,AS!$AA$1,AS!$AH:$AH,$X$8,AS!$AT:$AT,Saapuminen!$AQ32,AS!$AV:$AV,Saapuminen!$X$6,AS!$I:$I,Saapuminen!$X$7,AS!$AW:$AW,Saapuminen!$Y$6,AS!$X:$X,Saapuminen!$Y$5,AS!$K:$K,Saapuminen!$V$2)</f>
        <v>0</v>
      </c>
      <c r="AT32">
        <f>SUMIFS(AS!$W:$W,AS!$BO:$BO,$W$7,AS!$AB:$AB,AS!$AA$1,AS!$AH:$AH,$X$8,AS!$AT:$AT,Saapuminen!$AQ32,AS!$AV:$AV,Saapuminen!$X$6,AS!$I:$I,Saapuminen!$Y$7,AS!$AW:$AW,Saapuminen!$Y$6,AS!$X:$X,Saapuminen!$Y$5,AS!$K:$K,Saapuminen!$V$2)</f>
        <v>0</v>
      </c>
      <c r="AY32" s="607" t="s">
        <v>81</v>
      </c>
      <c r="AZ32" s="1" t="s">
        <v>1282</v>
      </c>
      <c r="BA32" s="1" t="s">
        <v>1283</v>
      </c>
      <c r="BB32" s="405" t="s">
        <v>1071</v>
      </c>
      <c r="BC32" s="405" t="s">
        <v>1284</v>
      </c>
      <c r="BD32" s="609" t="s">
        <v>1285</v>
      </c>
      <c r="BE32" s="88" t="s">
        <v>1047</v>
      </c>
    </row>
    <row r="33" spans="1:57" ht="15" customHeight="1" x14ac:dyDescent="0.25">
      <c r="A33" s="62" t="s">
        <v>140</v>
      </c>
      <c r="B33" s="63">
        <f>SUMIFS(AS!$W:$W,AS!$BO:$BO,$W$7,AS!$AB:$AB,AS!$AA$1,AS!$AH:$AH,$X$8,AS!$AT:$AT,Saapuminen!$AP33,AS!$AV:$AV,Saapuminen!$X$6,AS!$AW:$AW,Saapuminen!$Y$6,AS!$X:$X,Saapuminen!$Y$5,AS!$K:$K,Saapuminen!$V$2)+AR33</f>
        <v>0</v>
      </c>
      <c r="C33" s="318" t="str">
        <f t="shared" si="10"/>
        <v>-</v>
      </c>
      <c r="D33" s="63">
        <f>SUMIFS(AS!$W:$W,AS!$BO:$BO,$W$7,AS!$AB:$AB,AS!$AA$1,AS!$AH:$AH,$X$8,AS!$AT:$AT,Saapuminen!$AP33,AS!$AV:$AV,Saapuminen!$X$6,AS!$I:$I,Saapuminen!$X$7,AS!$AW:$AW,Saapuminen!$Y$6,AS!$X:$X,Saapuminen!$Y$5,AS!$K:$K,Saapuminen!$V$2)+AS33</f>
        <v>0</v>
      </c>
      <c r="E33" s="63">
        <f>SUMIFS(AS!$W:$W,AS!$BO:$BO,$W$7,AS!$AB:$AB,AS!$AA$1,AS!$AH:$AH,$X$8,AS!$AT:$AT,Saapuminen!$AP33,AS!$AV:$AV,Saapuminen!$X$6,AS!$I:$I,Saapuminen!$Y$7,AS!$AW:$AW,Saapuminen!$Y$6,AS!$X:$X,Saapuminen!$Y$5,AS!$K:$K,Saapuminen!$V$2)+AT33</f>
        <v>0</v>
      </c>
      <c r="F33" s="63">
        <f>SUMIFS(AS!$W:$W,AS!$BO:$BO,$W$7,AS!$AB:$AB,AS!$AA$1,AS!$AH:$AH,$Y$8,AS!$AT:$AT,Saapuminen!$AP33,AS!$AV:$AV,Saapuminen!$X$6,AS!$AW:$AW,Saapuminen!$Y$6,AS!$X:$X,Saapuminen!$Y$5,AS!$K:$K,Saapuminen!$V$2)</f>
        <v>0</v>
      </c>
      <c r="G33" s="74"/>
      <c r="H33" s="33"/>
      <c r="I33" s="33"/>
      <c r="J33" s="33"/>
      <c r="K33" s="33"/>
      <c r="L33" s="33"/>
      <c r="M33" s="75"/>
      <c r="N33" s="63">
        <f>SUMIFS(JA!Z:Z,JA!X:X,AP33,JA!AF:AF,"OK",JA!AE:AE,"OK")</f>
        <v>0</v>
      </c>
      <c r="O33" s="318" t="str">
        <f t="shared" si="11"/>
        <v>-</v>
      </c>
      <c r="P33" s="63">
        <f>SUMIFS(JA!Z:Z,JA!X:X,AP33,JA!AF:AF,"OK",JA!AE:AE,"OK")</f>
        <v>0</v>
      </c>
      <c r="Q33" s="63">
        <f>SUMIFS(JA!Z:Z,JA!X:X,AP33,JA!AF:AF,"OK",JA!AE:AE,"OK")</f>
        <v>0</v>
      </c>
      <c r="R33" s="63">
        <f>SUMIFS(JA!Z:Z,JA!X:X,AP33,JA!AF:AF,"OK",JA!AE:AE,"OK")</f>
        <v>0</v>
      </c>
      <c r="AA33" s="176" t="str">
        <f>IFERROR(IF(INDEX(Data_Omakoodi!H:H,MATCH($AK$3&amp;$AL33,Data_Omakoodi!A:A,0))="P","",$AK$3&amp;$AL33),$AK$3&amp;$AL33)</f>
        <v>ComboBox_EtKuntakoodi_00000026</v>
      </c>
      <c r="AB33" s="44" t="str">
        <f>IFERROR(INDEX(Data_Omakoodi!E:E,MATCH(AA33,Data_Omakoodi!A:A,0)),"")</f>
        <v/>
      </c>
      <c r="AC33" t="str">
        <f>IFERROR(IF(INDEX(Data_Omakoodi!H:H,MATCH($AH$3&amp;$AL33,Data_Omakoodi!A:A,0))="P","",$AH$3&amp;$AL33),$AH$3&amp;$AL33)</f>
        <v>ComboBox_TyHlo_yksikko_00000026</v>
      </c>
      <c r="AD33" s="44" t="str">
        <f>IFERROR(INDEX(Data_Omakoodi!E:E,MATCH(AC33,Data_Omakoodi!A:A,0)),"")</f>
        <v/>
      </c>
      <c r="AE33" t="str">
        <f>IFERROR(IF(INDEX(Data_Omakoodi!H:H,MATCH($AH$3&amp;$AL33,Data_Omakoodi!A:A,0))="P","",$AH$3&amp;$AL33),$AH$3&amp;$AL33)</f>
        <v>ComboBox_TyHlo_yksikko_00000026</v>
      </c>
      <c r="AF33" t="s">
        <v>1552</v>
      </c>
      <c r="AG33" s="739" t="str">
        <f t="shared" si="0"/>
        <v/>
      </c>
      <c r="AH33" s="739" t="str">
        <f t="shared" si="1"/>
        <v/>
      </c>
      <c r="AJ33" s="739" t="str">
        <f t="shared" si="2"/>
        <v/>
      </c>
      <c r="AK33" s="739" t="str">
        <f t="shared" si="3"/>
        <v/>
      </c>
      <c r="AL33">
        <v>26</v>
      </c>
      <c r="AP33" s="35" t="s">
        <v>229</v>
      </c>
      <c r="AR33">
        <f>SUMIFS(AS!$W:$W,AS!$BO:$BO,$W$7,AS!$AB:$AB,AS!$AA$1,AS!$AH:$AH,$X$8,AS!$AT:$AT,Saapuminen!$AQ33,AS!$AV:$AV,Saapuminen!$X$6,AS!$AW:$AW,Saapuminen!$Y$6,AS!$X:$X,Saapuminen!$Y$5,AS!$K:$K,Saapuminen!$V$2)</f>
        <v>0</v>
      </c>
      <c r="AS33">
        <f>SUMIFS(AS!$W:$W,AS!$BO:$BO,$W$7,AS!$AB:$AB,AS!$AA$1,AS!$AH:$AH,$X$8,AS!$AT:$AT,Saapuminen!$AQ33,AS!$AV:$AV,Saapuminen!$X$6,AS!$I:$I,Saapuminen!$X$7,AS!$AW:$AW,Saapuminen!$Y$6,AS!$X:$X,Saapuminen!$Y$5,AS!$K:$K,Saapuminen!$V$2)</f>
        <v>0</v>
      </c>
      <c r="AT33">
        <f>SUMIFS(AS!$W:$W,AS!$BO:$BO,$W$7,AS!$AB:$AB,AS!$AA$1,AS!$AH:$AH,$X$8,AS!$AT:$AT,Saapuminen!$AQ33,AS!$AV:$AV,Saapuminen!$X$6,AS!$I:$I,Saapuminen!$Y$7,AS!$AW:$AW,Saapuminen!$Y$6,AS!$X:$X,Saapuminen!$Y$5,AS!$K:$K,Saapuminen!$V$2)</f>
        <v>0</v>
      </c>
      <c r="AY33" s="607" t="s">
        <v>81</v>
      </c>
      <c r="AZ33" s="1" t="s">
        <v>1282</v>
      </c>
      <c r="BA33" s="1" t="s">
        <v>1283</v>
      </c>
      <c r="BB33" s="405" t="s">
        <v>795</v>
      </c>
      <c r="BC33" s="405" t="s">
        <v>1286</v>
      </c>
      <c r="BD33" s="27" t="s">
        <v>1287</v>
      </c>
      <c r="BE33" s="88" t="s">
        <v>229</v>
      </c>
    </row>
    <row r="34" spans="1:57" ht="15" customHeight="1" x14ac:dyDescent="0.25">
      <c r="A34" s="62" t="s">
        <v>1063</v>
      </c>
      <c r="B34" s="63">
        <f>SUMIFS(AS!$W:$W,AS!$BO:$BO,$W$7,AS!$AB:$AB,AS!$AA$1,AS!$AH:$AH,$X$8,AS!$AT:$AT,Saapuminen!$AP34,AS!$AV:$AV,Saapuminen!$X$6,AS!$AW:$AW,Saapuminen!$Y$6,AS!$X:$X,Saapuminen!$Y$5,AS!$K:$K,Saapuminen!$V$2)+AR34</f>
        <v>0</v>
      </c>
      <c r="C34" s="318" t="str">
        <f t="shared" si="10"/>
        <v>-</v>
      </c>
      <c r="D34" s="63">
        <f>SUMIFS(AS!$W:$W,AS!$BO:$BO,$W$7,AS!$AB:$AB,AS!$AA$1,AS!$AH:$AH,$X$8,AS!$AT:$AT,Saapuminen!$AP34,AS!$AV:$AV,Saapuminen!$X$6,AS!$I:$I,Saapuminen!$X$7,AS!$AW:$AW,Saapuminen!$Y$6,AS!$X:$X,Saapuminen!$Y$5,AS!$K:$K,Saapuminen!$V$2)+AS34</f>
        <v>0</v>
      </c>
      <c r="E34" s="63">
        <f>SUMIFS(AS!$W:$W,AS!$BO:$BO,$W$7,AS!$AB:$AB,AS!$AA$1,AS!$AH:$AH,$X$8,AS!$AT:$AT,Saapuminen!$AP34,AS!$AV:$AV,Saapuminen!$X$6,AS!$I:$I,Saapuminen!$Y$7,AS!$AW:$AW,Saapuminen!$Y$6,AS!$X:$X,Saapuminen!$Y$5,AS!$K:$K,Saapuminen!$V$2)+AT34</f>
        <v>0</v>
      </c>
      <c r="F34" s="63">
        <f>SUMIFS(AS!$W:$W,AS!$BO:$BO,$W$7,AS!$AB:$AB,AS!$AA$1,AS!$AH:$AH,$Y$8,AS!$AT:$AT,Saapuminen!$AP34,AS!$AV:$AV,Saapuminen!$X$6,AS!$AW:$AW,Saapuminen!$Y$6,AS!$X:$X,Saapuminen!$Y$5,AS!$K:$K,Saapuminen!$V$2)</f>
        <v>0</v>
      </c>
      <c r="G34" s="74"/>
      <c r="H34" s="33"/>
      <c r="I34" s="33"/>
      <c r="J34" s="33"/>
      <c r="K34" s="33"/>
      <c r="L34" s="33"/>
      <c r="M34" s="75"/>
      <c r="N34" s="63">
        <f>SUMIFS(JA!Z:Z,JA!X:X,AP34,JA!AF:AF,"OK",JA!AE:AE,"OK")</f>
        <v>0</v>
      </c>
      <c r="O34" s="318" t="str">
        <f t="shared" si="11"/>
        <v>-</v>
      </c>
      <c r="P34" s="63">
        <f>SUMIFS(JA!Z:Z,JA!X:X,AP34,JA!AF:AF,"OK",JA!AE:AE,"OK")</f>
        <v>0</v>
      </c>
      <c r="Q34" s="63">
        <f>SUMIFS(JA!Z:Z,JA!X:X,AP34,JA!AF:AF,"OK",JA!AE:AE,"OK")</f>
        <v>0</v>
      </c>
      <c r="R34" s="63">
        <f>SUMIFS(JA!Z:Z,JA!X:X,AP34,JA!AF:AF,"OK",JA!AE:AE,"OK")</f>
        <v>0</v>
      </c>
      <c r="AA34" s="176" t="str">
        <f>IFERROR(IF(INDEX(Data_Omakoodi!H:H,MATCH($AK$3&amp;$AL34,Data_Omakoodi!A:A,0))="P","",$AK$3&amp;$AL34),$AK$3&amp;$AL34)</f>
        <v>ComboBox_EtKuntakoodi_00000027</v>
      </c>
      <c r="AB34" s="44" t="str">
        <f>IFERROR(INDEX(Data_Omakoodi!E:E,MATCH(AA34,Data_Omakoodi!A:A,0)),"")</f>
        <v/>
      </c>
      <c r="AC34" t="str">
        <f>IFERROR(IF(INDEX(Data_Omakoodi!H:H,MATCH($AH$3&amp;$AL34,Data_Omakoodi!A:A,0))="P","",$AH$3&amp;$AL34),$AH$3&amp;$AL34)</f>
        <v>ComboBox_TyHlo_yksikko_00000027</v>
      </c>
      <c r="AD34" s="44" t="str">
        <f>IFERROR(INDEX(Data_Omakoodi!E:E,MATCH(AC34,Data_Omakoodi!A:A,0)),"")</f>
        <v/>
      </c>
      <c r="AE34" t="str">
        <f>IFERROR(IF(INDEX(Data_Omakoodi!H:H,MATCH($AH$3&amp;$AL34,Data_Omakoodi!A:A,0))="P","",$AH$3&amp;$AL34),$AH$3&amp;$AL34)</f>
        <v>ComboBox_TyHlo_yksikko_00000027</v>
      </c>
      <c r="AF34" t="s">
        <v>1553</v>
      </c>
      <c r="AG34" s="739" t="str">
        <f t="shared" si="0"/>
        <v/>
      </c>
      <c r="AH34" s="739" t="str">
        <f t="shared" si="1"/>
        <v/>
      </c>
      <c r="AJ34" s="739" t="str">
        <f t="shared" si="2"/>
        <v/>
      </c>
      <c r="AK34" s="739" t="str">
        <f t="shared" si="3"/>
        <v/>
      </c>
      <c r="AL34">
        <v>27</v>
      </c>
      <c r="AP34" s="514" t="s">
        <v>1048</v>
      </c>
      <c r="AQ34" s="513" t="s">
        <v>216</v>
      </c>
      <c r="AR34">
        <f>SUMIFS(AS!$W:$W,AS!$BO:$BO,$W$7,AS!$AB:$AB,AS!$AA$1,AS!$AH:$AH,$X$8,AS!$AT:$AT,Saapuminen!$AQ34,AS!$AV:$AV,Saapuminen!$X$6,AS!$AW:$AW,Saapuminen!$Y$6,AS!$X:$X,Saapuminen!$Y$5,AS!$K:$K,Saapuminen!$V$2)</f>
        <v>0</v>
      </c>
      <c r="AS34">
        <f>SUMIFS(AS!$W:$W,AS!$BO:$BO,$W$7,AS!$AB:$AB,AS!$AA$1,AS!$AH:$AH,$X$8,AS!$AT:$AT,Saapuminen!$AQ34,AS!$AV:$AV,Saapuminen!$X$6,AS!$I:$I,Saapuminen!$X$7,AS!$AW:$AW,Saapuminen!$Y$6,AS!$X:$X,Saapuminen!$Y$5,AS!$K:$K,Saapuminen!$V$2)</f>
        <v>0</v>
      </c>
      <c r="AT34">
        <f>SUMIFS(AS!$W:$W,AS!$BO:$BO,$W$7,AS!$AB:$AB,AS!$AA$1,AS!$AH:$AH,$X$8,AS!$AT:$AT,Saapuminen!$AQ34,AS!$AV:$AV,Saapuminen!$X$6,AS!$I:$I,Saapuminen!$Y$7,AS!$AW:$AW,Saapuminen!$Y$6,AS!$X:$X,Saapuminen!$Y$5,AS!$K:$K,Saapuminen!$V$2)</f>
        <v>0</v>
      </c>
      <c r="AY34" s="607" t="s">
        <v>81</v>
      </c>
      <c r="AZ34" s="1" t="s">
        <v>1282</v>
      </c>
      <c r="BA34" s="1" t="s">
        <v>1283</v>
      </c>
      <c r="BB34" s="405" t="s">
        <v>1072</v>
      </c>
      <c r="BC34" s="405" t="s">
        <v>1288</v>
      </c>
      <c r="BD34" s="405" t="s">
        <v>1289</v>
      </c>
      <c r="BE34" s="88" t="s">
        <v>1048</v>
      </c>
    </row>
    <row r="35" spans="1:57" ht="15" customHeight="1" x14ac:dyDescent="0.25">
      <c r="A35" s="62" t="s">
        <v>139</v>
      </c>
      <c r="B35" s="63">
        <f>SUMIFS(AS!$W:$W,AS!$BO:$BO,$W$7,AS!$AB:$AB,AS!$AA$1,AS!$AH:$AH,$X$8,AS!$AT:$AT,Saapuminen!$AP35,AS!$AV:$AV,Saapuminen!$X$6,AS!$AW:$AW,Saapuminen!$Y$6,AS!$X:$X,Saapuminen!$Y$5,AS!$K:$K,Saapuminen!$V$2)+AR35</f>
        <v>0</v>
      </c>
      <c r="C35" s="318" t="str">
        <f t="shared" si="10"/>
        <v>-</v>
      </c>
      <c r="D35" s="63">
        <f>SUMIFS(AS!$W:$W,AS!$BO:$BO,$W$7,AS!$AB:$AB,AS!$AA$1,AS!$AH:$AH,$X$8,AS!$AT:$AT,Saapuminen!$AP35,AS!$AV:$AV,Saapuminen!$X$6,AS!$I:$I,Saapuminen!$X$7,AS!$AW:$AW,Saapuminen!$Y$6,AS!$X:$X,Saapuminen!$Y$5,AS!$K:$K,Saapuminen!$V$2)+AS35</f>
        <v>0</v>
      </c>
      <c r="E35" s="63">
        <f>SUMIFS(AS!$W:$W,AS!$BO:$BO,$W$7,AS!$AB:$AB,AS!$AA$1,AS!$AH:$AH,$X$8,AS!$AT:$AT,Saapuminen!$AP35,AS!$AV:$AV,Saapuminen!$X$6,AS!$I:$I,Saapuminen!$Y$7,AS!$AW:$AW,Saapuminen!$Y$6,AS!$X:$X,Saapuminen!$Y$5,AS!$K:$K,Saapuminen!$V$2)+AT35</f>
        <v>0</v>
      </c>
      <c r="F35" s="63">
        <f>SUMIFS(AS!$W:$W,AS!$BO:$BO,$W$7,AS!$AB:$AB,AS!$AA$1,AS!$AH:$AH,$Y$8,AS!$AT:$AT,Saapuminen!$AP35,AS!$AV:$AV,Saapuminen!$X$6,AS!$AW:$AW,Saapuminen!$Y$6,AS!$X:$X,Saapuminen!$Y$5,AS!$K:$K,Saapuminen!$V$2)</f>
        <v>0</v>
      </c>
      <c r="G35" s="74"/>
      <c r="H35" s="33"/>
      <c r="I35" s="33"/>
      <c r="J35" s="33"/>
      <c r="K35" s="33"/>
      <c r="L35" s="33"/>
      <c r="M35" s="75"/>
      <c r="N35" s="63">
        <f>SUMIFS(JA!Z:Z,JA!X:X,AP35,JA!AF:AF,"OK",JA!AE:AE,"OK")</f>
        <v>0</v>
      </c>
      <c r="O35" s="318" t="str">
        <f t="shared" si="11"/>
        <v>-</v>
      </c>
      <c r="P35" s="63">
        <f>SUMIFS(JA!Z:Z,JA!X:X,AP35,JA!AF:AF,"OK",JA!AE:AE,"OK")</f>
        <v>0</v>
      </c>
      <c r="Q35" s="63">
        <f>SUMIFS(JA!Z:Z,JA!X:X,AP35,JA!AF:AF,"OK",JA!AE:AE,"OK")</f>
        <v>0</v>
      </c>
      <c r="R35" s="63">
        <f>SUMIFS(JA!Z:Z,JA!X:X,AP35,JA!AF:AF,"OK",JA!AE:AE,"OK")</f>
        <v>0</v>
      </c>
      <c r="AA35" s="176" t="str">
        <f>IFERROR(IF(INDEX(Data_Omakoodi!H:H,MATCH($AK$3&amp;$AL35,Data_Omakoodi!A:A,0))="P","",$AK$3&amp;$AL35),$AK$3&amp;$AL35)</f>
        <v>ComboBox_EtKuntakoodi_00000028</v>
      </c>
      <c r="AB35" s="44" t="str">
        <f>IFERROR(INDEX(Data_Omakoodi!E:E,MATCH(AA35,Data_Omakoodi!A:A,0)),"")</f>
        <v/>
      </c>
      <c r="AC35" t="str">
        <f>IFERROR(IF(INDEX(Data_Omakoodi!H:H,MATCH($AH$3&amp;$AL35,Data_Omakoodi!A:A,0))="P","",$AH$3&amp;$AL35),$AH$3&amp;$AL35)</f>
        <v>ComboBox_TyHlo_yksikko_00000028</v>
      </c>
      <c r="AD35" s="44" t="str">
        <f>IFERROR(INDEX(Data_Omakoodi!E:E,MATCH(AC35,Data_Omakoodi!A:A,0)),"")</f>
        <v/>
      </c>
      <c r="AE35" t="str">
        <f>IFERROR(IF(INDEX(Data_Omakoodi!H:H,MATCH($AH$3&amp;$AL35,Data_Omakoodi!A:A,0))="P","",$AH$3&amp;$AL35),$AH$3&amp;$AL35)</f>
        <v>ComboBox_TyHlo_yksikko_00000028</v>
      </c>
      <c r="AF35" t="s">
        <v>1554</v>
      </c>
      <c r="AG35" s="739" t="str">
        <f t="shared" si="0"/>
        <v/>
      </c>
      <c r="AH35" s="739" t="str">
        <f t="shared" si="1"/>
        <v/>
      </c>
      <c r="AJ35" s="739" t="str">
        <f t="shared" si="2"/>
        <v/>
      </c>
      <c r="AK35" s="739" t="str">
        <f t="shared" si="3"/>
        <v/>
      </c>
      <c r="AL35">
        <v>28</v>
      </c>
      <c r="AP35" s="35" t="s">
        <v>227</v>
      </c>
      <c r="AR35">
        <f>SUMIFS(AS!$W:$W,AS!$BO:$BO,$W$7,AS!$AB:$AB,AS!$AA$1,AS!$AH:$AH,$X$8,AS!$AT:$AT,Saapuminen!$AQ35,AS!$AV:$AV,Saapuminen!$X$6,AS!$AW:$AW,Saapuminen!$Y$6,AS!$X:$X,Saapuminen!$Y$5,AS!$K:$K,Saapuminen!$V$2)</f>
        <v>0</v>
      </c>
      <c r="AS35">
        <f>SUMIFS(AS!$W:$W,AS!$BO:$BO,$W$7,AS!$AB:$AB,AS!$AA$1,AS!$AH:$AH,$X$8,AS!$AT:$AT,Saapuminen!$AQ35,AS!$AV:$AV,Saapuminen!$X$6,AS!$I:$I,Saapuminen!$X$7,AS!$AW:$AW,Saapuminen!$Y$6,AS!$X:$X,Saapuminen!$Y$5,AS!$K:$K,Saapuminen!$V$2)</f>
        <v>0</v>
      </c>
      <c r="AT35">
        <f>SUMIFS(AS!$W:$W,AS!$BO:$BO,$W$7,AS!$AB:$AB,AS!$AA$1,AS!$AH:$AH,$X$8,AS!$AT:$AT,Saapuminen!$AQ35,AS!$AV:$AV,Saapuminen!$X$6,AS!$I:$I,Saapuminen!$Y$7,AS!$AW:$AW,Saapuminen!$Y$6,AS!$X:$X,Saapuminen!$Y$5,AS!$K:$K,Saapuminen!$V$2)</f>
        <v>0</v>
      </c>
      <c r="AY35" s="607" t="s">
        <v>81</v>
      </c>
      <c r="AZ35" s="1" t="s">
        <v>1282</v>
      </c>
      <c r="BA35" s="1" t="s">
        <v>1283</v>
      </c>
      <c r="BB35" s="405" t="s">
        <v>796</v>
      </c>
      <c r="BC35" s="405" t="s">
        <v>1290</v>
      </c>
      <c r="BD35" s="27" t="s">
        <v>1291</v>
      </c>
      <c r="BE35" s="88" t="s">
        <v>227</v>
      </c>
    </row>
    <row r="36" spans="1:57" ht="15" customHeight="1" x14ac:dyDescent="0.25">
      <c r="A36" s="59" t="s">
        <v>1051</v>
      </c>
      <c r="B36" s="65">
        <f>SUM(B37:B41)</f>
        <v>0</v>
      </c>
      <c r="C36" s="61" t="str">
        <f t="shared" si="10"/>
        <v>-</v>
      </c>
      <c r="D36" s="65">
        <f>SUM(D37:D41)</f>
        <v>0</v>
      </c>
      <c r="E36" s="65">
        <f>SUM(E37:E41)</f>
        <v>0</v>
      </c>
      <c r="F36" s="65">
        <f>SUM(F37:F41)</f>
        <v>0</v>
      </c>
      <c r="G36" s="76"/>
      <c r="H36" s="38"/>
      <c r="I36" s="38"/>
      <c r="J36" s="38"/>
      <c r="K36" s="38"/>
      <c r="L36" s="38"/>
      <c r="M36" s="77"/>
      <c r="N36" s="65">
        <f>SUM(N37:N41)</f>
        <v>0</v>
      </c>
      <c r="O36" s="61" t="str">
        <f t="shared" si="11"/>
        <v>-</v>
      </c>
      <c r="P36" s="65">
        <f>SUM(P37:P41)</f>
        <v>0</v>
      </c>
      <c r="Q36" s="65">
        <f>SUM(Q37:Q41)</f>
        <v>0</v>
      </c>
      <c r="R36" s="65">
        <f>SUM(R37:R41)</f>
        <v>0</v>
      </c>
      <c r="AA36" s="176" t="str">
        <f>IFERROR(IF(INDEX(Data_Omakoodi!H:H,MATCH($AK$3&amp;$AL36,Data_Omakoodi!A:A,0))="P","",$AK$3&amp;$AL36),$AK$3&amp;$AL36)</f>
        <v>ComboBox_EtKuntakoodi_00000029</v>
      </c>
      <c r="AB36" s="44" t="str">
        <f>IFERROR(INDEX(Data_Omakoodi!E:E,MATCH(AA36,Data_Omakoodi!A:A,0)),"")</f>
        <v/>
      </c>
      <c r="AC36" t="str">
        <f>IFERROR(IF(INDEX(Data_Omakoodi!H:H,MATCH($AH$3&amp;$AL36,Data_Omakoodi!A:A,0))="P","",$AH$3&amp;$AL36),$AH$3&amp;$AL36)</f>
        <v>ComboBox_TyHlo_yksikko_00000029</v>
      </c>
      <c r="AD36" s="44" t="str">
        <f>IFERROR(INDEX(Data_Omakoodi!E:E,MATCH(AC36,Data_Omakoodi!A:A,0)),"")</f>
        <v/>
      </c>
      <c r="AE36" t="str">
        <f>IFERROR(IF(INDEX(Data_Omakoodi!H:H,MATCH($AH$3&amp;$AL36,Data_Omakoodi!A:A,0))="P","",$AH$3&amp;$AL36),$AH$3&amp;$AL36)</f>
        <v>ComboBox_TyHlo_yksikko_00000029</v>
      </c>
      <c r="AF36" t="s">
        <v>1555</v>
      </c>
      <c r="AG36" s="739" t="str">
        <f t="shared" si="0"/>
        <v/>
      </c>
      <c r="AH36" s="739" t="str">
        <f t="shared" si="1"/>
        <v/>
      </c>
      <c r="AJ36" s="739" t="str">
        <f t="shared" si="2"/>
        <v/>
      </c>
      <c r="AK36" s="739" t="str">
        <f t="shared" si="3"/>
        <v/>
      </c>
      <c r="AL36">
        <v>29</v>
      </c>
    </row>
    <row r="37" spans="1:57" ht="15" customHeight="1" x14ac:dyDescent="0.25">
      <c r="A37" s="62" t="s">
        <v>138</v>
      </c>
      <c r="B37" s="63">
        <f>SUMIFS(AS!$W:$W,AS!$BO:$BO,$W$7,AS!$AB:$AB,AS!$AA$1,AS!$AH:$AH,$X$8,AS!$AT:$AT,Saapuminen!$AP37,AS!$AV:$AV,Saapuminen!$X$6,AS!$AW:$AW,Saapuminen!$Y$6,AS!$X:$X,Saapuminen!$Y$5,AS!$K:$K,Saapuminen!$V$2)+AR37</f>
        <v>0</v>
      </c>
      <c r="C37" s="318" t="str">
        <f t="shared" si="10"/>
        <v>-</v>
      </c>
      <c r="D37" s="63">
        <f>SUMIFS(AS!$W:$W,AS!$BO:$BO,$W$7,AS!$AB:$AB,AS!$AA$1,AS!$AH:$AH,$X$8,AS!$AT:$AT,Saapuminen!$AP37,AS!$AV:$AV,Saapuminen!$X$6,AS!$I:$I,Saapuminen!$X$7,AS!$AW:$AW,Saapuminen!$Y$6,AS!$X:$X,Saapuminen!$Y$5,AS!$K:$K,Saapuminen!$V$2)+AS37</f>
        <v>0</v>
      </c>
      <c r="E37" s="63">
        <f>SUMIFS(AS!$W:$W,AS!$BO:$BO,$W$7,AS!$AB:$AB,AS!$AA$1,AS!$AH:$AH,$X$8,AS!$AT:$AT,Saapuminen!$AP37,AS!$AV:$AV,Saapuminen!$X$6,AS!$I:$I,Saapuminen!$Y$7,AS!$AW:$AW,Saapuminen!$Y$6,AS!$X:$X,Saapuminen!$Y$5,AS!$K:$K,Saapuminen!$V$2)+AT37</f>
        <v>0</v>
      </c>
      <c r="F37" s="63">
        <f>SUMIFS(AS!$W:$W,AS!$BO:$BO,$W$7,AS!$AB:$AB,AS!$AA$1,AS!$AH:$AH,$Y$8,AS!$AT:$AT,Saapuminen!$AP37,AS!$AV:$AV,Saapuminen!$X$6,AS!$AW:$AW,Saapuminen!$Y$6,AS!$X:$X,Saapuminen!$Y$5,AS!$K:$K,Saapuminen!$V$2)</f>
        <v>0</v>
      </c>
      <c r="G37" s="74"/>
      <c r="H37" s="33"/>
      <c r="I37" s="33"/>
      <c r="J37" s="33"/>
      <c r="K37" s="33"/>
      <c r="L37" s="33"/>
      <c r="M37" s="75"/>
      <c r="N37" s="63">
        <f>SUMIFS(JA!Z:Z,JA!X:X,AP37,JA!AF:AF,"OK",JA!AE:AE,"OK")</f>
        <v>0</v>
      </c>
      <c r="O37" s="318" t="str">
        <f t="shared" si="11"/>
        <v>-</v>
      </c>
      <c r="P37" s="63">
        <f>SUMIFS(JA!Z:Z,JA!X:X,AP37,JA!AF:AF,"OK",JA!AE:AE,"OK")</f>
        <v>0</v>
      </c>
      <c r="Q37" s="63">
        <f>SUMIFS(JA!Z:Z,JA!X:X,AP37,JA!AF:AF,"OK",JA!AE:AE,"OK")</f>
        <v>0</v>
      </c>
      <c r="R37" s="63">
        <f>SUMIFS(JA!Z:Z,JA!X:X,AP37,JA!AF:AF,"OK",JA!AE:AE,"OK")</f>
        <v>0</v>
      </c>
      <c r="AA37" s="176" t="str">
        <f>IFERROR(IF(INDEX(Data_Omakoodi!H:H,MATCH($AK$3&amp;$AL37,Data_Omakoodi!A:A,0))="P","",$AK$3&amp;$AL37),$AK$3&amp;$AL37)</f>
        <v>ComboBox_EtKuntakoodi_00000030</v>
      </c>
      <c r="AB37" s="44" t="str">
        <f>IFERROR(INDEX(Data_Omakoodi!E:E,MATCH(AA37,Data_Omakoodi!A:A,0)),"")</f>
        <v/>
      </c>
      <c r="AC37" t="str">
        <f>IFERROR(IF(INDEX(Data_Omakoodi!H:H,MATCH($AH$3&amp;$AL37,Data_Omakoodi!A:A,0))="P","",$AH$3&amp;$AL37),$AH$3&amp;$AL37)</f>
        <v>ComboBox_TyHlo_yksikko_00000030</v>
      </c>
      <c r="AD37" s="44" t="str">
        <f>IFERROR(INDEX(Data_Omakoodi!E:E,MATCH(AC37,Data_Omakoodi!A:A,0)),"")</f>
        <v/>
      </c>
      <c r="AE37" t="str">
        <f>IFERROR(IF(INDEX(Data_Omakoodi!H:H,MATCH($AH$3&amp;$AL37,Data_Omakoodi!A:A,0))="P","",$AH$3&amp;$AL37),$AH$3&amp;$AL37)</f>
        <v>ComboBox_TyHlo_yksikko_00000030</v>
      </c>
      <c r="AF37" t="s">
        <v>1556</v>
      </c>
      <c r="AG37" s="739" t="str">
        <f t="shared" si="0"/>
        <v/>
      </c>
      <c r="AH37" s="739" t="str">
        <f t="shared" si="1"/>
        <v/>
      </c>
      <c r="AJ37" s="739" t="str">
        <f t="shared" si="2"/>
        <v/>
      </c>
      <c r="AK37" s="739" t="str">
        <f t="shared" si="3"/>
        <v/>
      </c>
      <c r="AL37">
        <v>30</v>
      </c>
      <c r="AP37" s="514" t="s">
        <v>511</v>
      </c>
      <c r="AQ37" s="513"/>
      <c r="AR37">
        <f>SUMIFS(AS!$W:$W,AS!$BO:$BO,$W$7,AS!$AB:$AB,AS!$AA$1,AS!$AH:$AH,$X$8,AS!$AT:$AT,Saapuminen!$AQ37,AS!$AV:$AV,Saapuminen!$X$6,AS!$AW:$AW,Saapuminen!$Y$6,AS!$X:$X,Saapuminen!$Y$5,AS!$K:$K,Saapuminen!$V$2)</f>
        <v>0</v>
      </c>
      <c r="AS37">
        <f>SUMIFS(AS!$W:$W,AS!$BO:$BO,$W$7,AS!$AB:$AB,AS!$AA$1,AS!$AH:$AH,$X$8,AS!$AT:$AT,Saapuminen!$AQ37,AS!$AV:$AV,Saapuminen!$X$6,AS!$I:$I,Saapuminen!$X$7,AS!$AW:$AW,Saapuminen!$Y$6,AS!$X:$X,Saapuminen!$Y$5,AS!$K:$K,Saapuminen!$V$2)</f>
        <v>0</v>
      </c>
      <c r="AT37">
        <f>SUMIFS(AS!$W:$W,AS!$BO:$BO,$W$7,AS!$AB:$AB,AS!$AA$1,AS!$AH:$AH,$X$8,AS!$AT:$AT,Saapuminen!$AQ37,AS!$AV:$AV,Saapuminen!$X$6,AS!$I:$I,Saapuminen!$Y$7,AS!$AW:$AW,Saapuminen!$Y$6,AS!$X:$X,Saapuminen!$Y$5,AS!$K:$K,Saapuminen!$V$2)</f>
        <v>0</v>
      </c>
      <c r="AY37" s="606" t="s">
        <v>1051</v>
      </c>
      <c r="AZ37" s="605" t="s">
        <v>1292</v>
      </c>
      <c r="BA37" s="612" t="s">
        <v>1293</v>
      </c>
      <c r="BB37" s="405" t="s">
        <v>1052</v>
      </c>
      <c r="BC37" s="405" t="s">
        <v>1294</v>
      </c>
      <c r="BD37" s="405" t="s">
        <v>1295</v>
      </c>
      <c r="BE37" s="88" t="s">
        <v>1053</v>
      </c>
    </row>
    <row r="38" spans="1:57" ht="15" customHeight="1" x14ac:dyDescent="0.25">
      <c r="A38" s="62" t="s">
        <v>1611</v>
      </c>
      <c r="B38" s="63">
        <f>SUMIFS(AS!$W:$W,AS!$BO:$BO,$W$7,AS!$AB:$AB,AS!$AA$1,AS!$AH:$AH,$X$8,AS!$AT:$AT,Saapuminen!$AP38,AS!$AV:$AV,Saapuminen!$X$6,AS!$AW:$AW,Saapuminen!$Y$6,AS!$X:$X,Saapuminen!$Y$5,AS!$K:$K,Saapuminen!$V$2)+AR38</f>
        <v>0</v>
      </c>
      <c r="C38" s="318" t="str">
        <f t="shared" si="10"/>
        <v>-</v>
      </c>
      <c r="D38" s="63">
        <f>SUMIFS(AS!$W:$W,AS!$BO:$BO,$W$7,AS!$AB:$AB,AS!$AA$1,AS!$AH:$AH,$X$8,AS!$AT:$AT,Saapuminen!$AP38,AS!$AV:$AV,Saapuminen!$X$6,AS!$I:$I,Saapuminen!$X$7,AS!$AW:$AW,Saapuminen!$Y$6,AS!$X:$X,Saapuminen!$Y$5,AS!$K:$K,Saapuminen!$V$2)+AS38</f>
        <v>0</v>
      </c>
      <c r="E38" s="63">
        <f>SUMIFS(AS!$W:$W,AS!$BO:$BO,$W$7,AS!$AB:$AB,AS!$AA$1,AS!$AH:$AH,$X$8,AS!$AT:$AT,Saapuminen!$AP38,AS!$AV:$AV,Saapuminen!$X$6,AS!$I:$I,Saapuminen!$Y$7,AS!$AW:$AW,Saapuminen!$Y$6,AS!$X:$X,Saapuminen!$Y$5,AS!$K:$K,Saapuminen!$V$2)+AT38</f>
        <v>0</v>
      </c>
      <c r="F38" s="63">
        <f>SUMIFS(AS!$W:$W,AS!$BO:$BO,$W$7,AS!$AB:$AB,AS!$AA$1,AS!$AH:$AH,$Y$8,AS!$AT:$AT,Saapuminen!$AP38,AS!$AV:$AV,Saapuminen!$X$6,AS!$AW:$AW,Saapuminen!$Y$6,AS!$X:$X,Saapuminen!$Y$5,AS!$K:$K,Saapuminen!$V$2)</f>
        <v>0</v>
      </c>
      <c r="G38" s="74"/>
      <c r="H38" s="33"/>
      <c r="I38" s="33"/>
      <c r="J38" s="33"/>
      <c r="K38" s="33"/>
      <c r="L38" s="33"/>
      <c r="M38" s="75"/>
      <c r="N38" s="63">
        <f>SUMIFS(JA!Z:Z,JA!X:X,AP38,JA!AF:AF,"OK",JA!AE:AE,"OK")</f>
        <v>0</v>
      </c>
      <c r="O38" s="318" t="str">
        <f t="shared" si="11"/>
        <v>-</v>
      </c>
      <c r="P38" s="63">
        <f>SUMIFS(JA!Z:Z,JA!X:X,AP38,JA!AF:AF,"OK",JA!AE:AE,"OK")</f>
        <v>0</v>
      </c>
      <c r="Q38" s="63">
        <f>SUMIFS(JA!Z:Z,JA!X:X,AP38,JA!AF:AF,"OK",JA!AE:AE,"OK")</f>
        <v>0</v>
      </c>
      <c r="R38" s="63">
        <f>SUMIFS(JA!Z:Z,JA!X:X,AP38,JA!AF:AF,"OK",JA!AE:AE,"OK")</f>
        <v>0</v>
      </c>
      <c r="AA38" s="176" t="str">
        <f>IFERROR(IF(INDEX(Data_Omakoodi!H:H,MATCH($AK$3&amp;$AL38,Data_Omakoodi!A:A,0))="P","",$AK$3&amp;$AL38),$AK$3&amp;$AL38)</f>
        <v>ComboBox_EtKuntakoodi_00000031</v>
      </c>
      <c r="AB38" s="44" t="str">
        <f>IFERROR(INDEX(Data_Omakoodi!E:E,MATCH(AA38,Data_Omakoodi!A:A,0)),"")</f>
        <v/>
      </c>
      <c r="AC38" t="str">
        <f>IFERROR(IF(INDEX(Data_Omakoodi!H:H,MATCH($AH$3&amp;$AL38,Data_Omakoodi!A:A,0))="P","",$AH$3&amp;$AL38),$AH$3&amp;$AL38)</f>
        <v>ComboBox_TyHlo_yksikko_00000031</v>
      </c>
      <c r="AD38" s="44" t="str">
        <f>IFERROR(INDEX(Data_Omakoodi!E:E,MATCH(AC38,Data_Omakoodi!A:A,0)),"")</f>
        <v/>
      </c>
      <c r="AE38" t="str">
        <f>IFERROR(IF(INDEX(Data_Omakoodi!H:H,MATCH($AH$3&amp;$AL38,Data_Omakoodi!A:A,0))="P","",$AH$3&amp;$AL38),$AH$3&amp;$AL38)</f>
        <v>ComboBox_TyHlo_yksikko_00000031</v>
      </c>
      <c r="AF38" t="s">
        <v>1621</v>
      </c>
      <c r="AG38" s="739" t="str">
        <f t="shared" si="0"/>
        <v/>
      </c>
      <c r="AH38" s="739" t="str">
        <f t="shared" si="1"/>
        <v/>
      </c>
      <c r="AJ38" s="739" t="str">
        <f t="shared" si="2"/>
        <v/>
      </c>
      <c r="AK38" s="739" t="str">
        <f t="shared" si="3"/>
        <v/>
      </c>
      <c r="AL38">
        <v>31</v>
      </c>
      <c r="AP38" t="s">
        <v>1658</v>
      </c>
      <c r="AQ38" s="35" t="s">
        <v>330</v>
      </c>
      <c r="AR38">
        <f>SUMIFS(AS!$W:$W,AS!$BO:$BO,$W$7,AS!$AB:$AB,AS!$AA$1,AS!$AH:$AH,$X$8,AS!$AT:$AT,Saapuminen!$AQ38,AS!$AV:$AV,Saapuminen!$X$6,AS!$AW:$AW,Saapuminen!$Y$6,AS!$X:$X,Saapuminen!$Y$5,AS!$K:$K,Saapuminen!$V$2)</f>
        <v>0</v>
      </c>
      <c r="AS38">
        <f>SUMIFS(AS!$W:$W,AS!$BO:$BO,$W$7,AS!$AB:$AB,AS!$AA$1,AS!$AH:$AH,$X$8,AS!$AT:$AT,Saapuminen!$AQ38,AS!$AV:$AV,Saapuminen!$X$6,AS!$I:$I,Saapuminen!$X$7,AS!$AW:$AW,Saapuminen!$Y$6,AS!$X:$X,Saapuminen!$Y$5,AS!$K:$K,Saapuminen!$V$2)</f>
        <v>0</v>
      </c>
      <c r="AT38">
        <f>SUMIFS(AS!$W:$W,AS!$BO:$BO,$W$7,AS!$AB:$AB,AS!$AA$1,AS!$AH:$AH,$X$8,AS!$AT:$AT,Saapuminen!$AQ38,AS!$AV:$AV,Saapuminen!$X$6,AS!$I:$I,Saapuminen!$Y$7,AS!$AW:$AW,Saapuminen!$Y$6,AS!$X:$X,Saapuminen!$Y$5,AS!$K:$K,Saapuminen!$V$2)</f>
        <v>0</v>
      </c>
      <c r="AY38" s="606" t="s">
        <v>1051</v>
      </c>
      <c r="AZ38" s="605" t="s">
        <v>1292</v>
      </c>
      <c r="BA38" s="612" t="s">
        <v>1293</v>
      </c>
      <c r="BB38" s="405" t="s">
        <v>801</v>
      </c>
      <c r="BC38" s="405" t="s">
        <v>1296</v>
      </c>
      <c r="BD38" s="27" t="s">
        <v>1297</v>
      </c>
      <c r="BE38" s="88" t="s">
        <v>330</v>
      </c>
    </row>
    <row r="39" spans="1:57" ht="15" customHeight="1" x14ac:dyDescent="0.25">
      <c r="A39" s="62" t="s">
        <v>1051</v>
      </c>
      <c r="B39" s="63">
        <f>SUMIFS(AS!$W:$W,AS!$BO:$BO,$W$7,AS!$AB:$AB,AS!$AA$1,AS!$AH:$AH,$X$8,AS!$AT:$AT,Saapuminen!$AP39,AS!$AV:$AV,Saapuminen!$X$6,AS!$AW:$AW,Saapuminen!$Y$6,AS!$X:$X,Saapuminen!$Y$5,AS!$K:$K,Saapuminen!$V$2)+AR39</f>
        <v>0</v>
      </c>
      <c r="C39" s="318" t="str">
        <f t="shared" si="10"/>
        <v>-</v>
      </c>
      <c r="D39" s="63">
        <f>SUMIFS(AS!$W:$W,AS!$BO:$BO,$W$7,AS!$AB:$AB,AS!$AA$1,AS!$AH:$AH,$X$8,AS!$AT:$AT,Saapuminen!$AP39,AS!$AV:$AV,Saapuminen!$X$6,AS!$I:$I,Saapuminen!$X$7,AS!$AW:$AW,Saapuminen!$Y$6,AS!$X:$X,Saapuminen!$Y$5,AS!$K:$K,Saapuminen!$V$2)+AS39</f>
        <v>0</v>
      </c>
      <c r="E39" s="63">
        <f>SUMIFS(AS!$W:$W,AS!$BO:$BO,$W$7,AS!$AB:$AB,AS!$AA$1,AS!$AH:$AH,$X$8,AS!$AT:$AT,Saapuminen!$AP39,AS!$AV:$AV,Saapuminen!$X$6,AS!$I:$I,Saapuminen!$Y$7,AS!$AW:$AW,Saapuminen!$Y$6,AS!$X:$X,Saapuminen!$Y$5,AS!$K:$K,Saapuminen!$V$2)+AT39</f>
        <v>0</v>
      </c>
      <c r="F39" s="63">
        <f>SUMIFS(AS!$W:$W,AS!$BO:$BO,$W$7,AS!$AB:$AB,AS!$AA$1,AS!$AH:$AH,$Y$8,AS!$AT:$AT,Saapuminen!$AP39,AS!$AV:$AV,Saapuminen!$X$6,AS!$AW:$AW,Saapuminen!$Y$6,AS!$X:$X,Saapuminen!$Y$5,AS!$K:$K,Saapuminen!$V$2)</f>
        <v>0</v>
      </c>
      <c r="G39" s="74"/>
      <c r="H39" s="33"/>
      <c r="I39" s="33"/>
      <c r="J39" s="33"/>
      <c r="K39" s="33"/>
      <c r="L39" s="33"/>
      <c r="M39" s="75"/>
      <c r="N39" s="63">
        <f>SUMIFS(JA!Z:Z,JA!X:X,AP39,JA!AF:AF,"OK",JA!AE:AE,"OK")</f>
        <v>0</v>
      </c>
      <c r="O39" s="318" t="str">
        <f t="shared" si="11"/>
        <v>-</v>
      </c>
      <c r="P39" s="63">
        <f>SUMIFS(JA!Z:Z,JA!X:X,AP39,JA!AF:AF,"OK",JA!AE:AE,"OK")</f>
        <v>0</v>
      </c>
      <c r="Q39" s="63">
        <f>SUMIFS(JA!Z:Z,JA!X:X,AP39,JA!AF:AF,"OK",JA!AE:AE,"OK")</f>
        <v>0</v>
      </c>
      <c r="R39" s="63">
        <f>SUMIFS(JA!Z:Z,JA!X:X,AP39,JA!AF:AF,"OK",JA!AE:AE,"OK")</f>
        <v>0</v>
      </c>
      <c r="AA39" s="176" t="str">
        <f>IFERROR(IF(INDEX(Data_Omakoodi!H:H,MATCH($AK$3&amp;$AL39,Data_Omakoodi!A:A,0))="P","",$AK$3&amp;$AL39),$AK$3&amp;$AL39)</f>
        <v>ComboBox_EtKuntakoodi_00000032</v>
      </c>
      <c r="AB39" s="44" t="str">
        <f>IFERROR(INDEX(Data_Omakoodi!E:E,MATCH(AA39,Data_Omakoodi!A:A,0)),"")</f>
        <v/>
      </c>
      <c r="AC39" t="str">
        <f>IFERROR(IF(INDEX(Data_Omakoodi!H:H,MATCH($AH$3&amp;$AL39,Data_Omakoodi!A:A,0))="P","",$AH$3&amp;$AL39),$AH$3&amp;$AL39)</f>
        <v>ComboBox_TyHlo_yksikko_00000032</v>
      </c>
      <c r="AD39" s="44" t="str">
        <f>IFERROR(INDEX(Data_Omakoodi!E:E,MATCH(AC39,Data_Omakoodi!A:A,0)),"")</f>
        <v/>
      </c>
      <c r="AE39" t="str">
        <f>IFERROR(IF(INDEX(Data_Omakoodi!H:H,MATCH($AH$3&amp;$AL39,Data_Omakoodi!A:A,0))="P","",$AH$3&amp;$AL39),$AH$3&amp;$AL39)</f>
        <v>ComboBox_TyHlo_yksikko_00000032</v>
      </c>
      <c r="AF39" t="s">
        <v>1622</v>
      </c>
      <c r="AG39" s="739" t="str">
        <f t="shared" si="0"/>
        <v/>
      </c>
      <c r="AH39" s="739" t="str">
        <f t="shared" si="1"/>
        <v/>
      </c>
      <c r="AJ39" s="739" t="str">
        <f t="shared" si="2"/>
        <v/>
      </c>
      <c r="AK39" s="739" t="str">
        <f t="shared" si="3"/>
        <v/>
      </c>
      <c r="AL39">
        <v>32</v>
      </c>
      <c r="AO39" s="618" t="s">
        <v>752</v>
      </c>
      <c r="AP39" t="s">
        <v>1659</v>
      </c>
      <c r="AQ39" s="514" t="s">
        <v>1049</v>
      </c>
      <c r="AR39">
        <f>SUMIFS(AS!$W:$W,AS!$BO:$BO,$W$7,AS!$AB:$AB,AS!$AA$1,AS!$AH:$AH,$X$8,AS!$AT:$AT,Saapuminen!$AQ39,AS!$AV:$AV,Saapuminen!$X$6,AS!$AW:$AW,Saapuminen!$Y$6,AS!$X:$X,Saapuminen!$Y$5,AS!$K:$K,Saapuminen!$V$2)</f>
        <v>0</v>
      </c>
      <c r="AS39">
        <f>SUMIFS(AS!$W:$W,AS!$BO:$BO,$W$7,AS!$AB:$AB,AS!$AA$1,AS!$AH:$AH,$X$8,AS!$AT:$AT,Saapuminen!$AQ39,AS!$AV:$AV,Saapuminen!$X$6,AS!$I:$I,Saapuminen!$X$7,AS!$AW:$AW,Saapuminen!$Y$6,AS!$X:$X,Saapuminen!$Y$5,AS!$K:$K,Saapuminen!$V$2)</f>
        <v>0</v>
      </c>
      <c r="AT39">
        <f>SUMIFS(AS!$W:$W,AS!$BO:$BO,$W$7,AS!$AB:$AB,AS!$AA$1,AS!$AH:$AH,$X$8,AS!$AT:$AT,Saapuminen!$AQ39,AS!$AV:$AV,Saapuminen!$X$6,AS!$I:$I,Saapuminen!$Y$7,AS!$AW:$AW,Saapuminen!$Y$6,AS!$X:$X,Saapuminen!$Y$5,AS!$K:$K,Saapuminen!$V$2)</f>
        <v>0</v>
      </c>
      <c r="AY39" s="606" t="s">
        <v>1051</v>
      </c>
      <c r="AZ39" s="605" t="s">
        <v>1292</v>
      </c>
      <c r="BA39" s="612" t="s">
        <v>1293</v>
      </c>
      <c r="BB39" s="405" t="s">
        <v>1073</v>
      </c>
      <c r="BC39" s="405" t="s">
        <v>1298</v>
      </c>
      <c r="BD39" s="609" t="s">
        <v>1299</v>
      </c>
      <c r="BE39" s="88" t="s">
        <v>1049</v>
      </c>
    </row>
    <row r="40" spans="1:57" ht="15" customHeight="1" x14ac:dyDescent="0.25">
      <c r="A40" s="62" t="s">
        <v>1612</v>
      </c>
      <c r="B40" s="63">
        <f>SUMIFS(AS!$W:$W,AS!$BO:$BO,$W$7,AS!$AB:$AB,AS!$AA$1,AS!$AH:$AH,$X$8,AS!$AT:$AT,Saapuminen!$AP40,AS!$AV:$AV,Saapuminen!$X$6,AS!$AW:$AW,Saapuminen!$Y$6,AS!$X:$X,Saapuminen!$Y$5,AS!$K:$K,Saapuminen!$V$2)+AR40</f>
        <v>0</v>
      </c>
      <c r="C40" s="318" t="str">
        <f t="shared" si="10"/>
        <v>-</v>
      </c>
      <c r="D40" s="63">
        <f>SUMIFS(AS!$W:$W,AS!$BO:$BO,$W$7,AS!$AB:$AB,AS!$AA$1,AS!$AH:$AH,$X$8,AS!$AT:$AT,Saapuminen!$AP40,AS!$AV:$AV,Saapuminen!$X$6,AS!$I:$I,Saapuminen!$X$7,AS!$AW:$AW,Saapuminen!$Y$6,AS!$X:$X,Saapuminen!$Y$5,AS!$K:$K,Saapuminen!$V$2)+AS40</f>
        <v>0</v>
      </c>
      <c r="E40" s="63">
        <f>SUMIFS(AS!$W:$W,AS!$BO:$BO,$W$7,AS!$AB:$AB,AS!$AA$1,AS!$AH:$AH,$X$8,AS!$AT:$AT,Saapuminen!$AP40,AS!$AV:$AV,Saapuminen!$X$6,AS!$I:$I,Saapuminen!$Y$7,AS!$AW:$AW,Saapuminen!$Y$6,AS!$X:$X,Saapuminen!$Y$5,AS!$K:$K,Saapuminen!$V$2)+AT40</f>
        <v>0</v>
      </c>
      <c r="F40" s="63">
        <f>SUMIFS(AS!$W:$W,AS!$BO:$BO,$W$7,AS!$AB:$AB,AS!$AA$1,AS!$AH:$AH,$Y$8,AS!$AT:$AT,Saapuminen!$AP40,AS!$AV:$AV,Saapuminen!$X$6,AS!$AW:$AW,Saapuminen!$Y$6,AS!$X:$X,Saapuminen!$Y$5,AS!$K:$K,Saapuminen!$V$2)</f>
        <v>0</v>
      </c>
      <c r="G40" s="74"/>
      <c r="H40" s="33"/>
      <c r="I40" s="33"/>
      <c r="J40" s="33"/>
      <c r="K40" s="33"/>
      <c r="L40" s="33"/>
      <c r="M40" s="75"/>
      <c r="N40" s="63">
        <f>SUMIFS(JA!Z:Z,JA!X:X,AP40,JA!AF:AF,"OK",JA!AE:AE,"OK")</f>
        <v>0</v>
      </c>
      <c r="O40" s="318" t="str">
        <f t="shared" si="11"/>
        <v>-</v>
      </c>
      <c r="P40" s="63">
        <f>SUMIFS(JA!Z:Z,JA!X:X,AP40,JA!AF:AF,"OK",JA!AE:AE,"OK")</f>
        <v>0</v>
      </c>
      <c r="Q40" s="63">
        <f>SUMIFS(JA!Z:Z,JA!X:X,AP40,JA!AF:AF,"OK",JA!AE:AE,"OK")</f>
        <v>0</v>
      </c>
      <c r="R40" s="63">
        <f>SUMIFS(JA!Z:Z,JA!X:X,AP40,JA!AF:AF,"OK",JA!AE:AE,"OK")</f>
        <v>0</v>
      </c>
      <c r="AA40" s="176" t="str">
        <f>IFERROR(IF(INDEX(Data_Omakoodi!H:H,MATCH($AK$3&amp;$AL40,Data_Omakoodi!A:A,0))="P","",$AK$3&amp;$AL40),$AK$3&amp;$AL40)</f>
        <v>ComboBox_EtKuntakoodi_00000033</v>
      </c>
      <c r="AB40" s="44" t="str">
        <f>IFERROR(INDEX(Data_Omakoodi!E:E,MATCH(AA40,Data_Omakoodi!A:A,0)),"")</f>
        <v/>
      </c>
      <c r="AC40" t="str">
        <f>IFERROR(IF(INDEX(Data_Omakoodi!H:H,MATCH($AH$3&amp;$AL40,Data_Omakoodi!A:A,0))="P","",$AH$3&amp;$AL40),$AH$3&amp;$AL40)</f>
        <v>ComboBox_TyHlo_yksikko_00000033</v>
      </c>
      <c r="AD40" s="44" t="str">
        <f>IFERROR(INDEX(Data_Omakoodi!E:E,MATCH(AC40,Data_Omakoodi!A:A,0)),"")</f>
        <v/>
      </c>
      <c r="AE40" t="str">
        <f>IFERROR(IF(INDEX(Data_Omakoodi!H:H,MATCH($AH$3&amp;$AL40,Data_Omakoodi!A:A,0))="P","",$AH$3&amp;$AL40),$AH$3&amp;$AL40)</f>
        <v>ComboBox_TyHlo_yksikko_00000033</v>
      </c>
      <c r="AF40" t="s">
        <v>1623</v>
      </c>
      <c r="AG40" s="739" t="str">
        <f t="shared" si="0"/>
        <v/>
      </c>
      <c r="AH40" s="739" t="str">
        <f t="shared" si="1"/>
        <v/>
      </c>
      <c r="AJ40" s="739" t="str">
        <f t="shared" si="2"/>
        <v/>
      </c>
      <c r="AK40" s="739" t="str">
        <f t="shared" si="3"/>
        <v/>
      </c>
      <c r="AL40">
        <v>33</v>
      </c>
      <c r="AP40" t="s">
        <v>1053</v>
      </c>
      <c r="AQ40" s="618" t="s">
        <v>509</v>
      </c>
      <c r="AR40">
        <f>SUMIFS(AS!$W:$W,AS!$BO:$BO,$W$7,AS!$AB:$AB,AS!$AA$1,AS!$AH:$AH,$X$8,AS!$AT:$AT,Saapuminen!$AQ40,AS!$AV:$AV,Saapuminen!$X$6,AS!$AW:$AW,Saapuminen!$Y$6,AS!$X:$X,Saapuminen!$Y$5,AS!$K:$K,Saapuminen!$V$2)</f>
        <v>0</v>
      </c>
      <c r="AS40">
        <f>SUMIFS(AS!$W:$W,AS!$BO:$BO,$W$7,AS!$AB:$AB,AS!$AA$1,AS!$AH:$AH,$X$8,AS!$AT:$AT,Saapuminen!$AQ40,AS!$AV:$AV,Saapuminen!$X$6,AS!$I:$I,Saapuminen!$X$7,AS!$AW:$AW,Saapuminen!$Y$6,AS!$X:$X,Saapuminen!$Y$5,AS!$K:$K,Saapuminen!$V$2)</f>
        <v>0</v>
      </c>
      <c r="AT40">
        <f>SUMIFS(AS!$W:$W,AS!$BO:$BO,$W$7,AS!$AB:$AB,AS!$AA$1,AS!$AH:$AH,$X$8,AS!$AT:$AT,Saapuminen!$AQ40,AS!$AV:$AV,Saapuminen!$X$6,AS!$I:$I,Saapuminen!$Y$7,AS!$AW:$AW,Saapuminen!$Y$6,AS!$X:$X,Saapuminen!$Y$5,AS!$K:$K,Saapuminen!$V$2)</f>
        <v>0</v>
      </c>
      <c r="AY40" s="606"/>
      <c r="AZ40" s="605"/>
      <c r="BA40" s="612"/>
      <c r="BB40" s="405"/>
      <c r="BC40" s="405"/>
      <c r="BD40" s="609"/>
      <c r="BE40" s="88"/>
    </row>
    <row r="41" spans="1:57" ht="15" customHeight="1" x14ac:dyDescent="0.25">
      <c r="A41" s="62" t="s">
        <v>1613</v>
      </c>
      <c r="B41" s="63">
        <f>SUMIFS(AS!$W:$W,AS!$BO:$BO,$W$7,AS!$AB:$AB,AS!$AA$1,AS!$AH:$AH,$X$8,AS!$AT:$AT,Saapuminen!$AP41,AS!$AV:$AV,Saapuminen!$X$6,AS!$AW:$AW,Saapuminen!$Y$6,AS!$X:$X,Saapuminen!$Y$5,AS!$K:$K,Saapuminen!$V$2)+AR41</f>
        <v>0</v>
      </c>
      <c r="C41" s="318" t="str">
        <f t="shared" si="10"/>
        <v>-</v>
      </c>
      <c r="D41" s="63">
        <f>SUMIFS(AS!$W:$W,AS!$BO:$BO,$W$7,AS!$AB:$AB,AS!$AA$1,AS!$AH:$AH,$X$8,AS!$AT:$AT,Saapuminen!$AP41,AS!$AV:$AV,Saapuminen!$X$6,AS!$I:$I,Saapuminen!$X$7,AS!$AW:$AW,Saapuminen!$Y$6,AS!$X:$X,Saapuminen!$Y$5,AS!$K:$K,Saapuminen!$V$2)+AS41</f>
        <v>0</v>
      </c>
      <c r="E41" s="63">
        <f>SUMIFS(AS!$W:$W,AS!$BO:$BO,$W$7,AS!$AB:$AB,AS!$AA$1,AS!$AH:$AH,$X$8,AS!$AT:$AT,Saapuminen!$AP41,AS!$AV:$AV,Saapuminen!$X$6,AS!$I:$I,Saapuminen!$Y$7,AS!$AW:$AW,Saapuminen!$Y$6,AS!$X:$X,Saapuminen!$Y$5,AS!$K:$K,Saapuminen!$V$2)+AT41</f>
        <v>0</v>
      </c>
      <c r="F41" s="63">
        <f>SUMIFS(AS!$W:$W,AS!$BO:$BO,$W$7,AS!$AB:$AB,AS!$AA$1,AS!$AH:$AH,$Y$8,AS!$AT:$AT,Saapuminen!$AP41,AS!$AV:$AV,Saapuminen!$X$6,AS!$AW:$AW,Saapuminen!$Y$6,AS!$X:$X,Saapuminen!$Y$5,AS!$K:$K,Saapuminen!$V$2)</f>
        <v>0</v>
      </c>
      <c r="G41" s="74"/>
      <c r="H41" s="33"/>
      <c r="I41" s="33"/>
      <c r="J41" s="33"/>
      <c r="K41" s="33"/>
      <c r="L41" s="33"/>
      <c r="M41" s="75"/>
      <c r="N41" s="63">
        <f>SUMIFS(JA!Z:Z,JA!X:X,AP41,JA!AF:AF,"OK",JA!AE:AE,"OK")</f>
        <v>0</v>
      </c>
      <c r="O41" s="318" t="str">
        <f t="shared" si="11"/>
        <v>-</v>
      </c>
      <c r="P41" s="63">
        <f>SUMIFS(JA!Z:Z,JA!X:X,AP41,JA!AF:AF,"OK",JA!AE:AE,"OK")</f>
        <v>0</v>
      </c>
      <c r="Q41" s="63">
        <f>SUMIFS(JA!Z:Z,JA!X:X,AP41,JA!AF:AF,"OK",JA!AE:AE,"OK")</f>
        <v>0</v>
      </c>
      <c r="R41" s="63">
        <f>SUMIFS(JA!Z:Z,JA!X:X,AP41,JA!AF:AF,"OK",JA!AE:AE,"OK")</f>
        <v>0</v>
      </c>
      <c r="AA41" s="176" t="str">
        <f>IFERROR(IF(INDEX(Data_Omakoodi!H:H,MATCH($AK$3&amp;$AL41,Data_Omakoodi!A:A,0))="P","",$AK$3&amp;$AL41),$AK$3&amp;$AL41)</f>
        <v>ComboBox_EtKuntakoodi_00000034</v>
      </c>
      <c r="AB41" s="44" t="str">
        <f>IFERROR(INDEX(Data_Omakoodi!E:E,MATCH(AA41,Data_Omakoodi!A:A,0)),"")</f>
        <v/>
      </c>
      <c r="AC41" t="str">
        <f>IFERROR(IF(INDEX(Data_Omakoodi!H:H,MATCH($AH$3&amp;$AL41,Data_Omakoodi!A:A,0))="P","",$AH$3&amp;$AL41),$AH$3&amp;$AL41)</f>
        <v>ComboBox_TyHlo_yksikko_00000034</v>
      </c>
      <c r="AD41" s="44" t="str">
        <f>IFERROR(INDEX(Data_Omakoodi!E:E,MATCH(AC41,Data_Omakoodi!A:A,0)),"")</f>
        <v/>
      </c>
      <c r="AE41" t="str">
        <f>IFERROR(IF(INDEX(Data_Omakoodi!H:H,MATCH($AH$3&amp;$AL41,Data_Omakoodi!A:A,0))="P","",$AH$3&amp;$AL41),$AH$3&amp;$AL41)</f>
        <v>ComboBox_TyHlo_yksikko_00000034</v>
      </c>
      <c r="AF41" t="s">
        <v>1624</v>
      </c>
      <c r="AG41" s="739" t="str">
        <f t="shared" si="0"/>
        <v/>
      </c>
      <c r="AH41" s="739" t="str">
        <f t="shared" si="1"/>
        <v/>
      </c>
      <c r="AJ41" s="739" t="str">
        <f t="shared" si="2"/>
        <v/>
      </c>
      <c r="AK41" s="739" t="str">
        <f t="shared" si="3"/>
        <v/>
      </c>
      <c r="AL41">
        <v>34</v>
      </c>
      <c r="AP41" s="514" t="s">
        <v>1050</v>
      </c>
      <c r="AR41">
        <f>SUMIFS(AS!$W:$W,AS!$BO:$BO,$W$7,AS!$AB:$AB,AS!$AA$1,AS!$AH:$AH,$X$8,AS!$AT:$AT,Saapuminen!$AQ41,AS!$AV:$AV,Saapuminen!$X$6,AS!$AW:$AW,Saapuminen!$Y$6,AS!$X:$X,Saapuminen!$Y$5,AS!$K:$K,Saapuminen!$V$2)</f>
        <v>0</v>
      </c>
      <c r="AS41">
        <f>SUMIFS(AS!$W:$W,AS!$BO:$BO,$W$7,AS!$AB:$AB,AS!$AA$1,AS!$AH:$AH,$X$8,AS!$AT:$AT,Saapuminen!$AQ41,AS!$AV:$AV,Saapuminen!$X$6,AS!$I:$I,Saapuminen!$X$7,AS!$AW:$AW,Saapuminen!$Y$6,AS!$X:$X,Saapuminen!$Y$5,AS!$K:$K,Saapuminen!$V$2)</f>
        <v>0</v>
      </c>
      <c r="AT41">
        <f>SUMIFS(AS!$W:$W,AS!$BO:$BO,$W$7,AS!$AB:$AB,AS!$AA$1,AS!$AH:$AH,$X$8,AS!$AT:$AT,Saapuminen!$AQ41,AS!$AV:$AV,Saapuminen!$X$6,AS!$I:$I,Saapuminen!$Y$7,AS!$AW:$AW,Saapuminen!$Y$6,AS!$X:$X,Saapuminen!$Y$5,AS!$K:$K,Saapuminen!$V$2)</f>
        <v>0</v>
      </c>
      <c r="AY41" s="606" t="s">
        <v>1051</v>
      </c>
      <c r="AZ41" s="605" t="s">
        <v>1292</v>
      </c>
      <c r="BA41" s="612" t="s">
        <v>1293</v>
      </c>
      <c r="BB41" s="405" t="s">
        <v>1074</v>
      </c>
      <c r="BC41" s="405" t="s">
        <v>1300</v>
      </c>
      <c r="BD41" s="609" t="s">
        <v>1301</v>
      </c>
      <c r="BE41" s="88" t="s">
        <v>1050</v>
      </c>
    </row>
    <row r="42" spans="1:57" ht="15" customHeight="1" x14ac:dyDescent="0.25">
      <c r="A42" s="59" t="s">
        <v>797</v>
      </c>
      <c r="B42" s="65">
        <f>SUM(B43:B49)</f>
        <v>0</v>
      </c>
      <c r="C42" s="61" t="str">
        <f t="shared" si="10"/>
        <v>-</v>
      </c>
      <c r="D42" s="65">
        <f>SUM(D43:D49)</f>
        <v>0</v>
      </c>
      <c r="E42" s="65">
        <f>SUM(E43:E49)</f>
        <v>0</v>
      </c>
      <c r="F42" s="65">
        <f>SUM(F43:F49)</f>
        <v>0</v>
      </c>
      <c r="G42" s="76"/>
      <c r="H42" s="38"/>
      <c r="I42" s="38"/>
      <c r="J42" s="38"/>
      <c r="K42" s="38"/>
      <c r="L42" s="38"/>
      <c r="M42" s="77"/>
      <c r="N42" s="65">
        <f>SUM(N43:N49)</f>
        <v>0</v>
      </c>
      <c r="O42" s="61" t="str">
        <f t="shared" si="11"/>
        <v>-</v>
      </c>
      <c r="P42" s="65">
        <f>SUM(P43:P49)</f>
        <v>0</v>
      </c>
      <c r="Q42" s="65">
        <f>SUM(Q43:Q49)</f>
        <v>0</v>
      </c>
      <c r="R42" s="65">
        <f>SUM(R43:R49)</f>
        <v>0</v>
      </c>
      <c r="AA42" s="176" t="str">
        <f>IFERROR(IF(INDEX(Data_Omakoodi!H:H,MATCH($AK$3&amp;$AL42,Data_Omakoodi!A:A,0))="P","",$AK$3&amp;$AL42),$AK$3&amp;$AL42)</f>
        <v>ComboBox_EtKuntakoodi_00000035</v>
      </c>
      <c r="AB42" s="44" t="str">
        <f>IFERROR(INDEX(Data_Omakoodi!E:E,MATCH(AA42,Data_Omakoodi!A:A,0)),"")</f>
        <v/>
      </c>
      <c r="AC42" t="str">
        <f>IFERROR(IF(INDEX(Data_Omakoodi!H:H,MATCH($AH$3&amp;$AL42,Data_Omakoodi!A:A,0))="P","",$AH$3&amp;$AL42),$AH$3&amp;$AL42)</f>
        <v>ComboBox_TyHlo_yksikko_00000035</v>
      </c>
      <c r="AD42" s="44" t="str">
        <f>IFERROR(INDEX(Data_Omakoodi!E:E,MATCH(AC42,Data_Omakoodi!A:A,0)),"")</f>
        <v/>
      </c>
      <c r="AE42" t="str">
        <f>IFERROR(IF(INDEX(Data_Omakoodi!H:H,MATCH($AH$3&amp;$AL42,Data_Omakoodi!A:A,0))="P","",$AH$3&amp;$AL42),$AH$3&amp;$AL42)</f>
        <v>ComboBox_TyHlo_yksikko_00000035</v>
      </c>
      <c r="AF42" t="s">
        <v>1625</v>
      </c>
      <c r="AG42" s="739" t="str">
        <f t="shared" si="0"/>
        <v/>
      </c>
      <c r="AH42" s="739" t="str">
        <f t="shared" si="1"/>
        <v/>
      </c>
      <c r="AJ42" s="739" t="str">
        <f t="shared" si="2"/>
        <v/>
      </c>
      <c r="AK42" s="739" t="str">
        <f t="shared" si="3"/>
        <v/>
      </c>
      <c r="AL42">
        <v>35</v>
      </c>
    </row>
    <row r="43" spans="1:57" ht="15" customHeight="1" x14ac:dyDescent="0.25">
      <c r="A43" s="62" t="s">
        <v>32</v>
      </c>
      <c r="B43" s="63">
        <f>SUMIFS(AS!$W:$W,AS!$BO:$BO,$W$7,AS!$AB:$AB,AS!$AA$1,AS!$AH:$AH,$X$8,AS!$AT:$AT,Saapuminen!$AP43,AS!$AV:$AV,Saapuminen!$X$6,AS!$AW:$AW,Saapuminen!$Y$6,AS!$X:$X,Saapuminen!$Y$5,AS!$K:$K,Saapuminen!$V$2)+AR43</f>
        <v>0</v>
      </c>
      <c r="C43" s="318" t="str">
        <f t="shared" si="10"/>
        <v>-</v>
      </c>
      <c r="D43" s="63">
        <f>SUMIFS(AS!$W:$W,AS!$BO:$BO,$W$7,AS!$AB:$AB,AS!$AA$1,AS!$AH:$AH,$X$8,AS!$AT:$AT,Saapuminen!$AP43,AS!$AV:$AV,Saapuminen!$X$6,AS!$I:$I,Saapuminen!$X$7,AS!$AW:$AW,Saapuminen!$Y$6,AS!$X:$X,Saapuminen!$Y$5,AS!$K:$K,Saapuminen!$V$2)+AS43</f>
        <v>0</v>
      </c>
      <c r="E43" s="63">
        <f>SUMIFS(AS!$W:$W,AS!$BO:$BO,$W$7,AS!$AB:$AB,AS!$AA$1,AS!$AH:$AH,$X$8,AS!$AT:$AT,Saapuminen!$AP43,AS!$AV:$AV,Saapuminen!$X$6,AS!$I:$I,Saapuminen!$Y$7,AS!$AW:$AW,Saapuminen!$Y$6,AS!$X:$X,Saapuminen!$Y$5,AS!$K:$K,Saapuminen!$V$2)+AT43</f>
        <v>0</v>
      </c>
      <c r="F43" s="63">
        <f>SUMIFS(AS!$W:$W,AS!$BO:$BO,$W$7,AS!$AB:$AB,AS!$AA$1,AS!$AH:$AH,$Y$8,AS!$AT:$AT,Saapuminen!$AP43,AS!$AV:$AV,Saapuminen!$X$6,AS!$AW:$AW,Saapuminen!$Y$6,AS!$X:$X,Saapuminen!$Y$5,AS!$K:$K,Saapuminen!$V$2)</f>
        <v>0</v>
      </c>
      <c r="G43" s="74"/>
      <c r="H43" s="33"/>
      <c r="I43" s="33"/>
      <c r="J43" s="33"/>
      <c r="K43" s="33"/>
      <c r="L43" s="33"/>
      <c r="M43" s="75"/>
      <c r="N43" s="63">
        <f>SUMIFS(JA!Z:Z,JA!X:X,AP43,JA!AF:AF,"OK",JA!AE:AE,"OK")</f>
        <v>0</v>
      </c>
      <c r="O43" s="318" t="str">
        <f t="shared" si="11"/>
        <v>-</v>
      </c>
      <c r="P43" s="63">
        <f>SUMIFS(JA!Z:Z,JA!X:X,AP43,JA!AF:AF,"OK",JA!AE:AE,"OK")</f>
        <v>0</v>
      </c>
      <c r="Q43" s="63">
        <f>SUMIFS(JA!Z:Z,JA!X:X,AP43,JA!AF:AF,"OK",JA!AE:AE,"OK")</f>
        <v>0</v>
      </c>
      <c r="R43" s="63">
        <f>SUMIFS(JA!Z:Z,JA!X:X,AP43,JA!AF:AF,"OK",JA!AE:AE,"OK")</f>
        <v>0</v>
      </c>
      <c r="AA43" s="176" t="str">
        <f>IFERROR(IF(INDEX(Data_Omakoodi!H:H,MATCH($AK$3&amp;$AL43,Data_Omakoodi!A:A,0))="P","",$AK$3&amp;$AL43),$AK$3&amp;$AL43)</f>
        <v>ComboBox_EtKuntakoodi_00000036</v>
      </c>
      <c r="AB43" s="44" t="str">
        <f>IFERROR(INDEX(Data_Omakoodi!E:E,MATCH(AA43,Data_Omakoodi!A:A,0)),"")</f>
        <v/>
      </c>
      <c r="AC43" t="str">
        <f>IFERROR(IF(INDEX(Data_Omakoodi!H:H,MATCH($AH$3&amp;$AL43,Data_Omakoodi!A:A,0))="P","",$AH$3&amp;$AL43),$AH$3&amp;$AL43)</f>
        <v>ComboBox_TyHlo_yksikko_00000036</v>
      </c>
      <c r="AD43" s="44" t="str">
        <f>IFERROR(INDEX(Data_Omakoodi!E:E,MATCH(AC43,Data_Omakoodi!A:A,0)),"")</f>
        <v/>
      </c>
      <c r="AE43" t="str">
        <f>IFERROR(IF(INDEX(Data_Omakoodi!H:H,MATCH($AH$3&amp;$AL43,Data_Omakoodi!A:A,0))="P","",$AH$3&amp;$AL43),$AH$3&amp;$AL43)</f>
        <v>ComboBox_TyHlo_yksikko_00000036</v>
      </c>
      <c r="AF43" t="s">
        <v>1626</v>
      </c>
      <c r="AG43" s="739" t="str">
        <f t="shared" si="0"/>
        <v/>
      </c>
      <c r="AH43" s="739" t="str">
        <f t="shared" si="1"/>
        <v/>
      </c>
      <c r="AJ43" s="739" t="str">
        <f t="shared" si="2"/>
        <v/>
      </c>
      <c r="AK43" s="739" t="str">
        <f t="shared" si="3"/>
        <v/>
      </c>
      <c r="AL43">
        <v>36</v>
      </c>
      <c r="AP43" s="35" t="s">
        <v>510</v>
      </c>
      <c r="AR43">
        <f>SUMIFS(AS!$W:$W,AS!$BO:$BO,$W$7,AS!$AB:$AB,AS!$AA$1,AS!$AH:$AH,$X$8,AS!$AT:$AT,Saapuminen!$AQ43,AS!$AV:$AV,Saapuminen!$X$6,AS!$AW:$AW,Saapuminen!$Y$6,AS!$X:$X,Saapuminen!$Y$5,AS!$K:$K,Saapuminen!$V$2)</f>
        <v>0</v>
      </c>
      <c r="AS43">
        <f>SUMIFS(AS!$W:$W,AS!$BO:$BO,$W$7,AS!$AB:$AB,AS!$AA$1,AS!$AH:$AH,$X$8,AS!$AT:$AT,Saapuminen!$AQ43,AS!$AV:$AV,Saapuminen!$X$6,AS!$I:$I,Saapuminen!$X$7,AS!$AW:$AW,Saapuminen!$Y$6,AS!$X:$X,Saapuminen!$Y$5,AS!$K:$K,Saapuminen!$V$2)</f>
        <v>0</v>
      </c>
      <c r="AT43">
        <f>SUMIFS(AS!$W:$W,AS!$BO:$BO,$W$7,AS!$AB:$AB,AS!$AA$1,AS!$AH:$AH,$X$8,AS!$AT:$AT,Saapuminen!$AQ43,AS!$AV:$AV,Saapuminen!$X$6,AS!$I:$I,Saapuminen!$Y$7,AS!$AW:$AW,Saapuminen!$Y$6,AS!$X:$X,Saapuminen!$Y$5,AS!$K:$K,Saapuminen!$V$2)</f>
        <v>0</v>
      </c>
      <c r="AY43" s="606" t="s">
        <v>797</v>
      </c>
      <c r="AZ43" s="613" t="s">
        <v>1302</v>
      </c>
      <c r="BA43" s="614" t="s">
        <v>1303</v>
      </c>
      <c r="BB43" s="405" t="s">
        <v>32</v>
      </c>
      <c r="BC43" s="405" t="s">
        <v>1304</v>
      </c>
      <c r="BD43" s="405" t="s">
        <v>32</v>
      </c>
      <c r="BE43" s="88" t="s">
        <v>510</v>
      </c>
    </row>
    <row r="44" spans="1:57" ht="15" customHeight="1" x14ac:dyDescent="0.25">
      <c r="A44" s="62" t="s">
        <v>1614</v>
      </c>
      <c r="B44" s="63">
        <f>SUMIFS(AS!$W:$W,AS!$BO:$BO,$W$7,AS!$AB:$AB,AS!$AA$1,AS!$AH:$AH,$X$8,AS!$AT:$AT,Saapuminen!$AP44,AS!$AV:$AV,Saapuminen!$X$6,AS!$AW:$AW,Saapuminen!$Y$6,AS!$X:$X,Saapuminen!$Y$5,AS!$K:$K,Saapuminen!$V$2)+AR44</f>
        <v>0</v>
      </c>
      <c r="C44" s="318" t="str">
        <f t="shared" si="10"/>
        <v>-</v>
      </c>
      <c r="D44" s="63">
        <f>SUMIFS(AS!$W:$W,AS!$BO:$BO,$W$7,AS!$AB:$AB,AS!$AA$1,AS!$AH:$AH,$X$8,AS!$AT:$AT,Saapuminen!$AP44,AS!$AV:$AV,Saapuminen!$X$6,AS!$I:$I,Saapuminen!$X$7,AS!$AW:$AW,Saapuminen!$Y$6,AS!$X:$X,Saapuminen!$Y$5,AS!$K:$K,Saapuminen!$V$2)+AS44</f>
        <v>0</v>
      </c>
      <c r="E44" s="63">
        <f>SUMIFS(AS!$W:$W,AS!$BO:$BO,$W$7,AS!$AB:$AB,AS!$AA$1,AS!$AH:$AH,$X$8,AS!$AT:$AT,Saapuminen!$AP44,AS!$AV:$AV,Saapuminen!$X$6,AS!$I:$I,Saapuminen!$Y$7,AS!$AW:$AW,Saapuminen!$Y$6,AS!$X:$X,Saapuminen!$Y$5,AS!$K:$K,Saapuminen!$V$2)+AT44</f>
        <v>0</v>
      </c>
      <c r="F44" s="63">
        <f>SUMIFS(AS!$W:$W,AS!$BO:$BO,$W$7,AS!$AB:$AB,AS!$AA$1,AS!$AH:$AH,$Y$8,AS!$AT:$AT,Saapuminen!$AP44,AS!$AV:$AV,Saapuminen!$X$6,AS!$AW:$AW,Saapuminen!$Y$6,AS!$X:$X,Saapuminen!$Y$5,AS!$K:$K,Saapuminen!$V$2)</f>
        <v>0</v>
      </c>
      <c r="G44" s="74"/>
      <c r="H44" s="33"/>
      <c r="I44" s="33"/>
      <c r="J44" s="33"/>
      <c r="K44" s="33"/>
      <c r="L44" s="33"/>
      <c r="M44" s="75"/>
      <c r="N44" s="63">
        <f>SUMIFS(JA!Z:Z,JA!X:X,AP44,JA!AF:AF,"OK",JA!AE:AE,"OK")</f>
        <v>0</v>
      </c>
      <c r="O44" s="318" t="str">
        <f t="shared" si="11"/>
        <v>-</v>
      </c>
      <c r="P44" s="63">
        <f>SUMIFS(JA!Z:Z,JA!X:X,AP44,JA!AF:AF,"OK",JA!AE:AE,"OK")</f>
        <v>0</v>
      </c>
      <c r="Q44" s="63">
        <f>SUMIFS(JA!Z:Z,JA!X:X,AP44,JA!AF:AF,"OK",JA!AE:AE,"OK")</f>
        <v>0</v>
      </c>
      <c r="R44" s="63">
        <f>SUMIFS(JA!Z:Z,JA!X:X,AP44,JA!AF:AF,"OK",JA!AE:AE,"OK")</f>
        <v>0</v>
      </c>
      <c r="AA44" s="176" t="str">
        <f>IFERROR(IF(INDEX(Data_Omakoodi!H:H,MATCH($AK$3&amp;$AL44,Data_Omakoodi!A:A,0))="P","",$AK$3&amp;$AL44),$AK$3&amp;$AL44)</f>
        <v>ComboBox_EtKuntakoodi_00000037</v>
      </c>
      <c r="AB44" s="44" t="str">
        <f>IFERROR(INDEX(Data_Omakoodi!E:E,MATCH(AA44,Data_Omakoodi!A:A,0)),"")</f>
        <v/>
      </c>
      <c r="AC44" t="str">
        <f>IFERROR(IF(INDEX(Data_Omakoodi!H:H,MATCH($AH$3&amp;$AL44,Data_Omakoodi!A:A,0))="P","",$AH$3&amp;$AL44),$AH$3&amp;$AL44)</f>
        <v>ComboBox_TyHlo_yksikko_00000037</v>
      </c>
      <c r="AD44" s="44" t="str">
        <f>IFERROR(INDEX(Data_Omakoodi!E:E,MATCH(AC44,Data_Omakoodi!A:A,0)),"")</f>
        <v/>
      </c>
      <c r="AE44" t="str">
        <f>IFERROR(IF(INDEX(Data_Omakoodi!H:H,MATCH($AH$3&amp;$AL44,Data_Omakoodi!A:A,0))="P","",$AH$3&amp;$AL44),$AH$3&amp;$AL44)</f>
        <v>ComboBox_TyHlo_yksikko_00000037</v>
      </c>
      <c r="AF44" t="s">
        <v>1627</v>
      </c>
      <c r="AG44" s="739" t="str">
        <f t="shared" si="0"/>
        <v/>
      </c>
      <c r="AH44" s="739" t="str">
        <f t="shared" si="1"/>
        <v/>
      </c>
      <c r="AJ44" s="739" t="str">
        <f t="shared" si="2"/>
        <v/>
      </c>
      <c r="AK44" s="739" t="str">
        <f t="shared" si="3"/>
        <v/>
      </c>
      <c r="AL44">
        <v>37</v>
      </c>
      <c r="AP44" t="s">
        <v>1615</v>
      </c>
      <c r="AQ44" s="616"/>
      <c r="AR44">
        <f>SUMIFS(AS!$W:$W,AS!$BO:$BO,$W$7,AS!$AB:$AB,AS!$AA$1,AS!$AH:$AH,$X$8,AS!$AT:$AT,Saapuminen!$AQ44,AS!$AV:$AV,Saapuminen!$X$6,AS!$AW:$AW,Saapuminen!$Y$6,AS!$X:$X,Saapuminen!$Y$5,AS!$K:$K,Saapuminen!$V$2)</f>
        <v>0</v>
      </c>
      <c r="AS44">
        <f>SUMIFS(AS!$W:$W,AS!$BO:$BO,$W$7,AS!$AB:$AB,AS!$AA$1,AS!$AH:$AH,$X$8,AS!$AT:$AT,Saapuminen!$AQ44,AS!$AV:$AV,Saapuminen!$X$6,AS!$I:$I,Saapuminen!$X$7,AS!$AW:$AW,Saapuminen!$Y$6,AS!$X:$X,Saapuminen!$Y$5,AS!$K:$K,Saapuminen!$V$2)</f>
        <v>0</v>
      </c>
      <c r="AT44">
        <f>SUMIFS(AS!$W:$W,AS!$BO:$BO,$W$7,AS!$AB:$AB,AS!$AA$1,AS!$AH:$AH,$X$8,AS!$AT:$AT,Saapuminen!$AQ44,AS!$AV:$AV,Saapuminen!$X$6,AS!$I:$I,Saapuminen!$Y$7,AS!$AW:$AW,Saapuminen!$Y$6,AS!$X:$X,Saapuminen!$Y$5,AS!$K:$K,Saapuminen!$V$2)</f>
        <v>0</v>
      </c>
      <c r="AY44" s="606" t="s">
        <v>797</v>
      </c>
      <c r="AZ44" s="613" t="s">
        <v>1302</v>
      </c>
      <c r="BA44" s="614" t="s">
        <v>1303</v>
      </c>
      <c r="BB44" s="405" t="s">
        <v>1305</v>
      </c>
      <c r="BC44" s="604" t="s">
        <v>1306</v>
      </c>
      <c r="BD44" s="604" t="s">
        <v>1307</v>
      </c>
      <c r="BE44" s="88" t="s">
        <v>1340</v>
      </c>
    </row>
    <row r="45" spans="1:57" ht="15" customHeight="1" x14ac:dyDescent="0.25">
      <c r="A45" s="62" t="s">
        <v>1351</v>
      </c>
      <c r="B45" s="63">
        <f>SUMIFS(AS!$W:$W,AS!$BO:$BO,$W$7,AS!$AB:$AB,AS!$AA$1,AS!$AH:$AH,$X$8,AS!$AT:$AT,Saapuminen!$AP45,AS!$AV:$AV,Saapuminen!$X$6,AS!$AW:$AW,Saapuminen!$Y$6,AS!$X:$X,Saapuminen!$Y$5,AS!$K:$K,Saapuminen!$V$2)+AR45</f>
        <v>0</v>
      </c>
      <c r="C45" s="318" t="str">
        <f t="shared" si="10"/>
        <v>-</v>
      </c>
      <c r="D45" s="63">
        <f>SUMIFS(AS!$W:$W,AS!$BO:$BO,$W$7,AS!$AB:$AB,AS!$AA$1,AS!$AH:$AH,$X$8,AS!$AT:$AT,Saapuminen!$AP45,AS!$AV:$AV,Saapuminen!$X$6,AS!$I:$I,Saapuminen!$X$7,AS!$AW:$AW,Saapuminen!$Y$6,AS!$X:$X,Saapuminen!$Y$5,AS!$K:$K,Saapuminen!$V$2)+AS45</f>
        <v>0</v>
      </c>
      <c r="E45" s="63">
        <f>SUMIFS(AS!$W:$W,AS!$BO:$BO,$W$7,AS!$AB:$AB,AS!$AA$1,AS!$AH:$AH,$X$8,AS!$AT:$AT,Saapuminen!$AP45,AS!$AV:$AV,Saapuminen!$X$6,AS!$I:$I,Saapuminen!$Y$7,AS!$AW:$AW,Saapuminen!$Y$6,AS!$X:$X,Saapuminen!$Y$5,AS!$K:$K,Saapuminen!$V$2)+AT45</f>
        <v>0</v>
      </c>
      <c r="F45" s="63">
        <f>SUMIFS(AS!$W:$W,AS!$BO:$BO,$W$7,AS!$AB:$AB,AS!$AA$1,AS!$AH:$AH,$Y$8,AS!$AT:$AT,Saapuminen!$AP45,AS!$AV:$AV,Saapuminen!$X$6,AS!$AW:$AW,Saapuminen!$Y$6,AS!$X:$X,Saapuminen!$Y$5,AS!$K:$K,Saapuminen!$V$2)</f>
        <v>0</v>
      </c>
      <c r="G45" s="74"/>
      <c r="H45" s="33"/>
      <c r="I45" s="33"/>
      <c r="J45" s="33"/>
      <c r="K45" s="33"/>
      <c r="L45" s="33"/>
      <c r="M45" s="75"/>
      <c r="N45" s="63">
        <f>SUMIFS(JA!Z:Z,JA!X:X,AP45,JA!AF:AF,"OK",JA!AE:AE,"OK")</f>
        <v>0</v>
      </c>
      <c r="O45" s="318" t="str">
        <f t="shared" si="11"/>
        <v>-</v>
      </c>
      <c r="P45" s="63">
        <f>SUMIFS(JA!Z:Z,JA!X:X,AP45,JA!AF:AF,"OK",JA!AE:AE,"OK")</f>
        <v>0</v>
      </c>
      <c r="Q45" s="63">
        <f>SUMIFS(JA!Z:Z,JA!X:X,AP45,JA!AF:AF,"OK",JA!AE:AE,"OK")</f>
        <v>0</v>
      </c>
      <c r="R45" s="63">
        <f>SUMIFS(JA!Z:Z,JA!X:X,AP45,JA!AF:AF,"OK",JA!AE:AE,"OK")</f>
        <v>0</v>
      </c>
      <c r="AA45" s="176" t="str">
        <f>IFERROR(IF(INDEX(Data_Omakoodi!H:H,MATCH($AK$3&amp;$AL45,Data_Omakoodi!A:A,0))="P","",$AK$3&amp;$AL45),$AK$3&amp;$AL45)</f>
        <v>ComboBox_EtKuntakoodi_00000038</v>
      </c>
      <c r="AB45" s="44" t="str">
        <f>IFERROR(INDEX(Data_Omakoodi!E:E,MATCH(AA45,Data_Omakoodi!A:A,0)),"")</f>
        <v/>
      </c>
      <c r="AC45" t="str">
        <f>IFERROR(IF(INDEX(Data_Omakoodi!H:H,MATCH($AH$3&amp;$AL45,Data_Omakoodi!A:A,0))="P","",$AH$3&amp;$AL45),$AH$3&amp;$AL45)</f>
        <v>ComboBox_TyHlo_yksikko_00000038</v>
      </c>
      <c r="AD45" s="44" t="str">
        <f>IFERROR(INDEX(Data_Omakoodi!E:E,MATCH(AC45,Data_Omakoodi!A:A,0)),"")</f>
        <v/>
      </c>
      <c r="AE45" t="str">
        <f>IFERROR(IF(INDEX(Data_Omakoodi!H:H,MATCH($AH$3&amp;$AL45,Data_Omakoodi!A:A,0))="P","",$AH$3&amp;$AL45),$AH$3&amp;$AL45)</f>
        <v>ComboBox_TyHlo_yksikko_00000038</v>
      </c>
      <c r="AF45" t="s">
        <v>1628</v>
      </c>
      <c r="AG45" s="739" t="str">
        <f t="shared" si="0"/>
        <v/>
      </c>
      <c r="AH45" s="739" t="str">
        <f t="shared" si="1"/>
        <v/>
      </c>
      <c r="AJ45" s="739" t="str">
        <f t="shared" si="2"/>
        <v/>
      </c>
      <c r="AK45" s="739" t="str">
        <f t="shared" si="3"/>
        <v/>
      </c>
      <c r="AL45">
        <v>38</v>
      </c>
      <c r="AP45" s="514" t="s">
        <v>1056</v>
      </c>
      <c r="AQ45" s="15"/>
      <c r="AR45">
        <f>SUMIFS(AS!$W:$W,AS!$BO:$BO,$W$7,AS!$AB:$AB,AS!$AA$1,AS!$AH:$AH,$X$8,AS!$AT:$AT,Saapuminen!$AQ45,AS!$AV:$AV,Saapuminen!$X$6,AS!$AW:$AW,Saapuminen!$Y$6,AS!$X:$X,Saapuminen!$Y$5,AS!$K:$K,Saapuminen!$V$2)</f>
        <v>0</v>
      </c>
      <c r="AS45">
        <f>SUMIFS(AS!$W:$W,AS!$BO:$BO,$W$7,AS!$AB:$AB,AS!$AA$1,AS!$AH:$AH,$X$8,AS!$AT:$AT,Saapuminen!$AQ45,AS!$AV:$AV,Saapuminen!$X$6,AS!$I:$I,Saapuminen!$X$7,AS!$AW:$AW,Saapuminen!$Y$6,AS!$X:$X,Saapuminen!$Y$5,AS!$K:$K,Saapuminen!$V$2)</f>
        <v>0</v>
      </c>
      <c r="AT45">
        <f>SUMIFS(AS!$W:$W,AS!$BO:$BO,$W$7,AS!$AB:$AB,AS!$AA$1,AS!$AH:$AH,$X$8,AS!$AT:$AT,Saapuminen!$AQ45,AS!$AV:$AV,Saapuminen!$X$6,AS!$I:$I,Saapuminen!$Y$7,AS!$AW:$AW,Saapuminen!$Y$6,AS!$X:$X,Saapuminen!$Y$5,AS!$K:$K,Saapuminen!$V$2)</f>
        <v>0</v>
      </c>
      <c r="AY45" s="606" t="s">
        <v>797</v>
      </c>
      <c r="AZ45" s="613" t="s">
        <v>1302</v>
      </c>
      <c r="BA45" s="614" t="s">
        <v>1303</v>
      </c>
      <c r="BB45" s="405" t="s">
        <v>1075</v>
      </c>
      <c r="BC45" s="405" t="s">
        <v>1308</v>
      </c>
      <c r="BD45" s="609" t="s">
        <v>1309</v>
      </c>
      <c r="BE45" s="88" t="s">
        <v>1056</v>
      </c>
    </row>
    <row r="46" spans="1:57" ht="15" customHeight="1" x14ac:dyDescent="0.25">
      <c r="A46" s="62" t="s">
        <v>573</v>
      </c>
      <c r="B46" s="63">
        <f>SUMIFS(AS!$W:$W,AS!$BO:$BO,$W$7,AS!$AB:$AB,AS!$AA$1,AS!$AH:$AH,$X$8,AS!$AT:$AT,Saapuminen!$AP46,AS!$AV:$AV,Saapuminen!$X$6,AS!$AW:$AW,Saapuminen!$Y$6,AS!$X:$X,Saapuminen!$Y$5,AS!$K:$K,Saapuminen!$V$2)+AR46</f>
        <v>0</v>
      </c>
      <c r="C46" s="318" t="str">
        <f t="shared" si="10"/>
        <v>-</v>
      </c>
      <c r="D46" s="63">
        <f>SUMIFS(AS!$W:$W,AS!$BO:$BO,$W$7,AS!$AB:$AB,AS!$AA$1,AS!$AH:$AH,$X$8,AS!$AT:$AT,Saapuminen!$AP46,AS!$AV:$AV,Saapuminen!$X$6,AS!$I:$I,Saapuminen!$X$7,AS!$AW:$AW,Saapuminen!$Y$6,AS!$X:$X,Saapuminen!$Y$5,AS!$K:$K,Saapuminen!$V$2)+AS46</f>
        <v>0</v>
      </c>
      <c r="E46" s="63">
        <f>SUMIFS(AS!$W:$W,AS!$BO:$BO,$W$7,AS!$AB:$AB,AS!$AA$1,AS!$AH:$AH,$X$8,AS!$AT:$AT,Saapuminen!$AP46,AS!$AV:$AV,Saapuminen!$X$6,AS!$I:$I,Saapuminen!$Y$7,AS!$AW:$AW,Saapuminen!$Y$6,AS!$X:$X,Saapuminen!$Y$5,AS!$K:$K,Saapuminen!$V$2)+AT46</f>
        <v>0</v>
      </c>
      <c r="F46" s="63">
        <f>SUMIFS(AS!$W:$W,AS!$BO:$BO,$W$7,AS!$AB:$AB,AS!$AA$1,AS!$AH:$AH,$Y$8,AS!$AT:$AT,Saapuminen!$AP46,AS!$AV:$AV,Saapuminen!$X$6,AS!$AW:$AW,Saapuminen!$Y$6,AS!$X:$X,Saapuminen!$Y$5,AS!$K:$K,Saapuminen!$V$2)</f>
        <v>0</v>
      </c>
      <c r="G46" s="74"/>
      <c r="H46" s="33"/>
      <c r="I46" s="33"/>
      <c r="J46" s="33"/>
      <c r="K46" s="33"/>
      <c r="L46" s="33"/>
      <c r="M46" s="75"/>
      <c r="N46" s="63">
        <f>SUMIFS(JA!Z:Z,JA!X:X,AP46,JA!AF:AF,"OK",JA!AE:AE,"OK")</f>
        <v>0</v>
      </c>
      <c r="O46" s="318" t="str">
        <f t="shared" si="11"/>
        <v>-</v>
      </c>
      <c r="P46" s="63">
        <f>SUMIFS(JA!Z:Z,JA!X:X,AP46,JA!AF:AF,"OK",JA!AE:AE,"OK")</f>
        <v>0</v>
      </c>
      <c r="Q46" s="63">
        <f>SUMIFS(JA!Z:Z,JA!X:X,AP46,JA!AF:AF,"OK",JA!AE:AE,"OK")</f>
        <v>0</v>
      </c>
      <c r="R46" s="63">
        <f>SUMIFS(JA!Z:Z,JA!X:X,AP46,JA!AF:AF,"OK",JA!AE:AE,"OK")</f>
        <v>0</v>
      </c>
      <c r="AA46" s="176" t="str">
        <f>IFERROR(IF(INDEX(Data_Omakoodi!H:H,MATCH($AK$3&amp;$AL46,Data_Omakoodi!A:A,0))="P","",$AK$3&amp;$AL46),$AK$3&amp;$AL46)</f>
        <v>ComboBox_EtKuntakoodi_00000039</v>
      </c>
      <c r="AB46" s="44" t="str">
        <f>IFERROR(INDEX(Data_Omakoodi!E:E,MATCH(AA46,Data_Omakoodi!A:A,0)),"")</f>
        <v/>
      </c>
      <c r="AC46" t="str">
        <f>IFERROR(IF(INDEX(Data_Omakoodi!H:H,MATCH($AH$3&amp;$AL46,Data_Omakoodi!A:A,0))="P","",$AH$3&amp;$AL46),$AH$3&amp;$AL46)</f>
        <v>ComboBox_TyHlo_yksikko_00000039</v>
      </c>
      <c r="AD46" s="44" t="str">
        <f>IFERROR(INDEX(Data_Omakoodi!E:E,MATCH(AC46,Data_Omakoodi!A:A,0)),"")</f>
        <v/>
      </c>
      <c r="AE46" t="str">
        <f>IFERROR(IF(INDEX(Data_Omakoodi!H:H,MATCH($AH$3&amp;$AL46,Data_Omakoodi!A:A,0))="P","",$AH$3&amp;$AL46),$AH$3&amp;$AL46)</f>
        <v>ComboBox_TyHlo_yksikko_00000039</v>
      </c>
      <c r="AF46" t="s">
        <v>1629</v>
      </c>
      <c r="AG46" s="739" t="str">
        <f t="shared" si="0"/>
        <v/>
      </c>
      <c r="AH46" s="739" t="str">
        <f t="shared" si="1"/>
        <v/>
      </c>
      <c r="AJ46" s="739" t="str">
        <f t="shared" si="2"/>
        <v/>
      </c>
      <c r="AK46" s="739" t="str">
        <f t="shared" si="3"/>
        <v/>
      </c>
      <c r="AL46">
        <v>39</v>
      </c>
      <c r="AP46" s="515" t="s">
        <v>837</v>
      </c>
      <c r="AQ46" s="513" t="s">
        <v>512</v>
      </c>
      <c r="AR46">
        <f>SUMIFS(AS!$W:$W,AS!$BO:$BO,$W$7,AS!$AB:$AB,AS!$AA$1,AS!$AH:$AH,$X$8,AS!$AT:$AT,Saapuminen!$AQ46,AS!$AV:$AV,Saapuminen!$X$6,AS!$AW:$AW,Saapuminen!$Y$6,AS!$X:$X,Saapuminen!$Y$5,AS!$K:$K,Saapuminen!$V$2)</f>
        <v>0</v>
      </c>
      <c r="AS46">
        <f>SUMIFS(AS!$W:$W,AS!$BO:$BO,$W$7,AS!$AB:$AB,AS!$AA$1,AS!$AH:$AH,$X$8,AS!$AT:$AT,Saapuminen!$AQ46,AS!$AV:$AV,Saapuminen!$X$6,AS!$I:$I,Saapuminen!$X$7,AS!$AW:$AW,Saapuminen!$Y$6,AS!$X:$X,Saapuminen!$Y$5,AS!$K:$K,Saapuminen!$V$2)</f>
        <v>0</v>
      </c>
      <c r="AT46">
        <f>SUMIFS(AS!$W:$W,AS!$BO:$BO,$W$7,AS!$AB:$AB,AS!$AA$1,AS!$AH:$AH,$X$8,AS!$AT:$AT,Saapuminen!$AQ46,AS!$AV:$AV,Saapuminen!$X$6,AS!$I:$I,Saapuminen!$Y$7,AS!$AW:$AW,Saapuminen!$Y$6,AS!$X:$X,Saapuminen!$Y$5,AS!$K:$K,Saapuminen!$V$2)</f>
        <v>0</v>
      </c>
      <c r="AY46" s="606" t="s">
        <v>797</v>
      </c>
      <c r="AZ46" s="613" t="s">
        <v>1302</v>
      </c>
      <c r="BA46" s="614" t="s">
        <v>1303</v>
      </c>
      <c r="BB46" s="405" t="s">
        <v>1076</v>
      </c>
      <c r="BC46" s="405" t="s">
        <v>1310</v>
      </c>
      <c r="BD46" s="27" t="s">
        <v>1311</v>
      </c>
      <c r="BE46" s="88" t="s">
        <v>837</v>
      </c>
    </row>
    <row r="47" spans="1:57" ht="15" customHeight="1" x14ac:dyDescent="0.25">
      <c r="A47" s="62" t="s">
        <v>574</v>
      </c>
      <c r="B47" s="63">
        <f>SUMIFS(AS!$W:$W,AS!$BO:$BO,$W$7,AS!$AB:$AB,AS!$AA$1,AS!$AH:$AH,$X$8,AS!$AT:$AT,Saapuminen!$AP47,AS!$AV:$AV,Saapuminen!$X$6,AS!$AW:$AW,Saapuminen!$Y$6,AS!$X:$X,Saapuminen!$Y$5,AS!$K:$K,Saapuminen!$V$2)+AR47</f>
        <v>0</v>
      </c>
      <c r="C47" s="318" t="str">
        <f t="shared" si="10"/>
        <v>-</v>
      </c>
      <c r="D47" s="63">
        <f>SUMIFS(AS!$W:$W,AS!$BO:$BO,$W$7,AS!$AB:$AB,AS!$AA$1,AS!$AH:$AH,$X$8,AS!$AT:$AT,Saapuminen!$AP47,AS!$AV:$AV,Saapuminen!$X$6,AS!$I:$I,Saapuminen!$X$7,AS!$AW:$AW,Saapuminen!$Y$6,AS!$X:$X,Saapuminen!$Y$5,AS!$K:$K,Saapuminen!$V$2)+AS47</f>
        <v>0</v>
      </c>
      <c r="E47" s="63">
        <f>SUMIFS(AS!$W:$W,AS!$BO:$BO,$W$7,AS!$AB:$AB,AS!$AA$1,AS!$AH:$AH,$X$8,AS!$AT:$AT,Saapuminen!$AP47,AS!$AV:$AV,Saapuminen!$X$6,AS!$I:$I,Saapuminen!$Y$7,AS!$AW:$AW,Saapuminen!$Y$6,AS!$X:$X,Saapuminen!$Y$5,AS!$K:$K,Saapuminen!$V$2)+AT47</f>
        <v>0</v>
      </c>
      <c r="F47" s="63">
        <f>SUMIFS(AS!$W:$W,AS!$BO:$BO,$W$7,AS!$AB:$AB,AS!$AA$1,AS!$AH:$AH,$Y$8,AS!$AT:$AT,Saapuminen!$AP47,AS!$AV:$AV,Saapuminen!$X$6,AS!$AW:$AW,Saapuminen!$Y$6,AS!$X:$X,Saapuminen!$Y$5,AS!$K:$K,Saapuminen!$V$2)</f>
        <v>0</v>
      </c>
      <c r="G47" s="74"/>
      <c r="H47" s="33"/>
      <c r="I47" s="33"/>
      <c r="J47" s="33"/>
      <c r="K47" s="33"/>
      <c r="L47" s="33"/>
      <c r="M47" s="75"/>
      <c r="N47" s="63">
        <f>SUMIFS(JA!Z:Z,JA!X:X,AP47,JA!AF:AF,"OK",JA!AE:AE,"OK")</f>
        <v>0</v>
      </c>
      <c r="O47" s="318" t="str">
        <f t="shared" si="11"/>
        <v>-</v>
      </c>
      <c r="P47" s="63">
        <f>SUMIFS(JA!Z:Z,JA!X:X,AP47,JA!AF:AF,"OK",JA!AE:AE,"OK")</f>
        <v>0</v>
      </c>
      <c r="Q47" s="63">
        <f>SUMIFS(JA!Z:Z,JA!X:X,AP47,JA!AF:AF,"OK",JA!AE:AE,"OK")</f>
        <v>0</v>
      </c>
      <c r="R47" s="63">
        <f>SUMIFS(JA!Z:Z,JA!X:X,AP47,JA!AF:AF,"OK",JA!AE:AE,"OK")</f>
        <v>0</v>
      </c>
      <c r="AA47" s="176" t="str">
        <f>IFERROR(IF(INDEX(Data_Omakoodi!H:H,MATCH($AK$3&amp;$AL47,Data_Omakoodi!A:A,0))="P","",$AK$3&amp;$AL47),$AK$3&amp;$AL47)</f>
        <v>ComboBox_EtKuntakoodi_00000040</v>
      </c>
      <c r="AB47" s="44" t="str">
        <f>IFERROR(INDEX(Data_Omakoodi!E:E,MATCH(AA47,Data_Omakoodi!A:A,0)),"")</f>
        <v/>
      </c>
      <c r="AC47" t="str">
        <f>IFERROR(IF(INDEX(Data_Omakoodi!H:H,MATCH($AH$3&amp;$AL47,Data_Omakoodi!A:A,0))="P","",$AH$3&amp;$AL47),$AH$3&amp;$AL47)</f>
        <v>ComboBox_TyHlo_yksikko_00000040</v>
      </c>
      <c r="AD47" s="44" t="str">
        <f>IFERROR(INDEX(Data_Omakoodi!E:E,MATCH(AC47,Data_Omakoodi!A:A,0)),"")</f>
        <v/>
      </c>
      <c r="AE47" t="str">
        <f>IFERROR(IF(INDEX(Data_Omakoodi!H:H,MATCH($AH$3&amp;$AL47,Data_Omakoodi!A:A,0))="P","",$AH$3&amp;$AL47),$AH$3&amp;$AL47)</f>
        <v>ComboBox_TyHlo_yksikko_00000040</v>
      </c>
      <c r="AF47" t="s">
        <v>1630</v>
      </c>
      <c r="AG47" s="739" t="str">
        <f t="shared" si="0"/>
        <v/>
      </c>
      <c r="AH47" s="739" t="str">
        <f t="shared" si="1"/>
        <v/>
      </c>
      <c r="AJ47" s="739" t="str">
        <f t="shared" si="2"/>
        <v/>
      </c>
      <c r="AK47" s="739" t="str">
        <f t="shared" si="3"/>
        <v/>
      </c>
      <c r="AL47">
        <v>40</v>
      </c>
      <c r="AP47" s="515" t="s">
        <v>838</v>
      </c>
      <c r="AQ47" s="513" t="s">
        <v>209</v>
      </c>
      <c r="AR47">
        <f>SUMIFS(AS!$W:$W,AS!$BO:$BO,$W$7,AS!$AB:$AB,AS!$AA$1,AS!$AH:$AH,$X$8,AS!$AT:$AT,Saapuminen!$AQ47,AS!$AV:$AV,Saapuminen!$X$6,AS!$AW:$AW,Saapuminen!$Y$6,AS!$X:$X,Saapuminen!$Y$5,AS!$K:$K,Saapuminen!$V$2)</f>
        <v>0</v>
      </c>
      <c r="AS47">
        <f>SUMIFS(AS!$W:$W,AS!$BO:$BO,$W$7,AS!$AB:$AB,AS!$AA$1,AS!$AH:$AH,$X$8,AS!$AT:$AT,Saapuminen!$AQ47,AS!$AV:$AV,Saapuminen!$X$6,AS!$I:$I,Saapuminen!$X$7,AS!$AW:$AW,Saapuminen!$Y$6,AS!$X:$X,Saapuminen!$Y$5,AS!$K:$K,Saapuminen!$V$2)</f>
        <v>0</v>
      </c>
      <c r="AT47">
        <f>SUMIFS(AS!$W:$W,AS!$BO:$BO,$W$7,AS!$AB:$AB,AS!$AA$1,AS!$AH:$AH,$X$8,AS!$AT:$AT,Saapuminen!$AQ47,AS!$AV:$AV,Saapuminen!$X$6,AS!$I:$I,Saapuminen!$Y$7,AS!$AW:$AW,Saapuminen!$Y$6,AS!$X:$X,Saapuminen!$Y$5,AS!$K:$K,Saapuminen!$V$2)</f>
        <v>0</v>
      </c>
      <c r="AY47" s="606" t="s">
        <v>797</v>
      </c>
      <c r="AZ47" s="613" t="s">
        <v>1302</v>
      </c>
      <c r="BA47" s="614" t="s">
        <v>1303</v>
      </c>
      <c r="BB47" s="405" t="s">
        <v>1077</v>
      </c>
      <c r="BC47" s="405" t="s">
        <v>1312</v>
      </c>
      <c r="BD47" s="27" t="s">
        <v>1313</v>
      </c>
      <c r="BE47" s="88" t="s">
        <v>838</v>
      </c>
    </row>
    <row r="48" spans="1:57" ht="15" customHeight="1" x14ac:dyDescent="0.25">
      <c r="A48" s="62" t="s">
        <v>575</v>
      </c>
      <c r="B48" s="63">
        <f>SUMIFS(AS!$W:$W,AS!$BO:$BO,$W$7,AS!$AB:$AB,AS!$AA$1,AS!$AH:$AH,$X$8,AS!$AT:$AT,Saapuminen!$AP48,AS!$AV:$AV,Saapuminen!$X$6,AS!$AW:$AW,Saapuminen!$Y$6,AS!$X:$X,Saapuminen!$Y$5,AS!$K:$K,Saapuminen!$V$2)+AR48</f>
        <v>0</v>
      </c>
      <c r="C48" s="318" t="str">
        <f t="shared" si="10"/>
        <v>-</v>
      </c>
      <c r="D48" s="63">
        <f>SUMIFS(AS!$W:$W,AS!$BO:$BO,$W$7,AS!$AB:$AB,AS!$AA$1,AS!$AH:$AH,$X$8,AS!$AT:$AT,Saapuminen!$AP48,AS!$AV:$AV,Saapuminen!$X$6,AS!$I:$I,Saapuminen!$X$7,AS!$AW:$AW,Saapuminen!$Y$6,AS!$X:$X,Saapuminen!$Y$5,AS!$K:$K,Saapuminen!$V$2)+AS48</f>
        <v>0</v>
      </c>
      <c r="E48" s="63">
        <f>SUMIFS(AS!$W:$W,AS!$BO:$BO,$W$7,AS!$AB:$AB,AS!$AA$1,AS!$AH:$AH,$X$8,AS!$AT:$AT,Saapuminen!$AP48,AS!$AV:$AV,Saapuminen!$X$6,AS!$I:$I,Saapuminen!$Y$7,AS!$AW:$AW,Saapuminen!$Y$6,AS!$X:$X,Saapuminen!$Y$5,AS!$K:$K,Saapuminen!$V$2)+AT48</f>
        <v>0</v>
      </c>
      <c r="F48" s="63">
        <f>SUMIFS(AS!$W:$W,AS!$BO:$BO,$W$7,AS!$AB:$AB,AS!$AA$1,AS!$AH:$AH,$Y$8,AS!$AT:$AT,Saapuminen!$AP48,AS!$AV:$AV,Saapuminen!$X$6,AS!$AW:$AW,Saapuminen!$Y$6,AS!$X:$X,Saapuminen!$Y$5,AS!$K:$K,Saapuminen!$V$2)</f>
        <v>0</v>
      </c>
      <c r="G48" s="74"/>
      <c r="H48" s="33"/>
      <c r="I48" s="33"/>
      <c r="J48" s="33"/>
      <c r="K48" s="33"/>
      <c r="L48" s="33"/>
      <c r="M48" s="75"/>
      <c r="N48" s="63">
        <f>SUMIFS(JA!Z:Z,JA!X:X,AP48,JA!AF:AF,"OK",JA!AE:AE,"OK")</f>
        <v>0</v>
      </c>
      <c r="O48" s="318" t="str">
        <f t="shared" si="11"/>
        <v>-</v>
      </c>
      <c r="P48" s="63">
        <f>SUMIFS(JA!Z:Z,JA!X:X,AP48,JA!AF:AF,"OK",JA!AE:AE,"OK")</f>
        <v>0</v>
      </c>
      <c r="Q48" s="63">
        <f>SUMIFS(JA!Z:Z,JA!X:X,AP48,JA!AF:AF,"OK",JA!AE:AE,"OK")</f>
        <v>0</v>
      </c>
      <c r="R48" s="63">
        <f>SUMIFS(JA!Z:Z,JA!X:X,AP48,JA!AF:AF,"OK",JA!AE:AE,"OK")</f>
        <v>0</v>
      </c>
      <c r="AA48" s="176" t="str">
        <f>IFERROR(IF(INDEX(Data_Omakoodi!H:H,MATCH($AK$3&amp;$AL48,Data_Omakoodi!A:A,0))="P","",$AK$3&amp;$AL48),$AK$3&amp;$AL48)</f>
        <v>ComboBox_EtKuntakoodi_00000041</v>
      </c>
      <c r="AB48" s="44" t="str">
        <f>IFERROR(INDEX(Data_Omakoodi!E:E,MATCH(AA48,Data_Omakoodi!A:A,0)),"")</f>
        <v/>
      </c>
      <c r="AC48" t="str">
        <f>IFERROR(IF(INDEX(Data_Omakoodi!H:H,MATCH($AH$3&amp;$AL48,Data_Omakoodi!A:A,0))="P","",$AH$3&amp;$AL48),$AH$3&amp;$AL48)</f>
        <v>ComboBox_TyHlo_yksikko_00000041</v>
      </c>
      <c r="AD48" s="44" t="str">
        <f>IFERROR(INDEX(Data_Omakoodi!E:E,MATCH(AC48,Data_Omakoodi!A:A,0)),"")</f>
        <v/>
      </c>
      <c r="AE48" t="str">
        <f>IFERROR(IF(INDEX(Data_Omakoodi!H:H,MATCH($AH$3&amp;$AL48,Data_Omakoodi!A:A,0))="P","",$AH$3&amp;$AL48),$AH$3&amp;$AL48)</f>
        <v>ComboBox_TyHlo_yksikko_00000041</v>
      </c>
      <c r="AF48" t="s">
        <v>1631</v>
      </c>
      <c r="AG48" s="739" t="str">
        <f t="shared" si="0"/>
        <v/>
      </c>
      <c r="AH48" s="739" t="str">
        <f t="shared" si="1"/>
        <v/>
      </c>
      <c r="AJ48" s="739" t="str">
        <f t="shared" si="2"/>
        <v/>
      </c>
      <c r="AK48" s="739" t="str">
        <f t="shared" si="3"/>
        <v/>
      </c>
      <c r="AL48">
        <v>41</v>
      </c>
      <c r="AP48" s="515" t="s">
        <v>839</v>
      </c>
      <c r="AQ48" s="513" t="s">
        <v>513</v>
      </c>
      <c r="AR48">
        <f>SUMIFS(AS!$W:$W,AS!$BO:$BO,$W$7,AS!$AB:$AB,AS!$AA$1,AS!$AH:$AH,$X$8,AS!$AT:$AT,Saapuminen!$AQ48,AS!$AV:$AV,Saapuminen!$X$6,AS!$AW:$AW,Saapuminen!$Y$6,AS!$X:$X,Saapuminen!$Y$5,AS!$K:$K,Saapuminen!$V$2)</f>
        <v>0</v>
      </c>
      <c r="AS48">
        <f>SUMIFS(AS!$W:$W,AS!$BO:$BO,$W$7,AS!$AB:$AB,AS!$AA$1,AS!$AH:$AH,$X$8,AS!$AT:$AT,Saapuminen!$AQ48,AS!$AV:$AV,Saapuminen!$X$6,AS!$I:$I,Saapuminen!$X$7,AS!$AW:$AW,Saapuminen!$Y$6,AS!$X:$X,Saapuminen!$Y$5,AS!$K:$K,Saapuminen!$V$2)</f>
        <v>0</v>
      </c>
      <c r="AT48">
        <f>SUMIFS(AS!$W:$W,AS!$BO:$BO,$W$7,AS!$AB:$AB,AS!$AA$1,AS!$AH:$AH,$X$8,AS!$AT:$AT,Saapuminen!$AQ48,AS!$AV:$AV,Saapuminen!$X$6,AS!$I:$I,Saapuminen!$Y$7,AS!$AW:$AW,Saapuminen!$Y$6,AS!$X:$X,Saapuminen!$Y$5,AS!$K:$K,Saapuminen!$V$2)</f>
        <v>0</v>
      </c>
      <c r="AY48" s="606" t="s">
        <v>797</v>
      </c>
      <c r="AZ48" s="613" t="s">
        <v>1302</v>
      </c>
      <c r="BA48" s="614" t="s">
        <v>1303</v>
      </c>
      <c r="BB48" s="405" t="s">
        <v>1078</v>
      </c>
      <c r="BC48" s="405" t="s">
        <v>1314</v>
      </c>
      <c r="BD48" s="27" t="s">
        <v>1315</v>
      </c>
      <c r="BE48" s="88" t="s">
        <v>839</v>
      </c>
    </row>
    <row r="49" spans="1:57" ht="15" customHeight="1" x14ac:dyDescent="0.25">
      <c r="A49" s="62" t="s">
        <v>1352</v>
      </c>
      <c r="B49" s="63">
        <f>SUMIFS(AS!$W:$W,AS!$BO:$BO,$W$7,AS!$AB:$AB,AS!$AA$1,AS!$AH:$AH,$X$8,AS!$AT:$AT,Saapuminen!$AP49,AS!$AV:$AV,Saapuminen!$X$6,AS!$AW:$AW,Saapuminen!$Y$6,AS!$X:$X,Saapuminen!$Y$5,AS!$K:$K,Saapuminen!$V$2)+AR49</f>
        <v>0</v>
      </c>
      <c r="C49" s="318" t="str">
        <f t="shared" si="10"/>
        <v>-</v>
      </c>
      <c r="D49" s="63">
        <f>SUMIFS(AS!$W:$W,AS!$BO:$BO,$W$7,AS!$AB:$AB,AS!$AA$1,AS!$AH:$AH,$X$8,AS!$AT:$AT,Saapuminen!$AP49,AS!$AV:$AV,Saapuminen!$X$6,AS!$I:$I,Saapuminen!$X$7,AS!$AW:$AW,Saapuminen!$Y$6,AS!$X:$X,Saapuminen!$Y$5,AS!$K:$K,Saapuminen!$V$2)+AS49</f>
        <v>0</v>
      </c>
      <c r="E49" s="63">
        <f>SUMIFS(AS!$W:$W,AS!$BO:$BO,$W$7,AS!$AB:$AB,AS!$AA$1,AS!$AH:$AH,$X$8,AS!$AT:$AT,Saapuminen!$AP49,AS!$AV:$AV,Saapuminen!$X$6,AS!$I:$I,Saapuminen!$Y$7,AS!$AW:$AW,Saapuminen!$Y$6,AS!$X:$X,Saapuminen!$Y$5,AS!$K:$K,Saapuminen!$V$2)+AT49</f>
        <v>0</v>
      </c>
      <c r="F49" s="63">
        <f>SUMIFS(AS!$W:$W,AS!$BO:$BO,$W$7,AS!$AB:$AB,AS!$AA$1,AS!$AH:$AH,$Y$8,AS!$AT:$AT,Saapuminen!$AP49,AS!$AV:$AV,Saapuminen!$X$6,AS!$AW:$AW,Saapuminen!$Y$6,AS!$X:$X,Saapuminen!$Y$5,AS!$K:$K,Saapuminen!$V$2)</f>
        <v>0</v>
      </c>
      <c r="G49" s="74"/>
      <c r="H49" s="33"/>
      <c r="I49" s="33"/>
      <c r="J49" s="33"/>
      <c r="K49" s="33"/>
      <c r="L49" s="33"/>
      <c r="M49" s="75"/>
      <c r="N49" s="63">
        <f>SUMIFS(JA!Z:Z,JA!X:X,AP49,JA!AF:AF,"OK",JA!AE:AE,"OK")</f>
        <v>0</v>
      </c>
      <c r="O49" s="318" t="str">
        <f t="shared" si="11"/>
        <v>-</v>
      </c>
      <c r="P49" s="63">
        <f>SUMIFS(JA!Z:Z,JA!X:X,AP49,JA!AF:AF,"OK",JA!AE:AE,"OK")</f>
        <v>0</v>
      </c>
      <c r="Q49" s="63">
        <f>SUMIFS(JA!Z:Z,JA!X:X,AP49,JA!AF:AF,"OK",JA!AE:AE,"OK")</f>
        <v>0</v>
      </c>
      <c r="R49" s="63">
        <f>SUMIFS(JA!Z:Z,JA!X:X,AP49,JA!AF:AF,"OK",JA!AE:AE,"OK")</f>
        <v>0</v>
      </c>
      <c r="AA49" s="176" t="str">
        <f>IFERROR(IF(INDEX(Data_Omakoodi!H:H,MATCH($AK$3&amp;$AL49,Data_Omakoodi!A:A,0))="P","",$AK$3&amp;$AL49),$AK$3&amp;$AL49)</f>
        <v>ComboBox_EtKuntakoodi_00000042</v>
      </c>
      <c r="AB49" s="44" t="str">
        <f>IFERROR(INDEX(Data_Omakoodi!E:E,MATCH(AA49,Data_Omakoodi!A:A,0)),"")</f>
        <v/>
      </c>
      <c r="AC49" t="str">
        <f>IFERROR(IF(INDEX(Data_Omakoodi!H:H,MATCH($AH$3&amp;$AL49,Data_Omakoodi!A:A,0))="P","",$AH$3&amp;$AL49),$AH$3&amp;$AL49)</f>
        <v>ComboBox_TyHlo_yksikko_00000042</v>
      </c>
      <c r="AD49" s="44" t="str">
        <f>IFERROR(INDEX(Data_Omakoodi!E:E,MATCH(AC49,Data_Omakoodi!A:A,0)),"")</f>
        <v/>
      </c>
      <c r="AE49" t="str">
        <f>IFERROR(IF(INDEX(Data_Omakoodi!H:H,MATCH($AH$3&amp;$AL49,Data_Omakoodi!A:A,0))="P","",$AH$3&amp;$AL49),$AH$3&amp;$AL49)</f>
        <v>ComboBox_TyHlo_yksikko_00000042</v>
      </c>
      <c r="AF49" t="s">
        <v>1632</v>
      </c>
      <c r="AG49" s="739" t="str">
        <f t="shared" si="0"/>
        <v/>
      </c>
      <c r="AH49" s="739" t="str">
        <f t="shared" si="1"/>
        <v/>
      </c>
      <c r="AJ49" s="739" t="str">
        <f t="shared" si="2"/>
        <v/>
      </c>
      <c r="AK49" s="739" t="str">
        <f t="shared" si="3"/>
        <v/>
      </c>
      <c r="AL49">
        <v>42</v>
      </c>
      <c r="AP49" s="515" t="s">
        <v>1057</v>
      </c>
      <c r="AQ49" s="15"/>
      <c r="AR49">
        <f>SUMIFS(AS!$W:$W,AS!$BO:$BO,$W$7,AS!$AB:$AB,AS!$AA$1,AS!$AH:$AH,$X$8,AS!$AT:$AT,Saapuminen!$AQ49,AS!$AV:$AV,Saapuminen!$X$6,AS!$AW:$AW,Saapuminen!$Y$6,AS!$X:$X,Saapuminen!$Y$5,AS!$K:$K,Saapuminen!$V$2)</f>
        <v>0</v>
      </c>
      <c r="AS49">
        <f>SUMIFS(AS!$W:$W,AS!$BO:$BO,$W$7,AS!$AB:$AB,AS!$AA$1,AS!$AH:$AH,$X$8,AS!$AT:$AT,Saapuminen!$AQ49,AS!$AV:$AV,Saapuminen!$X$6,AS!$I:$I,Saapuminen!$X$7,AS!$AW:$AW,Saapuminen!$Y$6,AS!$X:$X,Saapuminen!$Y$5,AS!$K:$K,Saapuminen!$V$2)</f>
        <v>0</v>
      </c>
      <c r="AT49">
        <f>SUMIFS(AS!$W:$W,AS!$BO:$BO,$W$7,AS!$AB:$AB,AS!$AA$1,AS!$AH:$AH,$X$8,AS!$AT:$AT,Saapuminen!$AQ49,AS!$AV:$AV,Saapuminen!$X$6,AS!$I:$I,Saapuminen!$Y$7,AS!$AW:$AW,Saapuminen!$Y$6,AS!$X:$X,Saapuminen!$Y$5,AS!$K:$K,Saapuminen!$V$2)</f>
        <v>0</v>
      </c>
      <c r="AY49" s="606" t="s">
        <v>797</v>
      </c>
      <c r="AZ49" s="613" t="s">
        <v>1302</v>
      </c>
      <c r="BA49" s="614" t="s">
        <v>1303</v>
      </c>
      <c r="BB49" s="615" t="s">
        <v>1079</v>
      </c>
      <c r="BC49" s="405" t="s">
        <v>1316</v>
      </c>
      <c r="BD49" s="609" t="s">
        <v>1317</v>
      </c>
      <c r="BE49" s="88" t="s">
        <v>1057</v>
      </c>
    </row>
    <row r="50" spans="1:57" ht="15" customHeight="1" x14ac:dyDescent="0.25">
      <c r="A50" s="59" t="s">
        <v>98</v>
      </c>
      <c r="B50" s="65">
        <f>SUM(B51:B54)</f>
        <v>0</v>
      </c>
      <c r="C50" s="61" t="str">
        <f t="shared" si="10"/>
        <v>-</v>
      </c>
      <c r="D50" s="65">
        <f>SUM(D51:D54)</f>
        <v>0</v>
      </c>
      <c r="E50" s="65">
        <f>SUM(E51:E54)</f>
        <v>0</v>
      </c>
      <c r="F50" s="65">
        <f>SUM(F51:F54)</f>
        <v>0</v>
      </c>
      <c r="G50" s="76"/>
      <c r="H50" s="38"/>
      <c r="I50" s="38"/>
      <c r="J50" s="38"/>
      <c r="K50" s="38"/>
      <c r="L50" s="38"/>
      <c r="M50" s="77"/>
      <c r="N50" s="65">
        <f>SUM(N51:N54)</f>
        <v>0</v>
      </c>
      <c r="O50" s="61" t="str">
        <f t="shared" si="11"/>
        <v>-</v>
      </c>
      <c r="P50" s="65">
        <f>SUM(P51:P54)</f>
        <v>0</v>
      </c>
      <c r="Q50" s="65">
        <f>SUM(Q51:Q54)</f>
        <v>0</v>
      </c>
      <c r="R50" s="65">
        <f>SUM(R51:R54)</f>
        <v>0</v>
      </c>
      <c r="AA50" s="176" t="str">
        <f>IFERROR(IF(INDEX(Data_Omakoodi!H:H,MATCH($AK$3&amp;$AL50,Data_Omakoodi!A:A,0))="P","",$AK$3&amp;$AL50),$AK$3&amp;$AL50)</f>
        <v>ComboBox_EtKuntakoodi_00000043</v>
      </c>
      <c r="AB50" s="44" t="str">
        <f>IFERROR(INDEX(Data_Omakoodi!E:E,MATCH(AA50,Data_Omakoodi!A:A,0)),"")</f>
        <v/>
      </c>
      <c r="AC50" t="str">
        <f>IFERROR(IF(INDEX(Data_Omakoodi!H:H,MATCH($AH$3&amp;$AL50,Data_Omakoodi!A:A,0))="P","",$AH$3&amp;$AL50),$AH$3&amp;$AL50)</f>
        <v>ComboBox_TyHlo_yksikko_00000043</v>
      </c>
      <c r="AD50" s="44" t="str">
        <f>IFERROR(INDEX(Data_Omakoodi!E:E,MATCH(AC50,Data_Omakoodi!A:A,0)),"")</f>
        <v/>
      </c>
      <c r="AE50" t="str">
        <f>IFERROR(IF(INDEX(Data_Omakoodi!H:H,MATCH($AH$3&amp;$AL50,Data_Omakoodi!A:A,0))="P","",$AH$3&amp;$AL50),$AH$3&amp;$AL50)</f>
        <v>ComboBox_TyHlo_yksikko_00000043</v>
      </c>
      <c r="AF50" t="s">
        <v>1633</v>
      </c>
      <c r="AG50" s="739" t="str">
        <f t="shared" si="0"/>
        <v/>
      </c>
      <c r="AH50" s="739" t="str">
        <f t="shared" si="1"/>
        <v/>
      </c>
      <c r="AJ50" s="739" t="str">
        <f t="shared" si="2"/>
        <v/>
      </c>
      <c r="AK50" s="739" t="str">
        <f t="shared" si="3"/>
        <v/>
      </c>
      <c r="AL50">
        <v>43</v>
      </c>
    </row>
    <row r="51" spans="1:57" ht="15" customHeight="1" x14ac:dyDescent="0.25">
      <c r="A51" s="62" t="s">
        <v>1064</v>
      </c>
      <c r="B51" s="63">
        <f>SUMIFS(AS!$W:$W,AS!$BO:$BO,$W$7,AS!$AB:$AB,AS!$AA$1,AS!$AH:$AH,$X$8,AS!$AT:$AT,Saapuminen!$AP51,AS!$AV:$AV,Saapuminen!$X$6,AS!$AW:$AW,Saapuminen!$Y$6,AS!$X:$X,Saapuminen!$Y$5,AS!$K:$K,Saapuminen!$V$2)+AR51</f>
        <v>0</v>
      </c>
      <c r="C51" s="318" t="str">
        <f t="shared" ref="C51:C54" si="14">IFERROR(B51/B$63,"-")</f>
        <v>-</v>
      </c>
      <c r="D51" s="63">
        <f>SUMIFS(AS!$W:$W,AS!$BO:$BO,$W$7,AS!$AB:$AB,AS!$AA$1,AS!$AH:$AH,$X$8,AS!$AT:$AT,Saapuminen!$AP51,AS!$AV:$AV,Saapuminen!$X$6,AS!$I:$I,Saapuminen!$X$7,AS!$AW:$AW,Saapuminen!$Y$6,AS!$X:$X,Saapuminen!$Y$5,AS!$K:$K,Saapuminen!$V$2)+AS51</f>
        <v>0</v>
      </c>
      <c r="E51" s="63">
        <f>SUMIFS(AS!$W:$W,AS!$BO:$BO,$W$7,AS!$AB:$AB,AS!$AA$1,AS!$AH:$AH,$X$8,AS!$AT:$AT,Saapuminen!$AP51,AS!$AV:$AV,Saapuminen!$X$6,AS!$I:$I,Saapuminen!$Y$7,AS!$AW:$AW,Saapuminen!$Y$6,AS!$X:$X,Saapuminen!$Y$5,AS!$K:$K,Saapuminen!$V$2)+AT51</f>
        <v>0</v>
      </c>
      <c r="F51" s="63">
        <f>SUMIFS(AS!$W:$W,AS!$BO:$BO,$W$7,AS!$AB:$AB,AS!$AA$1,AS!$AH:$AH,$Y$8,AS!$AT:$AT,Saapuminen!$AP51,AS!$AV:$AV,Saapuminen!$X$6,AS!$AW:$AW,Saapuminen!$Y$6,AS!$X:$X,Saapuminen!$Y$5,AS!$K:$K,Saapuminen!$V$2)</f>
        <v>0</v>
      </c>
      <c r="G51" s="74"/>
      <c r="H51" s="33"/>
      <c r="I51" s="33"/>
      <c r="J51" s="33"/>
      <c r="K51" s="33"/>
      <c r="L51" s="33"/>
      <c r="M51" s="75"/>
      <c r="N51" s="63">
        <f>SUMIFS(JA!Z:Z,JA!X:X,AP51,JA!AF:AF,"OK",JA!AE:AE,"OK")</f>
        <v>0</v>
      </c>
      <c r="O51" s="318" t="str">
        <f t="shared" si="11"/>
        <v>-</v>
      </c>
      <c r="P51" s="63">
        <f>SUMIFS(JA!Z:Z,JA!X:X,AP51,JA!AF:AF,"OK",JA!AE:AE,"OK")</f>
        <v>0</v>
      </c>
      <c r="Q51" s="63">
        <f>SUMIFS(JA!Z:Z,JA!X:X,AP51,JA!AF:AF,"OK",JA!AE:AE,"OK")</f>
        <v>0</v>
      </c>
      <c r="R51" s="63">
        <f>SUMIFS(JA!Z:Z,JA!X:X,AP51,JA!AF:AF,"OK",JA!AE:AE,"OK")</f>
        <v>0</v>
      </c>
      <c r="AA51" s="176" t="str">
        <f>IFERROR(IF(INDEX(Data_Omakoodi!H:H,MATCH($AK$3&amp;$AL51,Data_Omakoodi!A:A,0))="P","",$AK$3&amp;$AL51),$AK$3&amp;$AL51)</f>
        <v>ComboBox_EtKuntakoodi_00000044</v>
      </c>
      <c r="AB51" s="44" t="str">
        <f>IFERROR(INDEX(Data_Omakoodi!E:E,MATCH(AA51,Data_Omakoodi!A:A,0)),"")</f>
        <v/>
      </c>
      <c r="AC51" t="str">
        <f>IFERROR(IF(INDEX(Data_Omakoodi!H:H,MATCH($AH$3&amp;$AL51,Data_Omakoodi!A:A,0))="P","",$AH$3&amp;$AL51),$AH$3&amp;$AL51)</f>
        <v>ComboBox_TyHlo_yksikko_00000044</v>
      </c>
      <c r="AD51" s="44" t="str">
        <f>IFERROR(INDEX(Data_Omakoodi!E:E,MATCH(AC51,Data_Omakoodi!A:A,0)),"")</f>
        <v/>
      </c>
      <c r="AE51" t="str">
        <f>IFERROR(IF(INDEX(Data_Omakoodi!H:H,MATCH($AH$3&amp;$AL51,Data_Omakoodi!A:A,0))="P","",$AH$3&amp;$AL51),$AH$3&amp;$AL51)</f>
        <v>ComboBox_TyHlo_yksikko_00000044</v>
      </c>
      <c r="AF51" t="s">
        <v>1634</v>
      </c>
      <c r="AG51" s="739" t="str">
        <f t="shared" si="0"/>
        <v/>
      </c>
      <c r="AH51" s="739" t="str">
        <f t="shared" si="1"/>
        <v/>
      </c>
      <c r="AJ51" s="739" t="str">
        <f t="shared" si="2"/>
        <v/>
      </c>
      <c r="AK51" s="739" t="str">
        <f t="shared" si="3"/>
        <v/>
      </c>
      <c r="AL51">
        <v>44</v>
      </c>
      <c r="AP51" s="35" t="s">
        <v>225</v>
      </c>
      <c r="AR51">
        <f>SUMIFS(AS!$W:$W,AS!$BO:$BO,$W$7,AS!$AB:$AB,AS!$AA$1,AS!$AH:$AH,$X$8,AS!$AT:$AT,Saapuminen!$AQ51,AS!$AV:$AV,Saapuminen!$X$6,AS!$AW:$AW,Saapuminen!$Y$6,AS!$X:$X,Saapuminen!$Y$5,AS!$K:$K,Saapuminen!$V$2)</f>
        <v>0</v>
      </c>
      <c r="AS51">
        <f>SUMIFS(AS!$W:$W,AS!$BO:$BO,$W$7,AS!$AB:$AB,AS!$AA$1,AS!$AH:$AH,$X$8,AS!$AT:$AT,Saapuminen!$AQ51,AS!$AV:$AV,Saapuminen!$X$6,AS!$I:$I,Saapuminen!$X$7,AS!$AW:$AW,Saapuminen!$Y$6,AS!$X:$X,Saapuminen!$Y$5,AS!$K:$K,Saapuminen!$V$2)</f>
        <v>0</v>
      </c>
      <c r="AT51">
        <f>SUMIFS(AS!$W:$W,AS!$BO:$BO,$W$7,AS!$AB:$AB,AS!$AA$1,AS!$AH:$AH,$X$8,AS!$AT:$AT,Saapuminen!$AQ51,AS!$AV:$AV,Saapuminen!$X$6,AS!$I:$I,Saapuminen!$Y$7,AS!$AW:$AW,Saapuminen!$Y$6,AS!$X:$X,Saapuminen!$Y$5,AS!$K:$K,Saapuminen!$V$2)</f>
        <v>0</v>
      </c>
      <c r="AY51" s="607" t="s">
        <v>1054</v>
      </c>
      <c r="AZ51" s="608" t="s">
        <v>1318</v>
      </c>
      <c r="BA51" s="1" t="s">
        <v>1319</v>
      </c>
      <c r="BB51" s="405" t="s">
        <v>1082</v>
      </c>
      <c r="BC51" s="405" t="s">
        <v>1320</v>
      </c>
      <c r="BD51" s="27" t="s">
        <v>1321</v>
      </c>
      <c r="BE51" s="88" t="s">
        <v>225</v>
      </c>
    </row>
    <row r="52" spans="1:57" ht="15" customHeight="1" x14ac:dyDescent="0.25">
      <c r="A52" s="62" t="s">
        <v>1616</v>
      </c>
      <c r="B52" s="63">
        <f>SUMIFS(AS!$W:$W,AS!$BO:$BO,$W$7,AS!$AB:$AB,AS!$AA$1,AS!$AH:$AH,$X$8,AS!$AT:$AT,Saapuminen!$AP52,AS!$AV:$AV,Saapuminen!$X$6,AS!$AW:$AW,Saapuminen!$Y$6,AS!$X:$X,Saapuminen!$Y$5,AS!$K:$K,Saapuminen!$V$2)+AR52</f>
        <v>0</v>
      </c>
      <c r="C52" s="318" t="str">
        <f t="shared" si="14"/>
        <v>-</v>
      </c>
      <c r="D52" s="63">
        <f>SUMIFS(AS!$W:$W,AS!$BO:$BO,$W$7,AS!$AB:$AB,AS!$AA$1,AS!$AH:$AH,$X$8,AS!$AT:$AT,Saapuminen!$AP52,AS!$AV:$AV,Saapuminen!$X$6,AS!$I:$I,Saapuminen!$X$7,AS!$AW:$AW,Saapuminen!$Y$6,AS!$X:$X,Saapuminen!$Y$5,AS!$K:$K,Saapuminen!$V$2)+AS52</f>
        <v>0</v>
      </c>
      <c r="E52" s="63">
        <f>SUMIFS(AS!$W:$W,AS!$BO:$BO,$W$7,AS!$AB:$AB,AS!$AA$1,AS!$AH:$AH,$X$8,AS!$AT:$AT,Saapuminen!$AP52,AS!$AV:$AV,Saapuminen!$X$6,AS!$I:$I,Saapuminen!$Y$7,AS!$AW:$AW,Saapuminen!$Y$6,AS!$X:$X,Saapuminen!$Y$5,AS!$K:$K,Saapuminen!$V$2)+AT52</f>
        <v>0</v>
      </c>
      <c r="F52" s="63">
        <f>SUMIFS(AS!$W:$W,AS!$BO:$BO,$W$7,AS!$AB:$AB,AS!$AA$1,AS!$AH:$AH,$Y$8,AS!$AT:$AT,Saapuminen!$AP52,AS!$AV:$AV,Saapuminen!$X$6,AS!$AW:$AW,Saapuminen!$Y$6,AS!$X:$X,Saapuminen!$Y$5,AS!$K:$K,Saapuminen!$V$2)</f>
        <v>0</v>
      </c>
      <c r="G52" s="74"/>
      <c r="H52" s="33"/>
      <c r="I52" s="33"/>
      <c r="J52" s="33"/>
      <c r="K52" s="33"/>
      <c r="L52" s="33"/>
      <c r="M52" s="75"/>
      <c r="N52" s="63">
        <f>SUMIFS(JA!Z:Z,JA!X:X,AP52,JA!AF:AF,"OK",JA!AE:AE,"OK")</f>
        <v>0</v>
      </c>
      <c r="O52" s="318" t="str">
        <f t="shared" si="11"/>
        <v>-</v>
      </c>
      <c r="P52" s="63">
        <f>SUMIFS(JA!Z:Z,JA!X:X,AP52,JA!AF:AF,"OK",JA!AE:AE,"OK")</f>
        <v>0</v>
      </c>
      <c r="Q52" s="63">
        <f>SUMIFS(JA!Z:Z,JA!X:X,AP52,JA!AF:AF,"OK",JA!AE:AE,"OK")</f>
        <v>0</v>
      </c>
      <c r="R52" s="63">
        <f>SUMIFS(JA!Z:Z,JA!X:X,AP52,JA!AF:AF,"OK",JA!AE:AE,"OK")</f>
        <v>0</v>
      </c>
      <c r="AA52" s="176" t="str">
        <f>IFERROR(IF(INDEX(Data_Omakoodi!H:H,MATCH($AK$3&amp;$AL52,Data_Omakoodi!A:A,0))="P","",$AK$3&amp;$AL52),$AK$3&amp;$AL52)</f>
        <v>ComboBox_EtKuntakoodi_00000045</v>
      </c>
      <c r="AB52" s="44" t="str">
        <f>IFERROR(INDEX(Data_Omakoodi!E:E,MATCH(AA52,Data_Omakoodi!A:A,0)),"")</f>
        <v/>
      </c>
      <c r="AC52" t="str">
        <f>IFERROR(IF(INDEX(Data_Omakoodi!H:H,MATCH($AH$3&amp;$AL52,Data_Omakoodi!A:A,0))="P","",$AH$3&amp;$AL52),$AH$3&amp;$AL52)</f>
        <v>ComboBox_TyHlo_yksikko_00000045</v>
      </c>
      <c r="AD52" s="44" t="str">
        <f>IFERROR(INDEX(Data_Omakoodi!E:E,MATCH(AC52,Data_Omakoodi!A:A,0)),"")</f>
        <v/>
      </c>
      <c r="AE52" t="str">
        <f>IFERROR(IF(INDEX(Data_Omakoodi!H:H,MATCH($AH$3&amp;$AL52,Data_Omakoodi!A:A,0))="P","",$AH$3&amp;$AL52),$AH$3&amp;$AL52)</f>
        <v>ComboBox_TyHlo_yksikko_00000045</v>
      </c>
      <c r="AF52" t="s">
        <v>1635</v>
      </c>
      <c r="AG52" s="739" t="str">
        <f t="shared" si="0"/>
        <v/>
      </c>
      <c r="AH52" s="739" t="str">
        <f t="shared" si="1"/>
        <v/>
      </c>
      <c r="AJ52" s="739" t="str">
        <f t="shared" si="2"/>
        <v/>
      </c>
      <c r="AK52" s="739" t="str">
        <f t="shared" si="3"/>
        <v/>
      </c>
      <c r="AL52">
        <v>45</v>
      </c>
      <c r="AP52" s="35" t="s">
        <v>1619</v>
      </c>
      <c r="AQ52" t="s">
        <v>228</v>
      </c>
      <c r="AR52">
        <f>SUMIFS(AS!$W:$W,AS!$BO:$BO,$W$7,AS!$AB:$AB,AS!$AA$1,AS!$AH:$AH,$X$8,AS!$AT:$AT,Saapuminen!$AQ52,AS!$AV:$AV,Saapuminen!$X$6,AS!$AW:$AW,Saapuminen!$Y$6,AS!$X:$X,Saapuminen!$Y$5,AS!$K:$K,Saapuminen!$V$2)</f>
        <v>0</v>
      </c>
      <c r="AS52">
        <f>SUMIFS(AS!$W:$W,AS!$BO:$BO,$W$7,AS!$AB:$AB,AS!$AA$1,AS!$AH:$AH,$X$8,AS!$AT:$AT,Saapuminen!$AQ52,AS!$AV:$AV,Saapuminen!$X$6,AS!$I:$I,Saapuminen!$X$7,AS!$AW:$AW,Saapuminen!$Y$6,AS!$X:$X,Saapuminen!$Y$5,AS!$K:$K,Saapuminen!$V$2)</f>
        <v>0</v>
      </c>
      <c r="AT52">
        <f>SUMIFS(AS!$W:$W,AS!$BO:$BO,$W$7,AS!$AB:$AB,AS!$AA$1,AS!$AH:$AH,$X$8,AS!$AT:$AT,Saapuminen!$AQ52,AS!$AV:$AV,Saapuminen!$X$6,AS!$I:$I,Saapuminen!$Y$7,AS!$AW:$AW,Saapuminen!$Y$6,AS!$X:$X,Saapuminen!$Y$5,AS!$K:$K,Saapuminen!$V$2)</f>
        <v>0</v>
      </c>
      <c r="AY52" s="607" t="s">
        <v>1054</v>
      </c>
      <c r="AZ52" s="608" t="s">
        <v>1318</v>
      </c>
      <c r="BA52" s="1" t="s">
        <v>1319</v>
      </c>
      <c r="BB52" s="615" t="s">
        <v>1081</v>
      </c>
      <c r="BC52" s="405" t="s">
        <v>1322</v>
      </c>
      <c r="BD52" s="27" t="s">
        <v>1323</v>
      </c>
      <c r="BE52" s="88" t="s">
        <v>228</v>
      </c>
    </row>
    <row r="53" spans="1:57" ht="15" customHeight="1" x14ac:dyDescent="0.25">
      <c r="A53" s="62" t="s">
        <v>136</v>
      </c>
      <c r="B53" s="63">
        <f>SUMIFS(AS!$W:$W,AS!$BO:$BO,$W$7,AS!$AB:$AB,AS!$AA$1,AS!$AH:$AH,$X$8,AS!$AT:$AT,Saapuminen!$AP53,AS!$AV:$AV,Saapuminen!$X$6,AS!$AW:$AW,Saapuminen!$Y$6,AS!$X:$X,Saapuminen!$Y$5,AS!$K:$K,Saapuminen!$V$2)+AR53</f>
        <v>0</v>
      </c>
      <c r="C53" s="318" t="str">
        <f t="shared" si="14"/>
        <v>-</v>
      </c>
      <c r="D53" s="63">
        <f>SUMIFS(AS!$W:$W,AS!$BO:$BO,$W$7,AS!$AB:$AB,AS!$AA$1,AS!$AH:$AH,$X$8,AS!$AT:$AT,Saapuminen!$AP53,AS!$AV:$AV,Saapuminen!$X$6,AS!$I:$I,Saapuminen!$X$7,AS!$AW:$AW,Saapuminen!$Y$6,AS!$X:$X,Saapuminen!$Y$5,AS!$K:$K,Saapuminen!$V$2)+AS53</f>
        <v>0</v>
      </c>
      <c r="E53" s="63">
        <f>SUMIFS(AS!$W:$W,AS!$BO:$BO,$W$7,AS!$AB:$AB,AS!$AA$1,AS!$AH:$AH,$X$8,AS!$AT:$AT,Saapuminen!$AP53,AS!$AV:$AV,Saapuminen!$X$6,AS!$I:$I,Saapuminen!$Y$7,AS!$AW:$AW,Saapuminen!$Y$6,AS!$X:$X,Saapuminen!$Y$5,AS!$K:$K,Saapuminen!$V$2)+AT53</f>
        <v>0</v>
      </c>
      <c r="F53" s="63">
        <f>SUMIFS(AS!$W:$W,AS!$BO:$BO,$W$7,AS!$AB:$AB,AS!$AA$1,AS!$AH:$AH,$Y$8,AS!$AT:$AT,Saapuminen!$AP53,AS!$AV:$AV,Saapuminen!$X$6,AS!$AW:$AW,Saapuminen!$Y$6,AS!$X:$X,Saapuminen!$Y$5,AS!$K:$K,Saapuminen!$V$2)</f>
        <v>0</v>
      </c>
      <c r="G53" s="74"/>
      <c r="H53" s="33"/>
      <c r="I53" s="33"/>
      <c r="J53" s="33"/>
      <c r="K53" s="33"/>
      <c r="L53" s="33"/>
      <c r="M53" s="75"/>
      <c r="N53" s="63">
        <f>SUMIFS(JA!Z:Z,JA!X:X,AP53,JA!AF:AF,"OK",JA!AE:AE,"OK")</f>
        <v>0</v>
      </c>
      <c r="O53" s="318" t="str">
        <f t="shared" si="11"/>
        <v>-</v>
      </c>
      <c r="P53" s="63">
        <f>SUMIFS(JA!Z:Z,JA!X:X,AP53,JA!AF:AF,"OK",JA!AE:AE,"OK")</f>
        <v>0</v>
      </c>
      <c r="Q53" s="63">
        <f>SUMIFS(JA!Z:Z,JA!X:X,AP53,JA!AF:AF,"OK",JA!AE:AE,"OK")</f>
        <v>0</v>
      </c>
      <c r="R53" s="63">
        <f>SUMIFS(JA!Z:Z,JA!X:X,AP53,JA!AF:AF,"OK",JA!AE:AE,"OK")</f>
        <v>0</v>
      </c>
      <c r="AA53" s="176" t="str">
        <f>IFERROR(IF(INDEX(Data_Omakoodi!H:H,MATCH($AK$3&amp;$AL53,Data_Omakoodi!A:A,0))="P","",$AK$3&amp;$AL53),$AK$3&amp;$AL53)</f>
        <v>ComboBox_EtKuntakoodi_00000046</v>
      </c>
      <c r="AB53" s="44" t="str">
        <f>IFERROR(INDEX(Data_Omakoodi!E:E,MATCH(AA53,Data_Omakoodi!A:A,0)),"")</f>
        <v/>
      </c>
      <c r="AC53" t="str">
        <f>IFERROR(IF(INDEX(Data_Omakoodi!H:H,MATCH($AH$3&amp;$AL53,Data_Omakoodi!A:A,0))="P","",$AH$3&amp;$AL53),$AH$3&amp;$AL53)</f>
        <v>ComboBox_TyHlo_yksikko_00000046</v>
      </c>
      <c r="AD53" s="44" t="str">
        <f>IFERROR(INDEX(Data_Omakoodi!E:E,MATCH(AC53,Data_Omakoodi!A:A,0)),"")</f>
        <v/>
      </c>
      <c r="AE53" t="str">
        <f>IFERROR(IF(INDEX(Data_Omakoodi!H:H,MATCH($AH$3&amp;$AL53,Data_Omakoodi!A:A,0))="P","",$AH$3&amp;$AL53),$AH$3&amp;$AL53)</f>
        <v>ComboBox_TyHlo_yksikko_00000046</v>
      </c>
      <c r="AF53" t="s">
        <v>1636</v>
      </c>
      <c r="AG53" s="739" t="str">
        <f t="shared" si="0"/>
        <v/>
      </c>
      <c r="AH53" s="739" t="str">
        <f t="shared" si="1"/>
        <v/>
      </c>
      <c r="AJ53" s="739" t="str">
        <f t="shared" si="2"/>
        <v/>
      </c>
      <c r="AK53" s="739" t="str">
        <f t="shared" si="3"/>
        <v/>
      </c>
      <c r="AL53">
        <v>46</v>
      </c>
      <c r="AP53" s="35" t="s">
        <v>236</v>
      </c>
      <c r="AR53">
        <f>SUMIFS(AS!$W:$W,AS!$BO:$BO,$W$7,AS!$AB:$AB,AS!$AA$1,AS!$AH:$AH,$X$8,AS!$AT:$AT,Saapuminen!$AQ53,AS!$AV:$AV,Saapuminen!$X$6,AS!$AW:$AW,Saapuminen!$Y$6,AS!$X:$X,Saapuminen!$Y$5,AS!$K:$K,Saapuminen!$V$2)</f>
        <v>0</v>
      </c>
      <c r="AS53">
        <f>SUMIFS(AS!$W:$W,AS!$BO:$BO,$W$7,AS!$AB:$AB,AS!$AA$1,AS!$AH:$AH,$X$8,AS!$AT:$AT,Saapuminen!$AQ53,AS!$AV:$AV,Saapuminen!$X$6,AS!$I:$I,Saapuminen!$X$7,AS!$AW:$AW,Saapuminen!$Y$6,AS!$X:$X,Saapuminen!$Y$5,AS!$K:$K,Saapuminen!$V$2)</f>
        <v>0</v>
      </c>
      <c r="AT53">
        <f>SUMIFS(AS!$W:$W,AS!$BO:$BO,$W$7,AS!$AB:$AB,AS!$AA$1,AS!$AH:$AH,$X$8,AS!$AT:$AT,Saapuminen!$AQ53,AS!$AV:$AV,Saapuminen!$X$6,AS!$I:$I,Saapuminen!$Y$7,AS!$AW:$AW,Saapuminen!$Y$6,AS!$X:$X,Saapuminen!$Y$5,AS!$K:$K,Saapuminen!$V$2)</f>
        <v>0</v>
      </c>
      <c r="AY53" s="607" t="s">
        <v>1054</v>
      </c>
      <c r="AZ53" s="608" t="s">
        <v>1318</v>
      </c>
      <c r="BA53" s="1" t="s">
        <v>1319</v>
      </c>
      <c r="BB53" s="405" t="s">
        <v>798</v>
      </c>
      <c r="BC53" s="405" t="s">
        <v>1324</v>
      </c>
      <c r="BD53" s="27" t="s">
        <v>1325</v>
      </c>
      <c r="BE53" s="88" t="s">
        <v>236</v>
      </c>
    </row>
    <row r="54" spans="1:57" ht="15" customHeight="1" x14ac:dyDescent="0.25">
      <c r="A54" s="62" t="s">
        <v>137</v>
      </c>
      <c r="B54" s="63">
        <f>SUMIFS(AS!$W:$W,AS!$BO:$BO,$W$7,AS!$AB:$AB,AS!$AA$1,AS!$AH:$AH,$X$8,AS!$AT:$AT,Saapuminen!$AP54,AS!$AV:$AV,Saapuminen!$X$6,AS!$AW:$AW,Saapuminen!$Y$6,AS!$X:$X,Saapuminen!$Y$5,AS!$K:$K,Saapuminen!$V$2)+AR54</f>
        <v>0</v>
      </c>
      <c r="C54" s="318" t="str">
        <f t="shared" si="14"/>
        <v>-</v>
      </c>
      <c r="D54" s="63">
        <f>SUMIFS(AS!$W:$W,AS!$BO:$BO,$W$7,AS!$AB:$AB,AS!$AA$1,AS!$AH:$AH,$X$8,AS!$AT:$AT,Saapuminen!$AP54,AS!$AV:$AV,Saapuminen!$X$6,AS!$I:$I,Saapuminen!$X$7,AS!$AW:$AW,Saapuminen!$Y$6,AS!$X:$X,Saapuminen!$Y$5,AS!$K:$K,Saapuminen!$V$2)+AS54</f>
        <v>0</v>
      </c>
      <c r="E54" s="63">
        <f>SUMIFS(AS!$W:$W,AS!$BO:$BO,$W$7,AS!$AB:$AB,AS!$AA$1,AS!$AH:$AH,$X$8,AS!$AT:$AT,Saapuminen!$AP54,AS!$AV:$AV,Saapuminen!$X$6,AS!$I:$I,Saapuminen!$Y$7,AS!$AW:$AW,Saapuminen!$Y$6,AS!$X:$X,Saapuminen!$Y$5,AS!$K:$K,Saapuminen!$V$2)+AT54</f>
        <v>0</v>
      </c>
      <c r="F54" s="63">
        <f>SUMIFS(AS!$W:$W,AS!$BO:$BO,$W$7,AS!$AB:$AB,AS!$AA$1,AS!$AH:$AH,$Y$8,AS!$AT:$AT,Saapuminen!$AP54,AS!$AV:$AV,Saapuminen!$X$6,AS!$AW:$AW,Saapuminen!$Y$6,AS!$X:$X,Saapuminen!$Y$5,AS!$K:$K,Saapuminen!$V$2)</f>
        <v>0</v>
      </c>
      <c r="G54" s="74"/>
      <c r="H54" s="33"/>
      <c r="I54" s="33"/>
      <c r="J54" s="33"/>
      <c r="K54" s="33"/>
      <c r="L54" s="33"/>
      <c r="M54" s="75"/>
      <c r="N54" s="63">
        <f>SUMIFS(JA!Z:Z,JA!X:X,AP54,JA!AF:AF,"OK",JA!AE:AE,"OK")</f>
        <v>0</v>
      </c>
      <c r="O54" s="318" t="str">
        <f t="shared" si="11"/>
        <v>-</v>
      </c>
      <c r="P54" s="63">
        <f>SUMIFS(JA!Z:Z,JA!X:X,AP54,JA!AF:AF,"OK",JA!AE:AE,"OK")</f>
        <v>0</v>
      </c>
      <c r="Q54" s="63">
        <f>SUMIFS(JA!Z:Z,JA!X:X,AP54,JA!AF:AF,"OK",JA!AE:AE,"OK")</f>
        <v>0</v>
      </c>
      <c r="R54" s="63">
        <f>SUMIFS(JA!Z:Z,JA!X:X,AP54,JA!AF:AF,"OK",JA!AE:AE,"OK")</f>
        <v>0</v>
      </c>
      <c r="AA54" s="176" t="str">
        <f>IFERROR(IF(INDEX(Data_Omakoodi!H:H,MATCH($AK$3&amp;$AL54,Data_Omakoodi!A:A,0))="P","",$AK$3&amp;$AL54),$AK$3&amp;$AL54)</f>
        <v>ComboBox_EtKuntakoodi_00000047</v>
      </c>
      <c r="AB54" s="44" t="str">
        <f>IFERROR(INDEX(Data_Omakoodi!E:E,MATCH(AA54,Data_Omakoodi!A:A,0)),"")</f>
        <v/>
      </c>
      <c r="AC54" t="str">
        <f>IFERROR(IF(INDEX(Data_Omakoodi!H:H,MATCH($AH$3&amp;$AL54,Data_Omakoodi!A:A,0))="P","",$AH$3&amp;$AL54),$AH$3&amp;$AL54)</f>
        <v>ComboBox_TyHlo_yksikko_00000047</v>
      </c>
      <c r="AD54" s="44" t="str">
        <f>IFERROR(INDEX(Data_Omakoodi!E:E,MATCH(AC54,Data_Omakoodi!A:A,0)),"")</f>
        <v/>
      </c>
      <c r="AE54" t="str">
        <f>IFERROR(IF(INDEX(Data_Omakoodi!H:H,MATCH($AH$3&amp;$AL54,Data_Omakoodi!A:A,0))="P","",$AH$3&amp;$AL54),$AH$3&amp;$AL54)</f>
        <v>ComboBox_TyHlo_yksikko_00000047</v>
      </c>
      <c r="AF54" t="s">
        <v>1637</v>
      </c>
      <c r="AG54" s="739" t="str">
        <f t="shared" si="0"/>
        <v/>
      </c>
      <c r="AH54" s="739" t="str">
        <f t="shared" si="1"/>
        <v/>
      </c>
      <c r="AJ54" s="739" t="str">
        <f t="shared" si="2"/>
        <v/>
      </c>
      <c r="AK54" s="739" t="str">
        <f t="shared" si="3"/>
        <v/>
      </c>
      <c r="AL54">
        <v>47</v>
      </c>
      <c r="AP54" s="35" t="s">
        <v>231</v>
      </c>
      <c r="AR54">
        <f>SUMIFS(AS!$W:$W,AS!$BO:$BO,$W$7,AS!$AB:$AB,AS!$AA$1,AS!$AH:$AH,$X$8,AS!$AT:$AT,Saapuminen!$AQ54,AS!$AV:$AV,Saapuminen!$X$6,AS!$AW:$AW,Saapuminen!$Y$6,AS!$X:$X,Saapuminen!$Y$5,AS!$K:$K,Saapuminen!$V$2)</f>
        <v>0</v>
      </c>
      <c r="AS54">
        <f>SUMIFS(AS!$W:$W,AS!$BO:$BO,$W$7,AS!$AB:$AB,AS!$AA$1,AS!$AH:$AH,$X$8,AS!$AT:$AT,Saapuminen!$AQ54,AS!$AV:$AV,Saapuminen!$X$6,AS!$I:$I,Saapuminen!$X$7,AS!$AW:$AW,Saapuminen!$Y$6,AS!$X:$X,Saapuminen!$Y$5,AS!$K:$K,Saapuminen!$V$2)</f>
        <v>0</v>
      </c>
      <c r="AT54">
        <f>SUMIFS(AS!$W:$W,AS!$BO:$BO,$W$7,AS!$AB:$AB,AS!$AA$1,AS!$AH:$AH,$X$8,AS!$AT:$AT,Saapuminen!$AQ54,AS!$AV:$AV,Saapuminen!$X$6,AS!$I:$I,Saapuminen!$Y$7,AS!$AW:$AW,Saapuminen!$Y$6,AS!$X:$X,Saapuminen!$Y$5,AS!$K:$K,Saapuminen!$V$2)</f>
        <v>0</v>
      </c>
      <c r="AY54" s="607" t="s">
        <v>1054</v>
      </c>
      <c r="AZ54" s="608" t="s">
        <v>1318</v>
      </c>
      <c r="BA54" s="1" t="s">
        <v>1319</v>
      </c>
      <c r="BB54" s="405" t="s">
        <v>1080</v>
      </c>
      <c r="BC54" s="405" t="s">
        <v>1326</v>
      </c>
      <c r="BD54" s="27" t="s">
        <v>1327</v>
      </c>
      <c r="BE54" s="88" t="s">
        <v>231</v>
      </c>
    </row>
    <row r="55" spans="1:57" ht="15" customHeight="1" x14ac:dyDescent="0.25">
      <c r="A55" s="59" t="s">
        <v>92</v>
      </c>
      <c r="B55" s="65">
        <f>SUM(B56:B59)</f>
        <v>0</v>
      </c>
      <c r="C55" s="61" t="str">
        <f>IFERROR(B55/B$63,"-")</f>
        <v>-</v>
      </c>
      <c r="D55" s="65">
        <f t="shared" ref="D55:F55" si="15">SUM(D56:D59)</f>
        <v>0</v>
      </c>
      <c r="E55" s="65">
        <f t="shared" si="15"/>
        <v>0</v>
      </c>
      <c r="F55" s="65">
        <f t="shared" si="15"/>
        <v>0</v>
      </c>
      <c r="G55" s="76"/>
      <c r="H55" s="38"/>
      <c r="I55" s="38"/>
      <c r="J55" s="38"/>
      <c r="K55" s="38"/>
      <c r="L55" s="38"/>
      <c r="M55" s="77"/>
      <c r="N55" s="65">
        <f>SUM(N56:N59)</f>
        <v>0</v>
      </c>
      <c r="O55" s="61" t="str">
        <f t="shared" si="11"/>
        <v>-</v>
      </c>
      <c r="P55" s="65">
        <f>SUM(P56:P59)</f>
        <v>0</v>
      </c>
      <c r="Q55" s="65">
        <f t="shared" ref="Q55:R55" si="16">SUM(Q56:Q59)</f>
        <v>0</v>
      </c>
      <c r="R55" s="65">
        <f t="shared" si="16"/>
        <v>0</v>
      </c>
      <c r="AA55" s="176" t="str">
        <f>IFERROR(IF(INDEX(Data_Omakoodi!H:H,MATCH($AK$3&amp;$AL55,Data_Omakoodi!A:A,0))="P","",$AK$3&amp;$AL55),$AK$3&amp;$AL55)</f>
        <v>ComboBox_EtKuntakoodi_00000048</v>
      </c>
      <c r="AB55" s="44" t="str">
        <f>IFERROR(INDEX(Data_Omakoodi!E:E,MATCH(AA55,Data_Omakoodi!A:A,0)),"")</f>
        <v/>
      </c>
      <c r="AC55" t="str">
        <f>IFERROR(IF(INDEX(Data_Omakoodi!H:H,MATCH($AH$3&amp;$AL55,Data_Omakoodi!A:A,0))="P","",$AH$3&amp;$AL55),$AH$3&amp;$AL55)</f>
        <v>ComboBox_TyHlo_yksikko_00000048</v>
      </c>
      <c r="AD55" s="44" t="str">
        <f>IFERROR(INDEX(Data_Omakoodi!E:E,MATCH(AC55,Data_Omakoodi!A:A,0)),"")</f>
        <v/>
      </c>
      <c r="AE55" t="str">
        <f>IFERROR(IF(INDEX(Data_Omakoodi!H:H,MATCH($AH$3&amp;$AL55,Data_Omakoodi!A:A,0))="P","",$AH$3&amp;$AL55),$AH$3&amp;$AL55)</f>
        <v>ComboBox_TyHlo_yksikko_00000048</v>
      </c>
      <c r="AF55" t="s">
        <v>1638</v>
      </c>
      <c r="AG55" s="739" t="str">
        <f t="shared" si="0"/>
        <v/>
      </c>
      <c r="AH55" s="739" t="str">
        <f t="shared" si="1"/>
        <v/>
      </c>
      <c r="AJ55" s="739" t="str">
        <f t="shared" si="2"/>
        <v/>
      </c>
      <c r="AK55" s="739" t="str">
        <f t="shared" si="3"/>
        <v/>
      </c>
      <c r="AL55">
        <v>48</v>
      </c>
    </row>
    <row r="56" spans="1:57" ht="15" customHeight="1" x14ac:dyDescent="0.25">
      <c r="A56" s="62" t="s">
        <v>1055</v>
      </c>
      <c r="B56" s="63">
        <f>SUMIFS(AS!$W:$W,AS!$BO:$BO,$W$7,AS!$AB:$AB,AS!$AA$1,AS!$AH:$AH,$X$8,AS!$AT:$AT,Saapuminen!$AP56,AS!$AV:$AV,Saapuminen!$X$6,AS!$AW:$AW,Saapuminen!$Y$6,AS!$X:$X,Saapuminen!$Y$5,AS!$K:$K,Saapuminen!$V$2)+AR56</f>
        <v>0</v>
      </c>
      <c r="C56" s="318" t="str">
        <f t="shared" ref="C56:C59" si="17">IFERROR(B56/B$63,"-")</f>
        <v>-</v>
      </c>
      <c r="D56" s="63">
        <f>SUMIFS(AS!$W:$W,AS!$BO:$BO,$W$7,AS!$AB:$AB,AS!$AA$1,AS!$AH:$AH,$X$8,AS!$AT:$AT,Saapuminen!$AP56,AS!$AV:$AV,Saapuminen!$X$6,AS!$I:$I,Saapuminen!$X$7,AS!$AW:$AW,Saapuminen!$Y$6,AS!$X:$X,Saapuminen!$Y$5,AS!$K:$K,Saapuminen!$V$2)+AS56</f>
        <v>0</v>
      </c>
      <c r="E56" s="63">
        <f>SUMIFS(AS!$W:$W,AS!$BO:$BO,$W$7,AS!$AB:$AB,AS!$AA$1,AS!$AH:$AH,$X$8,AS!$AT:$AT,Saapuminen!$AP56,AS!$AV:$AV,Saapuminen!$X$6,AS!$I:$I,Saapuminen!$Y$7,AS!$AW:$AW,Saapuminen!$Y$6,AS!$X:$X,Saapuminen!$Y$5,AS!$K:$K,Saapuminen!$V$2)+AT56</f>
        <v>0</v>
      </c>
      <c r="F56" s="63">
        <f>SUMIFS(AS!$W:$W,AS!$BO:$BO,$W$7,AS!$AB:$AB,AS!$AA$1,AS!$AH:$AH,$Y$8,AS!$AT:$AT,Saapuminen!$AP56,AS!$AV:$AV,Saapuminen!$X$6,AS!$AW:$AW,Saapuminen!$Y$6,AS!$X:$X,Saapuminen!$Y$5,AS!$K:$K,Saapuminen!$V$2)</f>
        <v>0</v>
      </c>
      <c r="G56" s="74"/>
      <c r="H56" s="33"/>
      <c r="I56" s="33"/>
      <c r="J56" s="33"/>
      <c r="K56" s="33"/>
      <c r="L56" s="33"/>
      <c r="M56" s="75"/>
      <c r="N56" s="63">
        <f>SUMIFS(JA!Z:Z,JA!X:X,AP56,JA!AF:AF,"OK",JA!AE:AE,"OK")</f>
        <v>0</v>
      </c>
      <c r="O56" s="318" t="str">
        <f t="shared" si="11"/>
        <v>-</v>
      </c>
      <c r="P56" s="63">
        <f>SUMIFS(JA!Z:Z,JA!X:X,AP56,JA!AF:AF,"OK",JA!AE:AE,"OK")</f>
        <v>0</v>
      </c>
      <c r="Q56" s="63">
        <f>SUMIFS(JA!Z:Z,JA!X:X,AP56,JA!AF:AF,"OK",JA!AE:AE,"OK")</f>
        <v>0</v>
      </c>
      <c r="R56" s="63">
        <f>SUMIFS(JA!Z:Z,JA!X:X,AP56,JA!AF:AF,"OK",JA!AE:AE,"OK")</f>
        <v>0</v>
      </c>
      <c r="AP56" s="515" t="s">
        <v>1058</v>
      </c>
      <c r="AQ56" s="513" t="s">
        <v>514</v>
      </c>
      <c r="AR56">
        <f>SUMIFS(AS!$W:$W,AS!$BO:$BO,$W$7,AS!$AB:$AB,AS!$AA$1,AS!$AH:$AH,$X$8,AS!$AT:$AT,Saapuminen!$AQ56,AS!$AV:$AV,Saapuminen!$X$6,AS!$AW:$AW,Saapuminen!$Y$6,AS!$X:$X,Saapuminen!$Y$5,AS!$K:$K,Saapuminen!$V$2)</f>
        <v>0</v>
      </c>
      <c r="AS56">
        <f>SUMIFS(AS!$W:$W,AS!$BO:$BO,$W$7,AS!$AB:$AB,AS!$AA$1,AS!$AH:$AH,$X$8,AS!$AT:$AT,Saapuminen!$AQ56,AS!$AV:$AV,Saapuminen!$X$6,AS!$I:$I,Saapuminen!$X$7,AS!$AW:$AW,Saapuminen!$Y$6,AS!$X:$X,Saapuminen!$Y$5,AS!$K:$K,Saapuminen!$V$2)</f>
        <v>0</v>
      </c>
      <c r="AT56">
        <f>SUMIFS(AS!$W:$W,AS!$BO:$BO,$W$7,AS!$AB:$AB,AS!$AA$1,AS!$AH:$AH,$X$8,AS!$AT:$AT,Saapuminen!$AQ56,AS!$AV:$AV,Saapuminen!$X$6,AS!$I:$I,Saapuminen!$Y$7,AS!$AW:$AW,Saapuminen!$Y$6,AS!$X:$X,Saapuminen!$Y$5,AS!$K:$K,Saapuminen!$V$2)</f>
        <v>0</v>
      </c>
      <c r="AY56" s="607" t="s">
        <v>92</v>
      </c>
      <c r="AZ56" s="607" t="s">
        <v>1339</v>
      </c>
      <c r="BA56" s="607" t="s">
        <v>1328</v>
      </c>
      <c r="BB56" s="405" t="s">
        <v>1055</v>
      </c>
      <c r="BC56" s="405" t="s">
        <v>1329</v>
      </c>
      <c r="BD56" s="27" t="s">
        <v>1330</v>
      </c>
      <c r="BE56" s="88" t="s">
        <v>1058</v>
      </c>
    </row>
    <row r="57" spans="1:57" ht="15" customHeight="1" x14ac:dyDescent="0.25">
      <c r="A57" s="62" t="s">
        <v>1617</v>
      </c>
      <c r="B57" s="63">
        <f>SUMIFS(AS!$W:$W,AS!$BO:$BO,$W$7,AS!$AB:$AB,AS!$AA$1,AS!$AH:$AH,$X$8,AS!$AT:$AT,Saapuminen!$AP57,AS!$AV:$AV,Saapuminen!$X$6,AS!$AW:$AW,Saapuminen!$Y$6,AS!$X:$X,Saapuminen!$Y$5,AS!$K:$K,Saapuminen!$V$2)+AR57</f>
        <v>0</v>
      </c>
      <c r="C57" s="318" t="str">
        <f t="shared" si="17"/>
        <v>-</v>
      </c>
      <c r="D57" s="63">
        <f>SUMIFS(AS!$W:$W,AS!$BO:$BO,$W$7,AS!$AB:$AB,AS!$AA$1,AS!$AH:$AH,$X$8,AS!$AT:$AT,Saapuminen!$AP57,AS!$AV:$AV,Saapuminen!$X$6,AS!$I:$I,Saapuminen!$X$7,AS!$AW:$AW,Saapuminen!$Y$6,AS!$X:$X,Saapuminen!$Y$5,AS!$K:$K,Saapuminen!$V$2)+AS57</f>
        <v>0</v>
      </c>
      <c r="E57" s="63">
        <f>SUMIFS(AS!$W:$W,AS!$BO:$BO,$W$7,AS!$AB:$AB,AS!$AA$1,AS!$AH:$AH,$X$8,AS!$AT:$AT,Saapuminen!$AP57,AS!$AV:$AV,Saapuminen!$X$6,AS!$I:$I,Saapuminen!$Y$7,AS!$AW:$AW,Saapuminen!$Y$6,AS!$X:$X,Saapuminen!$Y$5,AS!$K:$K,Saapuminen!$V$2)+AT57</f>
        <v>0</v>
      </c>
      <c r="F57" s="63">
        <f>SUMIFS(AS!$W:$W,AS!$BO:$BO,$W$7,AS!$AB:$AB,AS!$AA$1,AS!$AH:$AH,$Y$8,AS!$AT:$AT,Saapuminen!$AP57,AS!$AV:$AV,Saapuminen!$X$6,AS!$AW:$AW,Saapuminen!$Y$6,AS!$X:$X,Saapuminen!$Y$5,AS!$K:$K,Saapuminen!$V$2)</f>
        <v>0</v>
      </c>
      <c r="G57" s="74"/>
      <c r="H57" s="33"/>
      <c r="I57" s="33"/>
      <c r="J57" s="33"/>
      <c r="K57" s="33"/>
      <c r="L57" s="33"/>
      <c r="M57" s="75"/>
      <c r="N57" s="63">
        <f>SUMIFS(JA!Z:Z,JA!X:X,AP57,JA!AF:AF,"OK",JA!AE:AE,"OK")</f>
        <v>0</v>
      </c>
      <c r="O57" s="318" t="str">
        <f t="shared" si="11"/>
        <v>-</v>
      </c>
      <c r="P57" s="63">
        <f>SUMIFS(JA!Z:Z,JA!X:X,AP57,JA!AF:AF,"OK",JA!AE:AE,"OK")</f>
        <v>0</v>
      </c>
      <c r="Q57" s="63">
        <f>SUMIFS(JA!Z:Z,JA!X:X,AP57,JA!AF:AF,"OK",JA!AE:AE,"OK")</f>
        <v>0</v>
      </c>
      <c r="R57" s="63">
        <f>SUMIFS(JA!Z:Z,JA!X:X,AP57,JA!AF:AF,"OK",JA!AE:AE,"OK")</f>
        <v>0</v>
      </c>
      <c r="AP57" s="515" t="s">
        <v>1618</v>
      </c>
      <c r="AQ57" t="s">
        <v>1059</v>
      </c>
      <c r="AR57">
        <f>SUMIFS(AS!$W:$W,AS!$BO:$BO,$W$7,AS!$AB:$AB,AS!$AA$1,AS!$AH:$AH,$X$8,AS!$AT:$AT,Saapuminen!$AQ57,AS!$AV:$AV,Saapuminen!$X$6,AS!$AW:$AW,Saapuminen!$Y$6,AS!$X:$X,Saapuminen!$Y$5,AS!$K:$K,Saapuminen!$V$2)</f>
        <v>0</v>
      </c>
      <c r="AS57">
        <f>SUMIFS(AS!$W:$W,AS!$BO:$BO,$W$7,AS!$AB:$AB,AS!$AA$1,AS!$AH:$AH,$X$8,AS!$AT:$AT,Saapuminen!$AQ57,AS!$AV:$AV,Saapuminen!$X$6,AS!$I:$I,Saapuminen!$X$7,AS!$AW:$AW,Saapuminen!$Y$6,AS!$X:$X,Saapuminen!$Y$5,AS!$K:$K,Saapuminen!$V$2)</f>
        <v>0</v>
      </c>
      <c r="AT57">
        <f>SUMIFS(AS!$W:$W,AS!$BO:$BO,$W$7,AS!$AB:$AB,AS!$AA$1,AS!$AH:$AH,$X$8,AS!$AT:$AT,Saapuminen!$AQ57,AS!$AV:$AV,Saapuminen!$X$6,AS!$I:$I,Saapuminen!$Y$7,AS!$AW:$AW,Saapuminen!$Y$6,AS!$X:$X,Saapuminen!$Y$5,AS!$K:$K,Saapuminen!$V$2)</f>
        <v>0</v>
      </c>
      <c r="AY57" s="607" t="s">
        <v>92</v>
      </c>
      <c r="AZ57" s="607" t="s">
        <v>1339</v>
      </c>
      <c r="BA57" s="607" t="s">
        <v>1328</v>
      </c>
      <c r="BB57" s="405" t="s">
        <v>1083</v>
      </c>
      <c r="BC57" s="405" t="s">
        <v>1331</v>
      </c>
      <c r="BD57" s="609" t="s">
        <v>1332</v>
      </c>
      <c r="BE57" s="88" t="s">
        <v>1059</v>
      </c>
    </row>
    <row r="58" spans="1:57" ht="15" customHeight="1" x14ac:dyDescent="0.25">
      <c r="A58" s="62" t="s">
        <v>1353</v>
      </c>
      <c r="B58" s="63">
        <f>SUMIFS(AS!$W:$W,AS!$BO:$BO,$W$7,AS!$AB:$AB,AS!$AA$1,AS!$AH:$AH,$X$8,AS!$AT:$AT,Saapuminen!$AP58,AS!$AV:$AV,Saapuminen!$X$6,AS!$AW:$AW,Saapuminen!$Y$6,AS!$X:$X,Saapuminen!$Y$5,AS!$K:$K,Saapuminen!$V$2)+AR58</f>
        <v>0</v>
      </c>
      <c r="C58" s="318" t="str">
        <f t="shared" si="17"/>
        <v>-</v>
      </c>
      <c r="D58" s="63">
        <f>SUMIFS(AS!$W:$W,AS!$BO:$BO,$W$7,AS!$AB:$AB,AS!$AA$1,AS!$AH:$AH,$X$8,AS!$AT:$AT,Saapuminen!$AP58,AS!$AV:$AV,Saapuminen!$X$6,AS!$I:$I,Saapuminen!$X$7,AS!$AW:$AW,Saapuminen!$Y$6,AS!$X:$X,Saapuminen!$Y$5,AS!$K:$K,Saapuminen!$V$2)+AS58</f>
        <v>0</v>
      </c>
      <c r="E58" s="63">
        <f>SUMIFS(AS!$W:$W,AS!$BO:$BO,$W$7,AS!$AB:$AB,AS!$AA$1,AS!$AH:$AH,$X$8,AS!$AT:$AT,Saapuminen!$AP58,AS!$AV:$AV,Saapuminen!$X$6,AS!$I:$I,Saapuminen!$Y$7,AS!$AW:$AW,Saapuminen!$Y$6,AS!$X:$X,Saapuminen!$Y$5,AS!$K:$K,Saapuminen!$V$2)+AT58</f>
        <v>0</v>
      </c>
      <c r="F58" s="63">
        <f>SUMIFS(AS!$W:$W,AS!$BO:$BO,$W$7,AS!$AB:$AB,AS!$AA$1,AS!$AH:$AH,$Y$8,AS!$AT:$AT,Saapuminen!$AP58,AS!$AV:$AV,Saapuminen!$X$6,AS!$AW:$AW,Saapuminen!$Y$6,AS!$X:$X,Saapuminen!$Y$5,AS!$K:$K,Saapuminen!$V$2)</f>
        <v>0</v>
      </c>
      <c r="G58" s="74"/>
      <c r="H58" s="33"/>
      <c r="I58" s="33"/>
      <c r="J58" s="33"/>
      <c r="K58" s="33"/>
      <c r="L58" s="33"/>
      <c r="M58" s="75"/>
      <c r="N58" s="63">
        <f>SUMIFS(JA!Z:Z,JA!X:X,AP58,JA!AF:AF,"OK",JA!AE:AE,"OK")</f>
        <v>0</v>
      </c>
      <c r="O58" s="318" t="str">
        <f t="shared" si="11"/>
        <v>-</v>
      </c>
      <c r="P58" s="63">
        <f>SUMIFS(JA!Z:Z,JA!X:X,AP58,JA!AF:AF,"OK",JA!AE:AE,"OK")</f>
        <v>0</v>
      </c>
      <c r="Q58" s="63">
        <f>SUMIFS(JA!Z:Z,JA!X:X,AP58,JA!AF:AF,"OK",JA!AE:AE,"OK")</f>
        <v>0</v>
      </c>
      <c r="R58" s="63">
        <f>SUMIFS(JA!Z:Z,JA!X:X,AP58,JA!AF:AF,"OK",JA!AE:AE,"OK")</f>
        <v>0</v>
      </c>
      <c r="AP58" s="515" t="s">
        <v>1060</v>
      </c>
      <c r="AR58">
        <f>SUMIFS(AS!$W:$W,AS!$BO:$BO,$W$7,AS!$AB:$AB,AS!$AA$1,AS!$AH:$AH,$X$8,AS!$AT:$AT,Saapuminen!$AQ58,AS!$AV:$AV,Saapuminen!$X$6,AS!$AW:$AW,Saapuminen!$Y$6,AS!$X:$X,Saapuminen!$Y$5,AS!$K:$K,Saapuminen!$V$2)</f>
        <v>0</v>
      </c>
      <c r="AS58">
        <f>SUMIFS(AS!$W:$W,AS!$BO:$BO,$W$7,AS!$AB:$AB,AS!$AA$1,AS!$AH:$AH,$X$8,AS!$AT:$AT,Saapuminen!$AQ58,AS!$AV:$AV,Saapuminen!$X$6,AS!$I:$I,Saapuminen!$X$7,AS!$AW:$AW,Saapuminen!$Y$6,AS!$X:$X,Saapuminen!$Y$5,AS!$K:$K,Saapuminen!$V$2)</f>
        <v>0</v>
      </c>
      <c r="AT58">
        <f>SUMIFS(AS!$W:$W,AS!$BO:$BO,$W$7,AS!$AB:$AB,AS!$AA$1,AS!$AH:$AH,$X$8,AS!$AT:$AT,Saapuminen!$AQ58,AS!$AV:$AV,Saapuminen!$X$6,AS!$I:$I,Saapuminen!$Y$7,AS!$AW:$AW,Saapuminen!$Y$6,AS!$X:$X,Saapuminen!$Y$5,AS!$K:$K,Saapuminen!$V$2)</f>
        <v>0</v>
      </c>
      <c r="AY58" s="607" t="s">
        <v>92</v>
      </c>
      <c r="AZ58" s="607" t="s">
        <v>1339</v>
      </c>
      <c r="BA58" s="607" t="s">
        <v>1328</v>
      </c>
      <c r="BB58" s="405" t="s">
        <v>1084</v>
      </c>
      <c r="BC58" s="405" t="s">
        <v>1333</v>
      </c>
      <c r="BD58" s="609" t="s">
        <v>1334</v>
      </c>
      <c r="BE58" s="88" t="s">
        <v>1060</v>
      </c>
    </row>
    <row r="59" spans="1:57" ht="15" customHeight="1" x14ac:dyDescent="0.25">
      <c r="A59" s="62" t="s">
        <v>135</v>
      </c>
      <c r="B59" s="63">
        <f>SUMIFS(AS!$W:$W,AS!$BO:$BO,$W$7,AS!$AB:$AB,AS!$AA$1,AS!$AH:$AH,$X$8,AS!$AT:$AT,Saapuminen!$AP59,AS!$AV:$AV,Saapuminen!$X$6,AS!$AW:$AW,Saapuminen!$Y$6,AS!$X:$X,Saapuminen!$Y$5,AS!$K:$K,Saapuminen!$V$2)+AR59</f>
        <v>0</v>
      </c>
      <c r="C59" s="318" t="str">
        <f t="shared" si="17"/>
        <v>-</v>
      </c>
      <c r="D59" s="63">
        <f>SUMIFS(AS!$W:$W,AS!$BO:$BO,$W$7,AS!$AB:$AB,AS!$AA$1,AS!$AH:$AH,$X$8,AS!$AT:$AT,Saapuminen!$AP59,AS!$AV:$AV,Saapuminen!$X$6,AS!$I:$I,Saapuminen!$X$7,AS!$AW:$AW,Saapuminen!$Y$6,AS!$X:$X,Saapuminen!$Y$5,AS!$K:$K,Saapuminen!$V$2)+AS59</f>
        <v>0</v>
      </c>
      <c r="E59" s="63">
        <f>SUMIFS(AS!$W:$W,AS!$BO:$BO,$W$7,AS!$AB:$AB,AS!$AA$1,AS!$AH:$AH,$X$8,AS!$AT:$AT,Saapuminen!$AP59,AS!$AV:$AV,Saapuminen!$X$6,AS!$I:$I,Saapuminen!$Y$7,AS!$AW:$AW,Saapuminen!$Y$6,AS!$X:$X,Saapuminen!$Y$5,AS!$K:$K,Saapuminen!$V$2)+AT59</f>
        <v>0</v>
      </c>
      <c r="F59" s="63">
        <f>SUMIFS(AS!$W:$W,AS!$BO:$BO,$W$7,AS!$AB:$AB,AS!$AA$1,AS!$AH:$AH,$Y$8,AS!$AT:$AT,Saapuminen!$AP59,AS!$AV:$AV,Saapuminen!$X$6,AS!$AW:$AW,Saapuminen!$Y$6,AS!$X:$X,Saapuminen!$Y$5,AS!$K:$K,Saapuminen!$V$2)</f>
        <v>0</v>
      </c>
      <c r="G59" s="74"/>
      <c r="H59" s="33"/>
      <c r="I59" s="33"/>
      <c r="J59" s="33"/>
      <c r="K59" s="33"/>
      <c r="L59" s="33"/>
      <c r="M59" s="75"/>
      <c r="N59" s="63">
        <f>SUMIFS(JA!Z:Z,JA!X:X,AP59,JA!AF:AF,"OK",JA!AE:AE,"OK")</f>
        <v>0</v>
      </c>
      <c r="O59" s="318" t="str">
        <f t="shared" si="11"/>
        <v>-</v>
      </c>
      <c r="P59" s="63">
        <f>SUMIFS(JA!Z:Z,JA!X:X,AP59,JA!AF:AF,"OK",JA!AE:AE,"OK")</f>
        <v>0</v>
      </c>
      <c r="Q59" s="63">
        <f>SUMIFS(JA!Z:Z,JA!X:X,AP59,JA!AF:AF,"OK",JA!AE:AE,"OK")</f>
        <v>0</v>
      </c>
      <c r="R59" s="63">
        <f>SUMIFS(JA!Z:Z,JA!X:X,AP59,JA!AF:AF,"OK",JA!AE:AE,"OK")</f>
        <v>0</v>
      </c>
      <c r="AP59" s="35" t="s">
        <v>234</v>
      </c>
      <c r="AR59">
        <f>SUMIFS(AS!$W:$W,AS!$BO:$BO,$W$7,AS!$AB:$AB,AS!$AA$1,AS!$AH:$AH,$X$8,AS!$AT:$AT,Saapuminen!$AQ59,AS!$AV:$AV,Saapuminen!$X$6,AS!$AW:$AW,Saapuminen!$Y$6,AS!$X:$X,Saapuminen!$Y$5,AS!$K:$K,Saapuminen!$V$2)</f>
        <v>0</v>
      </c>
      <c r="AS59">
        <f>SUMIFS(AS!$W:$W,AS!$BO:$BO,$W$7,AS!$AB:$AB,AS!$AA$1,AS!$AH:$AH,$X$8,AS!$AT:$AT,Saapuminen!$AQ59,AS!$AV:$AV,Saapuminen!$X$6,AS!$I:$I,Saapuminen!$X$7,AS!$AW:$AW,Saapuminen!$Y$6,AS!$X:$X,Saapuminen!$Y$5,AS!$K:$K,Saapuminen!$V$2)</f>
        <v>0</v>
      </c>
      <c r="AT59">
        <f>SUMIFS(AS!$W:$W,AS!$BO:$BO,$W$7,AS!$AB:$AB,AS!$AA$1,AS!$AH:$AH,$X$8,AS!$AT:$AT,Saapuminen!$AQ59,AS!$AV:$AV,Saapuminen!$X$6,AS!$I:$I,Saapuminen!$Y$7,AS!$AW:$AW,Saapuminen!$Y$6,AS!$X:$X,Saapuminen!$Y$5,AS!$K:$K,Saapuminen!$V$2)</f>
        <v>0</v>
      </c>
      <c r="AY59" s="607" t="s">
        <v>92</v>
      </c>
      <c r="AZ59" s="607" t="s">
        <v>1339</v>
      </c>
      <c r="BA59" s="607" t="s">
        <v>1328</v>
      </c>
      <c r="BB59" s="405" t="s">
        <v>802</v>
      </c>
      <c r="BC59" s="405" t="s">
        <v>1335</v>
      </c>
      <c r="BD59" s="27" t="s">
        <v>1336</v>
      </c>
      <c r="BE59" s="88" t="s">
        <v>234</v>
      </c>
    </row>
    <row r="60" spans="1:57" ht="15" customHeight="1" x14ac:dyDescent="0.25">
      <c r="A60" s="59" t="s">
        <v>97</v>
      </c>
      <c r="B60" s="65">
        <f>B61+B62</f>
        <v>0</v>
      </c>
      <c r="C60" s="61" t="str">
        <f>IFERROR(B60/B$63,"-")</f>
        <v>-</v>
      </c>
      <c r="D60" s="65">
        <f>D61+D62</f>
        <v>0</v>
      </c>
      <c r="E60" s="65">
        <f>E61+E62</f>
        <v>0</v>
      </c>
      <c r="F60" s="65">
        <f>F61+F62</f>
        <v>0</v>
      </c>
      <c r="G60" s="76"/>
      <c r="H60" s="38"/>
      <c r="I60" s="38"/>
      <c r="J60" s="38"/>
      <c r="K60" s="38"/>
      <c r="L60" s="38"/>
      <c r="M60" s="77"/>
      <c r="N60" s="65">
        <f>N61+N62</f>
        <v>0</v>
      </c>
      <c r="O60" s="61" t="str">
        <f t="shared" si="11"/>
        <v>-</v>
      </c>
      <c r="P60" s="65">
        <f>P61+P62</f>
        <v>0</v>
      </c>
      <c r="Q60" s="65">
        <f>Q61+Q62</f>
        <v>0</v>
      </c>
      <c r="R60" s="65">
        <f>R61+R62</f>
        <v>0</v>
      </c>
    </row>
    <row r="61" spans="1:57" ht="15" customHeight="1" x14ac:dyDescent="0.25">
      <c r="A61" s="149" t="s">
        <v>97</v>
      </c>
      <c r="B61" s="63">
        <f>SUMIFS(AS!$W:$W,AS!$BO:$BO,$W$7,AS!$AB:$AB,AS!$AA$1,AS!$AH:$AH,$X$8,AS!$AT:$AT,Saapuminen!$AP61,AS!$AV:$AV,Saapuminen!$X$6,AS!$AW:$AW,Saapuminen!$Y$6,AS!$X:$X,Saapuminen!$Y$5,AS!$K:$K,Saapuminen!$V$2)+AR61</f>
        <v>0</v>
      </c>
      <c r="C61" s="318" t="str">
        <f t="shared" ref="C61:C62" si="18">IFERROR(B61/B$63,"-")</f>
        <v>-</v>
      </c>
      <c r="D61" s="63">
        <f>SUMIFS(AS!$W:$W,AS!$BO:$BO,$W$7,AS!$AB:$AB,AS!$AA$1,AS!$AH:$AH,$X$8,AS!$AT:$AT,Saapuminen!$AP61,AS!$AV:$AV,Saapuminen!$X$6,AS!$I:$I,Saapuminen!$X$7,AS!$AW:$AW,Saapuminen!$Y$6,AS!$X:$X,Saapuminen!$Y$5,AS!$K:$K,Saapuminen!$V$2)+AS61</f>
        <v>0</v>
      </c>
      <c r="E61" s="63">
        <f>SUMIFS(AS!$W:$W,AS!$BO:$BO,$W$7,AS!$AB:$AB,AS!$AA$1,AS!$AH:$AH,$X$8,AS!$AT:$AT,Saapuminen!$AP61,AS!$AV:$AV,Saapuminen!$X$6,AS!$I:$I,Saapuminen!$Y$7,AS!$AW:$AW,Saapuminen!$Y$6,AS!$X:$X,Saapuminen!$Y$5,AS!$K:$K,Saapuminen!$V$2)+AT61</f>
        <v>0</v>
      </c>
      <c r="F61" s="63">
        <f>SUMIFS(AS!$W:$W,AS!$BO:$BO,$W$7,AS!$AB:$AB,AS!$AA$1,AS!$AH:$AH,$Y$8,AS!$AT:$AT,Saapuminen!$AP61,AS!$AV:$AV,Saapuminen!$X$6,AS!$AW:$AW,Saapuminen!$Y$6,AS!$X:$X,Saapuminen!$Y$5,AS!$K:$K,Saapuminen!$V$2)</f>
        <v>0</v>
      </c>
      <c r="G61" s="78"/>
      <c r="H61" s="39"/>
      <c r="I61" s="39"/>
      <c r="J61" s="39"/>
      <c r="K61" s="39"/>
      <c r="L61" s="39"/>
      <c r="M61" s="79"/>
      <c r="N61" s="63">
        <f>SUMIFS(JA!Z:Z,JA!X:X,AP61,JA!AF:AF,"OK",JA!AE:AE,"OK")</f>
        <v>0</v>
      </c>
      <c r="O61" s="318" t="str">
        <f t="shared" si="11"/>
        <v>-</v>
      </c>
      <c r="P61" s="63">
        <f>SUMIFS(JA!Z:Z,JA!X:X,AP61,JA!AF:AF,"OK",JA!AE:AE,"OK")</f>
        <v>0</v>
      </c>
      <c r="Q61" s="63">
        <f>SUMIFS(JA!Z:Z,JA!X:X,AP61,JA!AF:AF,"OK",JA!AE:AE,"OK")</f>
        <v>0</v>
      </c>
      <c r="R61" s="63">
        <f>SUMIFS(JA!Z:Z,JA!X:X,AP61,JA!AF:AF,"OK",JA!AE:AE,"OK")</f>
        <v>0</v>
      </c>
      <c r="AP61" s="35" t="s">
        <v>244</v>
      </c>
      <c r="AR61">
        <f>SUMIFS(AS!$W:$W,AS!$BO:$BO,$W$7,AS!$AB:$AB,AS!$AA$1,AS!$AH:$AH,$X$8,AS!$AT:$AT,Saapuminen!$AQ61,AS!$AV:$AV,Saapuminen!$X$6,AS!$AW:$AW,Saapuminen!$Y$6,AS!$X:$X,Saapuminen!$Y$5,AS!$K:$K,Saapuminen!$V$2)</f>
        <v>0</v>
      </c>
      <c r="AS61">
        <f>SUMIFS(AS!$W:$W,AS!$BO:$BO,$W$7,AS!$AB:$AB,AS!$AA$1,AS!$AH:$AH,$X$8,AS!$AT:$AT,Saapuminen!$AQ61,AS!$AV:$AV,Saapuminen!$X$6,AS!$I:$I,Saapuminen!$X$7,AS!$AW:$AW,Saapuminen!$Y$6,AS!$X:$X,Saapuminen!$Y$5,AS!$K:$K,Saapuminen!$V$2)</f>
        <v>0</v>
      </c>
      <c r="AT61">
        <f>SUMIFS(AS!$W:$W,AS!$BO:$BO,$W$7,AS!$AB:$AB,AS!$AA$1,AS!$AH:$AH,$X$8,AS!$AT:$AT,Saapuminen!$AQ61,AS!$AV:$AV,Saapuminen!$X$6,AS!$I:$I,Saapuminen!$Y$7,AS!$AW:$AW,Saapuminen!$Y$6,AS!$X:$X,Saapuminen!$Y$5,AS!$K:$K,Saapuminen!$V$2)</f>
        <v>0</v>
      </c>
      <c r="AY61" s="607" t="s">
        <v>92</v>
      </c>
      <c r="AZ61" s="607" t="s">
        <v>1339</v>
      </c>
      <c r="BA61" s="607" t="s">
        <v>1328</v>
      </c>
      <c r="BB61" s="405" t="s">
        <v>2</v>
      </c>
      <c r="BC61" s="405" t="s">
        <v>1337</v>
      </c>
      <c r="BD61" s="405" t="s">
        <v>1338</v>
      </c>
      <c r="BE61" s="88" t="s">
        <v>244</v>
      </c>
    </row>
    <row r="62" spans="1:57" ht="15" customHeight="1" x14ac:dyDescent="0.25">
      <c r="A62" s="149" t="s">
        <v>548</v>
      </c>
      <c r="B62" s="63">
        <f>SUMIFS(AS!$W:$W,AS!$BO:$BO,$W$7,AS!$AB:$AB,AS!$AA$1,AS!$AH:$AH,$X$8,AS!$AT:$AT,"",AS!$AV:$AV,Saapuminen!$X$6,AS!$AW:$AW,Saapuminen!$Y$6,AS!$X:$X,Saapuminen!$Y$5,AS!$K:$K,Saapuminen!$V$2)+AH62</f>
        <v>0</v>
      </c>
      <c r="C62" s="318" t="str">
        <f t="shared" si="18"/>
        <v>-</v>
      </c>
      <c r="D62" s="63">
        <f>SUMIFS(AS!$W:$W,AS!$BO:$BO,$W$7,AS!$AB:$AB,AS!$AA$1,AS!$AH:$AH,$X$8,AS!$AT:$AT,"",AS!$AV:$AV,Saapuminen!$X$6,AS!$I:$I,Saapuminen!$X$7,AS!$AW:$AW,Saapuminen!$Y$6,AS!$X:$X,Saapuminen!$Y$5,AS!$K:$K,Saapuminen!$V$2)+AI62</f>
        <v>0</v>
      </c>
      <c r="E62" s="63">
        <f>SUMIFS(AS!$W:$W,AS!$BO:$BO,$W$7,AS!$AB:$AB,AS!$AA$1,AS!$AH:$AH,$X$8,AS!$AT:$AT,"",AS!$AV:$AV,Saapuminen!$X$6,AS!$I:$I,Saapuminen!$Y$7,AS!$AW:$AW,Saapuminen!$Y$6,AS!$X:$X,Saapuminen!$Y$5,AS!$K:$K,Saapuminen!$V$2)+AJ62</f>
        <v>0</v>
      </c>
      <c r="F62" s="63">
        <f>SUMIFS(AS!$W:$W,AS!$BO:$BO,$W$7,AS!$AB:$AB,AS!$AA$1,AS!$AH:$AH,$Y$8,AS!$AT:$AT,Saapuminen!$AF62,AS!$AV:$AV,Saapuminen!$X$6,AS!$AW:$AW,Saapuminen!$Y$6,AS!$X:$X,Saapuminen!$Y$5,AS!$K:$K,Saapuminen!$V$2)</f>
        <v>0</v>
      </c>
      <c r="G62" s="78"/>
      <c r="H62" s="39"/>
      <c r="I62" s="39"/>
      <c r="J62" s="39"/>
      <c r="K62" s="39"/>
      <c r="L62" s="39"/>
      <c r="M62" s="79"/>
      <c r="N62" s="63">
        <f>SUMIFS(JA!Z:Z,JA!X:X,"",JA!AF:AF,"OK",JA!AE:AE,"OK")</f>
        <v>0</v>
      </c>
      <c r="O62" s="318" t="str">
        <f t="shared" si="11"/>
        <v>-</v>
      </c>
      <c r="P62" s="63">
        <f>SUMIFS(JA!Z:Z,JA!X:X,"",JA!AF:AF,"OK",JA!AE:AE,"OK")</f>
        <v>0</v>
      </c>
      <c r="Q62" s="63">
        <f>SUMIFS(JA!Z:Z,JA!X:X,"",JA!AF:AF,"OK",JA!AE:AE,"OK")</f>
        <v>0</v>
      </c>
      <c r="R62" s="63">
        <f>SUMIFS(JA!Z:Z,JA!X:X,"",JA!AF:AF,"OK",JA!AE:AE,"OK")</f>
        <v>0</v>
      </c>
    </row>
    <row r="63" spans="1:57" ht="24.75" customHeight="1" x14ac:dyDescent="0.25">
      <c r="A63" s="276" t="s">
        <v>114</v>
      </c>
      <c r="B63" s="66">
        <f>B60+B55+B50+B36+B31+B24+B14+B42</f>
        <v>0</v>
      </c>
      <c r="C63" s="319" t="str">
        <f>IFERROR(C60+C55+C50+C36+C31+C24+C14+C42,"-")</f>
        <v>-</v>
      </c>
      <c r="D63" s="66">
        <f>D60+D55+D50+D36+D31+D24+D14+D42</f>
        <v>0</v>
      </c>
      <c r="E63" s="66">
        <f>E60+E55+E50+E36+E31+E24+E14+E42</f>
        <v>0</v>
      </c>
      <c r="F63" s="66">
        <f>F60+F55+F50+F36+F31+F24+F14+F42</f>
        <v>0</v>
      </c>
      <c r="G63" s="80"/>
      <c r="H63" s="81"/>
      <c r="I63" s="81"/>
      <c r="J63" s="81"/>
      <c r="K63" s="81"/>
      <c r="L63" s="81"/>
      <c r="M63" s="82"/>
      <c r="N63" s="66">
        <f>N60+N55+N50+N36+N31+N24+N14+N42</f>
        <v>0</v>
      </c>
      <c r="O63" s="319" t="str">
        <f>IFERROR(O60+O55+O50+O36+O31+O24+O14+O42,"-")</f>
        <v>-</v>
      </c>
      <c r="P63" s="66">
        <f>P60+P55+P50+P36+P31+P24+P14+P42</f>
        <v>0</v>
      </c>
      <c r="Q63" s="66">
        <f>Q60+Q55+Q50+Q36+Q31+Q24+Q14+Q42</f>
        <v>0</v>
      </c>
      <c r="R63" s="66">
        <f>R60+R55+R50+R36+R31+R24+R14+R42</f>
        <v>0</v>
      </c>
    </row>
    <row r="64" spans="1:57" x14ac:dyDescent="0.25">
      <c r="A64" s="529"/>
    </row>
    <row r="65" spans="1:13" x14ac:dyDescent="0.25">
      <c r="A65" s="361"/>
    </row>
    <row r="66" spans="1:13" x14ac:dyDescent="0.25">
      <c r="A66" s="820" t="str">
        <f>A11</f>
        <v xml:space="preserve">- KAIKKI: 01.01.2025-30.04.2025 </v>
      </c>
      <c r="B66" s="820"/>
      <c r="C66" s="874"/>
      <c r="D66" s="868" t="str">
        <f>"Kuva: "&amp;A11&amp;" (N="&amp;B63&amp;")"</f>
        <v>Kuva: - KAIKKI: 01.01.2025-30.04.2025  (N=0)</v>
      </c>
      <c r="E66" s="869"/>
      <c r="F66" s="869"/>
      <c r="G66" s="869"/>
      <c r="H66" s="869"/>
      <c r="I66" s="869"/>
      <c r="J66" s="869"/>
      <c r="K66" s="869"/>
      <c r="L66" s="869"/>
      <c r="M66" s="870"/>
    </row>
    <row r="67" spans="1:13" x14ac:dyDescent="0.25">
      <c r="A67" s="875"/>
      <c r="B67" s="875"/>
      <c r="C67" s="876"/>
      <c r="D67" s="871"/>
      <c r="E67" s="872"/>
      <c r="F67" s="872"/>
      <c r="G67" s="872"/>
      <c r="H67" s="872"/>
      <c r="I67" s="872"/>
      <c r="J67" s="872"/>
      <c r="K67" s="872"/>
      <c r="L67" s="872"/>
      <c r="M67" s="873"/>
    </row>
    <row r="68" spans="1:13" x14ac:dyDescent="0.25">
      <c r="A68" s="866" t="s">
        <v>118</v>
      </c>
      <c r="B68" s="833" t="s">
        <v>114</v>
      </c>
      <c r="C68" s="850"/>
      <c r="D68" s="256"/>
      <c r="E68" s="257"/>
      <c r="F68" s="257"/>
      <c r="G68" s="257"/>
      <c r="H68" s="257"/>
      <c r="I68" s="257"/>
      <c r="J68" s="257"/>
      <c r="K68" s="257"/>
      <c r="L68" s="257"/>
      <c r="M68" s="258"/>
    </row>
    <row r="69" spans="1:13" x14ac:dyDescent="0.25">
      <c r="A69" s="867"/>
      <c r="B69" s="57" t="s">
        <v>106</v>
      </c>
      <c r="C69" s="234" t="s">
        <v>176</v>
      </c>
      <c r="D69" s="228"/>
      <c r="M69" s="259"/>
    </row>
    <row r="70" spans="1:13" x14ac:dyDescent="0.25">
      <c r="A70" s="62" t="str">
        <f>A14</f>
        <v>Oppilaitos</v>
      </c>
      <c r="B70" s="63">
        <f>B14</f>
        <v>0</v>
      </c>
      <c r="C70" s="320" t="str">
        <f>C14</f>
        <v>-</v>
      </c>
      <c r="D70" s="228"/>
      <c r="M70" s="259"/>
    </row>
    <row r="71" spans="1:13" x14ac:dyDescent="0.25">
      <c r="A71" s="62" t="str">
        <f>A24</f>
        <v>Sosiaali- ja terveyspalvelut ja kuntoutus</v>
      </c>
      <c r="B71" s="63">
        <f>B24</f>
        <v>0</v>
      </c>
      <c r="C71" s="320" t="str">
        <f>C24</f>
        <v>-</v>
      </c>
      <c r="D71" s="228"/>
      <c r="M71" s="259"/>
    </row>
    <row r="72" spans="1:13" x14ac:dyDescent="0.25">
      <c r="A72" s="62" t="str">
        <f>A31</f>
        <v>Nuorisotyö</v>
      </c>
      <c r="B72" s="63">
        <f>B31</f>
        <v>0</v>
      </c>
      <c r="C72" s="320" t="str">
        <f>C31</f>
        <v>-</v>
      </c>
      <c r="D72" s="228"/>
      <c r="M72" s="259"/>
    </row>
    <row r="73" spans="1:13" x14ac:dyDescent="0.25">
      <c r="A73" s="62" t="str">
        <f>A36</f>
        <v>Työllisyyspalvelut</v>
      </c>
      <c r="B73" s="63">
        <f>B36</f>
        <v>0</v>
      </c>
      <c r="C73" s="320" t="str">
        <f>C36</f>
        <v>-</v>
      </c>
      <c r="D73" s="228"/>
      <c r="M73" s="259"/>
    </row>
    <row r="74" spans="1:13" x14ac:dyDescent="0.25">
      <c r="A74" s="62" t="str">
        <f>A42</f>
        <v>Virallinen toimiala</v>
      </c>
      <c r="B74" s="63">
        <f>B42</f>
        <v>0</v>
      </c>
      <c r="C74" s="320" t="str">
        <f>C42</f>
        <v>-</v>
      </c>
      <c r="D74" s="228"/>
      <c r="M74" s="259"/>
    </row>
    <row r="75" spans="1:13" x14ac:dyDescent="0.25">
      <c r="A75" s="62" t="str">
        <f>A50</f>
        <v>Suoraan /kavereiden- tai sukulaisen yhteydenotto</v>
      </c>
      <c r="B75" s="63">
        <f>B50</f>
        <v>0</v>
      </c>
      <c r="C75" s="320" t="str">
        <f>C50</f>
        <v>-</v>
      </c>
      <c r="D75" s="228"/>
      <c r="M75" s="259"/>
    </row>
    <row r="76" spans="1:13" x14ac:dyDescent="0.25">
      <c r="A76" s="62" t="str">
        <f>A55</f>
        <v>Muut</v>
      </c>
      <c r="B76" s="63">
        <f>B55</f>
        <v>0</v>
      </c>
      <c r="C76" s="320" t="str">
        <f>C55</f>
        <v>-</v>
      </c>
      <c r="D76" s="228"/>
      <c r="M76" s="259"/>
    </row>
    <row r="77" spans="1:13" x14ac:dyDescent="0.25">
      <c r="A77" s="62" t="str">
        <f>A60</f>
        <v>Ei tietoa</v>
      </c>
      <c r="B77" s="63">
        <f>B60</f>
        <v>0</v>
      </c>
      <c r="C77" s="320" t="str">
        <f>C60</f>
        <v>-</v>
      </c>
      <c r="D77" s="228"/>
      <c r="M77" s="259"/>
    </row>
    <row r="78" spans="1:13" x14ac:dyDescent="0.25">
      <c r="A78" s="276" t="s">
        <v>114</v>
      </c>
      <c r="B78" s="66">
        <f>SUM(B70:B77)</f>
        <v>0</v>
      </c>
      <c r="C78" s="319">
        <f>SUM(C70:C77)</f>
        <v>0</v>
      </c>
      <c r="D78" s="228"/>
      <c r="M78" s="259"/>
    </row>
    <row r="94" spans="1:25" s="27" customFormat="1" ht="12.75" x14ac:dyDescent="0.2">
      <c r="A94" s="152" t="str">
        <f>Y12&amp;X95&amp;X10&amp;" "&amp;X12</f>
        <v xml:space="preserve">- KAIKKI: Lain puitteissa saapuneet - oma kirjaus01.01.2025-30.04.2025  </v>
      </c>
      <c r="B94" s="95"/>
      <c r="C94" s="95"/>
      <c r="D94" s="88"/>
      <c r="N94" s="88"/>
      <c r="O94" s="150"/>
      <c r="P94" s="150"/>
      <c r="Q94" s="150"/>
      <c r="R94" s="88"/>
    </row>
    <row r="95" spans="1:25" s="27" customFormat="1" ht="15" customHeight="1" x14ac:dyDescent="0.25">
      <c r="A95" s="859" t="s">
        <v>109</v>
      </c>
      <c r="B95" s="859" t="s">
        <v>114</v>
      </c>
      <c r="C95" s="859"/>
      <c r="D95" s="859" t="s">
        <v>731</v>
      </c>
      <c r="E95" s="859"/>
      <c r="F95" s="859" t="s">
        <v>732</v>
      </c>
      <c r="G95" s="860"/>
      <c r="H95" s="877" t="s">
        <v>733</v>
      </c>
      <c r="I95" s="878"/>
      <c r="J95" s="878"/>
      <c r="K95" s="878"/>
      <c r="L95" s="879"/>
      <c r="N95" s="88"/>
      <c r="O95" s="150"/>
      <c r="P95" s="150"/>
      <c r="Q95" s="150"/>
      <c r="R95" s="88"/>
      <c r="X95" s="327" t="s">
        <v>730</v>
      </c>
    </row>
    <row r="96" spans="1:25" s="27" customFormat="1" ht="25.5" x14ac:dyDescent="0.25">
      <c r="A96" s="859"/>
      <c r="B96" s="153" t="s">
        <v>106</v>
      </c>
      <c r="C96" s="154" t="s">
        <v>110</v>
      </c>
      <c r="D96" s="153" t="s">
        <v>106</v>
      </c>
      <c r="E96" s="154" t="s">
        <v>734</v>
      </c>
      <c r="F96" s="153" t="s">
        <v>106</v>
      </c>
      <c r="G96" s="227" t="s">
        <v>734</v>
      </c>
      <c r="H96" s="308"/>
      <c r="I96"/>
      <c r="J96"/>
      <c r="K96"/>
      <c r="L96" s="309"/>
      <c r="N96" s="88"/>
      <c r="O96" s="150"/>
      <c r="P96" s="150"/>
      <c r="Q96" s="150"/>
      <c r="R96" s="88"/>
      <c r="X96" s="223" t="s">
        <v>107</v>
      </c>
      <c r="Y96" s="223" t="s">
        <v>329</v>
      </c>
    </row>
    <row r="97" spans="1:24" s="27" customFormat="1" x14ac:dyDescent="0.25">
      <c r="A97" s="518" t="s">
        <v>785</v>
      </c>
      <c r="B97" s="148">
        <f>SUMIFS(AS!W:W,AS!AB:AB,AS!$AA$1,AS!AG:AG,Saapuminen!$X97,AS!$AV:$AV,Saapuminen!$X$6,AS!$AW:$AW,$Y$6)</f>
        <v>0</v>
      </c>
      <c r="C97" s="666" t="str">
        <f t="shared" ref="C97:C102" si="19">IFERROR((B97/$B$103)*100,"-")</f>
        <v>-</v>
      </c>
      <c r="D97" s="148">
        <f>SUMIFS(AS!W:W,AS!AB:AB,AS!$AA$1,AS!AG:AG,Saapuminen!$X97,AS!$AV:$AV,Saapuminen!$X$6,AS!$AW:$AW,$Y$6,AS!$BF:$BF,Saapuminen!$Y$96)</f>
        <v>0</v>
      </c>
      <c r="E97" s="666" t="str">
        <f t="shared" ref="E97:E103" si="20">IFERROR((D97/B97)*100,"-")</f>
        <v>-</v>
      </c>
      <c r="F97" s="148">
        <f t="shared" ref="F97:F102" si="21">B97-D97</f>
        <v>0</v>
      </c>
      <c r="G97" s="666" t="str">
        <f t="shared" ref="G97:G103" si="22">IFERROR((F97/B97)*100,"-")</f>
        <v>-</v>
      </c>
      <c r="H97" s="308"/>
      <c r="I97"/>
      <c r="J97"/>
      <c r="K97"/>
      <c r="L97" s="309"/>
      <c r="N97" s="88"/>
      <c r="O97" s="150"/>
      <c r="P97" s="150"/>
      <c r="Q97" s="150"/>
      <c r="R97" s="88"/>
      <c r="X97" s="28" t="s">
        <v>65</v>
      </c>
    </row>
    <row r="98" spans="1:24" s="27" customFormat="1" x14ac:dyDescent="0.25">
      <c r="A98" s="518" t="s">
        <v>1359</v>
      </c>
      <c r="B98" s="148">
        <f>SUMIFS(AS!W:W,AS!AB:AB,AS!$AA$1,AS!AG:AG,Saapuminen!$X98,AS!$AV:$AV,Saapuminen!$X$6,AS!$AW:$AW,$Y$6)</f>
        <v>0</v>
      </c>
      <c r="C98" s="666" t="str">
        <f t="shared" si="19"/>
        <v>-</v>
      </c>
      <c r="D98" s="148">
        <f>SUMIFS(AS!W:W,AS!AB:AB,AS!$AA$1,AS!AG:AG,Saapuminen!$X98,AS!$AV:$AV,Saapuminen!$X$6,AS!$AW:$AW,$Y$6,AS!$BF:$BF,Saapuminen!$Y$96)</f>
        <v>0</v>
      </c>
      <c r="E98" s="666" t="str">
        <f t="shared" ref="E98" si="23">IFERROR((D98/B98)*100,"-")</f>
        <v>-</v>
      </c>
      <c r="F98" s="148">
        <f t="shared" si="21"/>
        <v>0</v>
      </c>
      <c r="G98" s="666" t="str">
        <f t="shared" ref="G98" si="24">IFERROR((F98/B98)*100,"-")</f>
        <v>-</v>
      </c>
      <c r="H98" s="308"/>
      <c r="I98"/>
      <c r="J98"/>
      <c r="K98"/>
      <c r="L98" s="309"/>
      <c r="N98" s="88"/>
      <c r="O98" s="150"/>
      <c r="P98" s="150"/>
      <c r="Q98" s="150"/>
      <c r="R98" s="88"/>
      <c r="X98" t="s">
        <v>1357</v>
      </c>
    </row>
    <row r="99" spans="1:24" s="27" customFormat="1" x14ac:dyDescent="0.25">
      <c r="A99" s="518" t="s">
        <v>1360</v>
      </c>
      <c r="B99" s="148">
        <f>SUMIFS(AS!W:W,AS!AB:AB,AS!$AA$1,AS!AG:AG,Saapuminen!$X99,AS!$AV:$AV,Saapuminen!$X$6,AS!$AW:$AW,$Y$6)</f>
        <v>0</v>
      </c>
      <c r="C99" s="666" t="str">
        <f t="shared" si="19"/>
        <v>-</v>
      </c>
      <c r="D99" s="148">
        <f>SUMIFS(AS!W:W,AS!AB:AB,AS!$AA$1,AS!AG:AG,Saapuminen!$X99,AS!$AV:$AV,Saapuminen!$X$6,AS!$AW:$AW,$Y$6,AS!$BF:$BF,Saapuminen!$Y$96)</f>
        <v>0</v>
      </c>
      <c r="E99" s="666" t="str">
        <f t="shared" si="20"/>
        <v>-</v>
      </c>
      <c r="F99" s="148">
        <f t="shared" si="21"/>
        <v>0</v>
      </c>
      <c r="G99" s="666" t="str">
        <f t="shared" si="22"/>
        <v>-</v>
      </c>
      <c r="H99" s="308"/>
      <c r="I99"/>
      <c r="J99"/>
      <c r="K99"/>
      <c r="L99" s="309"/>
      <c r="N99" s="88"/>
      <c r="O99" s="150"/>
      <c r="P99" s="150"/>
      <c r="Q99" s="150"/>
      <c r="R99" s="88"/>
      <c r="X99" s="155" t="s">
        <v>1358</v>
      </c>
    </row>
    <row r="100" spans="1:24" s="27" customFormat="1" x14ac:dyDescent="0.25">
      <c r="A100" s="518" t="s">
        <v>786</v>
      </c>
      <c r="B100" s="148">
        <f>SUMIFS(AS!W:W,AS!AB:AB,AS!$AA$1,AS!AG:AG,Saapuminen!$X100,AS!$AV:$AV,Saapuminen!$X$6,AS!$AW:$AW,$Y$6)</f>
        <v>0</v>
      </c>
      <c r="C100" s="666" t="str">
        <f t="shared" si="19"/>
        <v>-</v>
      </c>
      <c r="D100" s="148">
        <f>SUMIFS(AS!W:W,AS!AB:AB,AS!$AA$1,AS!AG:AG,Saapuminen!$X100,AS!$AV:$AV,Saapuminen!$X$6,AS!$AW:$AW,$Y$6,AS!$BF:$BF,Saapuminen!$Y$96)</f>
        <v>0</v>
      </c>
      <c r="E100" s="666" t="str">
        <f t="shared" si="20"/>
        <v>-</v>
      </c>
      <c r="F100" s="148">
        <f t="shared" si="21"/>
        <v>0</v>
      </c>
      <c r="G100" s="666" t="str">
        <f t="shared" si="22"/>
        <v>-</v>
      </c>
      <c r="H100" s="308"/>
      <c r="I100"/>
      <c r="J100"/>
      <c r="K100"/>
      <c r="L100" s="309"/>
      <c r="N100" s="88"/>
      <c r="O100" s="150"/>
      <c r="P100" s="150"/>
      <c r="Q100" s="150"/>
      <c r="R100" s="88"/>
      <c r="X100" s="155" t="s">
        <v>71</v>
      </c>
    </row>
    <row r="101" spans="1:24" s="27" customFormat="1" x14ac:dyDescent="0.25">
      <c r="A101" s="518" t="s">
        <v>787</v>
      </c>
      <c r="B101" s="148">
        <f>SUMIFS(AS!W:W,AS!AB:AB,AS!$AA$1,AS!AG:AG,Saapuminen!$X101,AS!$AV:$AV,Saapuminen!$X$6,AS!$AW:$AW,$Y$6)</f>
        <v>0</v>
      </c>
      <c r="C101" s="666" t="str">
        <f t="shared" si="19"/>
        <v>-</v>
      </c>
      <c r="D101" s="148">
        <f>SUMIFS(AS!W:W,AS!AB:AB,AS!$AA$1,AS!AG:AG,Saapuminen!$X101,AS!$AV:$AV,Saapuminen!$X$6,AS!$AW:$AW,$Y$6,AS!$BF:$BF,Saapuminen!$Y$96)</f>
        <v>0</v>
      </c>
      <c r="E101" s="666" t="str">
        <f t="shared" si="20"/>
        <v>-</v>
      </c>
      <c r="F101" s="148">
        <f t="shared" si="21"/>
        <v>0</v>
      </c>
      <c r="G101" s="666" t="str">
        <f t="shared" si="22"/>
        <v>-</v>
      </c>
      <c r="H101" s="308"/>
      <c r="I101"/>
      <c r="J101"/>
      <c r="K101"/>
      <c r="L101" s="309"/>
      <c r="N101" s="88"/>
      <c r="O101" s="150"/>
      <c r="P101" s="150"/>
      <c r="Q101" s="150"/>
      <c r="R101" s="88"/>
      <c r="X101" s="155" t="s">
        <v>74</v>
      </c>
    </row>
    <row r="102" spans="1:24" s="27" customFormat="1" x14ac:dyDescent="0.25">
      <c r="A102" s="518" t="s">
        <v>2</v>
      </c>
      <c r="B102" s="148">
        <f>SUMIFS(AS!W:W,AS!AB:AB,AS!$AA$1,AS!AG:AG,Saapuminen!$X103,AS!$AV:$AV,Saapuminen!$X$6,AS!$AW:$AW,$Y$6)+SUMIFS(AS!W:W,AS!AB:AB,AS!$AA$1,AS!AG:AG,Saapuminen!$X102,AS!$AV:$AV,Saapuminen!$X$6,AS!$AW:$AW,$Y$6)</f>
        <v>0</v>
      </c>
      <c r="C102" s="666" t="str">
        <f t="shared" si="19"/>
        <v>-</v>
      </c>
      <c r="D102" s="148">
        <f>SUMIFS(AS!W:W,AS!AB:AB,AS!$AA$1,AS!AG:AG,Saapuminen!$X103,AS!$AV:$AV,Saapuminen!$X$6,AS!$AW:$AW,$Y$6,AS!$BF:$BF,Saapuminen!$Y$96)+SUMIFS(AS!W:W,AS!AB:AB,AS!$AA$1,AS!AG:AG,Saapuminen!$X102,AS!$AV:$AV,Saapuminen!$X$6,AS!$AW:$AW,$Y$6,AS!$BF:$BF,Saapuminen!$Y$96)</f>
        <v>0</v>
      </c>
      <c r="E102" s="666" t="str">
        <f t="shared" si="20"/>
        <v>-</v>
      </c>
      <c r="F102" s="148">
        <f t="shared" si="21"/>
        <v>0</v>
      </c>
      <c r="G102" s="666" t="str">
        <f t="shared" si="22"/>
        <v>-</v>
      </c>
      <c r="H102" s="308"/>
      <c r="I102"/>
      <c r="J102"/>
      <c r="K102"/>
      <c r="L102" s="309"/>
      <c r="N102" s="88"/>
      <c r="O102" s="150"/>
      <c r="P102" s="150"/>
      <c r="Q102" s="150"/>
      <c r="R102" s="88"/>
      <c r="X102" s="28" t="s">
        <v>498</v>
      </c>
    </row>
    <row r="103" spans="1:24" s="27" customFormat="1" x14ac:dyDescent="0.25">
      <c r="A103" s="156" t="s">
        <v>114</v>
      </c>
      <c r="B103" s="157">
        <f>SUM(B97:B102)</f>
        <v>0</v>
      </c>
      <c r="C103" s="667">
        <f>SUM(C97:C102)</f>
        <v>0</v>
      </c>
      <c r="D103" s="157">
        <f>SUM(D97:D102)</f>
        <v>0</v>
      </c>
      <c r="E103" s="667" t="str">
        <f t="shared" si="20"/>
        <v>-</v>
      </c>
      <c r="F103" s="157">
        <f>SUM(F97:F102)</f>
        <v>0</v>
      </c>
      <c r="G103" s="667" t="str">
        <f t="shared" si="22"/>
        <v>-</v>
      </c>
      <c r="H103" s="310"/>
      <c r="I103" s="127"/>
      <c r="J103" s="127"/>
      <c r="K103" s="127"/>
      <c r="L103" s="311"/>
      <c r="N103" s="88"/>
      <c r="O103" s="150"/>
      <c r="P103" s="150"/>
      <c r="Q103" s="150"/>
      <c r="R103" s="88"/>
      <c r="X103" s="27" t="s">
        <v>1503</v>
      </c>
    </row>
    <row r="106" spans="1:24" x14ac:dyDescent="0.25">
      <c r="A106" s="352" t="s">
        <v>746</v>
      </c>
    </row>
  </sheetData>
  <sheetProtection sheet="1"/>
  <mergeCells count="12">
    <mergeCell ref="A95:A96"/>
    <mergeCell ref="B95:C95"/>
    <mergeCell ref="D95:E95"/>
    <mergeCell ref="F95:G95"/>
    <mergeCell ref="H95:L95"/>
    <mergeCell ref="N10:O11"/>
    <mergeCell ref="N12:O12"/>
    <mergeCell ref="B68:C68"/>
    <mergeCell ref="A68:A69"/>
    <mergeCell ref="B12:C12"/>
    <mergeCell ref="D66:M67"/>
    <mergeCell ref="A66:C67"/>
  </mergeCells>
  <dataValidations count="3">
    <dataValidation type="date" allowBlank="1" showInputMessage="1" showErrorMessage="1" error="Kirjoita päivämäärä muodossa _x000a_pp.kk.vvvv_x000a__x000a_Päivämäärän on oltava _x000a_suurempi kuin 01.01.2008 ja _x000a_pienempi kuin 31.12.2020" sqref="A2:A3" xr:uid="{00000000-0002-0000-0200-000000000000}">
      <formula1>39448</formula1>
      <formula2>44196</formula2>
    </dataValidation>
    <dataValidation type="list" allowBlank="1" showInputMessage="1" showErrorMessage="1" sqref="A4" xr:uid="{00000000-0002-0000-0200-000002000000}">
      <formula1>$W$2:$W$5</formula1>
    </dataValidation>
    <dataValidation type="list" allowBlank="1" showInputMessage="1" showErrorMessage="1" sqref="A6" xr:uid="{38E04DF4-02B7-4188-A289-66F021DC5F72}">
      <formula1>$Y$1:$Y$3</formula1>
    </dataValidation>
  </dataValidations>
  <hyperlinks>
    <hyperlink ref="A2" location="Asiakastilastot!A2" display="Asiakastilastot!A2" xr:uid="{00000000-0004-0000-0200-000000000000}"/>
    <hyperlink ref="A3" location="Asiakastilastot!A3" display="Asiakastilastot!A3" xr:uid="{00000000-0004-0000-0200-000001000000}"/>
    <hyperlink ref="A106" location="Saapuminen!A1" display="Sivun alkuun" xr:uid="{00000000-0004-0000-0200-000002000000}"/>
  </hyperlinks>
  <pageMargins left="0.23622047244094491" right="0.23622047244094491" top="0.74803149606299213" bottom="0.83333333333333337" header="0" footer="0"/>
  <pageSetup paperSize="9" scale="80" fitToHeight="0" orientation="landscape" r:id="rId1"/>
  <headerFooter>
    <oddFooter>&amp;L 
Etsivä org
Etsivätie 1
01000, E-kunta&amp;C&amp;G&amp;R&amp;P/&amp;N</oddFooter>
  </headerFooter>
  <rowBreaks count="1" manualBreakCount="1">
    <brk id="64" max="16383" man="1"/>
  </rowBreaks>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200-000003000000}">
          <x14:formula1>
            <xm:f>Parkki!$O$53:$O$82</xm:f>
          </x14:formula1>
          <xm:sqref>A5</xm:sqref>
        </x14:dataValidation>
        <x14:dataValidation type="list" allowBlank="1" showInputMessage="1" showErrorMessage="1" xr:uid="{F9BEB75B-5937-463A-B8DC-81491FC6A935}">
          <x14:formula1>
            <xm:f>Parkki!$O$19:$O$48</xm:f>
          </x14:formula1>
          <xm:sqref>A7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ul9"/>
  <dimension ref="A1:AX123"/>
  <sheetViews>
    <sheetView showGridLines="0" zoomScaleNormal="100" workbookViewId="0">
      <selection activeCell="W1" sqref="W1:AM1048576"/>
    </sheetView>
  </sheetViews>
  <sheetFormatPr defaultColWidth="9.140625" defaultRowHeight="15" x14ac:dyDescent="0.25"/>
  <cols>
    <col min="1" max="1" width="42" customWidth="1"/>
    <col min="2" max="5" width="7.140625" customWidth="1"/>
    <col min="6" max="6" width="12.42578125" customWidth="1"/>
    <col min="7" max="7" width="70.5703125" customWidth="1"/>
    <col min="8" max="8" width="3.28515625" customWidth="1"/>
    <col min="9" max="9" width="42" customWidth="1"/>
    <col min="10" max="13" width="7.140625" customWidth="1"/>
    <col min="14" max="14" width="12" customWidth="1"/>
    <col min="15" max="15" width="70.5703125" customWidth="1"/>
    <col min="16" max="16" width="4.42578125" customWidth="1"/>
    <col min="17" max="17" width="42" customWidth="1"/>
    <col min="18" max="18" width="7.140625" style="88" customWidth="1"/>
    <col min="19" max="19" width="8.7109375" style="89" customWidth="1"/>
    <col min="20" max="21" width="7.140625" style="88" customWidth="1"/>
    <col min="22" max="22" width="12.42578125" style="88" customWidth="1"/>
    <col min="23" max="26" width="9.140625" style="51" hidden="1" customWidth="1"/>
    <col min="27" max="27" width="11.140625" style="51" hidden="1" customWidth="1"/>
    <col min="28" max="38" width="9.140625" style="51" hidden="1" customWidth="1"/>
    <col min="39" max="39" width="0" style="51" hidden="1" customWidth="1"/>
    <col min="40" max="50" width="9.140625" style="51"/>
  </cols>
  <sheetData>
    <row r="1" spans="1:38" ht="15.75" thickBot="1" x14ac:dyDescent="0.3">
      <c r="A1" s="306" t="s">
        <v>624</v>
      </c>
      <c r="R1" s="27"/>
      <c r="S1" s="27"/>
      <c r="T1" s="27"/>
      <c r="U1" s="27"/>
      <c r="V1" s="27"/>
      <c r="W1" s="143" t="s">
        <v>623</v>
      </c>
      <c r="X1" s="143" t="s">
        <v>623</v>
      </c>
      <c r="Y1" s="179" t="s">
        <v>625</v>
      </c>
      <c r="Z1" s="143" t="s">
        <v>623</v>
      </c>
      <c r="AA1" s="143" t="s">
        <v>623</v>
      </c>
      <c r="AB1" s="143" t="s">
        <v>623</v>
      </c>
      <c r="AC1" s="143" t="s">
        <v>623</v>
      </c>
      <c r="AD1" s="143" t="s">
        <v>623</v>
      </c>
      <c r="AE1" s="143" t="s">
        <v>623</v>
      </c>
      <c r="AF1" s="143" t="s">
        <v>623</v>
      </c>
      <c r="AG1" s="143" t="s">
        <v>623</v>
      </c>
      <c r="AH1" s="143" t="s">
        <v>623</v>
      </c>
      <c r="AI1" s="681" t="s">
        <v>623</v>
      </c>
      <c r="AJ1" s="681" t="s">
        <v>623</v>
      </c>
      <c r="AK1" s="681" t="s">
        <v>623</v>
      </c>
      <c r="AL1" s="681" t="s">
        <v>623</v>
      </c>
    </row>
    <row r="2" spans="1:38" x14ac:dyDescent="0.25">
      <c r="A2" s="305">
        <f>Asiakastilastot!$A$2</f>
        <v>45658</v>
      </c>
      <c r="B2" t="s">
        <v>670</v>
      </c>
      <c r="R2" s="27"/>
      <c r="S2" s="27"/>
      <c r="T2" s="27"/>
      <c r="U2" s="27"/>
      <c r="V2" s="387" t="str">
        <f>IF(A7="","*",INDEX(AE5:AE55,MATCH(A7,AD5:AD55,0)))</f>
        <v>*</v>
      </c>
      <c r="W2" s="182" t="s">
        <v>720</v>
      </c>
      <c r="X2" s="183" t="s">
        <v>568</v>
      </c>
      <c r="Y2" s="179" t="s">
        <v>626</v>
      </c>
      <c r="Z2" s="382" t="s">
        <v>811</v>
      </c>
      <c r="AA2" s="177" t="s">
        <v>639</v>
      </c>
      <c r="AB2" s="44" t="s">
        <v>638</v>
      </c>
      <c r="AC2" s="177" t="s">
        <v>639</v>
      </c>
      <c r="AD2" s="44" t="s">
        <v>1601</v>
      </c>
      <c r="AE2"/>
      <c r="AF2"/>
      <c r="AG2"/>
      <c r="AH2"/>
      <c r="AI2"/>
      <c r="AJ2"/>
      <c r="AK2"/>
      <c r="AL2" s="15"/>
    </row>
    <row r="3" spans="1:38" x14ac:dyDescent="0.25">
      <c r="A3" s="305">
        <f>Asiakastilastot!$A$3</f>
        <v>45777</v>
      </c>
      <c r="B3" t="s">
        <v>671</v>
      </c>
      <c r="R3" s="27"/>
      <c r="S3" s="27"/>
      <c r="T3" s="27"/>
      <c r="U3" s="27"/>
      <c r="V3" s="27"/>
      <c r="W3" s="184" t="s">
        <v>910</v>
      </c>
      <c r="X3" s="185" t="s">
        <v>205</v>
      </c>
      <c r="Y3" s="179" t="s">
        <v>819</v>
      </c>
      <c r="Z3" s="382" t="s">
        <v>812</v>
      </c>
      <c r="AA3" s="177" t="s">
        <v>635</v>
      </c>
      <c r="AB3" s="44" t="e">
        <f>INDEX(Data_Omakoodi!K:K,MATCH($AB$2,Data_Omakoodi!$I:$I,0))</f>
        <v>#N/A</v>
      </c>
      <c r="AC3" s="177" t="s">
        <v>635</v>
      </c>
      <c r="AD3" s="44" t="e">
        <f>INDEX(Data_Omakoodi!K:K,MATCH($AD$2,Data_Omakoodi!$I:$I,0))</f>
        <v>#N/A</v>
      </c>
      <c r="AE3"/>
      <c r="AF3"/>
      <c r="AG3" t="s">
        <v>1521</v>
      </c>
      <c r="AH3" s="176" t="s">
        <v>1649</v>
      </c>
      <c r="AI3" s="15"/>
      <c r="AJ3" t="s">
        <v>1522</v>
      </c>
      <c r="AK3" s="176" t="s">
        <v>1648</v>
      </c>
      <c r="AL3" s="15"/>
    </row>
    <row r="4" spans="1:38" x14ac:dyDescent="0.25">
      <c r="A4" s="200" t="s">
        <v>723</v>
      </c>
      <c r="B4" t="s">
        <v>576</v>
      </c>
      <c r="R4" s="27"/>
      <c r="S4" s="27"/>
      <c r="T4" s="27"/>
      <c r="U4" s="27"/>
      <c r="V4" s="27"/>
      <c r="W4" s="184" t="s">
        <v>722</v>
      </c>
      <c r="X4" s="185" t="s">
        <v>230</v>
      </c>
      <c r="Y4" t="s">
        <v>568</v>
      </c>
      <c r="Z4" s="382" t="s">
        <v>1031</v>
      </c>
      <c r="AA4" s="177" t="s">
        <v>640</v>
      </c>
      <c r="AB4" s="44" t="str">
        <f>IFERROR(MATCH($AB$2,Data_Omakoodi!$I:$I,0),"")</f>
        <v/>
      </c>
      <c r="AC4" s="177" t="s">
        <v>640</v>
      </c>
      <c r="AD4" s="44" t="str">
        <f>IFERROR(MATCH($AD$2,Data_Omakoodi!$I:$I,0),"")</f>
        <v/>
      </c>
      <c r="AE4"/>
      <c r="AF4"/>
      <c r="AG4" s="739"/>
      <c r="AH4" s="739" t="s">
        <v>1523</v>
      </c>
      <c r="AI4" s="15"/>
      <c r="AJ4" s="739"/>
      <c r="AK4" s="739" t="s">
        <v>1523</v>
      </c>
      <c r="AL4" s="15"/>
    </row>
    <row r="5" spans="1:38" ht="15.75" thickBot="1" x14ac:dyDescent="0.3">
      <c r="A5" s="200" t="s">
        <v>719</v>
      </c>
      <c r="B5" t="s">
        <v>579</v>
      </c>
      <c r="R5" s="27"/>
      <c r="S5" s="27"/>
      <c r="T5" s="27"/>
      <c r="U5" s="27"/>
      <c r="V5" s="27"/>
      <c r="W5" s="186" t="s">
        <v>723</v>
      </c>
      <c r="X5" s="187" t="s">
        <v>212</v>
      </c>
      <c r="Y5" s="181" t="str">
        <f>IF(A6="","*",IF(A6=Y1,"*",IF(A6=Y3,X9,"*")))</f>
        <v>*</v>
      </c>
      <c r="Z5"/>
      <c r="AA5" s="177" t="s">
        <v>568</v>
      </c>
      <c r="AB5" s="44" t="s">
        <v>719</v>
      </c>
      <c r="AC5" s="177" t="s">
        <v>568</v>
      </c>
      <c r="AD5" s="44" t="s">
        <v>1524</v>
      </c>
      <c r="AE5" s="177" t="s">
        <v>568</v>
      </c>
      <c r="AF5"/>
      <c r="AG5" s="739" t="str">
        <f>TEXT(AD5,"@")</f>
        <v>Kaikki yksiköt</v>
      </c>
      <c r="AH5" s="739">
        <f>IF(AG5&lt;&gt;"",ROW(),"")</f>
        <v>5</v>
      </c>
      <c r="AI5"/>
      <c r="AJ5" s="739" t="str">
        <f>TEXT(AB5,"@")</f>
        <v>Kaikki kunnat</v>
      </c>
      <c r="AK5" s="739">
        <f>IF(AJ5&lt;&gt;"",ROW(),"")</f>
        <v>5</v>
      </c>
      <c r="AL5" s="15"/>
    </row>
    <row r="6" spans="1:38" x14ac:dyDescent="0.25">
      <c r="A6" s="200" t="s">
        <v>625</v>
      </c>
      <c r="B6" t="s">
        <v>799</v>
      </c>
      <c r="R6" s="27"/>
      <c r="S6" s="27"/>
      <c r="T6" s="27"/>
      <c r="U6" s="27"/>
      <c r="V6" s="27"/>
      <c r="W6"/>
      <c r="X6" s="181" t="str">
        <f>IF(A4="","*",INDEX($X$2:X5,MATCH($A$4,$W$2:$W$5,0)))</f>
        <v>ComboBox_EtStatus#tavoitettu</v>
      </c>
      <c r="Y6" s="181" t="str">
        <f>IF(A5="","*",INDEX(AA5:AA55,MATCH(A5,AB5:AB55,0)))</f>
        <v>*</v>
      </c>
      <c r="Z6"/>
      <c r="AA6" s="177" t="s">
        <v>644</v>
      </c>
      <c r="AB6" s="188" t="s">
        <v>643</v>
      </c>
      <c r="AC6" s="177" t="s">
        <v>644</v>
      </c>
      <c r="AD6" s="188" t="s">
        <v>1525</v>
      </c>
      <c r="AE6" s="177" t="s">
        <v>644</v>
      </c>
      <c r="AF6"/>
      <c r="AG6" s="739" t="str">
        <f t="shared" ref="AG6:AG55" si="0">TEXT(AD6,"@")</f>
        <v>Ei yksiköitä</v>
      </c>
      <c r="AH6" s="739">
        <f t="shared" ref="AH6:AH55" si="1">IF(AG6&lt;&gt;"",ROW(),"")</f>
        <v>6</v>
      </c>
      <c r="AI6"/>
      <c r="AJ6" s="739" t="str">
        <f t="shared" ref="AJ6:AJ55" si="2">TEXT(AB6,"@")</f>
        <v>Ei kuntaluokkaa</v>
      </c>
      <c r="AK6" s="739">
        <f t="shared" ref="AK6:AK55" si="3">IF(AJ6&lt;&gt;"",ROW(),"")</f>
        <v>6</v>
      </c>
      <c r="AL6" s="15"/>
    </row>
    <row r="7" spans="1:38" x14ac:dyDescent="0.25">
      <c r="A7" s="493" t="s">
        <v>1524</v>
      </c>
      <c r="B7" t="s">
        <v>1557</v>
      </c>
      <c r="R7" s="27"/>
      <c r="S7" s="27"/>
      <c r="T7" s="27"/>
      <c r="U7" s="27"/>
      <c r="V7" s="27"/>
      <c r="W7" s="181" t="str">
        <f>IF(A6=Y2,"OK","*")</f>
        <v>*</v>
      </c>
      <c r="X7" s="28" t="s">
        <v>207</v>
      </c>
      <c r="Y7" s="28" t="s">
        <v>213</v>
      </c>
      <c r="Z7"/>
      <c r="AA7" s="177" t="s">
        <v>62</v>
      </c>
      <c r="AB7" s="188" t="s">
        <v>641</v>
      </c>
      <c r="AC7" s="177" t="s">
        <v>62</v>
      </c>
      <c r="AD7" s="188" t="s">
        <v>1526</v>
      </c>
      <c r="AE7" s="177" t="s">
        <v>62</v>
      </c>
      <c r="AF7" s="27"/>
      <c r="AG7" s="739" t="str">
        <f t="shared" si="0"/>
        <v>Muut yksiköt</v>
      </c>
      <c r="AH7" s="739">
        <f t="shared" si="1"/>
        <v>7</v>
      </c>
      <c r="AI7"/>
      <c r="AJ7" s="739" t="str">
        <f t="shared" si="2"/>
        <v>Muut kunnat</v>
      </c>
      <c r="AK7" s="739">
        <f t="shared" si="3"/>
        <v>7</v>
      </c>
      <c r="AL7" s="15"/>
    </row>
    <row r="8" spans="1:38" s="48" customFormat="1" ht="23.25" x14ac:dyDescent="0.35">
      <c r="A8" s="48" t="s">
        <v>581</v>
      </c>
      <c r="G8"/>
      <c r="H8"/>
      <c r="I8" s="48" t="s">
        <v>1200</v>
      </c>
      <c r="O8"/>
      <c r="P8"/>
      <c r="Q8" s="48" t="s">
        <v>102</v>
      </c>
      <c r="R8" s="88"/>
      <c r="S8" s="89"/>
      <c r="T8" s="88"/>
      <c r="U8" s="88"/>
      <c r="V8" s="88"/>
      <c r="W8" s="27"/>
      <c r="X8" s="35" t="s">
        <v>546</v>
      </c>
      <c r="Y8" s="35" t="s">
        <v>593</v>
      </c>
      <c r="Z8"/>
      <c r="AA8" s="176" t="str">
        <f>IFERROR(IF(INDEX(Data_Omakoodi!H:H,MATCH($AK$3&amp;$AL8,Data_Omakoodi!A:A,0))="P","",$AK$3&amp;$AL8),$AK$3&amp;$AL8)</f>
        <v>ComboBox_EtKuntakoodi_00000001</v>
      </c>
      <c r="AB8" s="44" t="str">
        <f>IFERROR(INDEX(Data_Omakoodi!E:E,MATCH(AA8,Data_Omakoodi!A:A,0)),"")</f>
        <v/>
      </c>
      <c r="AC8" t="str">
        <f>IFERROR(IF(INDEX(Data_Omakoodi!H:H,MATCH($AH$3&amp;$AL8,Data_Omakoodi!A:A,0))="P","",$AH$3&amp;$AL8),$AH$3&amp;$AL8)</f>
        <v>ComboBox_TyHlo_yksikko_00000001</v>
      </c>
      <c r="AD8" s="44" t="str">
        <f>IFERROR(INDEX(Data_Omakoodi!E:E,MATCH(AC8,Data_Omakoodi!A:A,0)),"")</f>
        <v/>
      </c>
      <c r="AE8" t="str">
        <f>IFERROR(IF(INDEX(Data_Omakoodi!H:H,MATCH($AH$3&amp;$AL8,Data_Omakoodi!A:A,0))="P","",$AH$3&amp;$AL8),$AH$3&amp;$AL8)</f>
        <v>ComboBox_TyHlo_yksikko_00000001</v>
      </c>
      <c r="AF8" t="s">
        <v>1527</v>
      </c>
      <c r="AG8" s="739" t="str">
        <f>TEXT(AD8,"@")</f>
        <v/>
      </c>
      <c r="AH8" s="739" t="str">
        <f t="shared" si="1"/>
        <v/>
      </c>
      <c r="AI8"/>
      <c r="AJ8" s="739" t="str">
        <f t="shared" si="2"/>
        <v/>
      </c>
      <c r="AK8" s="739" t="str">
        <f t="shared" si="3"/>
        <v/>
      </c>
      <c r="AL8" s="370" t="s">
        <v>1639</v>
      </c>
    </row>
    <row r="9" spans="1:38" x14ac:dyDescent="0.25">
      <c r="W9" s="27"/>
      <c r="X9" s="178" t="s">
        <v>486</v>
      </c>
      <c r="Y9" s="27"/>
      <c r="Z9"/>
      <c r="AA9" s="176" t="str">
        <f>IFERROR(IF(INDEX(Data_Omakoodi!H:H,MATCH($AK$3&amp;$AL9,Data_Omakoodi!A:A,0))="P","",$AK$3&amp;$AL9),$AK$3&amp;$AL9)</f>
        <v>ComboBox_EtKuntakoodi_00000002</v>
      </c>
      <c r="AB9" s="44" t="str">
        <f>IFERROR(INDEX(Data_Omakoodi!E:E,MATCH(AA9,Data_Omakoodi!A:A,0)),"")</f>
        <v/>
      </c>
      <c r="AC9" t="str">
        <f>IFERROR(IF(INDEX(Data_Omakoodi!H:H,MATCH($AH$3&amp;$AL9,Data_Omakoodi!A:A,0))="P","",$AH$3&amp;$AL9),$AH$3&amp;$AL9)</f>
        <v>ComboBox_TyHlo_yksikko_00000002</v>
      </c>
      <c r="AD9" s="44" t="str">
        <f>IFERROR(INDEX(Data_Omakoodi!E:E,MATCH(AC9,Data_Omakoodi!A:A,0)),"")</f>
        <v/>
      </c>
      <c r="AE9" t="str">
        <f>IFERROR(IF(INDEX(Data_Omakoodi!H:H,MATCH($AH$3&amp;$AL9,Data_Omakoodi!A:A,0))="P","",$AH$3&amp;$AL9),$AH$3&amp;$AL9)</f>
        <v>ComboBox_TyHlo_yksikko_00000002</v>
      </c>
      <c r="AF9" t="s">
        <v>1528</v>
      </c>
      <c r="AG9" s="739" t="str">
        <f t="shared" si="0"/>
        <v/>
      </c>
      <c r="AH9" s="739" t="str">
        <f t="shared" si="1"/>
        <v/>
      </c>
      <c r="AI9"/>
      <c r="AJ9" s="739" t="str">
        <f t="shared" si="2"/>
        <v/>
      </c>
      <c r="AK9" s="739" t="str">
        <f t="shared" si="3"/>
        <v/>
      </c>
      <c r="AL9" s="370" t="s">
        <v>1640</v>
      </c>
    </row>
    <row r="10" spans="1:38" x14ac:dyDescent="0.25">
      <c r="A10" s="49" t="str">
        <f>X13&amp;X10&amp;X12</f>
        <v>Nuoren pääasiallinen toiminta aloitustilanteessa - 01.01.2025-30.04.2025 (Tavoitetut)</v>
      </c>
      <c r="B10" s="50"/>
      <c r="C10" s="50"/>
      <c r="D10" s="50"/>
      <c r="E10" s="51"/>
      <c r="F10" s="51"/>
      <c r="G10" s="1"/>
      <c r="H10" s="1"/>
      <c r="I10" s="52" t="str">
        <f>W13&amp;X10&amp;X12</f>
        <v>Nuoren pääasiallinen toiminta - viimeisin tieto - 01.01.2025-30.04.2025 (Tavoitetut)</v>
      </c>
      <c r="J10" s="50"/>
      <c r="K10" s="50"/>
      <c r="L10" s="50"/>
      <c r="M10" s="51"/>
      <c r="N10" s="51"/>
      <c r="O10" s="1"/>
      <c r="P10" s="1"/>
      <c r="Q10" s="52" t="str">
        <f>Y13&amp;X10&amp;X12</f>
        <v>Nuoren pääasiallinen toiminta - muutos - 01.01.2025-30.04.2025 (Tavoitetut)</v>
      </c>
      <c r="S10" s="90"/>
      <c r="W10" s="27"/>
      <c r="X10" s="271" t="str">
        <f>" - "&amp;TEXT($A$2,$X$11)&amp;"-"&amp;TEXT($A$3,$X$11)&amp;" "</f>
        <v xml:space="preserve"> - 01.01.2025-30.04.2025 </v>
      </c>
      <c r="Y10"/>
      <c r="Z10"/>
      <c r="AA10" s="176" t="str">
        <f>IFERROR(IF(INDEX(Data_Omakoodi!H:H,MATCH($AK$3&amp;$AL10,Data_Omakoodi!A:A,0))="P","",$AK$3&amp;$AL10),$AK$3&amp;$AL10)</f>
        <v>ComboBox_EtKuntakoodi_00000003</v>
      </c>
      <c r="AB10" s="44" t="str">
        <f>IFERROR(INDEX(Data_Omakoodi!E:E,MATCH(AA10,Data_Omakoodi!A:A,0)),"")</f>
        <v/>
      </c>
      <c r="AC10" t="str">
        <f>IFERROR(IF(INDEX(Data_Omakoodi!H:H,MATCH($AH$3&amp;$AL10,Data_Omakoodi!A:A,0))="P","",$AH$3&amp;$AL10),$AH$3&amp;$AL10)</f>
        <v>ComboBox_TyHlo_yksikko_00000003</v>
      </c>
      <c r="AD10" s="44" t="str">
        <f>IFERROR(INDEX(Data_Omakoodi!E:E,MATCH(AC10,Data_Omakoodi!A:A,0)),"")</f>
        <v/>
      </c>
      <c r="AE10" t="str">
        <f>IFERROR(IF(INDEX(Data_Omakoodi!H:H,MATCH($AH$3&amp;$AL10,Data_Omakoodi!A:A,0))="P","",$AH$3&amp;$AL10),$AH$3&amp;$AL10)</f>
        <v>ComboBox_TyHlo_yksikko_00000003</v>
      </c>
      <c r="AF10" t="s">
        <v>1529</v>
      </c>
      <c r="AG10" s="739" t="str">
        <f t="shared" si="0"/>
        <v/>
      </c>
      <c r="AH10" s="739" t="str">
        <f t="shared" si="1"/>
        <v/>
      </c>
      <c r="AI10"/>
      <c r="AJ10" s="739" t="str">
        <f t="shared" si="2"/>
        <v/>
      </c>
      <c r="AK10" s="739" t="str">
        <f t="shared" si="3"/>
        <v/>
      </c>
      <c r="AL10" s="370" t="s">
        <v>1641</v>
      </c>
    </row>
    <row r="11" spans="1:38" ht="25.5" x14ac:dyDescent="0.25">
      <c r="A11" s="840" t="s">
        <v>142</v>
      </c>
      <c r="B11" s="833" t="s">
        <v>114</v>
      </c>
      <c r="C11" s="833"/>
      <c r="D11" s="57" t="s">
        <v>132</v>
      </c>
      <c r="E11" s="58" t="s">
        <v>133</v>
      </c>
      <c r="F11" s="234" t="s">
        <v>134</v>
      </c>
      <c r="G11" s="883" t="str">
        <f>A10&amp;" (N="&amp;B13&amp;")"</f>
        <v>Nuoren pääasiallinen toiminta aloitustilanteessa - 01.01.2025-30.04.2025 (Tavoitetut) (N=0)</v>
      </c>
      <c r="H11" s="266"/>
      <c r="I11" s="885" t="s">
        <v>142</v>
      </c>
      <c r="J11" s="882" t="s">
        <v>114</v>
      </c>
      <c r="K11" s="833"/>
      <c r="L11" s="57" t="s">
        <v>132</v>
      </c>
      <c r="M11" s="58" t="s">
        <v>133</v>
      </c>
      <c r="N11" s="57" t="s">
        <v>134</v>
      </c>
      <c r="O11" s="883" t="str">
        <f>I10&amp;" (N="&amp;J13&amp;")"</f>
        <v>Nuoren pääasiallinen toiminta - viimeisin tieto - 01.01.2025-30.04.2025 (Tavoitetut) (N=0)</v>
      </c>
      <c r="P11" s="586"/>
      <c r="Q11" s="840" t="s">
        <v>142</v>
      </c>
      <c r="R11" s="833" t="s">
        <v>114</v>
      </c>
      <c r="S11" s="833"/>
      <c r="T11" s="57" t="s">
        <v>132</v>
      </c>
      <c r="U11" s="58" t="s">
        <v>133</v>
      </c>
      <c r="V11" s="57" t="s">
        <v>134</v>
      </c>
      <c r="X11" s="272" t="s">
        <v>675</v>
      </c>
      <c r="Y11" s="222" t="s">
        <v>676</v>
      </c>
      <c r="Z11"/>
      <c r="AA11" s="176" t="str">
        <f>IFERROR(IF(INDEX(Data_Omakoodi!H:H,MATCH($AK$3&amp;$AL11,Data_Omakoodi!A:A,0))="P","",$AK$3&amp;$AL11),$AK$3&amp;$AL11)</f>
        <v>ComboBox_EtKuntakoodi_00000004</v>
      </c>
      <c r="AB11" s="44" t="str">
        <f>IFERROR(INDEX(Data_Omakoodi!E:E,MATCH(AA11,Data_Omakoodi!A:A,0)),"")</f>
        <v/>
      </c>
      <c r="AC11" t="str">
        <f>IFERROR(IF(INDEX(Data_Omakoodi!H:H,MATCH($AH$3&amp;$AL11,Data_Omakoodi!A:A,0))="P","",$AH$3&amp;$AL11),$AH$3&amp;$AL11)</f>
        <v>ComboBox_TyHlo_yksikko_00000004</v>
      </c>
      <c r="AD11" s="44" t="str">
        <f>IFERROR(INDEX(Data_Omakoodi!E:E,MATCH(AC11,Data_Omakoodi!A:A,0)),"")</f>
        <v/>
      </c>
      <c r="AE11" t="str">
        <f>IFERROR(IF(INDEX(Data_Omakoodi!H:H,MATCH($AH$3&amp;$AL11,Data_Omakoodi!A:A,0))="P","",$AH$3&amp;$AL11),$AH$3&amp;$AL11)</f>
        <v>ComboBox_TyHlo_yksikko_00000004</v>
      </c>
      <c r="AF11" t="s">
        <v>1530</v>
      </c>
      <c r="AG11" s="739" t="str">
        <f t="shared" si="0"/>
        <v/>
      </c>
      <c r="AH11" s="739" t="str">
        <f t="shared" si="1"/>
        <v/>
      </c>
      <c r="AI11"/>
      <c r="AJ11" s="739" t="str">
        <f t="shared" si="2"/>
        <v/>
      </c>
      <c r="AK11" s="739" t="str">
        <f t="shared" si="3"/>
        <v/>
      </c>
      <c r="AL11" s="370" t="s">
        <v>1642</v>
      </c>
    </row>
    <row r="12" spans="1:38" x14ac:dyDescent="0.25">
      <c r="A12" s="840"/>
      <c r="B12" s="57" t="s">
        <v>106</v>
      </c>
      <c r="C12" s="57" t="s">
        <v>176</v>
      </c>
      <c r="D12" s="57" t="s">
        <v>106</v>
      </c>
      <c r="E12" s="57" t="s">
        <v>106</v>
      </c>
      <c r="F12" s="234" t="s">
        <v>106</v>
      </c>
      <c r="G12" s="884"/>
      <c r="H12" s="266"/>
      <c r="I12" s="886"/>
      <c r="J12" s="267" t="s">
        <v>106</v>
      </c>
      <c r="K12" s="57" t="s">
        <v>176</v>
      </c>
      <c r="L12" s="57" t="s">
        <v>106</v>
      </c>
      <c r="M12" s="57" t="s">
        <v>106</v>
      </c>
      <c r="N12" s="57" t="s">
        <v>106</v>
      </c>
      <c r="O12" s="884"/>
      <c r="P12" s="586"/>
      <c r="Q12" s="840"/>
      <c r="R12" s="57" t="s">
        <v>106</v>
      </c>
      <c r="S12" s="86" t="s">
        <v>176</v>
      </c>
      <c r="T12" s="57" t="s">
        <v>106</v>
      </c>
      <c r="U12" s="57" t="s">
        <v>106</v>
      </c>
      <c r="V12" s="57" t="s">
        <v>106</v>
      </c>
      <c r="X12" s="221" t="str">
        <f>IF(A4=W2,IF(A5=AB5,"","("&amp;A5&amp;")"),IF(A5=AB5,"("&amp;A4&amp;")","("&amp;A4&amp;"/"&amp;A5&amp;")"))&amp;IF(A7=AD5,"","("&amp;A7&amp;")")</f>
        <v>(Tavoitetut)</v>
      </c>
      <c r="Y12" s="221" t="str">
        <f>IF($A$6=$Y$2,$Z$3,IF(A6=Y1,$Z$2,Z4))</f>
        <v xml:space="preserve">- KAIKKI: </v>
      </c>
      <c r="Z12"/>
      <c r="AA12" s="176" t="str">
        <f>IFERROR(IF(INDEX(Data_Omakoodi!H:H,MATCH($AK$3&amp;$AL12,Data_Omakoodi!A:A,0))="P","",$AK$3&amp;$AL12),$AK$3&amp;$AL12)</f>
        <v>ComboBox_EtKuntakoodi_00000005</v>
      </c>
      <c r="AB12" s="44" t="str">
        <f>IFERROR(INDEX(Data_Omakoodi!E:E,MATCH(AA12,Data_Omakoodi!A:A,0)),"")</f>
        <v/>
      </c>
      <c r="AC12" t="str">
        <f>IFERROR(IF(INDEX(Data_Omakoodi!H:H,MATCH($AH$3&amp;$AL12,Data_Omakoodi!A:A,0))="P","",$AH$3&amp;$AL12),$AH$3&amp;$AL12)</f>
        <v>ComboBox_TyHlo_yksikko_00000005</v>
      </c>
      <c r="AD12" s="44" t="str">
        <f>IFERROR(INDEX(Data_Omakoodi!E:E,MATCH(AC12,Data_Omakoodi!A:A,0)),"")</f>
        <v/>
      </c>
      <c r="AE12" t="str">
        <f>IFERROR(IF(INDEX(Data_Omakoodi!H:H,MATCH($AH$3&amp;$AL12,Data_Omakoodi!A:A,0))="P","",$AH$3&amp;$AL12),$AH$3&amp;$AL12)</f>
        <v>ComboBox_TyHlo_yksikko_00000005</v>
      </c>
      <c r="AF12" t="s">
        <v>1531</v>
      </c>
      <c r="AG12" s="739" t="str">
        <f t="shared" si="0"/>
        <v/>
      </c>
      <c r="AH12" s="739" t="str">
        <f t="shared" si="1"/>
        <v/>
      </c>
      <c r="AI12"/>
      <c r="AJ12" s="739" t="str">
        <f t="shared" si="2"/>
        <v/>
      </c>
      <c r="AK12" s="739" t="str">
        <f t="shared" si="3"/>
        <v/>
      </c>
      <c r="AL12" s="370" t="s">
        <v>1643</v>
      </c>
    </row>
    <row r="13" spans="1:38" x14ac:dyDescent="0.25">
      <c r="A13" s="59" t="s">
        <v>142</v>
      </c>
      <c r="B13" s="65">
        <f>SUM(B14:B25)</f>
        <v>0</v>
      </c>
      <c r="C13" s="322" t="str">
        <f>IFERROR(B13/B$29,"-")</f>
        <v>-</v>
      </c>
      <c r="D13" s="65">
        <f>SUM(D14:D25)</f>
        <v>0</v>
      </c>
      <c r="E13" s="65">
        <f>SUM(E14:E25)</f>
        <v>0</v>
      </c>
      <c r="F13" s="247">
        <f>SUM(F14:F25)</f>
        <v>0</v>
      </c>
      <c r="G13" s="264"/>
      <c r="I13" s="587" t="s">
        <v>142</v>
      </c>
      <c r="J13" s="588">
        <f>SUM(J14:J25)</f>
        <v>0</v>
      </c>
      <c r="K13" s="601" t="str">
        <f>IFERROR(J13/J$29,"-")</f>
        <v>-</v>
      </c>
      <c r="L13" s="589">
        <f>SUM(L14:L25)</f>
        <v>0</v>
      </c>
      <c r="M13" s="589">
        <f>SUM(M14:M25)</f>
        <v>0</v>
      </c>
      <c r="N13" s="589">
        <f>SUM(N14:N25)</f>
        <v>0</v>
      </c>
      <c r="O13" s="264"/>
      <c r="Q13" s="59" t="s">
        <v>142</v>
      </c>
      <c r="R13" s="92">
        <f t="shared" ref="R13:R29" si="4">J13-B13</f>
        <v>0</v>
      </c>
      <c r="S13" s="325" t="str">
        <f>IFERROR(K13-C13,"-")</f>
        <v>-</v>
      </c>
      <c r="T13" s="92">
        <f t="shared" ref="T13:T29" si="5">L13-D13</f>
        <v>0</v>
      </c>
      <c r="U13" s="92">
        <f t="shared" ref="U13:U29" si="6">M13-E13</f>
        <v>0</v>
      </c>
      <c r="V13" s="92">
        <f t="shared" ref="V13:V29" si="7">N13-F13</f>
        <v>0</v>
      </c>
      <c r="W13" s="321" t="s">
        <v>725</v>
      </c>
      <c r="X13" s="321" t="s">
        <v>678</v>
      </c>
      <c r="Y13" s="224" t="s">
        <v>679</v>
      </c>
      <c r="AA13" s="176" t="str">
        <f>IFERROR(IF(INDEX(Data_Omakoodi!H:H,MATCH($AK$3&amp;$AL13,Data_Omakoodi!A:A,0))="P","",$AK$3&amp;$AL13),$AK$3&amp;$AL13)</f>
        <v>ComboBox_EtKuntakoodi_00000006</v>
      </c>
      <c r="AB13" s="44" t="str">
        <f>IFERROR(INDEX(Data_Omakoodi!E:E,MATCH(AA13,Data_Omakoodi!A:A,0)),"")</f>
        <v/>
      </c>
      <c r="AC13" t="str">
        <f>IFERROR(IF(INDEX(Data_Omakoodi!H:H,MATCH($AH$3&amp;$AL13,Data_Omakoodi!A:A,0))="P","",$AH$3&amp;$AL13),$AH$3&amp;$AL13)</f>
        <v>ComboBox_TyHlo_yksikko_00000006</v>
      </c>
      <c r="AD13" s="44" t="str">
        <f>IFERROR(INDEX(Data_Omakoodi!E:E,MATCH(AC13,Data_Omakoodi!A:A,0)),"")</f>
        <v/>
      </c>
      <c r="AE13" t="str">
        <f>IFERROR(IF(INDEX(Data_Omakoodi!H:H,MATCH($AH$3&amp;$AL13,Data_Omakoodi!A:A,0))="P","",$AH$3&amp;$AL13),$AH$3&amp;$AL13)</f>
        <v>ComboBox_TyHlo_yksikko_00000006</v>
      </c>
      <c r="AF13" t="s">
        <v>1532</v>
      </c>
      <c r="AG13" s="739" t="str">
        <f t="shared" si="0"/>
        <v/>
      </c>
      <c r="AH13" s="739" t="str">
        <f t="shared" si="1"/>
        <v/>
      </c>
      <c r="AI13"/>
      <c r="AJ13" s="739" t="str">
        <f t="shared" si="2"/>
        <v/>
      </c>
      <c r="AK13" s="739" t="str">
        <f t="shared" si="3"/>
        <v/>
      </c>
      <c r="AL13" s="370" t="s">
        <v>1644</v>
      </c>
    </row>
    <row r="14" spans="1:38" x14ac:dyDescent="0.25">
      <c r="A14" s="83" t="s">
        <v>145</v>
      </c>
      <c r="B14" s="84">
        <f>SUMIFS(AS!$W:$W,AS!$BO:$BO,$W$7,AS!$AB:$AB,AS!$AA$1,AS!$AH:$AH,$X$8,AS!$AL:$AL,Tilanne!$X14,AS!$AV:$AV,Tilanne!$X$6,AS!$AW:$AW,Tilanne!$Y$6,AS!$X:$X,Tilanne!$Y$5,AS!$K:$K,Tilanne!$V$2)</f>
        <v>0</v>
      </c>
      <c r="C14" s="324" t="str">
        <f>IFERROR(B14/B$29,"-")</f>
        <v>-</v>
      </c>
      <c r="D14" s="84">
        <f>SUMIFS(AS!$W:$W,AS!$BO:$BO,$W$7,AS!$AB:$AB,AS!$AA$1,AS!$AH:$AH,$X$8,AS!$AL:$AL,Tilanne!$X14,AS!$AV:$AV,Tilanne!$X$6,AS!$I:$I,$X$7,AS!$AW:$AW,Tilanne!$Y$6,AS!$X:$X,Tilanne!$Y$5,AS!$K:$K,Tilanne!$V$2)</f>
        <v>0</v>
      </c>
      <c r="E14" s="84">
        <f>SUMIFS(AS!$W:$W,AS!$BO:$BO,$W$7,AS!$AB:$AB,AS!$AA$1,AS!$AH:$AH,$X$8,AS!$AL:$AL,Tilanne!$X14,AS!$AV:$AV,Tilanne!$X$6,AS!$I:$I,$Y$7,AS!$AW:$AW,Tilanne!$Y$6,AS!$X:$X,Tilanne!$Y$5,AS!$K:$K,Tilanne!$V$2)</f>
        <v>0</v>
      </c>
      <c r="F14" s="263">
        <f>SUMIFS(AS!$W:$W,AS!$BO:$BO,$W$7,AS!$AB:$AB,AS!$AA$1,AS!$AH:$AH,$Y$8,AS!$AL:$AL,Tilanne!$X14,AS!$AV:$AV,Tilanne!$X$6,AS!$AW:$AW,Tilanne!$Y$6,AS!$X:$X,Tilanne!$Y$5,AS!$K:$K,Tilanne!$V$2)</f>
        <v>0</v>
      </c>
      <c r="G14" s="264"/>
      <c r="I14" s="269" t="s">
        <v>145</v>
      </c>
      <c r="J14" s="268">
        <f>SUMIFS(AS!$W:$W,AS!$BO:$BO,$W$7,AS!$AB:$AB,AS!$AA$1,AS!$AH:$AH,$X$8,AS!$AQ:$AQ,Tilanne!$X14,AS!$AV:$AV,Tilanne!$X$6,AS!$AW:$AW,Tilanne!$Y$6,AS!$X:$X,Tilanne!$Y$5,AS!$K:$K,Tilanne!$V$2)</f>
        <v>0</v>
      </c>
      <c r="K14" s="324" t="str">
        <f>IFERROR(J14/J$29,"-")</f>
        <v>-</v>
      </c>
      <c r="L14" s="84">
        <f>SUMIFS(AS!$W:$W,AS!$BO:$BO,$W$7,AS!$AB:$AB,AS!$AA$1,AS!$AH:$AH,$X$8,AS!$AQ:$AQ,Tilanne!$X14,AS!$AV:$AV,Tilanne!$X$6,AS!$I:$I,$X$7,AS!$AW:$AW,Tilanne!$Y$6,AS!$X:$X,Tilanne!$Y$5,AS!$K:$K,Tilanne!$V$2)</f>
        <v>0</v>
      </c>
      <c r="M14" s="84">
        <f>SUMIFS(AS!$W:$W,AS!$BO:$BO,$W$7,AS!$AB:$AB,AS!$AA$1,AS!$AH:$AH,$X$8,AS!$AQ:$AQ,Tilanne!$X14,AS!$AV:$AV,Tilanne!$X$6,AS!$I:$I,$Y$7,AS!$AW:$AW,Tilanne!$Y$6,AS!$X:$X,Tilanne!$Y$5,AS!$K:$K,Tilanne!$V$2)</f>
        <v>0</v>
      </c>
      <c r="N14" s="84">
        <f>SUMIFS(AS!$W:$W,AS!$BO:$BO,$W$7,AS!$AB:$AB,AS!$AA$1,AS!$AH:$AH,"vanha",AS!$AQ:$AQ,Tilanne!$X14,AS!$AV:$AV,Tilanne!$X$6,AS!$AW:$AW,Tilanne!$Y$6,AS!$X:$X,Tilanne!$Y$5,AS!$K:$K,Tilanne!$V$2)</f>
        <v>0</v>
      </c>
      <c r="O14" s="264"/>
      <c r="Q14" s="83" t="s">
        <v>145</v>
      </c>
      <c r="R14" s="91">
        <f t="shared" si="4"/>
        <v>0</v>
      </c>
      <c r="S14" s="323" t="str">
        <f t="shared" ref="S14:S28" si="8">IFERROR(K14-C14,"-")</f>
        <v>-</v>
      </c>
      <c r="T14" s="91">
        <f t="shared" si="5"/>
        <v>0</v>
      </c>
      <c r="U14" s="91">
        <f t="shared" si="6"/>
        <v>0</v>
      </c>
      <c r="V14" s="91">
        <f t="shared" si="7"/>
        <v>0</v>
      </c>
      <c r="X14" s="47" t="s">
        <v>386</v>
      </c>
      <c r="AA14" s="176" t="str">
        <f>IFERROR(IF(INDEX(Data_Omakoodi!H:H,MATCH($AK$3&amp;$AL14,Data_Omakoodi!A:A,0))="P","",$AK$3&amp;$AL14),$AK$3&amp;$AL14)</f>
        <v>ComboBox_EtKuntakoodi_00000007</v>
      </c>
      <c r="AB14" s="44" t="str">
        <f>IFERROR(INDEX(Data_Omakoodi!E:E,MATCH(AA14,Data_Omakoodi!A:A,0)),"")</f>
        <v/>
      </c>
      <c r="AC14" t="str">
        <f>IFERROR(IF(INDEX(Data_Omakoodi!H:H,MATCH($AH$3&amp;$AL14,Data_Omakoodi!A:A,0))="P","",$AH$3&amp;$AL14),$AH$3&amp;$AL14)</f>
        <v>ComboBox_TyHlo_yksikko_00000007</v>
      </c>
      <c r="AD14" s="44" t="str">
        <f>IFERROR(INDEX(Data_Omakoodi!E:E,MATCH(AC14,Data_Omakoodi!A:A,0)),"")</f>
        <v/>
      </c>
      <c r="AE14" t="str">
        <f>IFERROR(IF(INDEX(Data_Omakoodi!H:H,MATCH($AH$3&amp;$AL14,Data_Omakoodi!A:A,0))="P","",$AH$3&amp;$AL14),$AH$3&amp;$AL14)</f>
        <v>ComboBox_TyHlo_yksikko_00000007</v>
      </c>
      <c r="AF14" t="s">
        <v>1533</v>
      </c>
      <c r="AG14" s="739" t="str">
        <f t="shared" si="0"/>
        <v/>
      </c>
      <c r="AH14" s="739" t="str">
        <f t="shared" si="1"/>
        <v/>
      </c>
      <c r="AI14"/>
      <c r="AJ14" s="739" t="str">
        <f t="shared" si="2"/>
        <v/>
      </c>
      <c r="AK14" s="739" t="str">
        <f t="shared" si="3"/>
        <v/>
      </c>
      <c r="AL14" s="370" t="s">
        <v>1645</v>
      </c>
    </row>
    <row r="15" spans="1:38" x14ac:dyDescent="0.25">
      <c r="A15" s="83" t="s">
        <v>146</v>
      </c>
      <c r="B15" s="84">
        <f>SUMIFS(AS!$W:$W,AS!$BO:$BO,$W$7,AS!$AB:$AB,AS!$AA$1,AS!$AH:$AH,$X$8,AS!$AL:$AL,Tilanne!$X15,AS!$AV:$AV,Tilanne!$X$6,AS!$AW:$AW,Tilanne!$Y$6,AS!$X:$X,Tilanne!$Y$5,AS!$K:$K,Tilanne!$V$2)</f>
        <v>0</v>
      </c>
      <c r="C15" s="324" t="str">
        <f t="shared" ref="C15:C25" si="9">IFERROR(B15/B$29,"-")</f>
        <v>-</v>
      </c>
      <c r="D15" s="84">
        <f>SUMIFS(AS!$W:$W,AS!$BO:$BO,$W$7,AS!$AB:$AB,AS!$AA$1,AS!$AH:$AH,$X$8,AS!$AL:$AL,Tilanne!$X15,AS!$AV:$AV,Tilanne!$X$6,AS!$I:$I,$X$7,AS!$AW:$AW,Tilanne!$Y$6,AS!$X:$X,Tilanne!$Y$5,AS!$K:$K,Tilanne!$V$2)</f>
        <v>0</v>
      </c>
      <c r="E15" s="84">
        <f>SUMIFS(AS!$W:$W,AS!$BO:$BO,$W$7,AS!$AB:$AB,AS!$AA$1,AS!$AH:$AH,$X$8,AS!$AL:$AL,Tilanne!$X15,AS!$AV:$AV,Tilanne!$X$6,AS!$I:$I,$Y$7,AS!$AW:$AW,Tilanne!$Y$6,AS!$X:$X,Tilanne!$Y$5,AS!$K:$K,Tilanne!$V$2)</f>
        <v>0</v>
      </c>
      <c r="F15" s="263">
        <f>SUMIFS(AS!$W:$W,AS!$BO:$BO,$W$7,AS!$AB:$AB,AS!$AA$1,AS!$AH:$AH,$Y$8,AS!$AL:$AL,Tilanne!$X15,AS!$AV:$AV,Tilanne!$X$6,AS!$AW:$AW,Tilanne!$Y$6,AS!$X:$X,Tilanne!$Y$5,AS!$K:$K,Tilanne!$V$2)</f>
        <v>0</v>
      </c>
      <c r="G15" s="264"/>
      <c r="I15" s="269" t="s">
        <v>146</v>
      </c>
      <c r="J15" s="268">
        <f>SUMIFS(AS!$W:$W,AS!$BO:$BO,$W$7,AS!$AB:$AB,AS!$AA$1,AS!$AH:$AH,$X$8,AS!$AQ:$AQ,Tilanne!$X15,AS!$AV:$AV,Tilanne!$X$6,AS!$AW:$AW,Tilanne!$Y$6,AS!$X:$X,Tilanne!$Y$5,AS!$K:$K,Tilanne!$V$2)</f>
        <v>0</v>
      </c>
      <c r="K15" s="324" t="str">
        <f t="shared" ref="K15:K25" si="10">IFERROR(J15/J$29,"-")</f>
        <v>-</v>
      </c>
      <c r="L15" s="84">
        <f>SUMIFS(AS!$W:$W,AS!$BO:$BO,$W$7,AS!$AB:$AB,AS!$AA$1,AS!$AH:$AH,$X$8,AS!$AQ:$AQ,Tilanne!$X15,AS!$AV:$AV,Tilanne!$X$6,AS!$I:$I,$X$7,AS!$AW:$AW,Tilanne!$Y$6,AS!$X:$X,Tilanne!$Y$5,AS!$K:$K,Tilanne!$V$2)</f>
        <v>0</v>
      </c>
      <c r="M15" s="84">
        <f>SUMIFS(AS!$W:$W,AS!$BO:$BO,$W$7,AS!$AB:$AB,AS!$AA$1,AS!$AH:$AH,$X$8,AS!$AQ:$AQ,Tilanne!$X15,AS!$AV:$AV,Tilanne!$X$6,AS!$I:$I,$Y$7,AS!$AW:$AW,Tilanne!$Y$6,AS!$X:$X,Tilanne!$Y$5,AS!$K:$K,Tilanne!$V$2)</f>
        <v>0</v>
      </c>
      <c r="N15" s="84">
        <f>SUMIFS(AS!$W:$W,AS!$BO:$BO,$W$7,AS!$AB:$AB,AS!$AA$1,AS!$AH:$AH,"vanha",AS!$AQ:$AQ,Tilanne!$X15,AS!$AV:$AV,Tilanne!$X$6,AS!$AW:$AW,Tilanne!$Y$6,AS!$X:$X,Tilanne!$Y$5,AS!$K:$K,Tilanne!$V$2)</f>
        <v>0</v>
      </c>
      <c r="O15" s="264"/>
      <c r="Q15" s="83" t="s">
        <v>146</v>
      </c>
      <c r="R15" s="91">
        <f t="shared" si="4"/>
        <v>0</v>
      </c>
      <c r="S15" s="323" t="str">
        <f t="shared" si="8"/>
        <v>-</v>
      </c>
      <c r="T15" s="91">
        <f t="shared" si="5"/>
        <v>0</v>
      </c>
      <c r="U15" s="91">
        <f t="shared" si="6"/>
        <v>0</v>
      </c>
      <c r="V15" s="91">
        <f t="shared" si="7"/>
        <v>0</v>
      </c>
      <c r="X15" s="47" t="s">
        <v>383</v>
      </c>
      <c r="AA15" s="176" t="str">
        <f>IFERROR(IF(INDEX(Data_Omakoodi!H:H,MATCH($AK$3&amp;$AL15,Data_Omakoodi!A:A,0))="P","",$AK$3&amp;$AL15),$AK$3&amp;$AL15)</f>
        <v>ComboBox_EtKuntakoodi_00000008</v>
      </c>
      <c r="AB15" s="44" t="str">
        <f>IFERROR(INDEX(Data_Omakoodi!E:E,MATCH(AA15,Data_Omakoodi!A:A,0)),"")</f>
        <v/>
      </c>
      <c r="AC15" t="str">
        <f>IFERROR(IF(INDEX(Data_Omakoodi!H:H,MATCH($AH$3&amp;$AL15,Data_Omakoodi!A:A,0))="P","",$AH$3&amp;$AL15),$AH$3&amp;$AL15)</f>
        <v>ComboBox_TyHlo_yksikko_00000008</v>
      </c>
      <c r="AD15" s="44" t="str">
        <f>IFERROR(INDEX(Data_Omakoodi!E:E,MATCH(AC15,Data_Omakoodi!A:A,0)),"")</f>
        <v/>
      </c>
      <c r="AE15" t="str">
        <f>IFERROR(IF(INDEX(Data_Omakoodi!H:H,MATCH($AH$3&amp;$AL15,Data_Omakoodi!A:A,0))="P","",$AH$3&amp;$AL15),$AH$3&amp;$AL15)</f>
        <v>ComboBox_TyHlo_yksikko_00000008</v>
      </c>
      <c r="AF15" t="s">
        <v>1534</v>
      </c>
      <c r="AG15" s="739" t="str">
        <f t="shared" si="0"/>
        <v/>
      </c>
      <c r="AH15" s="739" t="str">
        <f t="shared" si="1"/>
        <v/>
      </c>
      <c r="AI15"/>
      <c r="AJ15" s="739" t="str">
        <f t="shared" si="2"/>
        <v/>
      </c>
      <c r="AK15" s="739" t="str">
        <f t="shared" si="3"/>
        <v/>
      </c>
      <c r="AL15" s="370" t="s">
        <v>1646</v>
      </c>
    </row>
    <row r="16" spans="1:38" x14ac:dyDescent="0.25">
      <c r="A16" s="83" t="s">
        <v>147</v>
      </c>
      <c r="B16" s="84">
        <f>SUMIFS(AS!$W:$W,AS!$BO:$BO,$W$7,AS!$AB:$AB,AS!$AA$1,AS!$AH:$AH,$X$8,AS!$AL:$AL,Tilanne!$X16,AS!$AV:$AV,Tilanne!$X$6,AS!$AW:$AW,Tilanne!$Y$6,AS!$X:$X,Tilanne!$Y$5,AS!$K:$K,Tilanne!$V$2)</f>
        <v>0</v>
      </c>
      <c r="C16" s="324" t="str">
        <f t="shared" si="9"/>
        <v>-</v>
      </c>
      <c r="D16" s="84">
        <f>SUMIFS(AS!$W:$W,AS!$BO:$BO,$W$7,AS!$AB:$AB,AS!$AA$1,AS!$AH:$AH,$X$8,AS!$AL:$AL,Tilanne!$X16,AS!$AV:$AV,Tilanne!$X$6,AS!$I:$I,$X$7,AS!$AW:$AW,Tilanne!$Y$6,AS!$X:$X,Tilanne!$Y$5,AS!$K:$K,Tilanne!$V$2)</f>
        <v>0</v>
      </c>
      <c r="E16" s="84">
        <f>SUMIFS(AS!$W:$W,AS!$BO:$BO,$W$7,AS!$AB:$AB,AS!$AA$1,AS!$AH:$AH,$X$8,AS!$AL:$AL,Tilanne!$X16,AS!$AV:$AV,Tilanne!$X$6,AS!$I:$I,$Y$7,AS!$AW:$AW,Tilanne!$Y$6,AS!$X:$X,Tilanne!$Y$5,AS!$K:$K,Tilanne!$V$2)</f>
        <v>0</v>
      </c>
      <c r="F16" s="263">
        <f>SUMIFS(AS!$W:$W,AS!$BO:$BO,$W$7,AS!$AB:$AB,AS!$AA$1,AS!$AH:$AH,$Y$8,AS!$AL:$AL,Tilanne!$X16,AS!$AV:$AV,Tilanne!$X$6,AS!$AW:$AW,Tilanne!$Y$6,AS!$X:$X,Tilanne!$Y$5,AS!$K:$K,Tilanne!$V$2)</f>
        <v>0</v>
      </c>
      <c r="G16" s="264"/>
      <c r="I16" s="269" t="s">
        <v>147</v>
      </c>
      <c r="J16" s="268">
        <f>SUMIFS(AS!$W:$W,AS!$BO:$BO,$W$7,AS!$AB:$AB,AS!$AA$1,AS!$AH:$AH,$X$8,AS!$AQ:$AQ,Tilanne!$X16,AS!$AV:$AV,Tilanne!$X$6,AS!$AW:$AW,Tilanne!$Y$6,AS!$X:$X,Tilanne!$Y$5,AS!$K:$K,Tilanne!$V$2)</f>
        <v>0</v>
      </c>
      <c r="K16" s="324" t="str">
        <f t="shared" si="10"/>
        <v>-</v>
      </c>
      <c r="L16" s="84">
        <f>SUMIFS(AS!$W:$W,AS!$BO:$BO,$W$7,AS!$AB:$AB,AS!$AA$1,AS!$AH:$AH,$X$8,AS!$AQ:$AQ,Tilanne!$X16,AS!$AV:$AV,Tilanne!$X$6,AS!$I:$I,$X$7,AS!$AW:$AW,Tilanne!$Y$6,AS!$X:$X,Tilanne!$Y$5,AS!$K:$K,Tilanne!$V$2)</f>
        <v>0</v>
      </c>
      <c r="M16" s="84">
        <f>SUMIFS(AS!$W:$W,AS!$BO:$BO,$W$7,AS!$AB:$AB,AS!$AA$1,AS!$AH:$AH,$X$8,AS!$AQ:$AQ,Tilanne!$X16,AS!$AV:$AV,Tilanne!$X$6,AS!$I:$I,$Y$7,AS!$AW:$AW,Tilanne!$Y$6,AS!$X:$X,Tilanne!$Y$5,AS!$K:$K,Tilanne!$V$2)</f>
        <v>0</v>
      </c>
      <c r="N16" s="84">
        <f>SUMIFS(AS!$W:$W,AS!$BO:$BO,$W$7,AS!$AB:$AB,AS!$AA$1,AS!$AH:$AH,"vanha",AS!$AQ:$AQ,Tilanne!$X16,AS!$AV:$AV,Tilanne!$X$6,AS!$AW:$AW,Tilanne!$Y$6,AS!$X:$X,Tilanne!$Y$5,AS!$K:$K,Tilanne!$V$2)</f>
        <v>0</v>
      </c>
      <c r="O16" s="264"/>
      <c r="Q16" s="83" t="s">
        <v>147</v>
      </c>
      <c r="R16" s="91">
        <f t="shared" si="4"/>
        <v>0</v>
      </c>
      <c r="S16" s="323" t="str">
        <f t="shared" si="8"/>
        <v>-</v>
      </c>
      <c r="T16" s="91">
        <f t="shared" si="5"/>
        <v>0</v>
      </c>
      <c r="U16" s="91">
        <f t="shared" si="6"/>
        <v>0</v>
      </c>
      <c r="V16" s="91">
        <f t="shared" si="7"/>
        <v>0</v>
      </c>
      <c r="X16" s="47" t="s">
        <v>362</v>
      </c>
      <c r="AA16" s="176" t="str">
        <f>IFERROR(IF(INDEX(Data_Omakoodi!H:H,MATCH($AK$3&amp;$AL16,Data_Omakoodi!A:A,0))="P","",$AK$3&amp;$AL16),$AK$3&amp;$AL16)</f>
        <v>ComboBox_EtKuntakoodi_00000009</v>
      </c>
      <c r="AB16" s="44" t="str">
        <f>IFERROR(INDEX(Data_Omakoodi!E:E,MATCH(AA16,Data_Omakoodi!A:A,0)),"")</f>
        <v/>
      </c>
      <c r="AC16" t="str">
        <f>IFERROR(IF(INDEX(Data_Omakoodi!H:H,MATCH($AH$3&amp;$AL16,Data_Omakoodi!A:A,0))="P","",$AH$3&amp;$AL16),$AH$3&amp;$AL16)</f>
        <v>ComboBox_TyHlo_yksikko_00000009</v>
      </c>
      <c r="AD16" s="44" t="str">
        <f>IFERROR(INDEX(Data_Omakoodi!E:E,MATCH(AC16,Data_Omakoodi!A:A,0)),"")</f>
        <v/>
      </c>
      <c r="AE16" t="str">
        <f>IFERROR(IF(INDEX(Data_Omakoodi!H:H,MATCH($AH$3&amp;$AL16,Data_Omakoodi!A:A,0))="P","",$AH$3&amp;$AL16),$AH$3&amp;$AL16)</f>
        <v>ComboBox_TyHlo_yksikko_00000009</v>
      </c>
      <c r="AF16" t="s">
        <v>1535</v>
      </c>
      <c r="AG16" s="739" t="str">
        <f t="shared" si="0"/>
        <v/>
      </c>
      <c r="AH16" s="739" t="str">
        <f t="shared" si="1"/>
        <v/>
      </c>
      <c r="AI16"/>
      <c r="AJ16" s="739" t="str">
        <f t="shared" si="2"/>
        <v/>
      </c>
      <c r="AK16" s="739" t="str">
        <f t="shared" si="3"/>
        <v/>
      </c>
      <c r="AL16" s="370" t="s">
        <v>1647</v>
      </c>
    </row>
    <row r="17" spans="1:38" x14ac:dyDescent="0.25">
      <c r="A17" s="83" t="s">
        <v>148</v>
      </c>
      <c r="B17" s="84">
        <f>SUMIFS(AS!$W:$W,AS!$BO:$BO,$W$7,AS!$AB:$AB,AS!$AA$1,AS!$AH:$AH,$X$8,AS!$AL:$AL,Tilanne!$X17,AS!$AV:$AV,Tilanne!$X$6,AS!$AW:$AW,Tilanne!$Y$6,AS!$X:$X,Tilanne!$Y$5,AS!$K:$K,Tilanne!$V$2)</f>
        <v>0</v>
      </c>
      <c r="C17" s="324" t="str">
        <f t="shared" si="9"/>
        <v>-</v>
      </c>
      <c r="D17" s="84">
        <f>SUMIFS(AS!$W:$W,AS!$BO:$BO,$W$7,AS!$AB:$AB,AS!$AA$1,AS!$AH:$AH,$X$8,AS!$AL:$AL,Tilanne!$X17,AS!$AV:$AV,Tilanne!$X$6,AS!$I:$I,$X$7,AS!$AW:$AW,Tilanne!$Y$6,AS!$X:$X,Tilanne!$Y$5,AS!$K:$K,Tilanne!$V$2)</f>
        <v>0</v>
      </c>
      <c r="E17" s="84">
        <f>SUMIFS(AS!$W:$W,AS!$BO:$BO,$W$7,AS!$AB:$AB,AS!$AA$1,AS!$AH:$AH,$X$8,AS!$AL:$AL,Tilanne!$X17,AS!$AV:$AV,Tilanne!$X$6,AS!$I:$I,$Y$7,AS!$AW:$AW,Tilanne!$Y$6,AS!$X:$X,Tilanne!$Y$5,AS!$K:$K,Tilanne!$V$2)</f>
        <v>0</v>
      </c>
      <c r="F17" s="263">
        <f>SUMIFS(AS!$W:$W,AS!$BO:$BO,$W$7,AS!$AB:$AB,AS!$AA$1,AS!$AH:$AH,$Y$8,AS!$AL:$AL,Tilanne!$X17,AS!$AV:$AV,Tilanne!$X$6,AS!$AW:$AW,Tilanne!$Y$6,AS!$X:$X,Tilanne!$Y$5,AS!$K:$K,Tilanne!$V$2)</f>
        <v>0</v>
      </c>
      <c r="G17" s="264"/>
      <c r="I17" s="269" t="s">
        <v>148</v>
      </c>
      <c r="J17" s="268">
        <f>SUMIFS(AS!$W:$W,AS!$BO:$BO,$W$7,AS!$AB:$AB,AS!$AA$1,AS!$AH:$AH,$X$8,AS!$AQ:$AQ,Tilanne!$X17,AS!$AV:$AV,Tilanne!$X$6,AS!$AW:$AW,Tilanne!$Y$6,AS!$X:$X,Tilanne!$Y$5,AS!$K:$K,Tilanne!$V$2)</f>
        <v>0</v>
      </c>
      <c r="K17" s="324" t="str">
        <f t="shared" si="10"/>
        <v>-</v>
      </c>
      <c r="L17" s="84">
        <f>SUMIFS(AS!$W:$W,AS!$BO:$BO,$W$7,AS!$AB:$AB,AS!$AA$1,AS!$AH:$AH,$X$8,AS!$AQ:$AQ,Tilanne!$X17,AS!$AV:$AV,Tilanne!$X$6,AS!$I:$I,$X$7,AS!$AW:$AW,Tilanne!$Y$6,AS!$X:$X,Tilanne!$Y$5,AS!$K:$K,Tilanne!$V$2)</f>
        <v>0</v>
      </c>
      <c r="M17" s="84">
        <f>SUMIFS(AS!$W:$W,AS!$BO:$BO,$W$7,AS!$AB:$AB,AS!$AA$1,AS!$AH:$AH,$X$8,AS!$AQ:$AQ,Tilanne!$X17,AS!$AV:$AV,Tilanne!$X$6,AS!$I:$I,$Y$7,AS!$AW:$AW,Tilanne!$Y$6,AS!$X:$X,Tilanne!$Y$5,AS!$K:$K,Tilanne!$V$2)</f>
        <v>0</v>
      </c>
      <c r="N17" s="84">
        <f>SUMIFS(AS!$W:$W,AS!$BO:$BO,$W$7,AS!$AB:$AB,AS!$AA$1,AS!$AH:$AH,"vanha",AS!$AQ:$AQ,Tilanne!$X17,AS!$AV:$AV,Tilanne!$X$6,AS!$AW:$AW,Tilanne!$Y$6,AS!$X:$X,Tilanne!$Y$5,AS!$K:$K,Tilanne!$V$2)</f>
        <v>0</v>
      </c>
      <c r="O17" s="264"/>
      <c r="Q17" s="83" t="s">
        <v>148</v>
      </c>
      <c r="R17" s="91">
        <f t="shared" si="4"/>
        <v>0</v>
      </c>
      <c r="S17" s="323" t="str">
        <f t="shared" si="8"/>
        <v>-</v>
      </c>
      <c r="T17" s="91">
        <f t="shared" si="5"/>
        <v>0</v>
      </c>
      <c r="U17" s="91">
        <f t="shared" si="6"/>
        <v>0</v>
      </c>
      <c r="V17" s="91">
        <f t="shared" si="7"/>
        <v>0</v>
      </c>
      <c r="X17" s="47" t="s">
        <v>351</v>
      </c>
      <c r="AA17" s="176" t="str">
        <f>IFERROR(IF(INDEX(Data_Omakoodi!H:H,MATCH($AK$3&amp;$AL17,Data_Omakoodi!A:A,0))="P","",$AK$3&amp;$AL17),$AK$3&amp;$AL17)</f>
        <v>ComboBox_EtKuntakoodi_00000010</v>
      </c>
      <c r="AB17" s="44" t="str">
        <f>IFERROR(INDEX(Data_Omakoodi!E:E,MATCH(AA17,Data_Omakoodi!A:A,0)),"")</f>
        <v/>
      </c>
      <c r="AC17" t="str">
        <f>IFERROR(IF(INDEX(Data_Omakoodi!H:H,MATCH($AH$3&amp;$AL17,Data_Omakoodi!A:A,0))="P","",$AH$3&amp;$AL17),$AH$3&amp;$AL17)</f>
        <v>ComboBox_TyHlo_yksikko_00000010</v>
      </c>
      <c r="AD17" s="44" t="str">
        <f>IFERROR(INDEX(Data_Omakoodi!E:E,MATCH(AC17,Data_Omakoodi!A:A,0)),"")</f>
        <v/>
      </c>
      <c r="AE17" t="str">
        <f>IFERROR(IF(INDEX(Data_Omakoodi!H:H,MATCH($AH$3&amp;$AL17,Data_Omakoodi!A:A,0))="P","",$AH$3&amp;$AL17),$AH$3&amp;$AL17)</f>
        <v>ComboBox_TyHlo_yksikko_00000010</v>
      </c>
      <c r="AF17" t="s">
        <v>1536</v>
      </c>
      <c r="AG17" s="739" t="str">
        <f t="shared" si="0"/>
        <v/>
      </c>
      <c r="AH17" s="739" t="str">
        <f t="shared" si="1"/>
        <v/>
      </c>
      <c r="AI17"/>
      <c r="AJ17" s="739" t="str">
        <f t="shared" si="2"/>
        <v/>
      </c>
      <c r="AK17" s="739" t="str">
        <f t="shared" si="3"/>
        <v/>
      </c>
      <c r="AL17">
        <v>10</v>
      </c>
    </row>
    <row r="18" spans="1:38" x14ac:dyDescent="0.25">
      <c r="A18" s="83" t="s">
        <v>149</v>
      </c>
      <c r="B18" s="84">
        <f>SUMIFS(AS!$W:$W,AS!$BO:$BO,$W$7,AS!$AB:$AB,AS!$AA$1,AS!$AH:$AH,$X$8,AS!$AL:$AL,Tilanne!$X18,AS!$AV:$AV,Tilanne!$X$6,AS!$AW:$AW,Tilanne!$Y$6,AS!$X:$X,Tilanne!$Y$5,AS!$K:$K,Tilanne!$V$2)</f>
        <v>0</v>
      </c>
      <c r="C18" s="324" t="str">
        <f t="shared" si="9"/>
        <v>-</v>
      </c>
      <c r="D18" s="84">
        <f>SUMIFS(AS!$W:$W,AS!$BO:$BO,$W$7,AS!$AB:$AB,AS!$AA$1,AS!$AH:$AH,$X$8,AS!$AL:$AL,Tilanne!$X18,AS!$AV:$AV,Tilanne!$X$6,AS!$I:$I,$X$7,AS!$AW:$AW,Tilanne!$Y$6,AS!$X:$X,Tilanne!$Y$5,AS!$K:$K,Tilanne!$V$2)</f>
        <v>0</v>
      </c>
      <c r="E18" s="84">
        <f>SUMIFS(AS!$W:$W,AS!$BO:$BO,$W$7,AS!$AB:$AB,AS!$AA$1,AS!$AH:$AH,$X$8,AS!$AL:$AL,Tilanne!$X18,AS!$AV:$AV,Tilanne!$X$6,AS!$I:$I,$Y$7,AS!$AW:$AW,Tilanne!$Y$6,AS!$X:$X,Tilanne!$Y$5,AS!$K:$K,Tilanne!$V$2)</f>
        <v>0</v>
      </c>
      <c r="F18" s="263">
        <f>SUMIFS(AS!$W:$W,AS!$BO:$BO,$W$7,AS!$AB:$AB,AS!$AA$1,AS!$AH:$AH,$Y$8,AS!$AL:$AL,Tilanne!$X18,AS!$AV:$AV,Tilanne!$X$6,AS!$AW:$AW,Tilanne!$Y$6,AS!$X:$X,Tilanne!$Y$5,AS!$K:$K,Tilanne!$V$2)</f>
        <v>0</v>
      </c>
      <c r="G18" s="264"/>
      <c r="I18" s="269" t="s">
        <v>149</v>
      </c>
      <c r="J18" s="268">
        <f>SUMIFS(AS!$W:$W,AS!$BO:$BO,$W$7,AS!$AB:$AB,AS!$AA$1,AS!$AH:$AH,$X$8,AS!$AQ:$AQ,Tilanne!$X18,AS!$AV:$AV,Tilanne!$X$6,AS!$AW:$AW,Tilanne!$Y$6,AS!$X:$X,Tilanne!$Y$5,AS!$K:$K,Tilanne!$V$2)</f>
        <v>0</v>
      </c>
      <c r="K18" s="324" t="str">
        <f t="shared" si="10"/>
        <v>-</v>
      </c>
      <c r="L18" s="84">
        <f>SUMIFS(AS!$W:$W,AS!$BO:$BO,$W$7,AS!$AB:$AB,AS!$AA$1,AS!$AH:$AH,$X$8,AS!$AQ:$AQ,Tilanne!$X18,AS!$AV:$AV,Tilanne!$X$6,AS!$I:$I,$X$7,AS!$AW:$AW,Tilanne!$Y$6,AS!$X:$X,Tilanne!$Y$5,AS!$K:$K,Tilanne!$V$2)</f>
        <v>0</v>
      </c>
      <c r="M18" s="84">
        <f>SUMIFS(AS!$W:$W,AS!$BO:$BO,$W$7,AS!$AB:$AB,AS!$AA$1,AS!$AH:$AH,$X$8,AS!$AQ:$AQ,Tilanne!$X18,AS!$AV:$AV,Tilanne!$X$6,AS!$I:$I,$Y$7,AS!$AW:$AW,Tilanne!$Y$6,AS!$X:$X,Tilanne!$Y$5,AS!$K:$K,Tilanne!$V$2)</f>
        <v>0</v>
      </c>
      <c r="N18" s="84">
        <f>SUMIFS(AS!$W:$W,AS!$BO:$BO,$W$7,AS!$AB:$AB,AS!$AA$1,AS!$AH:$AH,"vanha",AS!$AQ:$AQ,Tilanne!$X18,AS!$AV:$AV,Tilanne!$X$6,AS!$AW:$AW,Tilanne!$Y$6,AS!$X:$X,Tilanne!$Y$5,AS!$K:$K,Tilanne!$V$2)</f>
        <v>0</v>
      </c>
      <c r="O18" s="264"/>
      <c r="Q18" s="83" t="s">
        <v>149</v>
      </c>
      <c r="R18" s="91">
        <f t="shared" si="4"/>
        <v>0</v>
      </c>
      <c r="S18" s="323" t="str">
        <f t="shared" si="8"/>
        <v>-</v>
      </c>
      <c r="T18" s="91">
        <f t="shared" si="5"/>
        <v>0</v>
      </c>
      <c r="U18" s="91">
        <f t="shared" si="6"/>
        <v>0</v>
      </c>
      <c r="V18" s="91">
        <f t="shared" si="7"/>
        <v>0</v>
      </c>
      <c r="X18" s="47" t="s">
        <v>367</v>
      </c>
      <c r="AA18" s="176" t="str">
        <f>IFERROR(IF(INDEX(Data_Omakoodi!H:H,MATCH($AK$3&amp;$AL18,Data_Omakoodi!A:A,0))="P","",$AK$3&amp;$AL18),$AK$3&amp;$AL18)</f>
        <v>ComboBox_EtKuntakoodi_00000011</v>
      </c>
      <c r="AB18" s="44" t="str">
        <f>IFERROR(INDEX(Data_Omakoodi!E:E,MATCH(AA18,Data_Omakoodi!A:A,0)),"")</f>
        <v/>
      </c>
      <c r="AC18" t="str">
        <f>IFERROR(IF(INDEX(Data_Omakoodi!H:H,MATCH($AH$3&amp;$AL18,Data_Omakoodi!A:A,0))="P","",$AH$3&amp;$AL18),$AH$3&amp;$AL18)</f>
        <v>ComboBox_TyHlo_yksikko_00000011</v>
      </c>
      <c r="AD18" s="44" t="str">
        <f>IFERROR(INDEX(Data_Omakoodi!E:E,MATCH(AC18,Data_Omakoodi!A:A,0)),"")</f>
        <v/>
      </c>
      <c r="AE18" t="str">
        <f>IFERROR(IF(INDEX(Data_Omakoodi!H:H,MATCH($AH$3&amp;$AL18,Data_Omakoodi!A:A,0))="P","",$AH$3&amp;$AL18),$AH$3&amp;$AL18)</f>
        <v>ComboBox_TyHlo_yksikko_00000011</v>
      </c>
      <c r="AF18" t="s">
        <v>1537</v>
      </c>
      <c r="AG18" s="739" t="str">
        <f t="shared" si="0"/>
        <v/>
      </c>
      <c r="AH18" s="739" t="str">
        <f t="shared" si="1"/>
        <v/>
      </c>
      <c r="AI18"/>
      <c r="AJ18" s="739" t="str">
        <f t="shared" si="2"/>
        <v/>
      </c>
      <c r="AK18" s="739" t="str">
        <f t="shared" si="3"/>
        <v/>
      </c>
      <c r="AL18">
        <v>11</v>
      </c>
    </row>
    <row r="19" spans="1:38" x14ac:dyDescent="0.25">
      <c r="A19" s="83" t="s">
        <v>150</v>
      </c>
      <c r="B19" s="84">
        <f>SUMIFS(AS!$W:$W,AS!$BO:$BO,$W$7,AS!$AB:$AB,AS!$AA$1,AS!$AH:$AH,$X$8,AS!$AL:$AL,Tilanne!$X19,AS!$AV:$AV,Tilanne!$X$6,AS!$AW:$AW,Tilanne!$Y$6,AS!$X:$X,Tilanne!$Y$5,AS!$K:$K,Tilanne!$V$2)</f>
        <v>0</v>
      </c>
      <c r="C19" s="324" t="str">
        <f t="shared" si="9"/>
        <v>-</v>
      </c>
      <c r="D19" s="84">
        <f>SUMIFS(AS!$W:$W,AS!$BO:$BO,$W$7,AS!$AB:$AB,AS!$AA$1,AS!$AH:$AH,$X$8,AS!$AL:$AL,Tilanne!$X19,AS!$AV:$AV,Tilanne!$X$6,AS!$I:$I,$X$7,AS!$AW:$AW,Tilanne!$Y$6,AS!$X:$X,Tilanne!$Y$5,AS!$K:$K,Tilanne!$V$2)</f>
        <v>0</v>
      </c>
      <c r="E19" s="84">
        <f>SUMIFS(AS!$W:$W,AS!$BO:$BO,$W$7,AS!$AB:$AB,AS!$AA$1,AS!$AH:$AH,$X$8,AS!$AL:$AL,Tilanne!$X19,AS!$AV:$AV,Tilanne!$X$6,AS!$I:$I,$Y$7,AS!$AW:$AW,Tilanne!$Y$6,AS!$X:$X,Tilanne!$Y$5,AS!$K:$K,Tilanne!$V$2)</f>
        <v>0</v>
      </c>
      <c r="F19" s="263">
        <f>SUMIFS(AS!$W:$W,AS!$BO:$BO,$W$7,AS!$AB:$AB,AS!$AA$1,AS!$AH:$AH,$Y$8,AS!$AL:$AL,Tilanne!$X19,AS!$AV:$AV,Tilanne!$X$6,AS!$AW:$AW,Tilanne!$Y$6,AS!$X:$X,Tilanne!$Y$5,AS!$K:$K,Tilanne!$V$2)</f>
        <v>0</v>
      </c>
      <c r="G19" s="264"/>
      <c r="I19" s="269" t="s">
        <v>150</v>
      </c>
      <c r="J19" s="268">
        <f>SUMIFS(AS!$W:$W,AS!$BO:$BO,$W$7,AS!$AB:$AB,AS!$AA$1,AS!$AH:$AH,$X$8,AS!$AQ:$AQ,Tilanne!$X19,AS!$AV:$AV,Tilanne!$X$6,AS!$AW:$AW,Tilanne!$Y$6,AS!$X:$X,Tilanne!$Y$5,AS!$K:$K,Tilanne!$V$2)</f>
        <v>0</v>
      </c>
      <c r="K19" s="324" t="str">
        <f t="shared" si="10"/>
        <v>-</v>
      </c>
      <c r="L19" s="84">
        <f>SUMIFS(AS!$W:$W,AS!$BO:$BO,$W$7,AS!$AB:$AB,AS!$AA$1,AS!$AH:$AH,$X$8,AS!$AQ:$AQ,Tilanne!$X19,AS!$AV:$AV,Tilanne!$X$6,AS!$I:$I,$X$7,AS!$AW:$AW,Tilanne!$Y$6,AS!$X:$X,Tilanne!$Y$5,AS!$K:$K,Tilanne!$V$2)</f>
        <v>0</v>
      </c>
      <c r="M19" s="84">
        <f>SUMIFS(AS!$W:$W,AS!$BO:$BO,$W$7,AS!$AB:$AB,AS!$AA$1,AS!$AH:$AH,$X$8,AS!$AQ:$AQ,Tilanne!$X19,AS!$AV:$AV,Tilanne!$X$6,AS!$I:$I,$Y$7,AS!$AW:$AW,Tilanne!$Y$6,AS!$X:$X,Tilanne!$Y$5,AS!$K:$K,Tilanne!$V$2)</f>
        <v>0</v>
      </c>
      <c r="N19" s="84">
        <f>SUMIFS(AS!$W:$W,AS!$BO:$BO,$W$7,AS!$AB:$AB,AS!$AA$1,AS!$AH:$AH,"vanha",AS!$AQ:$AQ,Tilanne!$X19,AS!$AV:$AV,Tilanne!$X$6,AS!$AW:$AW,Tilanne!$Y$6,AS!$X:$X,Tilanne!$Y$5,AS!$K:$K,Tilanne!$V$2)</f>
        <v>0</v>
      </c>
      <c r="O19" s="264"/>
      <c r="Q19" s="83" t="s">
        <v>150</v>
      </c>
      <c r="R19" s="91">
        <f t="shared" si="4"/>
        <v>0</v>
      </c>
      <c r="S19" s="323" t="str">
        <f t="shared" si="8"/>
        <v>-</v>
      </c>
      <c r="T19" s="91">
        <f t="shared" si="5"/>
        <v>0</v>
      </c>
      <c r="U19" s="91">
        <f t="shared" si="6"/>
        <v>0</v>
      </c>
      <c r="V19" s="91">
        <f t="shared" si="7"/>
        <v>0</v>
      </c>
      <c r="X19" s="47" t="s">
        <v>370</v>
      </c>
      <c r="AA19" s="176" t="str">
        <f>IFERROR(IF(INDEX(Data_Omakoodi!H:H,MATCH($AK$3&amp;$AL19,Data_Omakoodi!A:A,0))="P","",$AK$3&amp;$AL19),$AK$3&amp;$AL19)</f>
        <v>ComboBox_EtKuntakoodi_00000012</v>
      </c>
      <c r="AB19" s="44" t="str">
        <f>IFERROR(INDEX(Data_Omakoodi!E:E,MATCH(AA19,Data_Omakoodi!A:A,0)),"")</f>
        <v/>
      </c>
      <c r="AC19" t="str">
        <f>IFERROR(IF(INDEX(Data_Omakoodi!H:H,MATCH($AH$3&amp;$AL19,Data_Omakoodi!A:A,0))="P","",$AH$3&amp;$AL19),$AH$3&amp;$AL19)</f>
        <v>ComboBox_TyHlo_yksikko_00000012</v>
      </c>
      <c r="AD19" s="44" t="str">
        <f>IFERROR(INDEX(Data_Omakoodi!E:E,MATCH(AC19,Data_Omakoodi!A:A,0)),"")</f>
        <v/>
      </c>
      <c r="AE19" t="str">
        <f>IFERROR(IF(INDEX(Data_Omakoodi!H:H,MATCH($AH$3&amp;$AL19,Data_Omakoodi!A:A,0))="P","",$AH$3&amp;$AL19),$AH$3&amp;$AL19)</f>
        <v>ComboBox_TyHlo_yksikko_00000012</v>
      </c>
      <c r="AF19" t="s">
        <v>1538</v>
      </c>
      <c r="AG19" s="739" t="str">
        <f t="shared" si="0"/>
        <v/>
      </c>
      <c r="AH19" s="739" t="str">
        <f t="shared" si="1"/>
        <v/>
      </c>
      <c r="AI19"/>
      <c r="AJ19" s="739" t="str">
        <f t="shared" si="2"/>
        <v/>
      </c>
      <c r="AK19" s="739" t="str">
        <f t="shared" si="3"/>
        <v/>
      </c>
      <c r="AL19">
        <v>12</v>
      </c>
    </row>
    <row r="20" spans="1:38" s="51" customFormat="1" x14ac:dyDescent="0.25">
      <c r="A20" s="83" t="s">
        <v>1604</v>
      </c>
      <c r="B20" s="84">
        <f>SUMIFS(AS!$W:$W,AS!$BO:$BO,$W$7,AS!$AB:$AB,AS!$AA$1,AS!$AH:$AH,$X$8,AS!$AL:$AL,Tilanne!$X20,AS!$AV:$AV,Tilanne!$X$6,AS!$AW:$AW,Tilanne!$Y$6,AS!$X:$X,Tilanne!$Y$5,AS!$K:$K,Tilanne!$V$2)</f>
        <v>0</v>
      </c>
      <c r="C20" s="324" t="str">
        <f t="shared" ref="C20" si="11">IFERROR(B20/B$29,"-")</f>
        <v>-</v>
      </c>
      <c r="D20" s="84">
        <f>SUMIFS(AS!$W:$W,AS!$BO:$BO,$W$7,AS!$AB:$AB,AS!$AA$1,AS!$AH:$AH,$X$8,AS!$AL:$AL,Tilanne!$X20,AS!$AV:$AV,Tilanne!$X$6,AS!$I:$I,$X$7,AS!$AW:$AW,Tilanne!$Y$6,AS!$X:$X,Tilanne!$Y$5,AS!$K:$K,Tilanne!$V$2)</f>
        <v>0</v>
      </c>
      <c r="E20" s="84">
        <f>SUMIFS(AS!$W:$W,AS!$BO:$BO,$W$7,AS!$AB:$AB,AS!$AA$1,AS!$AH:$AH,$X$8,AS!$AL:$AL,Tilanne!$X20,AS!$AV:$AV,Tilanne!$X$6,AS!$I:$I,$Y$7,AS!$AW:$AW,Tilanne!$Y$6,AS!$X:$X,Tilanne!$Y$5,AS!$K:$K,Tilanne!$V$2)</f>
        <v>0</v>
      </c>
      <c r="F20" s="263">
        <f>SUMIFS(AS!$W:$W,AS!$BO:$BO,$W$7,AS!$AB:$AB,AS!$AA$1,AS!$AH:$AH,$Y$8,AS!$AL:$AL,Tilanne!$X20,AS!$AV:$AV,Tilanne!$X$6,AS!$AW:$AW,Tilanne!$Y$6,AS!$X:$X,Tilanne!$Y$5,AS!$K:$K,Tilanne!$V$2)</f>
        <v>0</v>
      </c>
      <c r="G20" s="768"/>
      <c r="I20" s="83" t="s">
        <v>1604</v>
      </c>
      <c r="J20" s="268">
        <f>SUMIFS(AS!$W:$W,AS!$BO:$BO,$W$7,AS!$AB:$AB,AS!$AA$1,AS!$AH:$AH,$X$8,AS!$AQ:$AQ,Tilanne!$X20,AS!$AV:$AV,Tilanne!$X$6,AS!$AW:$AW,Tilanne!$Y$6,AS!$X:$X,Tilanne!$Y$5,AS!$K:$K,Tilanne!$V$2)</f>
        <v>0</v>
      </c>
      <c r="K20" s="324" t="str">
        <f t="shared" ref="K20" si="12">IFERROR(J20/J$29,"-")</f>
        <v>-</v>
      </c>
      <c r="L20" s="84">
        <f>SUMIFS(AS!$W:$W,AS!$BO:$BO,$W$7,AS!$AB:$AB,AS!$AA$1,AS!$AH:$AH,$X$8,AS!$AQ:$AQ,Tilanne!$X20,AS!$AV:$AV,Tilanne!$X$6,AS!$I:$I,$X$7,AS!$AW:$AW,Tilanne!$Y$6,AS!$X:$X,Tilanne!$Y$5,AS!$K:$K,Tilanne!$V$2)</f>
        <v>0</v>
      </c>
      <c r="M20" s="84">
        <f>SUMIFS(AS!$W:$W,AS!$BO:$BO,$W$7,AS!$AB:$AB,AS!$AA$1,AS!$AH:$AH,$X$8,AS!$AQ:$AQ,Tilanne!$X20,AS!$AV:$AV,Tilanne!$X$6,AS!$I:$I,$Y$7,AS!$AW:$AW,Tilanne!$Y$6,AS!$X:$X,Tilanne!$Y$5,AS!$K:$K,Tilanne!$V$2)</f>
        <v>0</v>
      </c>
      <c r="N20" s="84">
        <f>SUMIFS(AS!$W:$W,AS!$BO:$BO,$W$7,AS!$AB:$AB,AS!$AA$1,AS!$AH:$AH,"vanha",AS!$AQ:$AQ,Tilanne!$X20,AS!$AV:$AV,Tilanne!$X$6,AS!$AW:$AW,Tilanne!$Y$6,AS!$X:$X,Tilanne!$Y$5,AS!$K:$K,Tilanne!$V$2)</f>
        <v>0</v>
      </c>
      <c r="O20" s="768"/>
      <c r="Q20" s="83" t="s">
        <v>1604</v>
      </c>
      <c r="R20" s="91">
        <f t="shared" ref="R20" si="13">J20-B20</f>
        <v>0</v>
      </c>
      <c r="S20" s="323" t="str">
        <f t="shared" ref="S20" si="14">IFERROR(K20-C20,"-")</f>
        <v>-</v>
      </c>
      <c r="T20" s="91">
        <f t="shared" ref="T20" si="15">L20-D20</f>
        <v>0</v>
      </c>
      <c r="U20" s="91">
        <f t="shared" ref="U20" si="16">M20-E20</f>
        <v>0</v>
      </c>
      <c r="V20" s="91">
        <f t="shared" ref="V20" si="17">N20-F20</f>
        <v>0</v>
      </c>
      <c r="X20" s="47" t="s">
        <v>1605</v>
      </c>
      <c r="AA20" s="176" t="str">
        <f>IFERROR(IF(INDEX(Data_Omakoodi!H:H,MATCH($AK$3&amp;$AL20,Data_Omakoodi!A:A,0))="P","",$AK$3&amp;$AL20),$AK$3&amp;$AL20)</f>
        <v>ComboBox_EtKuntakoodi_00000013</v>
      </c>
      <c r="AB20" s="769" t="str">
        <f>IFERROR(INDEX(Data_Omakoodi!E:E,MATCH(AA20,Data_Omakoodi!A:A,0)),"")</f>
        <v/>
      </c>
      <c r="AC20" s="51" t="str">
        <f>IFERROR(IF(INDEX(Data_Omakoodi!H:H,MATCH($AH$3&amp;$AL20,Data_Omakoodi!A:A,0))="P","",$AH$3&amp;$AL20),$AH$3&amp;$AL20)</f>
        <v>ComboBox_TyHlo_yksikko_00000013</v>
      </c>
      <c r="AD20" s="769" t="str">
        <f>IFERROR(INDEX(Data_Omakoodi!E:E,MATCH(AC20,Data_Omakoodi!A:A,0)),"")</f>
        <v/>
      </c>
      <c r="AE20" s="51" t="str">
        <f>IFERROR(IF(INDEX(Data_Omakoodi!H:H,MATCH($AH$3&amp;$AL20,Data_Omakoodi!A:A,0))="P","",$AH$3&amp;$AL20),$AH$3&amp;$AL20)</f>
        <v>ComboBox_TyHlo_yksikko_00000013</v>
      </c>
      <c r="AF20" s="51" t="s">
        <v>1539</v>
      </c>
      <c r="AG20" s="770" t="str">
        <f t="shared" si="0"/>
        <v/>
      </c>
      <c r="AH20" s="770" t="str">
        <f t="shared" si="1"/>
        <v/>
      </c>
      <c r="AJ20" s="770" t="str">
        <f t="shared" si="2"/>
        <v/>
      </c>
      <c r="AK20" s="770" t="str">
        <f t="shared" si="3"/>
        <v/>
      </c>
      <c r="AL20" s="51">
        <v>13</v>
      </c>
    </row>
    <row r="21" spans="1:38" x14ac:dyDescent="0.25">
      <c r="A21" s="83" t="s">
        <v>151</v>
      </c>
      <c r="B21" s="84">
        <f>SUMIFS(AS!$W:$W,AS!$BO:$BO,$W$7,AS!$AB:$AB,AS!$AA$1,AS!$AH:$AH,$X$8,AS!$AL:$AL,Tilanne!$X21,AS!$AV:$AV,Tilanne!$X$6,AS!$AW:$AW,Tilanne!$Y$6,AS!$X:$X,Tilanne!$Y$5,AS!$K:$K,Tilanne!$V$2)</f>
        <v>0</v>
      </c>
      <c r="C21" s="324" t="str">
        <f t="shared" si="9"/>
        <v>-</v>
      </c>
      <c r="D21" s="84">
        <f>SUMIFS(AS!$W:$W,AS!$BO:$BO,$W$7,AS!$AB:$AB,AS!$AA$1,AS!$AH:$AH,$X$8,AS!$AL:$AL,Tilanne!$X21,AS!$AV:$AV,Tilanne!$X$6,AS!$I:$I,$X$7,AS!$AW:$AW,Tilanne!$Y$6,AS!$X:$X,Tilanne!$Y$5,AS!$K:$K,Tilanne!$V$2)</f>
        <v>0</v>
      </c>
      <c r="E21" s="84">
        <f>SUMIFS(AS!$W:$W,AS!$BO:$BO,$W$7,AS!$AB:$AB,AS!$AA$1,AS!$AH:$AH,$X$8,AS!$AL:$AL,Tilanne!$X21,AS!$AV:$AV,Tilanne!$X$6,AS!$I:$I,$Y$7,AS!$AW:$AW,Tilanne!$Y$6,AS!$X:$X,Tilanne!$Y$5,AS!$K:$K,Tilanne!$V$2)</f>
        <v>0</v>
      </c>
      <c r="F21" s="263">
        <f>SUMIFS(AS!$W:$W,AS!$BO:$BO,$W$7,AS!$AB:$AB,AS!$AA$1,AS!$AH:$AH,$Y$8,AS!$AL:$AL,Tilanne!$X21,AS!$AV:$AV,Tilanne!$X$6,AS!$AW:$AW,Tilanne!$Y$6,AS!$X:$X,Tilanne!$Y$5,AS!$K:$K,Tilanne!$V$2)</f>
        <v>0</v>
      </c>
      <c r="G21" s="264"/>
      <c r="I21" s="269" t="s">
        <v>151</v>
      </c>
      <c r="J21" s="268">
        <f>SUMIFS(AS!$W:$W,AS!$BO:$BO,$W$7,AS!$AB:$AB,AS!$AA$1,AS!$AH:$AH,$X$8,AS!$AQ:$AQ,Tilanne!$X21,AS!$AV:$AV,Tilanne!$X$6,AS!$AW:$AW,Tilanne!$Y$6,AS!$X:$X,Tilanne!$Y$5,AS!$K:$K,Tilanne!$V$2)</f>
        <v>0</v>
      </c>
      <c r="K21" s="324" t="str">
        <f t="shared" si="10"/>
        <v>-</v>
      </c>
      <c r="L21" s="84">
        <f>SUMIFS(AS!$W:$W,AS!$BO:$BO,$W$7,AS!$AB:$AB,AS!$AA$1,AS!$AH:$AH,$X$8,AS!$AQ:$AQ,Tilanne!$X21,AS!$AV:$AV,Tilanne!$X$6,AS!$I:$I,$X$7,AS!$AW:$AW,Tilanne!$Y$6,AS!$X:$X,Tilanne!$Y$5,AS!$K:$K,Tilanne!$V$2)</f>
        <v>0</v>
      </c>
      <c r="M21" s="84">
        <f>SUMIFS(AS!$W:$W,AS!$BO:$BO,$W$7,AS!$AB:$AB,AS!$AA$1,AS!$AH:$AH,$X$8,AS!$AQ:$AQ,Tilanne!$X21,AS!$AV:$AV,Tilanne!$X$6,AS!$I:$I,$Y$7,AS!$AW:$AW,Tilanne!$Y$6,AS!$X:$X,Tilanne!$Y$5,AS!$K:$K,Tilanne!$V$2)</f>
        <v>0</v>
      </c>
      <c r="N21" s="84">
        <f>SUMIFS(AS!$W:$W,AS!$BO:$BO,$W$7,AS!$AB:$AB,AS!$AA$1,AS!$AH:$AH,"vanha",AS!$AQ:$AQ,Tilanne!$X21,AS!$AV:$AV,Tilanne!$X$6,AS!$AW:$AW,Tilanne!$Y$6,AS!$X:$X,Tilanne!$Y$5,AS!$K:$K,Tilanne!$V$2)</f>
        <v>0</v>
      </c>
      <c r="O21" s="264"/>
      <c r="Q21" s="83" t="s">
        <v>151</v>
      </c>
      <c r="R21" s="91">
        <f t="shared" si="4"/>
        <v>0</v>
      </c>
      <c r="S21" s="323" t="str">
        <f t="shared" si="8"/>
        <v>-</v>
      </c>
      <c r="T21" s="91">
        <f t="shared" si="5"/>
        <v>0</v>
      </c>
      <c r="U21" s="91">
        <f t="shared" si="6"/>
        <v>0</v>
      </c>
      <c r="V21" s="91">
        <f t="shared" si="7"/>
        <v>0</v>
      </c>
      <c r="X21" s="47" t="s">
        <v>348</v>
      </c>
      <c r="AA21" s="176" t="str">
        <f>IFERROR(IF(INDEX(Data_Omakoodi!H:H,MATCH($AK$3&amp;$AL21,Data_Omakoodi!A:A,0))="P","",$AK$3&amp;$AL21),$AK$3&amp;$AL21)</f>
        <v>ComboBox_EtKuntakoodi_00000014</v>
      </c>
      <c r="AB21" s="44" t="str">
        <f>IFERROR(INDEX(Data_Omakoodi!E:E,MATCH(AA21,Data_Omakoodi!A:A,0)),"")</f>
        <v/>
      </c>
      <c r="AC21" t="str">
        <f>IFERROR(IF(INDEX(Data_Omakoodi!H:H,MATCH($AH$3&amp;$AL21,Data_Omakoodi!A:A,0))="P","",$AH$3&amp;$AL21),$AH$3&amp;$AL21)</f>
        <v>ComboBox_TyHlo_yksikko_00000014</v>
      </c>
      <c r="AD21" s="44" t="str">
        <f>IFERROR(INDEX(Data_Omakoodi!E:E,MATCH(AC21,Data_Omakoodi!A:A,0)),"")</f>
        <v/>
      </c>
      <c r="AE21" t="str">
        <f>IFERROR(IF(INDEX(Data_Omakoodi!H:H,MATCH($AH$3&amp;$AL21,Data_Omakoodi!A:A,0))="P","",$AH$3&amp;$AL21),$AH$3&amp;$AL21)</f>
        <v>ComboBox_TyHlo_yksikko_00000014</v>
      </c>
      <c r="AF21" t="s">
        <v>1540</v>
      </c>
      <c r="AG21" s="739" t="str">
        <f t="shared" si="0"/>
        <v/>
      </c>
      <c r="AH21" s="739" t="str">
        <f t="shared" si="1"/>
        <v/>
      </c>
      <c r="AI21"/>
      <c r="AJ21" s="739" t="str">
        <f t="shared" si="2"/>
        <v/>
      </c>
      <c r="AK21" s="739" t="str">
        <f t="shared" si="3"/>
        <v/>
      </c>
      <c r="AL21">
        <v>14</v>
      </c>
    </row>
    <row r="22" spans="1:38" x14ac:dyDescent="0.25">
      <c r="A22" s="83" t="s">
        <v>152</v>
      </c>
      <c r="B22" s="84">
        <f>SUMIFS(AS!$W:$W,AS!$BO:$BO,$W$7,AS!$AB:$AB,AS!$AA$1,AS!$AH:$AH,$X$8,AS!$AL:$AL,Tilanne!$X22,AS!$AV:$AV,Tilanne!$X$6,AS!$AW:$AW,Tilanne!$Y$6,AS!$X:$X,Tilanne!$Y$5,AS!$K:$K,Tilanne!$V$2)</f>
        <v>0</v>
      </c>
      <c r="C22" s="324" t="str">
        <f t="shared" si="9"/>
        <v>-</v>
      </c>
      <c r="D22" s="84">
        <f>SUMIFS(AS!$W:$W,AS!$BO:$BO,$W$7,AS!$AB:$AB,AS!$AA$1,AS!$AH:$AH,$X$8,AS!$AL:$AL,Tilanne!$X22,AS!$AV:$AV,Tilanne!$X$6,AS!$I:$I,$X$7,AS!$AW:$AW,Tilanne!$Y$6,AS!$X:$X,Tilanne!$Y$5,AS!$K:$K,Tilanne!$V$2)</f>
        <v>0</v>
      </c>
      <c r="E22" s="84">
        <f>SUMIFS(AS!$W:$W,AS!$BO:$BO,$W$7,AS!$AB:$AB,AS!$AA$1,AS!$AH:$AH,$X$8,AS!$AL:$AL,Tilanne!$X22,AS!$AV:$AV,Tilanne!$X$6,AS!$I:$I,$Y$7,AS!$AW:$AW,Tilanne!$Y$6,AS!$X:$X,Tilanne!$Y$5,AS!$K:$K,Tilanne!$V$2)</f>
        <v>0</v>
      </c>
      <c r="F22" s="263">
        <f>SUMIFS(AS!$W:$W,AS!$BO:$BO,$W$7,AS!$AB:$AB,AS!$AA$1,AS!$AH:$AH,$Y$8,AS!$AL:$AL,Tilanne!$X22,AS!$AV:$AV,Tilanne!$X$6,AS!$AW:$AW,Tilanne!$Y$6,AS!$X:$X,Tilanne!$Y$5,AS!$K:$K,Tilanne!$V$2)</f>
        <v>0</v>
      </c>
      <c r="G22" s="264"/>
      <c r="I22" s="269" t="s">
        <v>152</v>
      </c>
      <c r="J22" s="268">
        <f>SUMIFS(AS!$W:$W,AS!$BO:$BO,$W$7,AS!$AB:$AB,AS!$AA$1,AS!$AH:$AH,$X$8,AS!$AQ:$AQ,Tilanne!$X22,AS!$AV:$AV,Tilanne!$X$6,AS!$AW:$AW,Tilanne!$Y$6,AS!$X:$X,Tilanne!$Y$5,AS!$K:$K,Tilanne!$V$2)</f>
        <v>0</v>
      </c>
      <c r="K22" s="324" t="str">
        <f t="shared" si="10"/>
        <v>-</v>
      </c>
      <c r="L22" s="84">
        <f>SUMIFS(AS!$W:$W,AS!$BO:$BO,$W$7,AS!$AB:$AB,AS!$AA$1,AS!$AH:$AH,$X$8,AS!$AQ:$AQ,Tilanne!$X22,AS!$AV:$AV,Tilanne!$X$6,AS!$I:$I,$X$7,AS!$AW:$AW,Tilanne!$Y$6,AS!$X:$X,Tilanne!$Y$5,AS!$K:$K,Tilanne!$V$2)</f>
        <v>0</v>
      </c>
      <c r="M22" s="84">
        <f>SUMIFS(AS!$W:$W,AS!$BO:$BO,$W$7,AS!$AB:$AB,AS!$AA$1,AS!$AH:$AH,$X$8,AS!$AQ:$AQ,Tilanne!$X22,AS!$AV:$AV,Tilanne!$X$6,AS!$I:$I,$Y$7,AS!$AW:$AW,Tilanne!$Y$6,AS!$X:$X,Tilanne!$Y$5,AS!$K:$K,Tilanne!$V$2)</f>
        <v>0</v>
      </c>
      <c r="N22" s="84">
        <f>SUMIFS(AS!$W:$W,AS!$BO:$BO,$W$7,AS!$AB:$AB,AS!$AA$1,AS!$AH:$AH,"vanha",AS!$AQ:$AQ,Tilanne!$X22,AS!$AV:$AV,Tilanne!$X$6,AS!$AW:$AW,Tilanne!$Y$6,AS!$X:$X,Tilanne!$Y$5,AS!$K:$K,Tilanne!$V$2)</f>
        <v>0</v>
      </c>
      <c r="O22" s="264"/>
      <c r="Q22" s="83" t="s">
        <v>152</v>
      </c>
      <c r="R22" s="91">
        <f t="shared" si="4"/>
        <v>0</v>
      </c>
      <c r="S22" s="323" t="str">
        <f t="shared" si="8"/>
        <v>-</v>
      </c>
      <c r="T22" s="91">
        <f t="shared" si="5"/>
        <v>0</v>
      </c>
      <c r="U22" s="91">
        <f t="shared" si="6"/>
        <v>0</v>
      </c>
      <c r="V22" s="91">
        <f t="shared" si="7"/>
        <v>0</v>
      </c>
      <c r="X22" s="47" t="s">
        <v>397</v>
      </c>
      <c r="AA22" s="176" t="str">
        <f>IFERROR(IF(INDEX(Data_Omakoodi!H:H,MATCH($AK$3&amp;$AL22,Data_Omakoodi!A:A,0))="P","",$AK$3&amp;$AL22),$AK$3&amp;$AL22)</f>
        <v>ComboBox_EtKuntakoodi_00000015</v>
      </c>
      <c r="AB22" s="44" t="str">
        <f>IFERROR(INDEX(Data_Omakoodi!E:E,MATCH(AA22,Data_Omakoodi!A:A,0)),"")</f>
        <v/>
      </c>
      <c r="AC22" t="str">
        <f>IFERROR(IF(INDEX(Data_Omakoodi!H:H,MATCH($AH$3&amp;$AL22,Data_Omakoodi!A:A,0))="P","",$AH$3&amp;$AL22),$AH$3&amp;$AL22)</f>
        <v>ComboBox_TyHlo_yksikko_00000015</v>
      </c>
      <c r="AD22" s="44" t="str">
        <f>IFERROR(INDEX(Data_Omakoodi!E:E,MATCH(AC22,Data_Omakoodi!A:A,0)),"")</f>
        <v/>
      </c>
      <c r="AE22" t="str">
        <f>IFERROR(IF(INDEX(Data_Omakoodi!H:H,MATCH($AH$3&amp;$AL22,Data_Omakoodi!A:A,0))="P","",$AH$3&amp;$AL22),$AH$3&amp;$AL22)</f>
        <v>ComboBox_TyHlo_yksikko_00000015</v>
      </c>
      <c r="AF22" t="s">
        <v>1541</v>
      </c>
      <c r="AG22" s="739" t="str">
        <f t="shared" si="0"/>
        <v/>
      </c>
      <c r="AH22" s="739" t="str">
        <f t="shared" si="1"/>
        <v/>
      </c>
      <c r="AI22"/>
      <c r="AJ22" s="739" t="str">
        <f t="shared" si="2"/>
        <v/>
      </c>
      <c r="AK22" s="739" t="str">
        <f t="shared" si="3"/>
        <v/>
      </c>
      <c r="AL22">
        <v>15</v>
      </c>
    </row>
    <row r="23" spans="1:38" x14ac:dyDescent="0.25">
      <c r="A23" s="83" t="s">
        <v>153</v>
      </c>
      <c r="B23" s="84">
        <f>SUMIFS(AS!$W:$W,AS!$BO:$BO,$W$7,AS!$AB:$AB,AS!$AA$1,AS!$AH:$AH,$X$8,AS!$AL:$AL,Tilanne!$X23,AS!$AV:$AV,Tilanne!$X$6,AS!$AW:$AW,Tilanne!$Y$6,AS!$X:$X,Tilanne!$Y$5,AS!$K:$K,Tilanne!$V$2)</f>
        <v>0</v>
      </c>
      <c r="C23" s="324" t="str">
        <f t="shared" si="9"/>
        <v>-</v>
      </c>
      <c r="D23" s="84">
        <f>SUMIFS(AS!$W:$W,AS!$BO:$BO,$W$7,AS!$AB:$AB,AS!$AA$1,AS!$AH:$AH,$X$8,AS!$AL:$AL,Tilanne!$X23,AS!$AV:$AV,Tilanne!$X$6,AS!$I:$I,$X$7,AS!$AW:$AW,Tilanne!$Y$6,AS!$X:$X,Tilanne!$Y$5,AS!$K:$K,Tilanne!$V$2)</f>
        <v>0</v>
      </c>
      <c r="E23" s="84">
        <f>SUMIFS(AS!$W:$W,AS!$BO:$BO,$W$7,AS!$AB:$AB,AS!$AA$1,AS!$AH:$AH,$X$8,AS!$AL:$AL,Tilanne!$X23,AS!$AV:$AV,Tilanne!$X$6,AS!$I:$I,$Y$7,AS!$AW:$AW,Tilanne!$Y$6,AS!$X:$X,Tilanne!$Y$5,AS!$K:$K,Tilanne!$V$2)</f>
        <v>0</v>
      </c>
      <c r="F23" s="263">
        <f>SUMIFS(AS!$W:$W,AS!$BO:$BO,$W$7,AS!$AB:$AB,AS!$AA$1,AS!$AH:$AH,$Y$8,AS!$AL:$AL,Tilanne!$X23,AS!$AV:$AV,Tilanne!$X$6,AS!$AW:$AW,Tilanne!$Y$6,AS!$X:$X,Tilanne!$Y$5,AS!$K:$K,Tilanne!$V$2)</f>
        <v>0</v>
      </c>
      <c r="G23" s="264"/>
      <c r="I23" s="269" t="s">
        <v>153</v>
      </c>
      <c r="J23" s="268">
        <f>SUMIFS(AS!$W:$W,AS!$BO:$BO,$W$7,AS!$AB:$AB,AS!$AA$1,AS!$AH:$AH,$X$8,AS!$AQ:$AQ,Tilanne!$X23,AS!$AV:$AV,Tilanne!$X$6,AS!$AW:$AW,Tilanne!$Y$6,AS!$X:$X,Tilanne!$Y$5,AS!$K:$K,Tilanne!$V$2)</f>
        <v>0</v>
      </c>
      <c r="K23" s="324" t="str">
        <f t="shared" si="10"/>
        <v>-</v>
      </c>
      <c r="L23" s="84">
        <f>SUMIFS(AS!$W:$W,AS!$BO:$BO,$W$7,AS!$AB:$AB,AS!$AA$1,AS!$AH:$AH,$X$8,AS!$AQ:$AQ,Tilanne!$X23,AS!$AV:$AV,Tilanne!$X$6,AS!$I:$I,$X$7,AS!$AW:$AW,Tilanne!$Y$6,AS!$X:$X,Tilanne!$Y$5,AS!$K:$K,Tilanne!$V$2)</f>
        <v>0</v>
      </c>
      <c r="M23" s="84">
        <f>SUMIFS(AS!$W:$W,AS!$BO:$BO,$W$7,AS!$AB:$AB,AS!$AA$1,AS!$AH:$AH,$X$8,AS!$AQ:$AQ,Tilanne!$X23,AS!$AV:$AV,Tilanne!$X$6,AS!$I:$I,$Y$7,AS!$AW:$AW,Tilanne!$Y$6,AS!$X:$X,Tilanne!$Y$5,AS!$K:$K,Tilanne!$V$2)</f>
        <v>0</v>
      </c>
      <c r="N23" s="84">
        <f>SUMIFS(AS!$W:$W,AS!$BO:$BO,$W$7,AS!$AB:$AB,AS!$AA$1,AS!$AH:$AH,"vanha",AS!$AQ:$AQ,Tilanne!$X23,AS!$AV:$AV,Tilanne!$X$6,AS!$AW:$AW,Tilanne!$Y$6,AS!$X:$X,Tilanne!$Y$5,AS!$K:$K,Tilanne!$V$2)</f>
        <v>0</v>
      </c>
      <c r="O23" s="264"/>
      <c r="Q23" s="83" t="s">
        <v>153</v>
      </c>
      <c r="R23" s="91">
        <f t="shared" si="4"/>
        <v>0</v>
      </c>
      <c r="S23" s="323" t="str">
        <f t="shared" si="8"/>
        <v>-</v>
      </c>
      <c r="T23" s="91">
        <f t="shared" si="5"/>
        <v>0</v>
      </c>
      <c r="U23" s="91">
        <f t="shared" si="6"/>
        <v>0</v>
      </c>
      <c r="V23" s="91">
        <f t="shared" si="7"/>
        <v>0</v>
      </c>
      <c r="X23" s="47" t="s">
        <v>366</v>
      </c>
      <c r="AA23" s="176" t="str">
        <f>IFERROR(IF(INDEX(Data_Omakoodi!H:H,MATCH($AK$3&amp;$AL23,Data_Omakoodi!A:A,0))="P","",$AK$3&amp;$AL23),$AK$3&amp;$AL23)</f>
        <v>ComboBox_EtKuntakoodi_00000016</v>
      </c>
      <c r="AB23" s="44" t="str">
        <f>IFERROR(INDEX(Data_Omakoodi!E:E,MATCH(AA23,Data_Omakoodi!A:A,0)),"")</f>
        <v/>
      </c>
      <c r="AC23" t="str">
        <f>IFERROR(IF(INDEX(Data_Omakoodi!H:H,MATCH($AH$3&amp;$AL23,Data_Omakoodi!A:A,0))="P","",$AH$3&amp;$AL23),$AH$3&amp;$AL23)</f>
        <v>ComboBox_TyHlo_yksikko_00000016</v>
      </c>
      <c r="AD23" s="44" t="str">
        <f>IFERROR(INDEX(Data_Omakoodi!E:E,MATCH(AC23,Data_Omakoodi!A:A,0)),"")</f>
        <v/>
      </c>
      <c r="AE23" t="str">
        <f>IFERROR(IF(INDEX(Data_Omakoodi!H:H,MATCH($AH$3&amp;$AL23,Data_Omakoodi!A:A,0))="P","",$AH$3&amp;$AL23),$AH$3&amp;$AL23)</f>
        <v>ComboBox_TyHlo_yksikko_00000016</v>
      </c>
      <c r="AF23" t="s">
        <v>1542</v>
      </c>
      <c r="AG23" s="739" t="str">
        <f t="shared" si="0"/>
        <v/>
      </c>
      <c r="AH23" s="739" t="str">
        <f t="shared" si="1"/>
        <v/>
      </c>
      <c r="AI23"/>
      <c r="AJ23" s="739" t="str">
        <f t="shared" si="2"/>
        <v/>
      </c>
      <c r="AK23" s="739" t="str">
        <f t="shared" si="3"/>
        <v/>
      </c>
      <c r="AL23">
        <v>16</v>
      </c>
    </row>
    <row r="24" spans="1:38" x14ac:dyDescent="0.25">
      <c r="A24" s="83" t="s">
        <v>154</v>
      </c>
      <c r="B24" s="84">
        <f>SUMIFS(AS!$W:$W,AS!$BO:$BO,$W$7,AS!$AB:$AB,AS!$AA$1,AS!$AH:$AH,$X$8,AS!$AL:$AL,Tilanne!$X24,AS!$AV:$AV,Tilanne!$X$6,AS!$AW:$AW,Tilanne!$Y$6,AS!$X:$X,Tilanne!$Y$5,AS!$K:$K,Tilanne!$V$2)</f>
        <v>0</v>
      </c>
      <c r="C24" s="324" t="str">
        <f t="shared" si="9"/>
        <v>-</v>
      </c>
      <c r="D24" s="84">
        <f>SUMIFS(AS!$W:$W,AS!$BO:$BO,$W$7,AS!$AB:$AB,AS!$AA$1,AS!$AH:$AH,$X$8,AS!$AL:$AL,Tilanne!$X24,AS!$AV:$AV,Tilanne!$X$6,AS!$I:$I,$X$7,AS!$AW:$AW,Tilanne!$Y$6,AS!$X:$X,Tilanne!$Y$5,AS!$K:$K,Tilanne!$V$2)</f>
        <v>0</v>
      </c>
      <c r="E24" s="84">
        <f>SUMIFS(AS!$W:$W,AS!$BO:$BO,$W$7,AS!$AB:$AB,AS!$AA$1,AS!$AH:$AH,$X$8,AS!$AL:$AL,Tilanne!$X24,AS!$AV:$AV,Tilanne!$X$6,AS!$I:$I,$Y$7,AS!$AW:$AW,Tilanne!$Y$6,AS!$X:$X,Tilanne!$Y$5,AS!$K:$K,Tilanne!$V$2)</f>
        <v>0</v>
      </c>
      <c r="F24" s="263">
        <f>SUMIFS(AS!$W:$W,AS!$BO:$BO,$W$7,AS!$AB:$AB,AS!$AA$1,AS!$AH:$AH,$Y$8,AS!$AL:$AL,Tilanne!$X24,AS!$AV:$AV,Tilanne!$X$6,AS!$AW:$AW,Tilanne!$Y$6,AS!$X:$X,Tilanne!$Y$5,AS!$K:$K,Tilanne!$V$2)</f>
        <v>0</v>
      </c>
      <c r="G24" s="264"/>
      <c r="I24" s="269" t="s">
        <v>154</v>
      </c>
      <c r="J24" s="268">
        <f>SUMIFS(AS!$W:$W,AS!$BO:$BO,$W$7,AS!$AB:$AB,AS!$AA$1,AS!$AH:$AH,$X$8,AS!$AQ:$AQ,Tilanne!$X24,AS!$AV:$AV,Tilanne!$X$6,AS!$AW:$AW,Tilanne!$Y$6,AS!$X:$X,Tilanne!$Y$5,AS!$K:$K,Tilanne!$V$2)</f>
        <v>0</v>
      </c>
      <c r="K24" s="324" t="str">
        <f t="shared" si="10"/>
        <v>-</v>
      </c>
      <c r="L24" s="84">
        <f>SUMIFS(AS!$W:$W,AS!$BO:$BO,$W$7,AS!$AB:$AB,AS!$AA$1,AS!$AH:$AH,$X$8,AS!$AQ:$AQ,Tilanne!$X24,AS!$AV:$AV,Tilanne!$X$6,AS!$I:$I,$X$7,AS!$AW:$AW,Tilanne!$Y$6,AS!$X:$X,Tilanne!$Y$5,AS!$K:$K,Tilanne!$V$2)</f>
        <v>0</v>
      </c>
      <c r="M24" s="84">
        <f>SUMIFS(AS!$W:$W,AS!$BO:$BO,$W$7,AS!$AB:$AB,AS!$AA$1,AS!$AH:$AH,$X$8,AS!$AQ:$AQ,Tilanne!$X24,AS!$AV:$AV,Tilanne!$X$6,AS!$I:$I,$Y$7,AS!$AW:$AW,Tilanne!$Y$6,AS!$X:$X,Tilanne!$Y$5,AS!$K:$K,Tilanne!$V$2)</f>
        <v>0</v>
      </c>
      <c r="N24" s="84">
        <f>SUMIFS(AS!$W:$W,AS!$BO:$BO,$W$7,AS!$AB:$AB,AS!$AA$1,AS!$AH:$AH,"vanha",AS!$AQ:$AQ,Tilanne!$X24,AS!$AV:$AV,Tilanne!$X$6,AS!$AW:$AW,Tilanne!$Y$6,AS!$X:$X,Tilanne!$Y$5,AS!$K:$K,Tilanne!$V$2)</f>
        <v>0</v>
      </c>
      <c r="O24" s="264"/>
      <c r="Q24" s="83" t="s">
        <v>154</v>
      </c>
      <c r="R24" s="91">
        <f t="shared" si="4"/>
        <v>0</v>
      </c>
      <c r="S24" s="323" t="str">
        <f t="shared" si="8"/>
        <v>-</v>
      </c>
      <c r="T24" s="91">
        <f t="shared" si="5"/>
        <v>0</v>
      </c>
      <c r="U24" s="91">
        <f t="shared" si="6"/>
        <v>0</v>
      </c>
      <c r="V24" s="91">
        <f t="shared" si="7"/>
        <v>0</v>
      </c>
      <c r="X24" s="47" t="s">
        <v>390</v>
      </c>
      <c r="AA24" s="176" t="str">
        <f>IFERROR(IF(INDEX(Data_Omakoodi!H:H,MATCH($AK$3&amp;$AL24,Data_Omakoodi!A:A,0))="P","",$AK$3&amp;$AL24),$AK$3&amp;$AL24)</f>
        <v>ComboBox_EtKuntakoodi_00000017</v>
      </c>
      <c r="AB24" s="44" t="str">
        <f>IFERROR(INDEX(Data_Omakoodi!E:E,MATCH(AA24,Data_Omakoodi!A:A,0)),"")</f>
        <v/>
      </c>
      <c r="AC24" t="str">
        <f>IFERROR(IF(INDEX(Data_Omakoodi!H:H,MATCH($AH$3&amp;$AL24,Data_Omakoodi!A:A,0))="P","",$AH$3&amp;$AL24),$AH$3&amp;$AL24)</f>
        <v>ComboBox_TyHlo_yksikko_00000017</v>
      </c>
      <c r="AD24" s="44" t="str">
        <f>IFERROR(INDEX(Data_Omakoodi!E:E,MATCH(AC24,Data_Omakoodi!A:A,0)),"")</f>
        <v/>
      </c>
      <c r="AE24" t="str">
        <f>IFERROR(IF(INDEX(Data_Omakoodi!H:H,MATCH($AH$3&amp;$AL24,Data_Omakoodi!A:A,0))="P","",$AH$3&amp;$AL24),$AH$3&amp;$AL24)</f>
        <v>ComboBox_TyHlo_yksikko_00000017</v>
      </c>
      <c r="AF24" t="s">
        <v>1543</v>
      </c>
      <c r="AG24" s="739" t="str">
        <f t="shared" si="0"/>
        <v/>
      </c>
      <c r="AH24" s="739" t="str">
        <f t="shared" si="1"/>
        <v/>
      </c>
      <c r="AI24"/>
      <c r="AJ24" s="739" t="str">
        <f t="shared" si="2"/>
        <v/>
      </c>
      <c r="AK24" s="739" t="str">
        <f t="shared" si="3"/>
        <v/>
      </c>
      <c r="AL24">
        <v>17</v>
      </c>
    </row>
    <row r="25" spans="1:38" x14ac:dyDescent="0.25">
      <c r="A25" s="83" t="s">
        <v>63</v>
      </c>
      <c r="B25" s="84">
        <f>SUMIFS(AS!$W:$W,AS!$BO:$BO,$W$7,AS!$AB:$AB,AS!$AA$1,AS!$AH:$AH,$X$8,AS!$AL:$AL,Tilanne!$X25,AS!$AV:$AV,Tilanne!$X$6,AS!$AW:$AW,Tilanne!$Y$6,AS!$X:$X,Tilanne!$Y$5,AS!$K:$K,Tilanne!$V$2)</f>
        <v>0</v>
      </c>
      <c r="C25" s="324" t="str">
        <f t="shared" si="9"/>
        <v>-</v>
      </c>
      <c r="D25" s="84">
        <f>SUMIFS(AS!$W:$W,AS!$BO:$BO,$W$7,AS!$AB:$AB,AS!$AA$1,AS!$AH:$AH,$X$8,AS!$AL:$AL,Tilanne!$X25,AS!$AV:$AV,Tilanne!$X$6,AS!$I:$I,$X$7,AS!$AW:$AW,Tilanne!$Y$6,AS!$X:$X,Tilanne!$Y$5,AS!$K:$K,Tilanne!$V$2)</f>
        <v>0</v>
      </c>
      <c r="E25" s="84">
        <f>SUMIFS(AS!$W:$W,AS!$BO:$BO,$W$7,AS!$AB:$AB,AS!$AA$1,AS!$AH:$AH,$X$8,AS!$AL:$AL,Tilanne!$X25,AS!$AV:$AV,Tilanne!$X$6,AS!$I:$I,$Y$7,AS!$AW:$AW,Tilanne!$Y$6,AS!$X:$X,Tilanne!$Y$5,AS!$K:$K,Tilanne!$V$2)</f>
        <v>0</v>
      </c>
      <c r="F25" s="263">
        <f>SUMIFS(AS!$W:$W,AS!$BO:$BO,$W$7,AS!$AB:$AB,AS!$AA$1,AS!$AH:$AH,$Y$8,AS!$AL:$AL,Tilanne!$X25,AS!$AV:$AV,Tilanne!$X$6,AS!$AW:$AW,Tilanne!$Y$6,AS!$X:$X,Tilanne!$Y$5,AS!$K:$K,Tilanne!$V$2)</f>
        <v>0</v>
      </c>
      <c r="G25" s="264"/>
      <c r="I25" s="269" t="s">
        <v>63</v>
      </c>
      <c r="J25" s="268">
        <f>SUMIFS(AS!$W:$W,AS!$BO:$BO,$W$7,AS!$AB:$AB,AS!$AA$1,AS!$AH:$AH,$X$8,AS!$AQ:$AQ,Tilanne!$X25,AS!$AV:$AV,Tilanne!$X$6,AS!$AW:$AW,Tilanne!$Y$6,AS!$X:$X,Tilanne!$Y$5,AS!$K:$K,Tilanne!$V$2)</f>
        <v>0</v>
      </c>
      <c r="K25" s="324" t="str">
        <f t="shared" si="10"/>
        <v>-</v>
      </c>
      <c r="L25" s="84">
        <f>SUMIFS(AS!$W:$W,AS!$BO:$BO,$W$7,AS!$AB:$AB,AS!$AA$1,AS!$AH:$AH,$X$8,AS!$AQ:$AQ,Tilanne!$X25,AS!$AV:$AV,Tilanne!$X$6,AS!$I:$I,$X$7,AS!$AW:$AW,Tilanne!$Y$6,AS!$X:$X,Tilanne!$Y$5,AS!$K:$K,Tilanne!$V$2)</f>
        <v>0</v>
      </c>
      <c r="M25" s="84">
        <f>SUMIFS(AS!$W:$W,AS!$BO:$BO,$W$7,AS!$AB:$AB,AS!$AA$1,AS!$AH:$AH,$X$8,AS!$AQ:$AQ,Tilanne!$X25,AS!$AV:$AV,Tilanne!$X$6,AS!$I:$I,$Y$7,AS!$AW:$AW,Tilanne!$Y$6,AS!$X:$X,Tilanne!$Y$5,AS!$K:$K,Tilanne!$V$2)</f>
        <v>0</v>
      </c>
      <c r="N25" s="84">
        <f>SUMIFS(AS!$W:$W,AS!$BO:$BO,$W$7,AS!$AB:$AB,AS!$AA$1,AS!$AH:$AH,"vanha",AS!$AQ:$AQ,Tilanne!$X25,AS!$AV:$AV,Tilanne!$X$6,AS!$AW:$AW,Tilanne!$Y$6,AS!$X:$X,Tilanne!$Y$5,AS!$K:$K,Tilanne!$V$2)</f>
        <v>0</v>
      </c>
      <c r="O25" s="264"/>
      <c r="Q25" s="83" t="s">
        <v>63</v>
      </c>
      <c r="R25" s="91">
        <f t="shared" si="4"/>
        <v>0</v>
      </c>
      <c r="S25" s="323" t="str">
        <f t="shared" si="8"/>
        <v>-</v>
      </c>
      <c r="T25" s="91">
        <f t="shared" si="5"/>
        <v>0</v>
      </c>
      <c r="U25" s="91">
        <f t="shared" si="6"/>
        <v>0</v>
      </c>
      <c r="V25" s="91">
        <f t="shared" si="7"/>
        <v>0</v>
      </c>
      <c r="X25" s="47" t="s">
        <v>391</v>
      </c>
      <c r="AA25" s="176" t="str">
        <f>IFERROR(IF(INDEX(Data_Omakoodi!H:H,MATCH($AK$3&amp;$AL25,Data_Omakoodi!A:A,0))="P","",$AK$3&amp;$AL25),$AK$3&amp;$AL25)</f>
        <v>ComboBox_EtKuntakoodi_00000018</v>
      </c>
      <c r="AB25" s="44" t="str">
        <f>IFERROR(INDEX(Data_Omakoodi!E:E,MATCH(AA25,Data_Omakoodi!A:A,0)),"")</f>
        <v/>
      </c>
      <c r="AC25" t="str">
        <f>IFERROR(IF(INDEX(Data_Omakoodi!H:H,MATCH($AH$3&amp;$AL25,Data_Omakoodi!A:A,0))="P","",$AH$3&amp;$AL25),$AH$3&amp;$AL25)</f>
        <v>ComboBox_TyHlo_yksikko_00000018</v>
      </c>
      <c r="AD25" s="44" t="str">
        <f>IFERROR(INDEX(Data_Omakoodi!E:E,MATCH(AC25,Data_Omakoodi!A:A,0)),"")</f>
        <v/>
      </c>
      <c r="AE25" t="str">
        <f>IFERROR(IF(INDEX(Data_Omakoodi!H:H,MATCH($AH$3&amp;$AL25,Data_Omakoodi!A:A,0))="P","",$AH$3&amp;$AL25),$AH$3&amp;$AL25)</f>
        <v>ComboBox_TyHlo_yksikko_00000018</v>
      </c>
      <c r="AF25" t="s">
        <v>1544</v>
      </c>
      <c r="AG25" s="739" t="str">
        <f t="shared" si="0"/>
        <v/>
      </c>
      <c r="AH25" s="739" t="str">
        <f t="shared" si="1"/>
        <v/>
      </c>
      <c r="AI25"/>
      <c r="AJ25" s="739" t="str">
        <f t="shared" si="2"/>
        <v/>
      </c>
      <c r="AK25" s="739" t="str">
        <f t="shared" si="3"/>
        <v/>
      </c>
      <c r="AL25">
        <v>18</v>
      </c>
    </row>
    <row r="26" spans="1:38" x14ac:dyDescent="0.25">
      <c r="A26" s="59" t="s">
        <v>97</v>
      </c>
      <c r="B26" s="65">
        <f>SUM(B27:B28)</f>
        <v>0</v>
      </c>
      <c r="C26" s="322" t="str">
        <f>IFERROR(B26/B$29,"-")</f>
        <v>-</v>
      </c>
      <c r="D26" s="65">
        <f>SUM(D27:D28)</f>
        <v>0</v>
      </c>
      <c r="E26" s="65">
        <f>SUM(E27:E28)</f>
        <v>0</v>
      </c>
      <c r="F26" s="65">
        <f>SUM(F27:F28)</f>
        <v>0</v>
      </c>
      <c r="G26" s="264"/>
      <c r="I26" s="587" t="s">
        <v>97</v>
      </c>
      <c r="J26" s="588">
        <f>SUM(J27:J28)</f>
        <v>0</v>
      </c>
      <c r="K26" s="601" t="str">
        <f>IFERROR(J26/J$29,"-")</f>
        <v>-</v>
      </c>
      <c r="L26" s="589">
        <f>SUM(L27:L28)</f>
        <v>0</v>
      </c>
      <c r="M26" s="589">
        <f>SUM(M27:M28)</f>
        <v>0</v>
      </c>
      <c r="N26" s="589">
        <f>SUM(N27:N28)</f>
        <v>0</v>
      </c>
      <c r="O26" s="264"/>
      <c r="Q26" s="59" t="s">
        <v>97</v>
      </c>
      <c r="R26" s="92">
        <f>J26-B26</f>
        <v>0</v>
      </c>
      <c r="S26" s="325" t="str">
        <f>IFERROR(K26-C26,"-")</f>
        <v>-</v>
      </c>
      <c r="T26" s="92">
        <f>L26-D26</f>
        <v>0</v>
      </c>
      <c r="U26" s="92">
        <f>M26-E26</f>
        <v>0</v>
      </c>
      <c r="V26" s="92">
        <f>N26-F26</f>
        <v>0</v>
      </c>
      <c r="X26" s="47"/>
      <c r="AA26" s="176" t="str">
        <f>IFERROR(IF(INDEX(Data_Omakoodi!H:H,MATCH($AK$3&amp;$AL26,Data_Omakoodi!A:A,0))="P","",$AK$3&amp;$AL26),$AK$3&amp;$AL26)</f>
        <v>ComboBox_EtKuntakoodi_00000019</v>
      </c>
      <c r="AB26" s="44" t="str">
        <f>IFERROR(INDEX(Data_Omakoodi!E:E,MATCH(AA26,Data_Omakoodi!A:A,0)),"")</f>
        <v/>
      </c>
      <c r="AC26" t="str">
        <f>IFERROR(IF(INDEX(Data_Omakoodi!H:H,MATCH($AH$3&amp;$AL26,Data_Omakoodi!A:A,0))="P","",$AH$3&amp;$AL26),$AH$3&amp;$AL26)</f>
        <v>ComboBox_TyHlo_yksikko_00000019</v>
      </c>
      <c r="AD26" s="44" t="str">
        <f>IFERROR(INDEX(Data_Omakoodi!E:E,MATCH(AC26,Data_Omakoodi!A:A,0)),"")</f>
        <v/>
      </c>
      <c r="AE26" t="str">
        <f>IFERROR(IF(INDEX(Data_Omakoodi!H:H,MATCH($AH$3&amp;$AL26,Data_Omakoodi!A:A,0))="P","",$AH$3&amp;$AL26),$AH$3&amp;$AL26)</f>
        <v>ComboBox_TyHlo_yksikko_00000019</v>
      </c>
      <c r="AF26" t="s">
        <v>1545</v>
      </c>
      <c r="AG26" s="739" t="str">
        <f t="shared" si="0"/>
        <v/>
      </c>
      <c r="AH26" s="739" t="str">
        <f t="shared" si="1"/>
        <v/>
      </c>
      <c r="AI26"/>
      <c r="AJ26" s="739" t="str">
        <f t="shared" si="2"/>
        <v/>
      </c>
      <c r="AK26" s="739" t="str">
        <f t="shared" si="3"/>
        <v/>
      </c>
      <c r="AL26">
        <v>19</v>
      </c>
    </row>
    <row r="27" spans="1:38" x14ac:dyDescent="0.25">
      <c r="A27" s="83" t="s">
        <v>97</v>
      </c>
      <c r="B27" s="84">
        <f>SUMIFS(AS!$W:$W,AS!$BO:$BO,$W$7,AS!$AB:$AB,AS!$AA$1,AS!$AH:$AH,$X$8,AS!$AL:$AL,Tilanne!$X27,AS!$AV:$AV,Tilanne!$X$6,AS!$AW:$AW,Tilanne!$Y$6,AS!$X:$X,Tilanne!$Y$5,AS!$K:$K,Tilanne!$V$2)</f>
        <v>0</v>
      </c>
      <c r="C27" s="324" t="str">
        <f>IFERROR(B27/B$29,"-")</f>
        <v>-</v>
      </c>
      <c r="D27" s="84">
        <f>SUMIFS(AS!$W:$W,AS!$BO:$BO,$W$7,AS!$AB:$AB,AS!$AA$1,AS!$AH:$AH,$X$8,AS!$AL:$AL,Tilanne!$X27,AS!$AV:$AV,Tilanne!$X$6,AS!$I:$I,$X$7,AS!$AW:$AW,Tilanne!$Y$6,AS!$X:$X,Tilanne!$Y$5,AS!$K:$K,Tilanne!$V$2)</f>
        <v>0</v>
      </c>
      <c r="E27" s="84">
        <f>SUMIFS(AS!$W:$W,AS!$BO:$BO,$W$7,AS!$AB:$AB,AS!$AA$1,AS!$AH:$AH,$X$8,AS!$AL:$AL,Tilanne!$X27,AS!$AV:$AV,Tilanne!$X$6,AS!$I:$I,$Y$7,AS!$AW:$AW,Tilanne!$Y$6,AS!$X:$X,Tilanne!$Y$5,AS!$K:$K,Tilanne!$V$2)</f>
        <v>0</v>
      </c>
      <c r="F27" s="263">
        <f>SUMIFS(AS!$W:$W,AS!$BO:$BO,$W$7,AS!$AB:$AB,AS!$AA$1,AS!$AH:$AH,$Y$8,AS!$AL:$AL,Tilanne!$X27,AS!$AV:$AV,Tilanne!$X$6,AS!$AW:$AW,Tilanne!$Y$6,AS!$X:$X,Tilanne!$Y$5,AS!$K:$K,Tilanne!$V$2)</f>
        <v>0</v>
      </c>
      <c r="G27" s="264"/>
      <c r="I27" s="269" t="s">
        <v>97</v>
      </c>
      <c r="J27" s="268">
        <f>SUMIFS(AS!$W:$W,AS!$BO:$BO,$W$7,AS!$AB:$AB,AS!$AA$1,AS!$AH:$AH,$X$8,AS!$AQ:$AQ,Tilanne!$X27,AS!$AV:$AV,Tilanne!$X$6,AS!$AW:$AW,Tilanne!$Y$6,AS!$X:$X,Tilanne!$Y$5,AS!$K:$K,Tilanne!$V$2)</f>
        <v>0</v>
      </c>
      <c r="K27" s="324" t="str">
        <f>IFERROR(J27/J$29,"-")</f>
        <v>-</v>
      </c>
      <c r="L27" s="84">
        <f>SUMIFS(AS!$W:$W,AS!$BO:$BO,$W$7,AS!$AB:$AB,AS!$AA$1,AS!$AH:$AH,$X$8,AS!$AQ:$AQ,Tilanne!$X27,AS!$AV:$AV,Tilanne!$X$6,AS!$I:$I,$X$7,AS!$AW:$AW,Tilanne!$Y$6,AS!$X:$X,Tilanne!$Y$5,AS!$K:$K,Tilanne!$V$2)</f>
        <v>0</v>
      </c>
      <c r="M27" s="84">
        <f>SUMIFS(AS!$W:$W,AS!$BO:$BO,$W$7,AS!$AB:$AB,AS!$AA$1,AS!$AH:$AH,$X$8,AS!$AQ:$AQ,Tilanne!$X27,AS!$AV:$AV,Tilanne!$X$6,AS!$I:$I,$Y$7,AS!$AW:$AW,Tilanne!$Y$6,AS!$X:$X,Tilanne!$Y$5,AS!$K:$K,Tilanne!$V$2)</f>
        <v>0</v>
      </c>
      <c r="N27" s="84">
        <f>SUMIFS(AS!$W:$W,AS!$BO:$BO,$W$7,AS!$AB:$AB,AS!$AA$1,AS!$AH:$AH,"vanha",AS!$AQ:$AQ,Tilanne!$X27,AS!$AV:$AV,Tilanne!$X$6,AS!$AW:$AW,Tilanne!$Y$6,AS!$X:$X,Tilanne!$Y$5,AS!$K:$K,Tilanne!$V$2)</f>
        <v>0</v>
      </c>
      <c r="O27" s="264"/>
      <c r="Q27" s="83" t="s">
        <v>97</v>
      </c>
      <c r="R27" s="91">
        <f t="shared" si="4"/>
        <v>0</v>
      </c>
      <c r="S27" s="323" t="str">
        <f t="shared" si="8"/>
        <v>-</v>
      </c>
      <c r="T27" s="91">
        <f t="shared" si="5"/>
        <v>0</v>
      </c>
      <c r="U27" s="91">
        <f t="shared" si="6"/>
        <v>0</v>
      </c>
      <c r="V27" s="91">
        <f t="shared" si="7"/>
        <v>0</v>
      </c>
      <c r="X27" s="47" t="s">
        <v>359</v>
      </c>
      <c r="AA27" s="176" t="str">
        <f>IFERROR(IF(INDEX(Data_Omakoodi!H:H,MATCH($AK$3&amp;$AL27,Data_Omakoodi!A:A,0))="P","",$AK$3&amp;$AL27),$AK$3&amp;$AL27)</f>
        <v>ComboBox_EtKuntakoodi_00000020</v>
      </c>
      <c r="AB27" s="44" t="str">
        <f>IFERROR(INDEX(Data_Omakoodi!E:E,MATCH(AA27,Data_Omakoodi!A:A,0)),"")</f>
        <v/>
      </c>
      <c r="AC27" t="str">
        <f>IFERROR(IF(INDEX(Data_Omakoodi!H:H,MATCH($AH$3&amp;$AL27,Data_Omakoodi!A:A,0))="P","",$AH$3&amp;$AL27),$AH$3&amp;$AL27)</f>
        <v>ComboBox_TyHlo_yksikko_00000020</v>
      </c>
      <c r="AD27" s="44" t="str">
        <f>IFERROR(INDEX(Data_Omakoodi!E:E,MATCH(AC27,Data_Omakoodi!A:A,0)),"")</f>
        <v/>
      </c>
      <c r="AE27" t="str">
        <f>IFERROR(IF(INDEX(Data_Omakoodi!H:H,MATCH($AH$3&amp;$AL27,Data_Omakoodi!A:A,0))="P","",$AH$3&amp;$AL27),$AH$3&amp;$AL27)</f>
        <v>ComboBox_TyHlo_yksikko_00000020</v>
      </c>
      <c r="AF27" t="s">
        <v>1546</v>
      </c>
      <c r="AG27" s="739" t="str">
        <f t="shared" si="0"/>
        <v/>
      </c>
      <c r="AH27" s="739" t="str">
        <f t="shared" si="1"/>
        <v/>
      </c>
      <c r="AI27"/>
      <c r="AJ27" s="739" t="str">
        <f t="shared" si="2"/>
        <v/>
      </c>
      <c r="AK27" s="739" t="str">
        <f t="shared" si="3"/>
        <v/>
      </c>
      <c r="AL27">
        <v>20</v>
      </c>
    </row>
    <row r="28" spans="1:38" x14ac:dyDescent="0.25">
      <c r="A28" s="83" t="s">
        <v>548</v>
      </c>
      <c r="B28" s="84">
        <f>SUMIFS(AS!$W:$W,AS!$BO:$BO,$W$7,AS!$AB:$AB,AS!$AA$1,AS!$AH:$AH,$X$8,AS!$AL:$AL,"",AS!$AV:$AV,Tilanne!$X$6,AS!$AW:$AW,Tilanne!$Y$6,AS!$X:$X,Tilanne!$Y$5,AS!$K:$K,Tilanne!$V$2)</f>
        <v>0</v>
      </c>
      <c r="C28" s="324" t="str">
        <f>IFERROR(B28/B$29,"-")</f>
        <v>-</v>
      </c>
      <c r="D28" s="84">
        <f>SUMIFS(AS!$W:$W,AS!$BO:$BO,$W$7,AS!$AB:$AB,AS!$AA$1,AS!$AH:$AH,$X$8,AS!$AL:$AL,"",AS!$AV:$AV,Tilanne!$X$6,AS!$I:$I,$X$7,AS!$AW:$AW,Tilanne!$Y$6,AS!$X:$X,Tilanne!$Y$5,AS!$K:$K,Tilanne!$V$2)</f>
        <v>0</v>
      </c>
      <c r="E28" s="84">
        <f>SUMIFS(AS!$W:$W,AS!$BO:$BO,$W$7,AS!$AB:$AB,AS!$AA$1,AS!$AH:$AH,$X$8,AS!$AL:$AL,"",AS!$AV:$AV,Tilanne!$X$6,AS!$I:$I,$Y$7,AS!$AW:$AW,Tilanne!$Y$6,AS!$X:$X,Tilanne!$Y$5,AS!$K:$K,Tilanne!$V$2)</f>
        <v>0</v>
      </c>
      <c r="F28" s="263">
        <f>SUMIFS(AS!$W:$W,AS!$BO:$BO,$W$7,AS!$AB:$AB,AS!$AA$1,AS!$AH:$AH,$Y$8,AS!$AL:$AL,"",AS!$AV:$AV,Tilanne!$X$6,AS!$AW:$AW,Tilanne!$Y$6,AS!$X:$X,Tilanne!$Y$5,AS!$K:$K,Tilanne!$V$2)</f>
        <v>0</v>
      </c>
      <c r="G28" s="264"/>
      <c r="I28" s="269" t="s">
        <v>548</v>
      </c>
      <c r="J28" s="268">
        <f>SUMIFS(AS!$W:$W,AS!$BO:$BO,$W$7,AS!$AB:$AB,AS!$AA$1,AS!$AH:$AH,$X$8,AS!$AQ:$AQ,"",AS!$AV:$AV,Tilanne!$X$6,AS!$AW:$AW,Tilanne!$Y$6,AS!$X:$X,Tilanne!$Y$5,AS!$K:$K,Tilanne!$V$2)</f>
        <v>0</v>
      </c>
      <c r="K28" s="324" t="str">
        <f>IFERROR(J28/J$29,"-")</f>
        <v>-</v>
      </c>
      <c r="L28" s="84">
        <f>SUMIFS(AS!$W:$W,AS!$BO:$BO,$W$7,AS!$AB:$AB,AS!$AA$1,AS!$AH:$AH,$X$8,AS!$AQ:$AQ,"",AS!$AV:$AV,Tilanne!$X$6,AS!$I:$I,$X$7,AS!$AW:$AW,Tilanne!$Y$6,AS!$X:$X,Tilanne!$Y$5,AS!$K:$K,Tilanne!$V$2)</f>
        <v>0</v>
      </c>
      <c r="M28" s="84">
        <f>SUMIFS(AS!$W:$W,AS!$BO:$BO,$W$7,AS!$AB:$AB,AS!$AA$1,AS!$AH:$AH,$X$8,AS!$AQ:$AQ,"",AS!$AV:$AV,Tilanne!$X$6,AS!$I:$I,$Y$7,AS!$AW:$AW,Tilanne!$Y$6,AS!$X:$X,Tilanne!$Y$5,AS!$K:$K,Tilanne!$V$2)</f>
        <v>0</v>
      </c>
      <c r="N28" s="84">
        <f>SUMIFS(AS!$W:$W,AS!$BO:$BO,$W$7,AS!$AB:$AB,AS!$AA$1,AS!$AH:$AH,"vanha",AS!$AQ:$AQ,"",AS!$AV:$AV,Tilanne!$X$6,AS!$AW:$AW,Tilanne!$Y$6,AS!$X:$X,Tilanne!$Y$5,AS!$K:$K,Tilanne!$V$2)</f>
        <v>0</v>
      </c>
      <c r="O28" s="264"/>
      <c r="Q28" s="83" t="s">
        <v>548</v>
      </c>
      <c r="R28" s="91">
        <f t="shared" si="4"/>
        <v>0</v>
      </c>
      <c r="S28" s="323" t="str">
        <f t="shared" si="8"/>
        <v>-</v>
      </c>
      <c r="T28" s="91">
        <f t="shared" si="5"/>
        <v>0</v>
      </c>
      <c r="U28" s="91">
        <f t="shared" si="6"/>
        <v>0</v>
      </c>
      <c r="V28" s="91">
        <f t="shared" si="7"/>
        <v>0</v>
      </c>
      <c r="X28" s="7"/>
      <c r="AA28" s="176" t="str">
        <f>IFERROR(IF(INDEX(Data_Omakoodi!H:H,MATCH($AK$3&amp;$AL28,Data_Omakoodi!A:A,0))="P","",$AK$3&amp;$AL28),$AK$3&amp;$AL28)</f>
        <v>ComboBox_EtKuntakoodi_00000021</v>
      </c>
      <c r="AB28" s="44" t="str">
        <f>IFERROR(INDEX(Data_Omakoodi!E:E,MATCH(AA28,Data_Omakoodi!A:A,0)),"")</f>
        <v/>
      </c>
      <c r="AC28" t="str">
        <f>IFERROR(IF(INDEX(Data_Omakoodi!H:H,MATCH($AH$3&amp;$AL28,Data_Omakoodi!A:A,0))="P","",$AH$3&amp;$AL28),$AH$3&amp;$AL28)</f>
        <v>ComboBox_TyHlo_yksikko_00000021</v>
      </c>
      <c r="AD28" s="44" t="str">
        <f>IFERROR(INDEX(Data_Omakoodi!E:E,MATCH(AC28,Data_Omakoodi!A:A,0)),"")</f>
        <v/>
      </c>
      <c r="AE28" t="str">
        <f>IFERROR(IF(INDEX(Data_Omakoodi!H:H,MATCH($AH$3&amp;$AL28,Data_Omakoodi!A:A,0))="P","",$AH$3&amp;$AL28),$AH$3&amp;$AL28)</f>
        <v>ComboBox_TyHlo_yksikko_00000021</v>
      </c>
      <c r="AF28" t="s">
        <v>1547</v>
      </c>
      <c r="AG28" s="739" t="str">
        <f t="shared" si="0"/>
        <v/>
      </c>
      <c r="AH28" s="739" t="str">
        <f t="shared" si="1"/>
        <v/>
      </c>
      <c r="AI28"/>
      <c r="AJ28" s="739" t="str">
        <f t="shared" si="2"/>
        <v/>
      </c>
      <c r="AK28" s="739" t="str">
        <f t="shared" si="3"/>
        <v/>
      </c>
      <c r="AL28">
        <v>21</v>
      </c>
    </row>
    <row r="29" spans="1:38" x14ac:dyDescent="0.25">
      <c r="A29" s="85" t="s">
        <v>114</v>
      </c>
      <c r="B29" s="54">
        <f>SUM(B14:B26)</f>
        <v>0</v>
      </c>
      <c r="C29" s="270">
        <f>SUM(C14:C26)</f>
        <v>0</v>
      </c>
      <c r="D29" s="54">
        <f>SUM(D14:D26)</f>
        <v>0</v>
      </c>
      <c r="E29" s="54">
        <f>SUM(E14:E26)</f>
        <v>0</v>
      </c>
      <c r="F29" s="54">
        <f>SUM(F14:F26)</f>
        <v>0</v>
      </c>
      <c r="G29" s="262"/>
      <c r="I29" s="591" t="s">
        <v>114</v>
      </c>
      <c r="J29" s="595">
        <f>SUM(J14:J26)</f>
        <v>0</v>
      </c>
      <c r="K29" s="593">
        <f>SUM(K14:K26)</f>
        <v>0</v>
      </c>
      <c r="L29" s="596">
        <f>SUM(L14:L26)</f>
        <v>0</v>
      </c>
      <c r="M29" s="596">
        <f>SUM(M14:M26)</f>
        <v>0</v>
      </c>
      <c r="N29" s="596">
        <f>SUM(N14:N26)</f>
        <v>0</v>
      </c>
      <c r="O29" s="262"/>
      <c r="Q29" s="85" t="s">
        <v>114</v>
      </c>
      <c r="R29" s="93">
        <f t="shared" si="4"/>
        <v>0</v>
      </c>
      <c r="S29" s="326">
        <f>IFERROR(K29-C29,"-")</f>
        <v>0</v>
      </c>
      <c r="T29" s="93">
        <f t="shared" si="5"/>
        <v>0</v>
      </c>
      <c r="U29" s="93">
        <f t="shared" si="6"/>
        <v>0</v>
      </c>
      <c r="V29" s="93">
        <f t="shared" si="7"/>
        <v>0</v>
      </c>
      <c r="AA29" s="176" t="str">
        <f>IFERROR(IF(INDEX(Data_Omakoodi!H:H,MATCH($AK$3&amp;$AL29,Data_Omakoodi!A:A,0))="P","",$AK$3&amp;$AL29),$AK$3&amp;$AL29)</f>
        <v>ComboBox_EtKuntakoodi_00000022</v>
      </c>
      <c r="AB29" s="44" t="str">
        <f>IFERROR(INDEX(Data_Omakoodi!E:E,MATCH(AA29,Data_Omakoodi!A:A,0)),"")</f>
        <v/>
      </c>
      <c r="AC29" t="str">
        <f>IFERROR(IF(INDEX(Data_Omakoodi!H:H,MATCH($AH$3&amp;$AL29,Data_Omakoodi!A:A,0))="P","",$AH$3&amp;$AL29),$AH$3&amp;$AL29)</f>
        <v>ComboBox_TyHlo_yksikko_00000022</v>
      </c>
      <c r="AD29" s="44" t="str">
        <f>IFERROR(INDEX(Data_Omakoodi!E:E,MATCH(AC29,Data_Omakoodi!A:A,0)),"")</f>
        <v/>
      </c>
      <c r="AE29" t="str">
        <f>IFERROR(IF(INDEX(Data_Omakoodi!H:H,MATCH($AH$3&amp;$AL29,Data_Omakoodi!A:A,0))="P","",$AH$3&amp;$AL29),$AH$3&amp;$AL29)</f>
        <v>ComboBox_TyHlo_yksikko_00000022</v>
      </c>
      <c r="AF29" t="s">
        <v>1548</v>
      </c>
      <c r="AG29" s="739" t="str">
        <f t="shared" si="0"/>
        <v/>
      </c>
      <c r="AH29" s="739" t="str">
        <f t="shared" si="1"/>
        <v/>
      </c>
      <c r="AI29"/>
      <c r="AJ29" s="739" t="str">
        <f t="shared" si="2"/>
        <v/>
      </c>
      <c r="AK29" s="739" t="str">
        <f t="shared" si="3"/>
        <v/>
      </c>
      <c r="AL29">
        <v>22</v>
      </c>
    </row>
    <row r="30" spans="1:38" x14ac:dyDescent="0.25">
      <c r="B30" s="53"/>
      <c r="C30" s="53"/>
      <c r="D30" s="53"/>
      <c r="J30" s="53"/>
      <c r="K30" s="53"/>
      <c r="L30" s="53"/>
      <c r="S30" s="94"/>
      <c r="AA30" s="176" t="str">
        <f>IFERROR(IF(INDEX(Data_Omakoodi!H:H,MATCH($AK$3&amp;$AL30,Data_Omakoodi!A:A,0))="P","",$AK$3&amp;$AL30),$AK$3&amp;$AL30)</f>
        <v>ComboBox_EtKuntakoodi_00000023</v>
      </c>
      <c r="AB30" s="44" t="str">
        <f>IFERROR(INDEX(Data_Omakoodi!E:E,MATCH(AA30,Data_Omakoodi!A:A,0)),"")</f>
        <v/>
      </c>
      <c r="AC30" t="str">
        <f>IFERROR(IF(INDEX(Data_Omakoodi!H:H,MATCH($AH$3&amp;$AL30,Data_Omakoodi!A:A,0))="P","",$AH$3&amp;$AL30),$AH$3&amp;$AL30)</f>
        <v>ComboBox_TyHlo_yksikko_00000023</v>
      </c>
      <c r="AD30" s="44" t="str">
        <f>IFERROR(INDEX(Data_Omakoodi!E:E,MATCH(AC30,Data_Omakoodi!A:A,0)),"")</f>
        <v/>
      </c>
      <c r="AE30" t="str">
        <f>IFERROR(IF(INDEX(Data_Omakoodi!H:H,MATCH($AH$3&amp;$AL30,Data_Omakoodi!A:A,0))="P","",$AH$3&amp;$AL30),$AH$3&amp;$AL30)</f>
        <v>ComboBox_TyHlo_yksikko_00000023</v>
      </c>
      <c r="AF30" t="s">
        <v>1549</v>
      </c>
      <c r="AG30" s="739" t="str">
        <f t="shared" si="0"/>
        <v/>
      </c>
      <c r="AH30" s="739" t="str">
        <f t="shared" si="1"/>
        <v/>
      </c>
      <c r="AI30"/>
      <c r="AJ30" s="739" t="str">
        <f t="shared" si="2"/>
        <v/>
      </c>
      <c r="AK30" s="739" t="str">
        <f t="shared" si="3"/>
        <v/>
      </c>
      <c r="AL30">
        <v>23</v>
      </c>
    </row>
    <row r="31" spans="1:38" x14ac:dyDescent="0.25">
      <c r="A31" s="52" t="str">
        <f>X34&amp;X10&amp;X12</f>
        <v>Nuoren pääasiallinen toimeentulo aloitustilanteessa - 01.01.2025-30.04.2025 (Tavoitetut)</v>
      </c>
      <c r="B31" s="50"/>
      <c r="C31" s="50"/>
      <c r="D31" s="50"/>
      <c r="E31" s="51"/>
      <c r="F31" s="51"/>
      <c r="I31" s="52" t="str">
        <f>W34&amp;X10&amp;X12</f>
        <v>Nuoren pääasiallinen toimeentulo - viimeisin tieto - 01.01.2025-30.04.2025 (Tavoitetut)</v>
      </c>
      <c r="J31" s="50"/>
      <c r="K31" s="50"/>
      <c r="L31" s="50"/>
      <c r="M31" s="51"/>
      <c r="N31" s="51"/>
      <c r="Q31" s="52" t="str">
        <f>Y34&amp;X10&amp;X12</f>
        <v>Nuoren pääasiallinen toimeentulo - muutos - 01.01.2025-30.04.2025 (Tavoitetut)</v>
      </c>
      <c r="S31" s="90"/>
      <c r="AA31" s="176" t="str">
        <f>IFERROR(IF(INDEX(Data_Omakoodi!H:H,MATCH($AK$3&amp;$AL31,Data_Omakoodi!A:A,0))="P","",$AK$3&amp;$AL31),$AK$3&amp;$AL31)</f>
        <v>ComboBox_EtKuntakoodi_00000024</v>
      </c>
      <c r="AB31" s="44" t="str">
        <f>IFERROR(INDEX(Data_Omakoodi!E:E,MATCH(AA31,Data_Omakoodi!A:A,0)),"")</f>
        <v/>
      </c>
      <c r="AC31" t="str">
        <f>IFERROR(IF(INDEX(Data_Omakoodi!H:H,MATCH($AH$3&amp;$AL31,Data_Omakoodi!A:A,0))="P","",$AH$3&amp;$AL31),$AH$3&amp;$AL31)</f>
        <v>ComboBox_TyHlo_yksikko_00000024</v>
      </c>
      <c r="AD31" s="44" t="str">
        <f>IFERROR(INDEX(Data_Omakoodi!E:E,MATCH(AC31,Data_Omakoodi!A:A,0)),"")</f>
        <v/>
      </c>
      <c r="AE31" t="str">
        <f>IFERROR(IF(INDEX(Data_Omakoodi!H:H,MATCH($AH$3&amp;$AL31,Data_Omakoodi!A:A,0))="P","",$AH$3&amp;$AL31),$AH$3&amp;$AL31)</f>
        <v>ComboBox_TyHlo_yksikko_00000024</v>
      </c>
      <c r="AF31" t="s">
        <v>1550</v>
      </c>
      <c r="AG31" s="739" t="str">
        <f t="shared" si="0"/>
        <v/>
      </c>
      <c r="AH31" s="739" t="str">
        <f t="shared" si="1"/>
        <v/>
      </c>
      <c r="AI31"/>
      <c r="AJ31" s="739" t="str">
        <f t="shared" si="2"/>
        <v/>
      </c>
      <c r="AK31" s="739" t="str">
        <f t="shared" si="3"/>
        <v/>
      </c>
      <c r="AL31">
        <v>24</v>
      </c>
    </row>
    <row r="32" spans="1:38" ht="25.5" x14ac:dyDescent="0.25">
      <c r="A32" s="840" t="s">
        <v>144</v>
      </c>
      <c r="B32" s="833" t="s">
        <v>114</v>
      </c>
      <c r="C32" s="833"/>
      <c r="D32" s="57" t="s">
        <v>132</v>
      </c>
      <c r="E32" s="58" t="s">
        <v>133</v>
      </c>
      <c r="F32" s="234" t="s">
        <v>134</v>
      </c>
      <c r="G32" s="883" t="str">
        <f>A31&amp;" (N="&amp;B34&amp;")"</f>
        <v>Nuoren pääasiallinen toimeentulo aloitustilanteessa - 01.01.2025-30.04.2025 (Tavoitetut) (N=0)</v>
      </c>
      <c r="H32" s="266"/>
      <c r="I32" s="885" t="s">
        <v>144</v>
      </c>
      <c r="J32" s="882" t="s">
        <v>114</v>
      </c>
      <c r="K32" s="833"/>
      <c r="L32" s="57" t="s">
        <v>132</v>
      </c>
      <c r="M32" s="58" t="s">
        <v>133</v>
      </c>
      <c r="N32" s="57" t="s">
        <v>134</v>
      </c>
      <c r="O32" s="883" t="str">
        <f>I31&amp;" (N="&amp;J34&amp;")"</f>
        <v>Nuoren pääasiallinen toimeentulo - viimeisin tieto - 01.01.2025-30.04.2025 (Tavoitetut) (N=0)</v>
      </c>
      <c r="P32" s="586"/>
      <c r="Q32" s="840" t="s">
        <v>144</v>
      </c>
      <c r="R32" s="833" t="s">
        <v>114</v>
      </c>
      <c r="S32" s="833"/>
      <c r="T32" s="57" t="s">
        <v>132</v>
      </c>
      <c r="U32" s="58" t="s">
        <v>133</v>
      </c>
      <c r="V32" s="57" t="s">
        <v>134</v>
      </c>
      <c r="AA32" s="176" t="str">
        <f>IFERROR(IF(INDEX(Data_Omakoodi!H:H,MATCH($AK$3&amp;$AL32,Data_Omakoodi!A:A,0))="P","",$AK$3&amp;$AL32),$AK$3&amp;$AL32)</f>
        <v>ComboBox_EtKuntakoodi_00000025</v>
      </c>
      <c r="AB32" s="44" t="str">
        <f>IFERROR(INDEX(Data_Omakoodi!E:E,MATCH(AA32,Data_Omakoodi!A:A,0)),"")</f>
        <v/>
      </c>
      <c r="AC32" t="str">
        <f>IFERROR(IF(INDEX(Data_Omakoodi!H:H,MATCH($AH$3&amp;$AL32,Data_Omakoodi!A:A,0))="P","",$AH$3&amp;$AL32),$AH$3&amp;$AL32)</f>
        <v>ComboBox_TyHlo_yksikko_00000025</v>
      </c>
      <c r="AD32" s="44" t="str">
        <f>IFERROR(INDEX(Data_Omakoodi!E:E,MATCH(AC32,Data_Omakoodi!A:A,0)),"")</f>
        <v/>
      </c>
      <c r="AE32" t="str">
        <f>IFERROR(IF(INDEX(Data_Omakoodi!H:H,MATCH($AH$3&amp;$AL32,Data_Omakoodi!A:A,0))="P","",$AH$3&amp;$AL32),$AH$3&amp;$AL32)</f>
        <v>ComboBox_TyHlo_yksikko_00000025</v>
      </c>
      <c r="AF32" t="s">
        <v>1551</v>
      </c>
      <c r="AG32" s="739" t="str">
        <f t="shared" si="0"/>
        <v/>
      </c>
      <c r="AH32" s="739" t="str">
        <f t="shared" si="1"/>
        <v/>
      </c>
      <c r="AI32"/>
      <c r="AJ32" s="739" t="str">
        <f t="shared" si="2"/>
        <v/>
      </c>
      <c r="AK32" s="739" t="str">
        <f t="shared" si="3"/>
        <v/>
      </c>
      <c r="AL32">
        <v>25</v>
      </c>
    </row>
    <row r="33" spans="1:38" x14ac:dyDescent="0.25">
      <c r="A33" s="840"/>
      <c r="B33" s="57" t="s">
        <v>106</v>
      </c>
      <c r="C33" s="57" t="s">
        <v>176</v>
      </c>
      <c r="D33" s="57" t="s">
        <v>106</v>
      </c>
      <c r="E33" s="57" t="s">
        <v>106</v>
      </c>
      <c r="F33" s="234" t="s">
        <v>106</v>
      </c>
      <c r="G33" s="884"/>
      <c r="H33" s="266"/>
      <c r="I33" s="886"/>
      <c r="J33" s="267" t="s">
        <v>106</v>
      </c>
      <c r="K33" s="57" t="s">
        <v>176</v>
      </c>
      <c r="L33" s="57" t="s">
        <v>106</v>
      </c>
      <c r="M33" s="57" t="s">
        <v>106</v>
      </c>
      <c r="N33" s="57" t="s">
        <v>106</v>
      </c>
      <c r="O33" s="884"/>
      <c r="P33" s="586"/>
      <c r="Q33" s="840"/>
      <c r="R33" s="57" t="s">
        <v>106</v>
      </c>
      <c r="S33" s="86" t="s">
        <v>176</v>
      </c>
      <c r="T33" s="57" t="s">
        <v>106</v>
      </c>
      <c r="U33" s="57" t="s">
        <v>106</v>
      </c>
      <c r="V33" s="57" t="s">
        <v>106</v>
      </c>
      <c r="AA33" s="176" t="str">
        <f>IFERROR(IF(INDEX(Data_Omakoodi!H:H,MATCH($AK$3&amp;$AL33,Data_Omakoodi!A:A,0))="P","",$AK$3&amp;$AL33),$AK$3&amp;$AL33)</f>
        <v>ComboBox_EtKuntakoodi_00000026</v>
      </c>
      <c r="AB33" s="44" t="str">
        <f>IFERROR(INDEX(Data_Omakoodi!E:E,MATCH(AA33,Data_Omakoodi!A:A,0)),"")</f>
        <v/>
      </c>
      <c r="AC33" t="str">
        <f>IFERROR(IF(INDEX(Data_Omakoodi!H:H,MATCH($AH$3&amp;$AL33,Data_Omakoodi!A:A,0))="P","",$AH$3&amp;$AL33),$AH$3&amp;$AL33)</f>
        <v>ComboBox_TyHlo_yksikko_00000026</v>
      </c>
      <c r="AD33" s="44" t="str">
        <f>IFERROR(INDEX(Data_Omakoodi!E:E,MATCH(AC33,Data_Omakoodi!A:A,0)),"")</f>
        <v/>
      </c>
      <c r="AE33" t="str">
        <f>IFERROR(IF(INDEX(Data_Omakoodi!H:H,MATCH($AH$3&amp;$AL33,Data_Omakoodi!A:A,0))="P","",$AH$3&amp;$AL33),$AH$3&amp;$AL33)</f>
        <v>ComboBox_TyHlo_yksikko_00000026</v>
      </c>
      <c r="AF33" t="s">
        <v>1552</v>
      </c>
      <c r="AG33" s="739" t="str">
        <f t="shared" si="0"/>
        <v/>
      </c>
      <c r="AH33" s="739" t="str">
        <f t="shared" si="1"/>
        <v/>
      </c>
      <c r="AI33"/>
      <c r="AJ33" s="739" t="str">
        <f t="shared" si="2"/>
        <v/>
      </c>
      <c r="AK33" s="739" t="str">
        <f t="shared" si="3"/>
        <v/>
      </c>
      <c r="AL33">
        <v>26</v>
      </c>
    </row>
    <row r="34" spans="1:38" x14ac:dyDescent="0.25">
      <c r="A34" s="59" t="s">
        <v>144</v>
      </c>
      <c r="B34" s="65">
        <f>SUM(B35:B49)</f>
        <v>0</v>
      </c>
      <c r="C34" s="322" t="str">
        <f>IFERROR(B34/B$53,"-")</f>
        <v>-</v>
      </c>
      <c r="D34" s="65">
        <f>SUM(D35:D49)</f>
        <v>0</v>
      </c>
      <c r="E34" s="65">
        <f>SUM(E35:E49)</f>
        <v>0</v>
      </c>
      <c r="F34" s="247">
        <f>SUM(F35:F49)</f>
        <v>0</v>
      </c>
      <c r="G34" s="264"/>
      <c r="I34" s="587" t="s">
        <v>144</v>
      </c>
      <c r="J34" s="588">
        <f>SUM(J35:J49)</f>
        <v>0</v>
      </c>
      <c r="K34" s="601" t="str">
        <f>IFERROR(J34/J$53,"-")</f>
        <v>-</v>
      </c>
      <c r="L34" s="589">
        <f>SUM(L35:L49)</f>
        <v>0</v>
      </c>
      <c r="M34" s="589">
        <f>SUM(M35:M49)</f>
        <v>0</v>
      </c>
      <c r="N34" s="589">
        <f>SUM(N35:N49)</f>
        <v>0</v>
      </c>
      <c r="O34" s="264"/>
      <c r="Q34" s="59" t="s">
        <v>144</v>
      </c>
      <c r="R34" s="92">
        <f t="shared" ref="R34:R53" si="18">J34-B34</f>
        <v>0</v>
      </c>
      <c r="S34" s="325" t="str">
        <f>IFERROR(K34-C34,"-")</f>
        <v>-</v>
      </c>
      <c r="T34" s="92">
        <f t="shared" ref="T34:T53" si="19">L34-D34</f>
        <v>0</v>
      </c>
      <c r="U34" s="92">
        <f t="shared" ref="U34:U53" si="20">M34-E34</f>
        <v>0</v>
      </c>
      <c r="V34" s="92">
        <f t="shared" ref="V34:V53" si="21">N34-F34</f>
        <v>0</v>
      </c>
      <c r="W34" s="224" t="s">
        <v>726</v>
      </c>
      <c r="X34" s="224" t="s">
        <v>680</v>
      </c>
      <c r="Y34" s="224" t="s">
        <v>681</v>
      </c>
      <c r="AA34" s="176" t="str">
        <f>IFERROR(IF(INDEX(Data_Omakoodi!H:H,MATCH($AK$3&amp;$AL34,Data_Omakoodi!A:A,0))="P","",$AK$3&amp;$AL34),$AK$3&amp;$AL34)</f>
        <v>ComboBox_EtKuntakoodi_00000027</v>
      </c>
      <c r="AB34" s="44" t="str">
        <f>IFERROR(INDEX(Data_Omakoodi!E:E,MATCH(AA34,Data_Omakoodi!A:A,0)),"")</f>
        <v/>
      </c>
      <c r="AC34" t="str">
        <f>IFERROR(IF(INDEX(Data_Omakoodi!H:H,MATCH($AH$3&amp;$AL34,Data_Omakoodi!A:A,0))="P","",$AH$3&amp;$AL34),$AH$3&amp;$AL34)</f>
        <v>ComboBox_TyHlo_yksikko_00000027</v>
      </c>
      <c r="AD34" s="44" t="str">
        <f>IFERROR(INDEX(Data_Omakoodi!E:E,MATCH(AC34,Data_Omakoodi!A:A,0)),"")</f>
        <v/>
      </c>
      <c r="AE34" t="str">
        <f>IFERROR(IF(INDEX(Data_Omakoodi!H:H,MATCH($AH$3&amp;$AL34,Data_Omakoodi!A:A,0))="P","",$AH$3&amp;$AL34),$AH$3&amp;$AL34)</f>
        <v>ComboBox_TyHlo_yksikko_00000027</v>
      </c>
      <c r="AF34" t="s">
        <v>1553</v>
      </c>
      <c r="AG34" s="739" t="str">
        <f t="shared" si="0"/>
        <v/>
      </c>
      <c r="AH34" s="739" t="str">
        <f t="shared" si="1"/>
        <v/>
      </c>
      <c r="AI34"/>
      <c r="AJ34" s="739" t="str">
        <f t="shared" si="2"/>
        <v/>
      </c>
      <c r="AK34" s="739" t="str">
        <f t="shared" si="3"/>
        <v/>
      </c>
      <c r="AL34">
        <v>27</v>
      </c>
    </row>
    <row r="35" spans="1:38" x14ac:dyDescent="0.25">
      <c r="A35" s="83" t="s">
        <v>155</v>
      </c>
      <c r="B35" s="84">
        <f>SUMIFS(AS!$W:$W,AS!$BO:$BO,$W$7,AS!$AB:$AB,AS!$AA$1,AS!$AH:$AH,$X$8,AS!$AM:$AM,Tilanne!$X35,AS!$AV:$AV,Tilanne!$X$6,AS!$AW:$AW,Tilanne!$Y$6,AS!$X:$X,Tilanne!$Y$5,AS!$K:$K,Tilanne!$V$2)</f>
        <v>0</v>
      </c>
      <c r="C35" s="324" t="str">
        <f>IFERROR(B35/B$53,"-")</f>
        <v>-</v>
      </c>
      <c r="D35" s="84">
        <f>SUMIFS(AS!$W:$W,AS!$BO:$BO,$W$7,AS!$AB:$AB,AS!$AA$1,AS!$AH:$AH,$X$8,AS!$AM:$AM,Tilanne!$X35,AS!$AV:$AV,Tilanne!$X$6,AS!$I:$I,$X$7,AS!$AW:$AW,Tilanne!$Y$6,AS!$X:$X,Tilanne!$Y$5,AS!$K:$K,Tilanne!$V$2)</f>
        <v>0</v>
      </c>
      <c r="E35" s="84">
        <f>SUMIFS(AS!$W:$W,AS!$BO:$BO,$W$7,AS!$AB:$AB,AS!$AA$1,AS!$AH:$AH,$X$8,AS!$AM:$AM,Tilanne!$X35,AS!$AV:$AV,Tilanne!$X$6,AS!$I:$I,$Y$7,AS!$AW:$AW,Tilanne!$Y$6,AS!$X:$X,Tilanne!$Y$5,AS!$K:$K,Tilanne!$V$2)</f>
        <v>0</v>
      </c>
      <c r="F35" s="263">
        <f>SUMIFS(AS!$W:$W,AS!$BO:$BO,$W$7,AS!$AB:$AB,AS!$AA$1,AS!$AH:$AH,$Y$8,AS!$AM:$AM,Tilanne!$X35,AS!$AV:$AV,Tilanne!$X$6,AS!$AW:$AW,Tilanne!$Y$6,AS!$X:$X,Tilanne!$Y$5,AS!$K:$K,Tilanne!$V$2)</f>
        <v>0</v>
      </c>
      <c r="G35" s="264"/>
      <c r="I35" s="83" t="s">
        <v>155</v>
      </c>
      <c r="J35" s="268">
        <f>SUMIFS(AS!$W:$W,AS!$BO:$BO,$W$7,AS!$AB:$AB,AS!$AA$1,AS!$AH:$AH,$X$8,AS!$AR:$AR,Tilanne!$X35,AS!$AV:$AV,Tilanne!$X$6,AS!$AW:$AW,Tilanne!$Y$6,AS!$X:$X,Tilanne!$Y$5,AS!$K:$K,Tilanne!$V$2)</f>
        <v>0</v>
      </c>
      <c r="K35" s="324" t="str">
        <f>IFERROR(J35/J$53,"-")</f>
        <v>-</v>
      </c>
      <c r="L35" s="84">
        <f>SUMIFS(AS!$W:$W,AS!$BO:$BO,$W$7,AS!$AB:$AB,AS!$AA$1,AS!$AH:$AH,$X$8,AS!$AR:$AR,Tilanne!$X35,AS!$AV:$AV,Tilanne!$X$6,AS!$I:$I,$X$7,AS!$AW:$AW,Tilanne!$Y$6,AS!$X:$X,Tilanne!$Y$5,AS!$K:$K,Tilanne!$V$2)</f>
        <v>0</v>
      </c>
      <c r="M35" s="84">
        <f>SUMIFS(AS!$W:$W,AS!$BO:$BO,$W$7,AS!$AB:$AB,AS!$AA$1,AS!$AH:$AH,$X$8,AS!$AR:$AR,Tilanne!$X35,AS!$AV:$AV,Tilanne!$X$6,AS!$I:$I,$Y$7,AS!$AW:$AW,Tilanne!$Y$6,AS!$X:$X,Tilanne!$Y$5,AS!$K:$K,Tilanne!$V$2)</f>
        <v>0</v>
      </c>
      <c r="N35" s="84">
        <f>SUMIFS(AS!$W:$W,AS!$BO:$BO,$W$7,AS!$AB:$AB,AS!$AA$1,AS!$AH:$AH,"vanha",AS!$AR:$AR,Tilanne!$X35,AS!$AV:$AV,Tilanne!$X$6,AS!$AW:$AW,Tilanne!$Y$6,AS!$X:$X,Tilanne!$Y$5,AS!$K:$K,Tilanne!$V$2)</f>
        <v>0</v>
      </c>
      <c r="O35" s="264"/>
      <c r="Q35" s="83" t="s">
        <v>155</v>
      </c>
      <c r="R35" s="91">
        <f t="shared" si="18"/>
        <v>0</v>
      </c>
      <c r="S35" s="323" t="str">
        <f t="shared" ref="S35:S49" si="22">IFERROR(K35-C35,"-")</f>
        <v>-</v>
      </c>
      <c r="T35" s="91">
        <f t="shared" si="19"/>
        <v>0</v>
      </c>
      <c r="U35" s="91">
        <f t="shared" si="20"/>
        <v>0</v>
      </c>
      <c r="V35" s="91">
        <f t="shared" si="21"/>
        <v>0</v>
      </c>
      <c r="X35" s="47" t="s">
        <v>384</v>
      </c>
      <c r="Y35" s="51">
        <v>1</v>
      </c>
      <c r="Z35" s="96" t="e">
        <f>LARGE($C$35:$C$51,$Y35)</f>
        <v>#NUM!</v>
      </c>
      <c r="AA35" s="176" t="str">
        <f>IFERROR(IF(INDEX(Data_Omakoodi!H:H,MATCH($AK$3&amp;$AL35,Data_Omakoodi!A:A,0))="P","",$AK$3&amp;$AL35),$AK$3&amp;$AL35)</f>
        <v>ComboBox_EtKuntakoodi_00000028</v>
      </c>
      <c r="AB35" s="44" t="str">
        <f>IFERROR(INDEX(Data_Omakoodi!E:E,MATCH(AA35,Data_Omakoodi!A:A,0)),"")</f>
        <v/>
      </c>
      <c r="AC35" t="str">
        <f>IFERROR(IF(INDEX(Data_Omakoodi!H:H,MATCH($AH$3&amp;$AL35,Data_Omakoodi!A:A,0))="P","",$AH$3&amp;$AL35),$AH$3&amp;$AL35)</f>
        <v>ComboBox_TyHlo_yksikko_00000028</v>
      </c>
      <c r="AD35" s="44" t="str">
        <f>IFERROR(INDEX(Data_Omakoodi!E:E,MATCH(AC35,Data_Omakoodi!A:A,0)),"")</f>
        <v/>
      </c>
      <c r="AE35" t="str">
        <f>IFERROR(IF(INDEX(Data_Omakoodi!H:H,MATCH($AH$3&amp;$AL35,Data_Omakoodi!A:A,0))="P","",$AH$3&amp;$AL35),$AH$3&amp;$AL35)</f>
        <v>ComboBox_TyHlo_yksikko_00000028</v>
      </c>
      <c r="AF35" t="s">
        <v>1554</v>
      </c>
      <c r="AG35" s="739" t="str">
        <f t="shared" si="0"/>
        <v/>
      </c>
      <c r="AH35" s="739" t="str">
        <f t="shared" si="1"/>
        <v/>
      </c>
      <c r="AI35"/>
      <c r="AJ35" s="739" t="str">
        <f t="shared" si="2"/>
        <v/>
      </c>
      <c r="AK35" s="739" t="str">
        <f t="shared" si="3"/>
        <v/>
      </c>
      <c r="AL35">
        <v>28</v>
      </c>
    </row>
    <row r="36" spans="1:38" x14ac:dyDescent="0.25">
      <c r="A36" s="83" t="s">
        <v>1116</v>
      </c>
      <c r="B36" s="84">
        <f>SUMIFS(AS!$W:$W,AS!$BO:$BO,$W$7,AS!$AB:$AB,AS!$AA$1,AS!$AH:$AH,$X$8,AS!$AM:$AM,Tilanne!$X36,AS!$AV:$AV,Tilanne!$X$6,AS!$AW:$AW,Tilanne!$Y$6,AS!$X:$X,Tilanne!$Y$5,AS!$K:$K,Tilanne!$V$2)</f>
        <v>0</v>
      </c>
      <c r="C36" s="324" t="str">
        <f t="shared" ref="C36:C41" si="23">IFERROR(B36/B$53,"-")</f>
        <v>-</v>
      </c>
      <c r="D36" s="84">
        <f>SUMIFS(AS!$W:$W,AS!$BO:$BO,$W$7,AS!$AB:$AB,AS!$AA$1,AS!$AH:$AH,$X$8,AS!$AM:$AM,Tilanne!$X36,AS!$AV:$AV,Tilanne!$X$6,AS!$I:$I,$X$7,AS!$AW:$AW,Tilanne!$Y$6,AS!$X:$X,Tilanne!$Y$5,AS!$K:$K,Tilanne!$V$2)</f>
        <v>0</v>
      </c>
      <c r="E36" s="84">
        <f>SUMIFS(AS!$W:$W,AS!$BO:$BO,$W$7,AS!$AB:$AB,AS!$AA$1,AS!$AH:$AH,$X$8,AS!$AM:$AM,Tilanne!$X36,AS!$AV:$AV,Tilanne!$X$6,AS!$I:$I,$Y$7,AS!$AW:$AW,Tilanne!$Y$6,AS!$X:$X,Tilanne!$Y$5,AS!$K:$K,Tilanne!$V$2)</f>
        <v>0</v>
      </c>
      <c r="F36" s="263">
        <f>SUMIFS(AS!$W:$W,AS!$BO:$BO,$W$7,AS!$AB:$AB,AS!$AA$1,AS!$AH:$AH,$Y$8,AS!$AM:$AM,Tilanne!$X36,AS!$AV:$AV,Tilanne!$X$6,AS!$AW:$AW,Tilanne!$Y$6,AS!$X:$X,Tilanne!$Y$5,AS!$K:$K,Tilanne!$V$2)</f>
        <v>0</v>
      </c>
      <c r="G36" s="264"/>
      <c r="I36" s="83" t="s">
        <v>1116</v>
      </c>
      <c r="J36" s="268">
        <f>SUMIFS(AS!$W:$W,AS!$BO:$BO,$W$7,AS!$AB:$AB,AS!$AA$1,AS!$AH:$AH,$X$8,AS!$AR:$AR,Tilanne!$X36,AS!$AV:$AV,Tilanne!$X$6,AS!$AW:$AW,Tilanne!$Y$6,AS!$X:$X,Tilanne!$Y$5,AS!$K:$K,Tilanne!$V$2)</f>
        <v>0</v>
      </c>
      <c r="K36" s="324" t="str">
        <f t="shared" ref="K36:K49" si="24">IFERROR(J36/J$53,"-")</f>
        <v>-</v>
      </c>
      <c r="L36" s="84">
        <f>SUMIFS(AS!$W:$W,AS!$BO:$BO,$W$7,AS!$AB:$AB,AS!$AA$1,AS!$AH:$AH,$X$8,AS!$AR:$AR,Tilanne!$X36,AS!$AV:$AV,Tilanne!$X$6,AS!$I:$I,$X$7,AS!$AW:$AW,Tilanne!$Y$6,AS!$X:$X,Tilanne!$Y$5,AS!$K:$K,Tilanne!$V$2)</f>
        <v>0</v>
      </c>
      <c r="M36" s="84">
        <f>SUMIFS(AS!$W:$W,AS!$BO:$BO,$W$7,AS!$AB:$AB,AS!$AA$1,AS!$AH:$AH,$X$8,AS!$AR:$AR,Tilanne!$X36,AS!$AV:$AV,Tilanne!$X$6,AS!$I:$I,$Y$7,AS!$AW:$AW,Tilanne!$Y$6,AS!$X:$X,Tilanne!$Y$5,AS!$K:$K,Tilanne!$V$2)</f>
        <v>0</v>
      </c>
      <c r="N36" s="84">
        <f>SUMIFS(AS!$W:$W,AS!$BO:$BO,$W$7,AS!$AB:$AB,AS!$AA$1,AS!$AH:$AH,"vanha",AS!$AR:$AR,Tilanne!$X36,AS!$AV:$AV,Tilanne!$X$6,AS!$AW:$AW,Tilanne!$Y$6,AS!$X:$X,Tilanne!$Y$5,AS!$K:$K,Tilanne!$V$2)</f>
        <v>0</v>
      </c>
      <c r="O36" s="264"/>
      <c r="Q36" s="83" t="s">
        <v>1116</v>
      </c>
      <c r="R36" s="91">
        <f t="shared" ref="R36:R41" si="25">J36-B36</f>
        <v>0</v>
      </c>
      <c r="S36" s="323" t="str">
        <f t="shared" ref="S36:S41" si="26">IFERROR(K36-C36,"-")</f>
        <v>-</v>
      </c>
      <c r="T36" s="91">
        <f t="shared" ref="T36:T41" si="27">L36-D36</f>
        <v>0</v>
      </c>
      <c r="U36" s="91">
        <f t="shared" ref="U36:U41" si="28">M36-E36</f>
        <v>0</v>
      </c>
      <c r="V36" s="91">
        <f t="shared" ref="V36:V41" si="29">N36-F36</f>
        <v>0</v>
      </c>
      <c r="X36" s="547" t="s">
        <v>1120</v>
      </c>
      <c r="Y36" s="51">
        <v>2</v>
      </c>
      <c r="Z36" s="96" t="e">
        <f t="shared" ref="Z36:Z51" si="30">LARGE($C$35:$C$51,$Y36)</f>
        <v>#NUM!</v>
      </c>
      <c r="AA36" s="176" t="str">
        <f>IFERROR(IF(INDEX(Data_Omakoodi!H:H,MATCH($AK$3&amp;$AL36,Data_Omakoodi!A:A,0))="P","",$AK$3&amp;$AL36),$AK$3&amp;$AL36)</f>
        <v>ComboBox_EtKuntakoodi_00000029</v>
      </c>
      <c r="AB36" s="44" t="str">
        <f>IFERROR(INDEX(Data_Omakoodi!E:E,MATCH(AA36,Data_Omakoodi!A:A,0)),"")</f>
        <v/>
      </c>
      <c r="AC36" t="str">
        <f>IFERROR(IF(INDEX(Data_Omakoodi!H:H,MATCH($AH$3&amp;$AL36,Data_Omakoodi!A:A,0))="P","",$AH$3&amp;$AL36),$AH$3&amp;$AL36)</f>
        <v>ComboBox_TyHlo_yksikko_00000029</v>
      </c>
      <c r="AD36" s="44" t="str">
        <f>IFERROR(INDEX(Data_Omakoodi!E:E,MATCH(AC36,Data_Omakoodi!A:A,0)),"")</f>
        <v/>
      </c>
      <c r="AE36" t="str">
        <f>IFERROR(IF(INDEX(Data_Omakoodi!H:H,MATCH($AH$3&amp;$AL36,Data_Omakoodi!A:A,0))="P","",$AH$3&amp;$AL36),$AH$3&amp;$AL36)</f>
        <v>ComboBox_TyHlo_yksikko_00000029</v>
      </c>
      <c r="AF36" t="s">
        <v>1555</v>
      </c>
      <c r="AG36" s="739" t="str">
        <f t="shared" si="0"/>
        <v/>
      </c>
      <c r="AH36" s="739" t="str">
        <f t="shared" si="1"/>
        <v/>
      </c>
      <c r="AI36"/>
      <c r="AJ36" s="739" t="str">
        <f t="shared" si="2"/>
        <v/>
      </c>
      <c r="AK36" s="739" t="str">
        <f t="shared" si="3"/>
        <v/>
      </c>
      <c r="AL36">
        <v>29</v>
      </c>
    </row>
    <row r="37" spans="1:38" x14ac:dyDescent="0.25">
      <c r="A37" s="83" t="s">
        <v>156</v>
      </c>
      <c r="B37" s="84">
        <f>SUMIFS(AS!$W:$W,AS!$BO:$BO,$W$7,AS!$AB:$AB,AS!$AA$1,AS!$AH:$AH,$X$8,AS!$AM:$AM,Tilanne!$X37,AS!$AV:$AV,Tilanne!$X$6,AS!$AW:$AW,Tilanne!$Y$6,AS!$X:$X,Tilanne!$Y$5,AS!$K:$K,Tilanne!$V$2)</f>
        <v>0</v>
      </c>
      <c r="C37" s="324" t="str">
        <f t="shared" si="23"/>
        <v>-</v>
      </c>
      <c r="D37" s="84">
        <f>SUMIFS(AS!$W:$W,AS!$BO:$BO,$W$7,AS!$AB:$AB,AS!$AA$1,AS!$AH:$AH,$X$8,AS!$AM:$AM,Tilanne!$X37,AS!$AV:$AV,Tilanne!$X$6,AS!$I:$I,$X$7,AS!$AW:$AW,Tilanne!$Y$6,AS!$X:$X,Tilanne!$Y$5,AS!$K:$K,Tilanne!$V$2)</f>
        <v>0</v>
      </c>
      <c r="E37" s="84">
        <f>SUMIFS(AS!$W:$W,AS!$BO:$BO,$W$7,AS!$AB:$AB,AS!$AA$1,AS!$AH:$AH,$X$8,AS!$AM:$AM,Tilanne!$X37,AS!$AV:$AV,Tilanne!$X$6,AS!$I:$I,$Y$7,AS!$AW:$AW,Tilanne!$Y$6,AS!$X:$X,Tilanne!$Y$5,AS!$K:$K,Tilanne!$V$2)</f>
        <v>0</v>
      </c>
      <c r="F37" s="263">
        <f>SUMIFS(AS!$W:$W,AS!$BO:$BO,$W$7,AS!$AB:$AB,AS!$AA$1,AS!$AH:$AH,$Y$8,AS!$AM:$AM,Tilanne!$X37,AS!$AV:$AV,Tilanne!$X$6,AS!$AW:$AW,Tilanne!$Y$6,AS!$X:$X,Tilanne!$Y$5,AS!$K:$K,Tilanne!$V$2)</f>
        <v>0</v>
      </c>
      <c r="G37" s="264"/>
      <c r="I37" s="83" t="s">
        <v>156</v>
      </c>
      <c r="J37" s="268">
        <f>SUMIFS(AS!$W:$W,AS!$BO:$BO,$W$7,AS!$AB:$AB,AS!$AA$1,AS!$AH:$AH,$X$8,AS!$AR:$AR,Tilanne!$X37,AS!$AV:$AV,Tilanne!$X$6,AS!$AW:$AW,Tilanne!$Y$6,AS!$X:$X,Tilanne!$Y$5,AS!$K:$K,Tilanne!$V$2)</f>
        <v>0</v>
      </c>
      <c r="K37" s="324" t="str">
        <f t="shared" si="24"/>
        <v>-</v>
      </c>
      <c r="L37" s="84">
        <f>SUMIFS(AS!$W:$W,AS!$BO:$BO,$W$7,AS!$AB:$AB,AS!$AA$1,AS!$AH:$AH,$X$8,AS!$AR:$AR,Tilanne!$X37,AS!$AV:$AV,Tilanne!$X$6,AS!$I:$I,$X$7,AS!$AW:$AW,Tilanne!$Y$6,AS!$X:$X,Tilanne!$Y$5,AS!$K:$K,Tilanne!$V$2)</f>
        <v>0</v>
      </c>
      <c r="M37" s="84">
        <f>SUMIFS(AS!$W:$W,AS!$BO:$BO,$W$7,AS!$AB:$AB,AS!$AA$1,AS!$AH:$AH,$X$8,AS!$AR:$AR,Tilanne!$X37,AS!$AV:$AV,Tilanne!$X$6,AS!$I:$I,$Y$7,AS!$AW:$AW,Tilanne!$Y$6,AS!$X:$X,Tilanne!$Y$5,AS!$K:$K,Tilanne!$V$2)</f>
        <v>0</v>
      </c>
      <c r="N37" s="84">
        <f>SUMIFS(AS!$W:$W,AS!$BO:$BO,$W$7,AS!$AB:$AB,AS!$AA$1,AS!$AH:$AH,"vanha",AS!$AR:$AR,Tilanne!$X37,AS!$AV:$AV,Tilanne!$X$6,AS!$AW:$AW,Tilanne!$Y$6,AS!$X:$X,Tilanne!$Y$5,AS!$K:$K,Tilanne!$V$2)</f>
        <v>0</v>
      </c>
      <c r="O37" s="264"/>
      <c r="Q37" s="83" t="s">
        <v>156</v>
      </c>
      <c r="R37" s="91">
        <f t="shared" si="25"/>
        <v>0</v>
      </c>
      <c r="S37" s="323" t="str">
        <f t="shared" si="26"/>
        <v>-</v>
      </c>
      <c r="T37" s="91">
        <f t="shared" si="27"/>
        <v>0</v>
      </c>
      <c r="U37" s="91">
        <f t="shared" si="28"/>
        <v>0</v>
      </c>
      <c r="V37" s="91">
        <f t="shared" si="29"/>
        <v>0</v>
      </c>
      <c r="X37" s="47" t="s">
        <v>372</v>
      </c>
      <c r="Y37" s="51">
        <v>3</v>
      </c>
      <c r="Z37" s="96" t="e">
        <f t="shared" si="30"/>
        <v>#NUM!</v>
      </c>
      <c r="AA37" s="176" t="str">
        <f>IFERROR(IF(INDEX(Data_Omakoodi!H:H,MATCH($AK$3&amp;$AL37,Data_Omakoodi!A:A,0))="P","",$AK$3&amp;$AL37),$AK$3&amp;$AL37)</f>
        <v>ComboBox_EtKuntakoodi_00000030</v>
      </c>
      <c r="AB37" s="44" t="str">
        <f>IFERROR(INDEX(Data_Omakoodi!E:E,MATCH(AA37,Data_Omakoodi!A:A,0)),"")</f>
        <v/>
      </c>
      <c r="AC37" t="str">
        <f>IFERROR(IF(INDEX(Data_Omakoodi!H:H,MATCH($AH$3&amp;$AL37,Data_Omakoodi!A:A,0))="P","",$AH$3&amp;$AL37),$AH$3&amp;$AL37)</f>
        <v>ComboBox_TyHlo_yksikko_00000030</v>
      </c>
      <c r="AD37" s="44" t="str">
        <f>IFERROR(INDEX(Data_Omakoodi!E:E,MATCH(AC37,Data_Omakoodi!A:A,0)),"")</f>
        <v/>
      </c>
      <c r="AE37" t="str">
        <f>IFERROR(IF(INDEX(Data_Omakoodi!H:H,MATCH($AH$3&amp;$AL37,Data_Omakoodi!A:A,0))="P","",$AH$3&amp;$AL37),$AH$3&amp;$AL37)</f>
        <v>ComboBox_TyHlo_yksikko_00000030</v>
      </c>
      <c r="AF37" t="s">
        <v>1556</v>
      </c>
      <c r="AG37" s="739" t="str">
        <f t="shared" si="0"/>
        <v/>
      </c>
      <c r="AH37" s="739" t="str">
        <f t="shared" si="1"/>
        <v/>
      </c>
      <c r="AI37"/>
      <c r="AJ37" s="739" t="str">
        <f t="shared" si="2"/>
        <v/>
      </c>
      <c r="AK37" s="739" t="str">
        <f t="shared" si="3"/>
        <v/>
      </c>
      <c r="AL37">
        <v>30</v>
      </c>
    </row>
    <row r="38" spans="1:38" x14ac:dyDescent="0.25">
      <c r="A38" s="83" t="s">
        <v>1117</v>
      </c>
      <c r="B38" s="84">
        <f>SUMIFS(AS!$W:$W,AS!$BO:$BO,$W$7,AS!$AB:$AB,AS!$AA$1,AS!$AH:$AH,$X$8,AS!$AM:$AM,Tilanne!$X38,AS!$AV:$AV,Tilanne!$X$6,AS!$AW:$AW,Tilanne!$Y$6,AS!$X:$X,Tilanne!$Y$5,AS!$K:$K,Tilanne!$V$2)</f>
        <v>0</v>
      </c>
      <c r="C38" s="324" t="str">
        <f t="shared" si="23"/>
        <v>-</v>
      </c>
      <c r="D38" s="84">
        <f>SUMIFS(AS!$W:$W,AS!$BO:$BO,$W$7,AS!$AB:$AB,AS!$AA$1,AS!$AH:$AH,$X$8,AS!$AM:$AM,Tilanne!$X38,AS!$AV:$AV,Tilanne!$X$6,AS!$I:$I,$X$7,AS!$AW:$AW,Tilanne!$Y$6,AS!$X:$X,Tilanne!$Y$5,AS!$K:$K,Tilanne!$V$2)</f>
        <v>0</v>
      </c>
      <c r="E38" s="84">
        <f>SUMIFS(AS!$W:$W,AS!$BO:$BO,$W$7,AS!$AB:$AB,AS!$AA$1,AS!$AH:$AH,$X$8,AS!$AM:$AM,Tilanne!$X38,AS!$AV:$AV,Tilanne!$X$6,AS!$I:$I,$Y$7,AS!$AW:$AW,Tilanne!$Y$6,AS!$X:$X,Tilanne!$Y$5,AS!$K:$K,Tilanne!$V$2)</f>
        <v>0</v>
      </c>
      <c r="F38" s="263">
        <f>SUMIFS(AS!$W:$W,AS!$BO:$BO,$W$7,AS!$AB:$AB,AS!$AA$1,AS!$AH:$AH,$Y$8,AS!$AM:$AM,Tilanne!$X38,AS!$AV:$AV,Tilanne!$X$6,AS!$AW:$AW,Tilanne!$Y$6,AS!$X:$X,Tilanne!$Y$5,AS!$K:$K,Tilanne!$V$2)</f>
        <v>0</v>
      </c>
      <c r="G38" s="264"/>
      <c r="I38" s="83" t="s">
        <v>1117</v>
      </c>
      <c r="J38" s="268">
        <f>SUMIFS(AS!$W:$W,AS!$BO:$BO,$W$7,AS!$AB:$AB,AS!$AA$1,AS!$AH:$AH,$X$8,AS!$AR:$AR,Tilanne!$X38,AS!$AV:$AV,Tilanne!$X$6,AS!$AW:$AW,Tilanne!$Y$6,AS!$X:$X,Tilanne!$Y$5,AS!$K:$K,Tilanne!$V$2)</f>
        <v>0</v>
      </c>
      <c r="K38" s="324" t="str">
        <f t="shared" si="24"/>
        <v>-</v>
      </c>
      <c r="L38" s="84">
        <f>SUMIFS(AS!$W:$W,AS!$BO:$BO,$W$7,AS!$AB:$AB,AS!$AA$1,AS!$AH:$AH,$X$8,AS!$AR:$AR,Tilanne!$X38,AS!$AV:$AV,Tilanne!$X$6,AS!$I:$I,$X$7,AS!$AW:$AW,Tilanne!$Y$6,AS!$X:$X,Tilanne!$Y$5,AS!$K:$K,Tilanne!$V$2)</f>
        <v>0</v>
      </c>
      <c r="M38" s="84">
        <f>SUMIFS(AS!$W:$W,AS!$BO:$BO,$W$7,AS!$AB:$AB,AS!$AA$1,AS!$AH:$AH,$X$8,AS!$AR:$AR,Tilanne!$X38,AS!$AV:$AV,Tilanne!$X$6,AS!$I:$I,$Y$7,AS!$AW:$AW,Tilanne!$Y$6,AS!$X:$X,Tilanne!$Y$5,AS!$K:$K,Tilanne!$V$2)</f>
        <v>0</v>
      </c>
      <c r="N38" s="84">
        <f>SUMIFS(AS!$W:$W,AS!$BO:$BO,$W$7,AS!$AB:$AB,AS!$AA$1,AS!$AH:$AH,"vanha",AS!$AR:$AR,Tilanne!$X38,AS!$AV:$AV,Tilanne!$X$6,AS!$AW:$AW,Tilanne!$Y$6,AS!$X:$X,Tilanne!$Y$5,AS!$K:$K,Tilanne!$V$2)</f>
        <v>0</v>
      </c>
      <c r="O38" s="264"/>
      <c r="Q38" s="83" t="s">
        <v>1117</v>
      </c>
      <c r="R38" s="91">
        <f t="shared" si="25"/>
        <v>0</v>
      </c>
      <c r="S38" s="323" t="str">
        <f t="shared" si="26"/>
        <v>-</v>
      </c>
      <c r="T38" s="91">
        <f t="shared" si="27"/>
        <v>0</v>
      </c>
      <c r="U38" s="91">
        <f t="shared" si="28"/>
        <v>0</v>
      </c>
      <c r="V38" s="91">
        <f t="shared" si="29"/>
        <v>0</v>
      </c>
      <c r="X38" s="547" t="s">
        <v>1121</v>
      </c>
      <c r="Y38" s="51">
        <v>4</v>
      </c>
      <c r="Z38" s="96" t="e">
        <f t="shared" si="30"/>
        <v>#NUM!</v>
      </c>
      <c r="AA38" s="176" t="str">
        <f>IFERROR(IF(INDEX(Data_Omakoodi!H:H,MATCH($AK$3&amp;$AL38,Data_Omakoodi!A:A,0))="P","",$AK$3&amp;$AL38),$AK$3&amp;$AL38)</f>
        <v>ComboBox_EtKuntakoodi_00000031</v>
      </c>
      <c r="AB38" s="44" t="str">
        <f>IFERROR(INDEX(Data_Omakoodi!E:E,MATCH(AA38,Data_Omakoodi!A:A,0)),"")</f>
        <v/>
      </c>
      <c r="AC38" t="str">
        <f>IFERROR(IF(INDEX(Data_Omakoodi!H:H,MATCH($AH$3&amp;$AL38,Data_Omakoodi!A:A,0))="P","",$AH$3&amp;$AL38),$AH$3&amp;$AL38)</f>
        <v>ComboBox_TyHlo_yksikko_00000031</v>
      </c>
      <c r="AD38" s="44" t="str">
        <f>IFERROR(INDEX(Data_Omakoodi!E:E,MATCH(AC38,Data_Omakoodi!A:A,0)),"")</f>
        <v/>
      </c>
      <c r="AE38" t="str">
        <f>IFERROR(IF(INDEX(Data_Omakoodi!H:H,MATCH($AH$3&amp;$AL38,Data_Omakoodi!A:A,0))="P","",$AH$3&amp;$AL38),$AH$3&amp;$AL38)</f>
        <v>ComboBox_TyHlo_yksikko_00000031</v>
      </c>
      <c r="AF38" t="s">
        <v>1621</v>
      </c>
      <c r="AG38" s="739" t="str">
        <f t="shared" si="0"/>
        <v/>
      </c>
      <c r="AH38" s="739" t="str">
        <f t="shared" si="1"/>
        <v/>
      </c>
      <c r="AI38"/>
      <c r="AJ38" s="739" t="str">
        <f t="shared" si="2"/>
        <v/>
      </c>
      <c r="AK38" s="739" t="str">
        <f t="shared" si="3"/>
        <v/>
      </c>
      <c r="AL38">
        <v>31</v>
      </c>
    </row>
    <row r="39" spans="1:38" x14ac:dyDescent="0.25">
      <c r="A39" s="83" t="s">
        <v>157</v>
      </c>
      <c r="B39" s="84">
        <f>SUMIFS(AS!$W:$W,AS!$BO:$BO,$W$7,AS!$AB:$AB,AS!$AA$1,AS!$AH:$AH,$X$8,AS!$AM:$AM,Tilanne!$X39,AS!$AV:$AV,Tilanne!$X$6,AS!$AW:$AW,Tilanne!$Y$6,AS!$X:$X,Tilanne!$Y$5,AS!$K:$K,Tilanne!$V$2)</f>
        <v>0</v>
      </c>
      <c r="C39" s="324" t="str">
        <f t="shared" si="23"/>
        <v>-</v>
      </c>
      <c r="D39" s="84">
        <f>SUMIFS(AS!$W:$W,AS!$BO:$BO,$W$7,AS!$AB:$AB,AS!$AA$1,AS!$AH:$AH,$X$8,AS!$AM:$AM,Tilanne!$X39,AS!$AV:$AV,Tilanne!$X$6,AS!$I:$I,$X$7,AS!$AW:$AW,Tilanne!$Y$6,AS!$X:$X,Tilanne!$Y$5,AS!$K:$K,Tilanne!$V$2)</f>
        <v>0</v>
      </c>
      <c r="E39" s="84">
        <f>SUMIFS(AS!$W:$W,AS!$BO:$BO,$W$7,AS!$AB:$AB,AS!$AA$1,AS!$AH:$AH,$X$8,AS!$AM:$AM,Tilanne!$X39,AS!$AV:$AV,Tilanne!$X$6,AS!$I:$I,$Y$7,AS!$AW:$AW,Tilanne!$Y$6,AS!$X:$X,Tilanne!$Y$5,AS!$K:$K,Tilanne!$V$2)</f>
        <v>0</v>
      </c>
      <c r="F39" s="263">
        <f>SUMIFS(AS!$W:$W,AS!$BO:$BO,$W$7,AS!$AB:$AB,AS!$AA$1,AS!$AH:$AH,$Y$8,AS!$AM:$AM,Tilanne!$X39,AS!$AV:$AV,Tilanne!$X$6,AS!$AW:$AW,Tilanne!$Y$6,AS!$X:$X,Tilanne!$Y$5,AS!$K:$K,Tilanne!$V$2)</f>
        <v>0</v>
      </c>
      <c r="G39" s="264"/>
      <c r="I39" s="83" t="s">
        <v>157</v>
      </c>
      <c r="J39" s="268">
        <f>SUMIFS(AS!$W:$W,AS!$BO:$BO,$W$7,AS!$AB:$AB,AS!$AA$1,AS!$AH:$AH,$X$8,AS!$AR:$AR,Tilanne!$X39,AS!$AV:$AV,Tilanne!$X$6,AS!$AW:$AW,Tilanne!$Y$6,AS!$X:$X,Tilanne!$Y$5,AS!$K:$K,Tilanne!$V$2)</f>
        <v>0</v>
      </c>
      <c r="K39" s="324" t="str">
        <f t="shared" si="24"/>
        <v>-</v>
      </c>
      <c r="L39" s="84">
        <f>SUMIFS(AS!$W:$W,AS!$BO:$BO,$W$7,AS!$AB:$AB,AS!$AA$1,AS!$AH:$AH,$X$8,AS!$AR:$AR,Tilanne!$X39,AS!$AV:$AV,Tilanne!$X$6,AS!$I:$I,$X$7,AS!$AW:$AW,Tilanne!$Y$6,AS!$X:$X,Tilanne!$Y$5,AS!$K:$K,Tilanne!$V$2)</f>
        <v>0</v>
      </c>
      <c r="M39" s="84">
        <f>SUMIFS(AS!$W:$W,AS!$BO:$BO,$W$7,AS!$AB:$AB,AS!$AA$1,AS!$AH:$AH,$X$8,AS!$AR:$AR,Tilanne!$X39,AS!$AV:$AV,Tilanne!$X$6,AS!$I:$I,$Y$7,AS!$AW:$AW,Tilanne!$Y$6,AS!$X:$X,Tilanne!$Y$5,AS!$K:$K,Tilanne!$V$2)</f>
        <v>0</v>
      </c>
      <c r="N39" s="84">
        <f>SUMIFS(AS!$W:$W,AS!$BO:$BO,$W$7,AS!$AB:$AB,AS!$AA$1,AS!$AH:$AH,"vanha",AS!$AR:$AR,Tilanne!$X39,AS!$AV:$AV,Tilanne!$X$6,AS!$AW:$AW,Tilanne!$Y$6,AS!$X:$X,Tilanne!$Y$5,AS!$K:$K,Tilanne!$V$2)</f>
        <v>0</v>
      </c>
      <c r="O39" s="264"/>
      <c r="Q39" s="83" t="s">
        <v>157</v>
      </c>
      <c r="R39" s="91">
        <f t="shared" si="25"/>
        <v>0</v>
      </c>
      <c r="S39" s="323" t="str">
        <f t="shared" si="26"/>
        <v>-</v>
      </c>
      <c r="T39" s="91">
        <f t="shared" si="27"/>
        <v>0</v>
      </c>
      <c r="U39" s="91">
        <f t="shared" si="28"/>
        <v>0</v>
      </c>
      <c r="V39" s="91">
        <f t="shared" si="29"/>
        <v>0</v>
      </c>
      <c r="X39" s="47" t="s">
        <v>356</v>
      </c>
      <c r="Y39" s="51">
        <v>5</v>
      </c>
      <c r="Z39" s="96" t="e">
        <f t="shared" si="30"/>
        <v>#NUM!</v>
      </c>
      <c r="AA39" s="176" t="str">
        <f>IFERROR(IF(INDEX(Data_Omakoodi!H:H,MATCH($AK$3&amp;$AL39,Data_Omakoodi!A:A,0))="P","",$AK$3&amp;$AL39),$AK$3&amp;$AL39)</f>
        <v>ComboBox_EtKuntakoodi_00000032</v>
      </c>
      <c r="AB39" s="44" t="str">
        <f>IFERROR(INDEX(Data_Omakoodi!E:E,MATCH(AA39,Data_Omakoodi!A:A,0)),"")</f>
        <v/>
      </c>
      <c r="AC39" t="str">
        <f>IFERROR(IF(INDEX(Data_Omakoodi!H:H,MATCH($AH$3&amp;$AL39,Data_Omakoodi!A:A,0))="P","",$AH$3&amp;$AL39),$AH$3&amp;$AL39)</f>
        <v>ComboBox_TyHlo_yksikko_00000032</v>
      </c>
      <c r="AD39" s="44" t="str">
        <f>IFERROR(INDEX(Data_Omakoodi!E:E,MATCH(AC39,Data_Omakoodi!A:A,0)),"")</f>
        <v/>
      </c>
      <c r="AE39" t="str">
        <f>IFERROR(IF(INDEX(Data_Omakoodi!H:H,MATCH($AH$3&amp;$AL39,Data_Omakoodi!A:A,0))="P","",$AH$3&amp;$AL39),$AH$3&amp;$AL39)</f>
        <v>ComboBox_TyHlo_yksikko_00000032</v>
      </c>
      <c r="AF39" t="s">
        <v>1622</v>
      </c>
      <c r="AG39" s="739" t="str">
        <f t="shared" si="0"/>
        <v/>
      </c>
      <c r="AH39" s="739" t="str">
        <f t="shared" si="1"/>
        <v/>
      </c>
      <c r="AI39"/>
      <c r="AJ39" s="739" t="str">
        <f t="shared" si="2"/>
        <v/>
      </c>
      <c r="AK39" s="739" t="str">
        <f t="shared" si="3"/>
        <v/>
      </c>
      <c r="AL39">
        <v>32</v>
      </c>
    </row>
    <row r="40" spans="1:38" x14ac:dyDescent="0.25">
      <c r="A40" s="83" t="s">
        <v>165</v>
      </c>
      <c r="B40" s="84">
        <f>SUMIFS(AS!$W:$W,AS!$BO:$BO,$W$7,AS!$AB:$AB,AS!$AA$1,AS!$AH:$AH,$X$8,AS!$AM:$AM,Tilanne!$X40,AS!$AV:$AV,Tilanne!$X$6,AS!$AW:$AW,Tilanne!$Y$6,AS!$X:$X,Tilanne!$Y$5,AS!$K:$K,Tilanne!$V$2)</f>
        <v>0</v>
      </c>
      <c r="C40" s="324" t="str">
        <f t="shared" si="23"/>
        <v>-</v>
      </c>
      <c r="D40" s="84">
        <f>SUMIFS(AS!$W:$W,AS!$BO:$BO,$W$7,AS!$AB:$AB,AS!$AA$1,AS!$AH:$AH,$X$8,AS!$AM:$AM,Tilanne!$X40,AS!$AV:$AV,Tilanne!$X$6,AS!$I:$I,$X$7,AS!$AW:$AW,Tilanne!$Y$6,AS!$X:$X,Tilanne!$Y$5,AS!$K:$K,Tilanne!$V$2)</f>
        <v>0</v>
      </c>
      <c r="E40" s="84">
        <f>SUMIFS(AS!$W:$W,AS!$BO:$BO,$W$7,AS!$AB:$AB,AS!$AA$1,AS!$AH:$AH,$X$8,AS!$AM:$AM,Tilanne!$X40,AS!$AV:$AV,Tilanne!$X$6,AS!$I:$I,$Y$7,AS!$AW:$AW,Tilanne!$Y$6,AS!$X:$X,Tilanne!$Y$5,AS!$K:$K,Tilanne!$V$2)</f>
        <v>0</v>
      </c>
      <c r="F40" s="263">
        <f>SUMIFS(AS!$W:$W,AS!$BO:$BO,$W$7,AS!$AB:$AB,AS!$AA$1,AS!$AH:$AH,$Y$8,AS!$AM:$AM,Tilanne!$X40,AS!$AV:$AV,Tilanne!$X$6,AS!$AW:$AW,Tilanne!$Y$6,AS!$X:$X,Tilanne!$Y$5,AS!$K:$K,Tilanne!$V$2)</f>
        <v>0</v>
      </c>
      <c r="G40" s="264"/>
      <c r="I40" s="83" t="s">
        <v>165</v>
      </c>
      <c r="J40" s="268">
        <f>SUMIFS(AS!$W:$W,AS!$BO:$BO,$W$7,AS!$AB:$AB,AS!$AA$1,AS!$AH:$AH,$X$8,AS!$AR:$AR,Tilanne!$X40,AS!$AV:$AV,Tilanne!$X$6,AS!$AW:$AW,Tilanne!$Y$6,AS!$X:$X,Tilanne!$Y$5,AS!$K:$K,Tilanne!$V$2)</f>
        <v>0</v>
      </c>
      <c r="K40" s="324" t="str">
        <f t="shared" si="24"/>
        <v>-</v>
      </c>
      <c r="L40" s="84">
        <f>SUMIFS(AS!$W:$W,AS!$BO:$BO,$W$7,AS!$AB:$AB,AS!$AA$1,AS!$AH:$AH,$X$8,AS!$AR:$AR,Tilanne!$X40,AS!$AV:$AV,Tilanne!$X$6,AS!$I:$I,$X$7,AS!$AW:$AW,Tilanne!$Y$6,AS!$X:$X,Tilanne!$Y$5,AS!$K:$K,Tilanne!$V$2)</f>
        <v>0</v>
      </c>
      <c r="M40" s="84">
        <f>SUMIFS(AS!$W:$W,AS!$BO:$BO,$W$7,AS!$AB:$AB,AS!$AA$1,AS!$AH:$AH,$X$8,AS!$AR:$AR,Tilanne!$X40,AS!$AV:$AV,Tilanne!$X$6,AS!$I:$I,$Y$7,AS!$AW:$AW,Tilanne!$Y$6,AS!$X:$X,Tilanne!$Y$5,AS!$K:$K,Tilanne!$V$2)</f>
        <v>0</v>
      </c>
      <c r="N40" s="84">
        <f>SUMIFS(AS!$W:$W,AS!$BO:$BO,$W$7,AS!$AB:$AB,AS!$AA$1,AS!$AH:$AH,"vanha",AS!$AR:$AR,Tilanne!$X40,AS!$AV:$AV,Tilanne!$X$6,AS!$AW:$AW,Tilanne!$Y$6,AS!$X:$X,Tilanne!$Y$5,AS!$K:$K,Tilanne!$V$2)</f>
        <v>0</v>
      </c>
      <c r="O40" s="264"/>
      <c r="Q40" s="83" t="s">
        <v>165</v>
      </c>
      <c r="R40" s="91">
        <f t="shared" si="25"/>
        <v>0</v>
      </c>
      <c r="S40" s="323" t="str">
        <f t="shared" si="26"/>
        <v>-</v>
      </c>
      <c r="T40" s="91">
        <f t="shared" si="27"/>
        <v>0</v>
      </c>
      <c r="U40" s="91">
        <f t="shared" si="28"/>
        <v>0</v>
      </c>
      <c r="V40" s="91">
        <f t="shared" si="29"/>
        <v>0</v>
      </c>
      <c r="X40" s="47" t="s">
        <v>363</v>
      </c>
      <c r="Y40" s="51">
        <v>6</v>
      </c>
      <c r="Z40" s="96" t="e">
        <f t="shared" si="30"/>
        <v>#NUM!</v>
      </c>
      <c r="AA40" s="176" t="str">
        <f>IFERROR(IF(INDEX(Data_Omakoodi!H:H,MATCH($AK$3&amp;$AL40,Data_Omakoodi!A:A,0))="P","",$AK$3&amp;$AL40),$AK$3&amp;$AL40)</f>
        <v>ComboBox_EtKuntakoodi_00000033</v>
      </c>
      <c r="AB40" s="44" t="str">
        <f>IFERROR(INDEX(Data_Omakoodi!E:E,MATCH(AA40,Data_Omakoodi!A:A,0)),"")</f>
        <v/>
      </c>
      <c r="AC40" t="str">
        <f>IFERROR(IF(INDEX(Data_Omakoodi!H:H,MATCH($AH$3&amp;$AL40,Data_Omakoodi!A:A,0))="P","",$AH$3&amp;$AL40),$AH$3&amp;$AL40)</f>
        <v>ComboBox_TyHlo_yksikko_00000033</v>
      </c>
      <c r="AD40" s="44" t="str">
        <f>IFERROR(INDEX(Data_Omakoodi!E:E,MATCH(AC40,Data_Omakoodi!A:A,0)),"")</f>
        <v/>
      </c>
      <c r="AE40" t="str">
        <f>IFERROR(IF(INDEX(Data_Omakoodi!H:H,MATCH($AH$3&amp;$AL40,Data_Omakoodi!A:A,0))="P","",$AH$3&amp;$AL40),$AH$3&amp;$AL40)</f>
        <v>ComboBox_TyHlo_yksikko_00000033</v>
      </c>
      <c r="AF40" t="s">
        <v>1623</v>
      </c>
      <c r="AG40" s="739" t="str">
        <f t="shared" si="0"/>
        <v/>
      </c>
      <c r="AH40" s="739" t="str">
        <f t="shared" si="1"/>
        <v/>
      </c>
      <c r="AI40"/>
      <c r="AJ40" s="739" t="str">
        <f t="shared" si="2"/>
        <v/>
      </c>
      <c r="AK40" s="739" t="str">
        <f t="shared" si="3"/>
        <v/>
      </c>
      <c r="AL40">
        <v>33</v>
      </c>
    </row>
    <row r="41" spans="1:38" x14ac:dyDescent="0.25">
      <c r="A41" s="83" t="s">
        <v>1119</v>
      </c>
      <c r="B41" s="84">
        <f>SUMIFS(AS!$W:$W,AS!$BO:$BO,$W$7,AS!$AB:$AB,AS!$AA$1,AS!$AH:$AH,$X$8,AS!$AM:$AM,Tilanne!$X41,AS!$AV:$AV,Tilanne!$X$6,AS!$AW:$AW,Tilanne!$Y$6,AS!$X:$X,Tilanne!$Y$5,AS!$K:$K,Tilanne!$V$2)</f>
        <v>0</v>
      </c>
      <c r="C41" s="324" t="str">
        <f t="shared" si="23"/>
        <v>-</v>
      </c>
      <c r="D41" s="84">
        <f>SUMIFS(AS!$W:$W,AS!$BO:$BO,$W$7,AS!$AB:$AB,AS!$AA$1,AS!$AH:$AH,$X$8,AS!$AM:$AM,Tilanne!$X41,AS!$AV:$AV,Tilanne!$X$6,AS!$I:$I,$X$7,AS!$AW:$AW,Tilanne!$Y$6,AS!$X:$X,Tilanne!$Y$5,AS!$K:$K,Tilanne!$V$2)</f>
        <v>0</v>
      </c>
      <c r="E41" s="84">
        <f>SUMIFS(AS!$W:$W,AS!$BO:$BO,$W$7,AS!$AB:$AB,AS!$AA$1,AS!$AH:$AH,$X$8,AS!$AM:$AM,Tilanne!$X41,AS!$AV:$AV,Tilanne!$X$6,AS!$I:$I,$Y$7,AS!$AW:$AW,Tilanne!$Y$6,AS!$X:$X,Tilanne!$Y$5,AS!$K:$K,Tilanne!$V$2)</f>
        <v>0</v>
      </c>
      <c r="F41" s="263">
        <f>SUMIFS(AS!$W:$W,AS!$BO:$BO,$W$7,AS!$AB:$AB,AS!$AA$1,AS!$AH:$AH,$Y$8,AS!$AM:$AM,Tilanne!$X41,AS!$AV:$AV,Tilanne!$X$6,AS!$AW:$AW,Tilanne!$Y$6,AS!$X:$X,Tilanne!$Y$5,AS!$K:$K,Tilanne!$V$2)</f>
        <v>0</v>
      </c>
      <c r="G41" s="264"/>
      <c r="I41" s="83" t="s">
        <v>1119</v>
      </c>
      <c r="J41" s="268">
        <f>SUMIFS(AS!$W:$W,AS!$BO:$BO,$W$7,AS!$AB:$AB,AS!$AA$1,AS!$AH:$AH,$X$8,AS!$AR:$AR,Tilanne!$X41,AS!$AV:$AV,Tilanne!$X$6,AS!$AW:$AW,Tilanne!$Y$6,AS!$X:$X,Tilanne!$Y$5,AS!$K:$K,Tilanne!$V$2)</f>
        <v>0</v>
      </c>
      <c r="K41" s="324" t="str">
        <f t="shared" si="24"/>
        <v>-</v>
      </c>
      <c r="L41" s="84">
        <f>SUMIFS(AS!$W:$W,AS!$BO:$BO,$W$7,AS!$AB:$AB,AS!$AA$1,AS!$AH:$AH,$X$8,AS!$AR:$AR,Tilanne!$X41,AS!$AV:$AV,Tilanne!$X$6,AS!$I:$I,$X$7,AS!$AW:$AW,Tilanne!$Y$6,AS!$X:$X,Tilanne!$Y$5,AS!$K:$K,Tilanne!$V$2)</f>
        <v>0</v>
      </c>
      <c r="M41" s="84">
        <f>SUMIFS(AS!$W:$W,AS!$BO:$BO,$W$7,AS!$AB:$AB,AS!$AA$1,AS!$AH:$AH,$X$8,AS!$AR:$AR,Tilanne!$X41,AS!$AV:$AV,Tilanne!$X$6,AS!$I:$I,$Y$7,AS!$AW:$AW,Tilanne!$Y$6,AS!$X:$X,Tilanne!$Y$5,AS!$K:$K,Tilanne!$V$2)</f>
        <v>0</v>
      </c>
      <c r="N41" s="84">
        <f>SUMIFS(AS!$W:$W,AS!$BO:$BO,$W$7,AS!$AB:$AB,AS!$AA$1,AS!$AH:$AH,"vanha",AS!$AR:$AR,Tilanne!$X41,AS!$AV:$AV,Tilanne!$X$6,AS!$AW:$AW,Tilanne!$Y$6,AS!$X:$X,Tilanne!$Y$5,AS!$K:$K,Tilanne!$V$2)</f>
        <v>0</v>
      </c>
      <c r="O41" s="264"/>
      <c r="Q41" s="83" t="s">
        <v>1119</v>
      </c>
      <c r="R41" s="91">
        <f t="shared" si="25"/>
        <v>0</v>
      </c>
      <c r="S41" s="323" t="str">
        <f t="shared" si="26"/>
        <v>-</v>
      </c>
      <c r="T41" s="91">
        <f t="shared" si="27"/>
        <v>0</v>
      </c>
      <c r="U41" s="91">
        <f t="shared" si="28"/>
        <v>0</v>
      </c>
      <c r="V41" s="91">
        <f t="shared" si="29"/>
        <v>0</v>
      </c>
      <c r="X41" s="547" t="s">
        <v>1122</v>
      </c>
      <c r="Y41" s="51">
        <v>7</v>
      </c>
      <c r="Z41" s="96" t="e">
        <f t="shared" si="30"/>
        <v>#NUM!</v>
      </c>
      <c r="AA41" s="176" t="str">
        <f>IFERROR(IF(INDEX(Data_Omakoodi!H:H,MATCH($AK$3&amp;$AL41,Data_Omakoodi!A:A,0))="P","",$AK$3&amp;$AL41),$AK$3&amp;$AL41)</f>
        <v>ComboBox_EtKuntakoodi_00000034</v>
      </c>
      <c r="AB41" s="44" t="str">
        <f>IFERROR(INDEX(Data_Omakoodi!E:E,MATCH(AA41,Data_Omakoodi!A:A,0)),"")</f>
        <v/>
      </c>
      <c r="AC41" t="str">
        <f>IFERROR(IF(INDEX(Data_Omakoodi!H:H,MATCH($AH$3&amp;$AL41,Data_Omakoodi!A:A,0))="P","",$AH$3&amp;$AL41),$AH$3&amp;$AL41)</f>
        <v>ComboBox_TyHlo_yksikko_00000034</v>
      </c>
      <c r="AD41" s="44" t="str">
        <f>IFERROR(INDEX(Data_Omakoodi!E:E,MATCH(AC41,Data_Omakoodi!A:A,0)),"")</f>
        <v/>
      </c>
      <c r="AE41" t="str">
        <f>IFERROR(IF(INDEX(Data_Omakoodi!H:H,MATCH($AH$3&amp;$AL41,Data_Omakoodi!A:A,0))="P","",$AH$3&amp;$AL41),$AH$3&amp;$AL41)</f>
        <v>ComboBox_TyHlo_yksikko_00000034</v>
      </c>
      <c r="AF41" t="s">
        <v>1624</v>
      </c>
      <c r="AG41" s="739" t="str">
        <f t="shared" si="0"/>
        <v/>
      </c>
      <c r="AH41" s="739" t="str">
        <f t="shared" si="1"/>
        <v/>
      </c>
      <c r="AI41"/>
      <c r="AJ41" s="739" t="str">
        <f t="shared" si="2"/>
        <v/>
      </c>
      <c r="AK41" s="739" t="str">
        <f t="shared" si="3"/>
        <v/>
      </c>
      <c r="AL41">
        <v>34</v>
      </c>
    </row>
    <row r="42" spans="1:38" x14ac:dyDescent="0.25">
      <c r="A42" s="83" t="s">
        <v>164</v>
      </c>
      <c r="B42" s="84">
        <f>SUMIFS(AS!$W:$W,AS!$BO:$BO,$W$7,AS!$AB:$AB,AS!$AA$1,AS!$AH:$AH,$X$8,AS!$AM:$AM,Tilanne!$X42,AS!$AV:$AV,Tilanne!$X$6,AS!$AW:$AW,Tilanne!$Y$6,AS!$X:$X,Tilanne!$Y$5,AS!$K:$K,Tilanne!$V$2)</f>
        <v>0</v>
      </c>
      <c r="C42" s="324" t="str">
        <f t="shared" ref="C42:C49" si="31">IFERROR(B42/B$53,"-")</f>
        <v>-</v>
      </c>
      <c r="D42" s="84">
        <f>SUMIFS(AS!$W:$W,AS!$BO:$BO,$W$7,AS!$AB:$AB,AS!$AA$1,AS!$AH:$AH,$X$8,AS!$AM:$AM,Tilanne!$X42,AS!$AV:$AV,Tilanne!$X$6,AS!$I:$I,$X$7,AS!$AW:$AW,Tilanne!$Y$6,AS!$X:$X,Tilanne!$Y$5,AS!$K:$K,Tilanne!$V$2)</f>
        <v>0</v>
      </c>
      <c r="E42" s="84">
        <f>SUMIFS(AS!$W:$W,AS!$BO:$BO,$W$7,AS!$AB:$AB,AS!$AA$1,AS!$AH:$AH,$X$8,AS!$AM:$AM,Tilanne!$X42,AS!$AV:$AV,Tilanne!$X$6,AS!$I:$I,$Y$7,AS!$AW:$AW,Tilanne!$Y$6,AS!$X:$X,Tilanne!$Y$5,AS!$K:$K,Tilanne!$V$2)</f>
        <v>0</v>
      </c>
      <c r="F42" s="263">
        <f>SUMIFS(AS!$W:$W,AS!$BO:$BO,$W$7,AS!$AB:$AB,AS!$AA$1,AS!$AH:$AH,$Y$8,AS!$AM:$AM,Tilanne!$X42,AS!$AV:$AV,Tilanne!$X$6,AS!$AW:$AW,Tilanne!$Y$6,AS!$X:$X,Tilanne!$Y$5,AS!$K:$K,Tilanne!$V$2)</f>
        <v>0</v>
      </c>
      <c r="G42" s="264"/>
      <c r="I42" s="269" t="s">
        <v>164</v>
      </c>
      <c r="J42" s="268">
        <f>SUMIFS(AS!$W:$W,AS!$BO:$BO,$W$7,AS!$AB:$AB,AS!$AA$1,AS!$AH:$AH,$X$8,AS!$AR:$AR,Tilanne!$X42,AS!$AV:$AV,Tilanne!$X$6,AS!$AW:$AW,Tilanne!$Y$6,AS!$X:$X,Tilanne!$Y$5,AS!$K:$K,Tilanne!$V$2)</f>
        <v>0</v>
      </c>
      <c r="K42" s="324" t="str">
        <f t="shared" si="24"/>
        <v>-</v>
      </c>
      <c r="L42" s="84">
        <f>SUMIFS(AS!$W:$W,AS!$BO:$BO,$W$7,AS!$AB:$AB,AS!$AA$1,AS!$AH:$AH,$X$8,AS!$AR:$AR,Tilanne!$X42,AS!$AV:$AV,Tilanne!$X$6,AS!$I:$I,$X$7,AS!$AW:$AW,Tilanne!$Y$6,AS!$X:$X,Tilanne!$Y$5,AS!$K:$K,Tilanne!$V$2)</f>
        <v>0</v>
      </c>
      <c r="M42" s="84">
        <f>SUMIFS(AS!$W:$W,AS!$BO:$BO,$W$7,AS!$AB:$AB,AS!$AA$1,AS!$AH:$AH,$X$8,AS!$AR:$AR,Tilanne!$X42,AS!$AV:$AV,Tilanne!$X$6,AS!$I:$I,$Y$7,AS!$AW:$AW,Tilanne!$Y$6,AS!$X:$X,Tilanne!$Y$5,AS!$K:$K,Tilanne!$V$2)</f>
        <v>0</v>
      </c>
      <c r="N42" s="84">
        <f>SUMIFS(AS!$W:$W,AS!$BO:$BO,$W$7,AS!$AB:$AB,AS!$AA$1,AS!$AH:$AH,"vanha",AS!$AR:$AR,Tilanne!$X42,AS!$AV:$AV,Tilanne!$X$6,AS!$AW:$AW,Tilanne!$Y$6,AS!$X:$X,Tilanne!$Y$5,AS!$K:$K,Tilanne!$V$2)</f>
        <v>0</v>
      </c>
      <c r="O42" s="264"/>
      <c r="Q42" s="83" t="s">
        <v>164</v>
      </c>
      <c r="R42" s="91">
        <f t="shared" si="18"/>
        <v>0</v>
      </c>
      <c r="S42" s="323" t="str">
        <f t="shared" si="22"/>
        <v>-</v>
      </c>
      <c r="T42" s="91">
        <f t="shared" si="19"/>
        <v>0</v>
      </c>
      <c r="U42" s="91">
        <f t="shared" si="20"/>
        <v>0</v>
      </c>
      <c r="V42" s="91">
        <f t="shared" si="21"/>
        <v>0</v>
      </c>
      <c r="X42" s="47" t="s">
        <v>374</v>
      </c>
      <c r="Y42" s="51">
        <v>8</v>
      </c>
      <c r="Z42" s="96" t="e">
        <f t="shared" si="30"/>
        <v>#NUM!</v>
      </c>
      <c r="AA42" s="176" t="str">
        <f>IFERROR(IF(INDEX(Data_Omakoodi!H:H,MATCH($AK$3&amp;$AL42,Data_Omakoodi!A:A,0))="P","",$AK$3&amp;$AL42),$AK$3&amp;$AL42)</f>
        <v>ComboBox_EtKuntakoodi_00000035</v>
      </c>
      <c r="AB42" s="44" t="str">
        <f>IFERROR(INDEX(Data_Omakoodi!E:E,MATCH(AA42,Data_Omakoodi!A:A,0)),"")</f>
        <v/>
      </c>
      <c r="AC42" t="str">
        <f>IFERROR(IF(INDEX(Data_Omakoodi!H:H,MATCH($AH$3&amp;$AL42,Data_Omakoodi!A:A,0))="P","",$AH$3&amp;$AL42),$AH$3&amp;$AL42)</f>
        <v>ComboBox_TyHlo_yksikko_00000035</v>
      </c>
      <c r="AD42" s="44" t="str">
        <f>IFERROR(INDEX(Data_Omakoodi!E:E,MATCH(AC42,Data_Omakoodi!A:A,0)),"")</f>
        <v/>
      </c>
      <c r="AE42" t="str">
        <f>IFERROR(IF(INDEX(Data_Omakoodi!H:H,MATCH($AH$3&amp;$AL42,Data_Omakoodi!A:A,0))="P","",$AH$3&amp;$AL42),$AH$3&amp;$AL42)</f>
        <v>ComboBox_TyHlo_yksikko_00000035</v>
      </c>
      <c r="AF42" t="s">
        <v>1625</v>
      </c>
      <c r="AG42" s="739" t="str">
        <f t="shared" si="0"/>
        <v/>
      </c>
      <c r="AH42" s="739" t="str">
        <f t="shared" si="1"/>
        <v/>
      </c>
      <c r="AI42"/>
      <c r="AJ42" s="739" t="str">
        <f t="shared" si="2"/>
        <v/>
      </c>
      <c r="AK42" s="739" t="str">
        <f t="shared" si="3"/>
        <v/>
      </c>
      <c r="AL42">
        <v>35</v>
      </c>
    </row>
    <row r="43" spans="1:38" x14ac:dyDescent="0.25">
      <c r="A43" s="83" t="s">
        <v>163</v>
      </c>
      <c r="B43" s="84">
        <f>SUMIFS(AS!$W:$W,AS!$BO:$BO,$W$7,AS!$AB:$AB,AS!$AA$1,AS!$AH:$AH,$X$8,AS!$AM:$AM,Tilanne!$X43,AS!$AV:$AV,Tilanne!$X$6,AS!$AW:$AW,Tilanne!$Y$6,AS!$X:$X,Tilanne!$Y$5,AS!$K:$K,Tilanne!$V$2)</f>
        <v>0</v>
      </c>
      <c r="C43" s="324" t="str">
        <f t="shared" si="31"/>
        <v>-</v>
      </c>
      <c r="D43" s="84">
        <f>SUMIFS(AS!$W:$W,AS!$BO:$BO,$W$7,AS!$AB:$AB,AS!$AA$1,AS!$AH:$AH,$X$8,AS!$AM:$AM,Tilanne!$X43,AS!$AV:$AV,Tilanne!$X$6,AS!$I:$I,$X$7,AS!$AW:$AW,Tilanne!$Y$6,AS!$X:$X,Tilanne!$Y$5,AS!$K:$K,Tilanne!$V$2)</f>
        <v>0</v>
      </c>
      <c r="E43" s="84">
        <f>SUMIFS(AS!$W:$W,AS!$BO:$BO,$W$7,AS!$AB:$AB,AS!$AA$1,AS!$AH:$AH,$X$8,AS!$AM:$AM,Tilanne!$X43,AS!$AV:$AV,Tilanne!$X$6,AS!$I:$I,$Y$7,AS!$AW:$AW,Tilanne!$Y$6,AS!$X:$X,Tilanne!$Y$5,AS!$K:$K,Tilanne!$V$2)</f>
        <v>0</v>
      </c>
      <c r="F43" s="263">
        <f>SUMIFS(AS!$W:$W,AS!$BO:$BO,$W$7,AS!$AB:$AB,AS!$AA$1,AS!$AH:$AH,$Y$8,AS!$AM:$AM,Tilanne!$X43,AS!$AV:$AV,Tilanne!$X$6,AS!$AW:$AW,Tilanne!$Y$6,AS!$X:$X,Tilanne!$Y$5,AS!$K:$K,Tilanne!$V$2)</f>
        <v>0</v>
      </c>
      <c r="G43" s="264"/>
      <c r="I43" s="269" t="s">
        <v>163</v>
      </c>
      <c r="J43" s="268">
        <f>SUMIFS(AS!$W:$W,AS!$BO:$BO,$W$7,AS!$AB:$AB,AS!$AA$1,AS!$AH:$AH,$X$8,AS!$AR:$AR,Tilanne!$X43,AS!$AV:$AV,Tilanne!$X$6,AS!$AW:$AW,Tilanne!$Y$6,AS!$X:$X,Tilanne!$Y$5,AS!$K:$K,Tilanne!$V$2)</f>
        <v>0</v>
      </c>
      <c r="K43" s="324" t="str">
        <f t="shared" si="24"/>
        <v>-</v>
      </c>
      <c r="L43" s="84">
        <f>SUMIFS(AS!$W:$W,AS!$BO:$BO,$W$7,AS!$AB:$AB,AS!$AA$1,AS!$AH:$AH,$X$8,AS!$AR:$AR,Tilanne!$X43,AS!$AV:$AV,Tilanne!$X$6,AS!$I:$I,$X$7,AS!$AW:$AW,Tilanne!$Y$6,AS!$X:$X,Tilanne!$Y$5,AS!$K:$K,Tilanne!$V$2)</f>
        <v>0</v>
      </c>
      <c r="M43" s="84">
        <f>SUMIFS(AS!$W:$W,AS!$BO:$BO,$W$7,AS!$AB:$AB,AS!$AA$1,AS!$AH:$AH,$X$8,AS!$AR:$AR,Tilanne!$X43,AS!$AV:$AV,Tilanne!$X$6,AS!$I:$I,$Y$7,AS!$AW:$AW,Tilanne!$Y$6,AS!$X:$X,Tilanne!$Y$5,AS!$K:$K,Tilanne!$V$2)</f>
        <v>0</v>
      </c>
      <c r="N43" s="84">
        <f>SUMIFS(AS!$W:$W,AS!$BO:$BO,$W$7,AS!$AB:$AB,AS!$AA$1,AS!$AH:$AH,"vanha",AS!$AR:$AR,Tilanne!$X43,AS!$AV:$AV,Tilanne!$X$6,AS!$AW:$AW,Tilanne!$Y$6,AS!$X:$X,Tilanne!$Y$5,AS!$K:$K,Tilanne!$V$2)</f>
        <v>0</v>
      </c>
      <c r="O43" s="264"/>
      <c r="Q43" s="83" t="s">
        <v>163</v>
      </c>
      <c r="R43" s="91">
        <f t="shared" si="18"/>
        <v>0</v>
      </c>
      <c r="S43" s="323" t="str">
        <f t="shared" si="22"/>
        <v>-</v>
      </c>
      <c r="T43" s="91">
        <f t="shared" si="19"/>
        <v>0</v>
      </c>
      <c r="U43" s="91">
        <f t="shared" si="20"/>
        <v>0</v>
      </c>
      <c r="V43" s="91">
        <f t="shared" si="21"/>
        <v>0</v>
      </c>
      <c r="X43" s="47" t="s">
        <v>368</v>
      </c>
      <c r="Y43" s="51">
        <v>9</v>
      </c>
      <c r="Z43" s="96" t="e">
        <f t="shared" si="30"/>
        <v>#NUM!</v>
      </c>
      <c r="AA43" s="176" t="str">
        <f>IFERROR(IF(INDEX(Data_Omakoodi!H:H,MATCH($AK$3&amp;$AL43,Data_Omakoodi!A:A,0))="P","",$AK$3&amp;$AL43),$AK$3&amp;$AL43)</f>
        <v>ComboBox_EtKuntakoodi_00000036</v>
      </c>
      <c r="AB43" s="44" t="str">
        <f>IFERROR(INDEX(Data_Omakoodi!E:E,MATCH(AA43,Data_Omakoodi!A:A,0)),"")</f>
        <v/>
      </c>
      <c r="AC43" t="str">
        <f>IFERROR(IF(INDEX(Data_Omakoodi!H:H,MATCH($AH$3&amp;$AL43,Data_Omakoodi!A:A,0))="P","",$AH$3&amp;$AL43),$AH$3&amp;$AL43)</f>
        <v>ComboBox_TyHlo_yksikko_00000036</v>
      </c>
      <c r="AD43" s="44" t="str">
        <f>IFERROR(INDEX(Data_Omakoodi!E:E,MATCH(AC43,Data_Omakoodi!A:A,0)),"")</f>
        <v/>
      </c>
      <c r="AE43" t="str">
        <f>IFERROR(IF(INDEX(Data_Omakoodi!H:H,MATCH($AH$3&amp;$AL43,Data_Omakoodi!A:A,0))="P","",$AH$3&amp;$AL43),$AH$3&amp;$AL43)</f>
        <v>ComboBox_TyHlo_yksikko_00000036</v>
      </c>
      <c r="AF43" t="s">
        <v>1626</v>
      </c>
      <c r="AG43" s="739" t="str">
        <f t="shared" si="0"/>
        <v/>
      </c>
      <c r="AH43" s="739" t="str">
        <f t="shared" si="1"/>
        <v/>
      </c>
      <c r="AI43"/>
      <c r="AJ43" s="739" t="str">
        <f t="shared" si="2"/>
        <v/>
      </c>
      <c r="AK43" s="739" t="str">
        <f t="shared" si="3"/>
        <v/>
      </c>
      <c r="AL43">
        <v>36</v>
      </c>
    </row>
    <row r="44" spans="1:38" x14ac:dyDescent="0.25">
      <c r="A44" s="83" t="s">
        <v>162</v>
      </c>
      <c r="B44" s="84">
        <f>SUMIFS(AS!$W:$W,AS!$BO:$BO,$W$7,AS!$AB:$AB,AS!$AA$1,AS!$AH:$AH,$X$8,AS!$AM:$AM,Tilanne!$X44,AS!$AV:$AV,Tilanne!$X$6,AS!$AW:$AW,Tilanne!$Y$6,AS!$X:$X,Tilanne!$Y$5,AS!$K:$K,Tilanne!$V$2)</f>
        <v>0</v>
      </c>
      <c r="C44" s="324" t="str">
        <f t="shared" si="31"/>
        <v>-</v>
      </c>
      <c r="D44" s="84">
        <f>SUMIFS(AS!$W:$W,AS!$BO:$BO,$W$7,AS!$AB:$AB,AS!$AA$1,AS!$AH:$AH,$X$8,AS!$AM:$AM,Tilanne!$X44,AS!$AV:$AV,Tilanne!$X$6,AS!$I:$I,$X$7,AS!$AW:$AW,Tilanne!$Y$6,AS!$X:$X,Tilanne!$Y$5,AS!$K:$K,Tilanne!$V$2)</f>
        <v>0</v>
      </c>
      <c r="E44" s="84">
        <f>SUMIFS(AS!$W:$W,AS!$BO:$BO,$W$7,AS!$AB:$AB,AS!$AA$1,AS!$AH:$AH,$X$8,AS!$AM:$AM,Tilanne!$X44,AS!$AV:$AV,Tilanne!$X$6,AS!$I:$I,$Y$7,AS!$AW:$AW,Tilanne!$Y$6,AS!$X:$X,Tilanne!$Y$5,AS!$K:$K,Tilanne!$V$2)</f>
        <v>0</v>
      </c>
      <c r="F44" s="263">
        <f>SUMIFS(AS!$W:$W,AS!$BO:$BO,$W$7,AS!$AB:$AB,AS!$AA$1,AS!$AH:$AH,$Y$8,AS!$AM:$AM,Tilanne!$X44,AS!$AV:$AV,Tilanne!$X$6,AS!$AW:$AW,Tilanne!$Y$6,AS!$X:$X,Tilanne!$Y$5,AS!$K:$K,Tilanne!$V$2)</f>
        <v>0</v>
      </c>
      <c r="G44" s="264"/>
      <c r="I44" s="269" t="s">
        <v>162</v>
      </c>
      <c r="J44" s="268">
        <f>SUMIFS(AS!$W:$W,AS!$BO:$BO,$W$7,AS!$AB:$AB,AS!$AA$1,AS!$AH:$AH,$X$8,AS!$AR:$AR,Tilanne!$X44,AS!$AV:$AV,Tilanne!$X$6,AS!$AW:$AW,Tilanne!$Y$6,AS!$X:$X,Tilanne!$Y$5,AS!$K:$K,Tilanne!$V$2)</f>
        <v>0</v>
      </c>
      <c r="K44" s="324" t="str">
        <f t="shared" si="24"/>
        <v>-</v>
      </c>
      <c r="L44" s="84">
        <f>SUMIFS(AS!$W:$W,AS!$BO:$BO,$W$7,AS!$AB:$AB,AS!$AA$1,AS!$AH:$AH,$X$8,AS!$AR:$AR,Tilanne!$X44,AS!$AV:$AV,Tilanne!$X$6,AS!$I:$I,$X$7,AS!$AW:$AW,Tilanne!$Y$6,AS!$X:$X,Tilanne!$Y$5,AS!$K:$K,Tilanne!$V$2)</f>
        <v>0</v>
      </c>
      <c r="M44" s="84">
        <f>SUMIFS(AS!$W:$W,AS!$BO:$BO,$W$7,AS!$AB:$AB,AS!$AA$1,AS!$AH:$AH,$X$8,AS!$AR:$AR,Tilanne!$X44,AS!$AV:$AV,Tilanne!$X$6,AS!$I:$I,$Y$7,AS!$AW:$AW,Tilanne!$Y$6,AS!$X:$X,Tilanne!$Y$5,AS!$K:$K,Tilanne!$V$2)</f>
        <v>0</v>
      </c>
      <c r="N44" s="84">
        <f>SUMIFS(AS!$W:$W,AS!$BO:$BO,$W$7,AS!$AB:$AB,AS!$AA$1,AS!$AH:$AH,"vanha",AS!$AR:$AR,Tilanne!$X44,AS!$AV:$AV,Tilanne!$X$6,AS!$AW:$AW,Tilanne!$Y$6,AS!$X:$X,Tilanne!$Y$5,AS!$K:$K,Tilanne!$V$2)</f>
        <v>0</v>
      </c>
      <c r="O44" s="264"/>
      <c r="Q44" s="83" t="s">
        <v>162</v>
      </c>
      <c r="R44" s="91">
        <f t="shared" si="18"/>
        <v>0</v>
      </c>
      <c r="S44" s="323" t="str">
        <f t="shared" si="22"/>
        <v>-</v>
      </c>
      <c r="T44" s="91">
        <f t="shared" si="19"/>
        <v>0</v>
      </c>
      <c r="U44" s="91">
        <f t="shared" si="20"/>
        <v>0</v>
      </c>
      <c r="V44" s="91">
        <f t="shared" si="21"/>
        <v>0</v>
      </c>
      <c r="X44" s="47" t="s">
        <v>352</v>
      </c>
      <c r="Y44" s="51">
        <v>10</v>
      </c>
      <c r="Z44" s="96" t="e">
        <f t="shared" si="30"/>
        <v>#NUM!</v>
      </c>
      <c r="AA44" s="176" t="str">
        <f>IFERROR(IF(INDEX(Data_Omakoodi!H:H,MATCH($AK$3&amp;$AL44,Data_Omakoodi!A:A,0))="P","",$AK$3&amp;$AL44),$AK$3&amp;$AL44)</f>
        <v>ComboBox_EtKuntakoodi_00000037</v>
      </c>
      <c r="AB44" s="44" t="str">
        <f>IFERROR(INDEX(Data_Omakoodi!E:E,MATCH(AA44,Data_Omakoodi!A:A,0)),"")</f>
        <v/>
      </c>
      <c r="AC44" t="str">
        <f>IFERROR(IF(INDEX(Data_Omakoodi!H:H,MATCH($AH$3&amp;$AL44,Data_Omakoodi!A:A,0))="P","",$AH$3&amp;$AL44),$AH$3&amp;$AL44)</f>
        <v>ComboBox_TyHlo_yksikko_00000037</v>
      </c>
      <c r="AD44" s="44" t="str">
        <f>IFERROR(INDEX(Data_Omakoodi!E:E,MATCH(AC44,Data_Omakoodi!A:A,0)),"")</f>
        <v/>
      </c>
      <c r="AE44" t="str">
        <f>IFERROR(IF(INDEX(Data_Omakoodi!H:H,MATCH($AH$3&amp;$AL44,Data_Omakoodi!A:A,0))="P","",$AH$3&amp;$AL44),$AH$3&amp;$AL44)</f>
        <v>ComboBox_TyHlo_yksikko_00000037</v>
      </c>
      <c r="AF44" t="s">
        <v>1627</v>
      </c>
      <c r="AG44" s="739" t="str">
        <f t="shared" si="0"/>
        <v/>
      </c>
      <c r="AH44" s="739" t="str">
        <f t="shared" si="1"/>
        <v/>
      </c>
      <c r="AI44"/>
      <c r="AJ44" s="739" t="str">
        <f t="shared" si="2"/>
        <v/>
      </c>
      <c r="AK44" s="739" t="str">
        <f t="shared" si="3"/>
        <v/>
      </c>
      <c r="AL44">
        <v>37</v>
      </c>
    </row>
    <row r="45" spans="1:38" x14ac:dyDescent="0.25">
      <c r="A45" s="83" t="s">
        <v>161</v>
      </c>
      <c r="B45" s="84">
        <f>SUMIFS(AS!$W:$W,AS!$BO:$BO,$W$7,AS!$AB:$AB,AS!$AA$1,AS!$AH:$AH,$X$8,AS!$AM:$AM,Tilanne!$X45,AS!$AV:$AV,Tilanne!$X$6,AS!$AW:$AW,Tilanne!$Y$6,AS!$X:$X,Tilanne!$Y$5,AS!$K:$K,Tilanne!$V$2)</f>
        <v>0</v>
      </c>
      <c r="C45" s="324" t="str">
        <f t="shared" si="31"/>
        <v>-</v>
      </c>
      <c r="D45" s="84">
        <f>SUMIFS(AS!$W:$W,AS!$BO:$BO,$W$7,AS!$AB:$AB,AS!$AA$1,AS!$AH:$AH,$X$8,AS!$AM:$AM,Tilanne!$X45,AS!$AV:$AV,Tilanne!$X$6,AS!$I:$I,$X$7,AS!$AW:$AW,Tilanne!$Y$6,AS!$X:$X,Tilanne!$Y$5,AS!$K:$K,Tilanne!$V$2)</f>
        <v>0</v>
      </c>
      <c r="E45" s="84">
        <f>SUMIFS(AS!$W:$W,AS!$BO:$BO,$W$7,AS!$AB:$AB,AS!$AA$1,AS!$AH:$AH,$X$8,AS!$AM:$AM,Tilanne!$X45,AS!$AV:$AV,Tilanne!$X$6,AS!$I:$I,$Y$7,AS!$AW:$AW,Tilanne!$Y$6,AS!$X:$X,Tilanne!$Y$5,AS!$K:$K,Tilanne!$V$2)</f>
        <v>0</v>
      </c>
      <c r="F45" s="263">
        <f>SUMIFS(AS!$W:$W,AS!$BO:$BO,$W$7,AS!$AB:$AB,AS!$AA$1,AS!$AH:$AH,$Y$8,AS!$AM:$AM,Tilanne!$X45,AS!$AV:$AV,Tilanne!$X$6,AS!$AW:$AW,Tilanne!$Y$6,AS!$X:$X,Tilanne!$Y$5,AS!$K:$K,Tilanne!$V$2)</f>
        <v>0</v>
      </c>
      <c r="G45" s="264"/>
      <c r="I45" s="269" t="s">
        <v>161</v>
      </c>
      <c r="J45" s="268">
        <f>SUMIFS(AS!$W:$W,AS!$BO:$BO,$W$7,AS!$AB:$AB,AS!$AA$1,AS!$AH:$AH,$X$8,AS!$AR:$AR,Tilanne!$X45,AS!$AV:$AV,Tilanne!$X$6,AS!$AW:$AW,Tilanne!$Y$6,AS!$X:$X,Tilanne!$Y$5,AS!$K:$K,Tilanne!$V$2)</f>
        <v>0</v>
      </c>
      <c r="K45" s="324" t="str">
        <f t="shared" si="24"/>
        <v>-</v>
      </c>
      <c r="L45" s="84">
        <f>SUMIFS(AS!$W:$W,AS!$BO:$BO,$W$7,AS!$AB:$AB,AS!$AA$1,AS!$AH:$AH,$X$8,AS!$AR:$AR,Tilanne!$X45,AS!$AV:$AV,Tilanne!$X$6,AS!$I:$I,$X$7,AS!$AW:$AW,Tilanne!$Y$6,AS!$X:$X,Tilanne!$Y$5,AS!$K:$K,Tilanne!$V$2)</f>
        <v>0</v>
      </c>
      <c r="M45" s="84">
        <f>SUMIFS(AS!$W:$W,AS!$BO:$BO,$W$7,AS!$AB:$AB,AS!$AA$1,AS!$AH:$AH,$X$8,AS!$AR:$AR,Tilanne!$X45,AS!$AV:$AV,Tilanne!$X$6,AS!$I:$I,$Y$7,AS!$AW:$AW,Tilanne!$Y$6,AS!$X:$X,Tilanne!$Y$5,AS!$K:$K,Tilanne!$V$2)</f>
        <v>0</v>
      </c>
      <c r="N45" s="84">
        <f>SUMIFS(AS!$W:$W,AS!$BO:$BO,$W$7,AS!$AB:$AB,AS!$AA$1,AS!$AH:$AH,"vanha",AS!$AR:$AR,Tilanne!$X45,AS!$AV:$AV,Tilanne!$X$6,AS!$AW:$AW,Tilanne!$Y$6,AS!$X:$X,Tilanne!$Y$5,AS!$K:$K,Tilanne!$V$2)</f>
        <v>0</v>
      </c>
      <c r="O45" s="264"/>
      <c r="Q45" s="83" t="s">
        <v>161</v>
      </c>
      <c r="R45" s="91">
        <f t="shared" si="18"/>
        <v>0</v>
      </c>
      <c r="S45" s="323" t="str">
        <f t="shared" si="22"/>
        <v>-</v>
      </c>
      <c r="T45" s="91">
        <f t="shared" si="19"/>
        <v>0</v>
      </c>
      <c r="U45" s="91">
        <f t="shared" si="20"/>
        <v>0</v>
      </c>
      <c r="V45" s="91">
        <f t="shared" si="21"/>
        <v>0</v>
      </c>
      <c r="X45" s="47" t="s">
        <v>376</v>
      </c>
      <c r="Y45" s="51">
        <v>11</v>
      </c>
      <c r="Z45" s="96" t="e">
        <f t="shared" si="30"/>
        <v>#NUM!</v>
      </c>
      <c r="AA45" s="176" t="str">
        <f>IFERROR(IF(INDEX(Data_Omakoodi!H:H,MATCH($AK$3&amp;$AL45,Data_Omakoodi!A:A,0))="P","",$AK$3&amp;$AL45),$AK$3&amp;$AL45)</f>
        <v>ComboBox_EtKuntakoodi_00000038</v>
      </c>
      <c r="AB45" s="44" t="str">
        <f>IFERROR(INDEX(Data_Omakoodi!E:E,MATCH(AA45,Data_Omakoodi!A:A,0)),"")</f>
        <v/>
      </c>
      <c r="AC45" t="str">
        <f>IFERROR(IF(INDEX(Data_Omakoodi!H:H,MATCH($AH$3&amp;$AL45,Data_Omakoodi!A:A,0))="P","",$AH$3&amp;$AL45),$AH$3&amp;$AL45)</f>
        <v>ComboBox_TyHlo_yksikko_00000038</v>
      </c>
      <c r="AD45" s="44" t="str">
        <f>IFERROR(INDEX(Data_Omakoodi!E:E,MATCH(AC45,Data_Omakoodi!A:A,0)),"")</f>
        <v/>
      </c>
      <c r="AE45" t="str">
        <f>IFERROR(IF(INDEX(Data_Omakoodi!H:H,MATCH($AH$3&amp;$AL45,Data_Omakoodi!A:A,0))="P","",$AH$3&amp;$AL45),$AH$3&amp;$AL45)</f>
        <v>ComboBox_TyHlo_yksikko_00000038</v>
      </c>
      <c r="AF45" t="s">
        <v>1628</v>
      </c>
      <c r="AG45" s="739" t="str">
        <f t="shared" si="0"/>
        <v/>
      </c>
      <c r="AH45" s="739" t="str">
        <f t="shared" si="1"/>
        <v/>
      </c>
      <c r="AI45"/>
      <c r="AJ45" s="739" t="str">
        <f t="shared" si="2"/>
        <v/>
      </c>
      <c r="AK45" s="739" t="str">
        <f t="shared" si="3"/>
        <v/>
      </c>
      <c r="AL45">
        <v>38</v>
      </c>
    </row>
    <row r="46" spans="1:38" x14ac:dyDescent="0.25">
      <c r="A46" s="83" t="s">
        <v>160</v>
      </c>
      <c r="B46" s="84">
        <f>SUMIFS(AS!$W:$W,AS!$BO:$BO,$W$7,AS!$AB:$AB,AS!$AA$1,AS!$AH:$AH,$X$8,AS!$AM:$AM,Tilanne!$X46,AS!$AV:$AV,Tilanne!$X$6,AS!$AW:$AW,Tilanne!$Y$6,AS!$X:$X,Tilanne!$Y$5,AS!$K:$K,Tilanne!$V$2)</f>
        <v>0</v>
      </c>
      <c r="C46" s="324" t="str">
        <f t="shared" si="31"/>
        <v>-</v>
      </c>
      <c r="D46" s="84">
        <f>SUMIFS(AS!$W:$W,AS!$BO:$BO,$W$7,AS!$AB:$AB,AS!$AA$1,AS!$AH:$AH,$X$8,AS!$AM:$AM,Tilanne!$X46,AS!$AV:$AV,Tilanne!$X$6,AS!$I:$I,$X$7,AS!$AW:$AW,Tilanne!$Y$6,AS!$X:$X,Tilanne!$Y$5,AS!$K:$K,Tilanne!$V$2)</f>
        <v>0</v>
      </c>
      <c r="E46" s="84">
        <f>SUMIFS(AS!$W:$W,AS!$BO:$BO,$W$7,AS!$AB:$AB,AS!$AA$1,AS!$AH:$AH,$X$8,AS!$AM:$AM,Tilanne!$X46,AS!$AV:$AV,Tilanne!$X$6,AS!$I:$I,$Y$7,AS!$AW:$AW,Tilanne!$Y$6,AS!$X:$X,Tilanne!$Y$5,AS!$K:$K,Tilanne!$V$2)</f>
        <v>0</v>
      </c>
      <c r="F46" s="263">
        <f>SUMIFS(AS!$W:$W,AS!$BO:$BO,$W$7,AS!$AB:$AB,AS!$AA$1,AS!$AH:$AH,$Y$8,AS!$AM:$AM,Tilanne!$X46,AS!$AV:$AV,Tilanne!$X$6,AS!$AW:$AW,Tilanne!$Y$6,AS!$X:$X,Tilanne!$Y$5,AS!$K:$K,Tilanne!$V$2)</f>
        <v>0</v>
      </c>
      <c r="G46" s="264"/>
      <c r="I46" s="269" t="s">
        <v>160</v>
      </c>
      <c r="J46" s="268">
        <f>SUMIFS(AS!$W:$W,AS!$BO:$BO,$W$7,AS!$AB:$AB,AS!$AA$1,AS!$AH:$AH,$X$8,AS!$AR:$AR,Tilanne!$X46,AS!$AV:$AV,Tilanne!$X$6,AS!$AW:$AW,Tilanne!$Y$6,AS!$X:$X,Tilanne!$Y$5,AS!$K:$K,Tilanne!$V$2)</f>
        <v>0</v>
      </c>
      <c r="K46" s="324" t="str">
        <f t="shared" si="24"/>
        <v>-</v>
      </c>
      <c r="L46" s="84">
        <f>SUMIFS(AS!$W:$W,AS!$BO:$BO,$W$7,AS!$AB:$AB,AS!$AA$1,AS!$AH:$AH,$X$8,AS!$AR:$AR,Tilanne!$X46,AS!$AV:$AV,Tilanne!$X$6,AS!$I:$I,$X$7,AS!$AW:$AW,Tilanne!$Y$6,AS!$X:$X,Tilanne!$Y$5,AS!$K:$K,Tilanne!$V$2)</f>
        <v>0</v>
      </c>
      <c r="M46" s="84">
        <f>SUMIFS(AS!$W:$W,AS!$BO:$BO,$W$7,AS!$AB:$AB,AS!$AA$1,AS!$AH:$AH,$X$8,AS!$AR:$AR,Tilanne!$X46,AS!$AV:$AV,Tilanne!$X$6,AS!$I:$I,$Y$7,AS!$AW:$AW,Tilanne!$Y$6,AS!$X:$X,Tilanne!$Y$5,AS!$K:$K,Tilanne!$V$2)</f>
        <v>0</v>
      </c>
      <c r="N46" s="84">
        <f>SUMIFS(AS!$W:$W,AS!$BO:$BO,$W$7,AS!$AB:$AB,AS!$AA$1,AS!$AH:$AH,"vanha",AS!$AR:$AR,Tilanne!$X46,AS!$AV:$AV,Tilanne!$X$6,AS!$AW:$AW,Tilanne!$Y$6,AS!$X:$X,Tilanne!$Y$5,AS!$K:$K,Tilanne!$V$2)</f>
        <v>0</v>
      </c>
      <c r="O46" s="264"/>
      <c r="Q46" s="83" t="s">
        <v>160</v>
      </c>
      <c r="R46" s="91">
        <f t="shared" si="18"/>
        <v>0</v>
      </c>
      <c r="S46" s="323" t="str">
        <f t="shared" si="22"/>
        <v>-</v>
      </c>
      <c r="T46" s="91">
        <f t="shared" si="19"/>
        <v>0</v>
      </c>
      <c r="U46" s="91">
        <f t="shared" si="20"/>
        <v>0</v>
      </c>
      <c r="V46" s="91">
        <f t="shared" si="21"/>
        <v>0</v>
      </c>
      <c r="X46" s="47" t="s">
        <v>375</v>
      </c>
      <c r="Y46" s="51">
        <v>12</v>
      </c>
      <c r="Z46" s="96" t="e">
        <f t="shared" si="30"/>
        <v>#NUM!</v>
      </c>
      <c r="AA46" s="176" t="str">
        <f>IFERROR(IF(INDEX(Data_Omakoodi!H:H,MATCH($AK$3&amp;$AL46,Data_Omakoodi!A:A,0))="P","",$AK$3&amp;$AL46),$AK$3&amp;$AL46)</f>
        <v>ComboBox_EtKuntakoodi_00000039</v>
      </c>
      <c r="AB46" s="44" t="str">
        <f>IFERROR(INDEX(Data_Omakoodi!E:E,MATCH(AA46,Data_Omakoodi!A:A,0)),"")</f>
        <v/>
      </c>
      <c r="AC46" t="str">
        <f>IFERROR(IF(INDEX(Data_Omakoodi!H:H,MATCH($AH$3&amp;$AL46,Data_Omakoodi!A:A,0))="P","",$AH$3&amp;$AL46),$AH$3&amp;$AL46)</f>
        <v>ComboBox_TyHlo_yksikko_00000039</v>
      </c>
      <c r="AD46" s="44" t="str">
        <f>IFERROR(INDEX(Data_Omakoodi!E:E,MATCH(AC46,Data_Omakoodi!A:A,0)),"")</f>
        <v/>
      </c>
      <c r="AE46" t="str">
        <f>IFERROR(IF(INDEX(Data_Omakoodi!H:H,MATCH($AH$3&amp;$AL46,Data_Omakoodi!A:A,0))="P","",$AH$3&amp;$AL46),$AH$3&amp;$AL46)</f>
        <v>ComboBox_TyHlo_yksikko_00000039</v>
      </c>
      <c r="AF46" t="s">
        <v>1629</v>
      </c>
      <c r="AG46" s="739" t="str">
        <f t="shared" si="0"/>
        <v/>
      </c>
      <c r="AH46" s="739" t="str">
        <f t="shared" si="1"/>
        <v/>
      </c>
      <c r="AI46"/>
      <c r="AJ46" s="739" t="str">
        <f t="shared" si="2"/>
        <v/>
      </c>
      <c r="AK46" s="739" t="str">
        <f t="shared" si="3"/>
        <v/>
      </c>
      <c r="AL46">
        <v>39</v>
      </c>
    </row>
    <row r="47" spans="1:38" x14ac:dyDescent="0.25">
      <c r="A47" s="83" t="s">
        <v>159</v>
      </c>
      <c r="B47" s="84">
        <f>SUMIFS(AS!$W:$W,AS!$BO:$BO,$W$7,AS!$AB:$AB,AS!$AA$1,AS!$AH:$AH,$X$8,AS!$AM:$AM,Tilanne!$X47,AS!$AV:$AV,Tilanne!$X$6,AS!$AW:$AW,Tilanne!$Y$6,AS!$X:$X,Tilanne!$Y$5,AS!$K:$K,Tilanne!$V$2)</f>
        <v>0</v>
      </c>
      <c r="C47" s="324" t="str">
        <f t="shared" si="31"/>
        <v>-</v>
      </c>
      <c r="D47" s="84">
        <f>SUMIFS(AS!$W:$W,AS!$BO:$BO,$W$7,AS!$AB:$AB,AS!$AA$1,AS!$AH:$AH,$X$8,AS!$AM:$AM,Tilanne!$X47,AS!$AV:$AV,Tilanne!$X$6,AS!$I:$I,$X$7,AS!$AW:$AW,Tilanne!$Y$6,AS!$X:$X,Tilanne!$Y$5,AS!$K:$K,Tilanne!$V$2)</f>
        <v>0</v>
      </c>
      <c r="E47" s="84">
        <f>SUMIFS(AS!$W:$W,AS!$BO:$BO,$W$7,AS!$AB:$AB,AS!$AA$1,AS!$AH:$AH,$X$8,AS!$AM:$AM,Tilanne!$X47,AS!$AV:$AV,Tilanne!$X$6,AS!$I:$I,$Y$7,AS!$AW:$AW,Tilanne!$Y$6,AS!$X:$X,Tilanne!$Y$5,AS!$K:$K,Tilanne!$V$2)</f>
        <v>0</v>
      </c>
      <c r="F47" s="263">
        <f>SUMIFS(AS!$W:$W,AS!$BO:$BO,$W$7,AS!$AB:$AB,AS!$AA$1,AS!$AH:$AH,$Y$8,AS!$AM:$AM,Tilanne!$X47,AS!$AV:$AV,Tilanne!$X$6,AS!$AW:$AW,Tilanne!$Y$6,AS!$X:$X,Tilanne!$Y$5,AS!$K:$K,Tilanne!$V$2)</f>
        <v>0</v>
      </c>
      <c r="G47" s="264"/>
      <c r="I47" s="269" t="s">
        <v>159</v>
      </c>
      <c r="J47" s="268">
        <f>SUMIFS(AS!$W:$W,AS!$BO:$BO,$W$7,AS!$AB:$AB,AS!$AA$1,AS!$AH:$AH,$X$8,AS!$AR:$AR,Tilanne!$X47,AS!$AV:$AV,Tilanne!$X$6,AS!$AW:$AW,Tilanne!$Y$6,AS!$X:$X,Tilanne!$Y$5,AS!$K:$K,Tilanne!$V$2)</f>
        <v>0</v>
      </c>
      <c r="K47" s="324" t="str">
        <f>IFERROR(J47/J$53,"-")</f>
        <v>-</v>
      </c>
      <c r="L47" s="84">
        <f>SUMIFS(AS!$W:$W,AS!$BO:$BO,$W$7,AS!$AB:$AB,AS!$AA$1,AS!$AH:$AH,$X$8,AS!$AR:$AR,Tilanne!$X47,AS!$AV:$AV,Tilanne!$X$6,AS!$I:$I,$X$7,AS!$AW:$AW,Tilanne!$Y$6,AS!$X:$X,Tilanne!$Y$5,AS!$K:$K,Tilanne!$V$2)</f>
        <v>0</v>
      </c>
      <c r="M47" s="84">
        <f>SUMIFS(AS!$W:$W,AS!$BO:$BO,$W$7,AS!$AB:$AB,AS!$AA$1,AS!$AH:$AH,$X$8,AS!$AR:$AR,Tilanne!$X47,AS!$AV:$AV,Tilanne!$X$6,AS!$I:$I,$Y$7,AS!$AW:$AW,Tilanne!$Y$6,AS!$X:$X,Tilanne!$Y$5,AS!$K:$K,Tilanne!$V$2)</f>
        <v>0</v>
      </c>
      <c r="N47" s="84">
        <f>SUMIFS(AS!$W:$W,AS!$BO:$BO,$W$7,AS!$AB:$AB,AS!$AA$1,AS!$AH:$AH,"vanha",AS!$AR:$AR,Tilanne!$X47,AS!$AV:$AV,Tilanne!$X$6,AS!$AW:$AW,Tilanne!$Y$6,AS!$X:$X,Tilanne!$Y$5,AS!$K:$K,Tilanne!$V$2)</f>
        <v>0</v>
      </c>
      <c r="O47" s="264"/>
      <c r="Q47" s="83" t="s">
        <v>159</v>
      </c>
      <c r="R47" s="91">
        <f t="shared" si="18"/>
        <v>0</v>
      </c>
      <c r="S47" s="323" t="str">
        <f t="shared" si="22"/>
        <v>-</v>
      </c>
      <c r="T47" s="91">
        <f t="shared" si="19"/>
        <v>0</v>
      </c>
      <c r="U47" s="91">
        <f t="shared" si="20"/>
        <v>0</v>
      </c>
      <c r="V47" s="91">
        <f t="shared" si="21"/>
        <v>0</v>
      </c>
      <c r="X47" s="47" t="s">
        <v>398</v>
      </c>
      <c r="Y47" s="51">
        <v>13</v>
      </c>
      <c r="Z47" s="96" t="e">
        <f t="shared" si="30"/>
        <v>#NUM!</v>
      </c>
      <c r="AA47" s="176" t="str">
        <f>IFERROR(IF(INDEX(Data_Omakoodi!H:H,MATCH($AK$3&amp;$AL47,Data_Omakoodi!A:A,0))="P","",$AK$3&amp;$AL47),$AK$3&amp;$AL47)</f>
        <v>ComboBox_EtKuntakoodi_00000040</v>
      </c>
      <c r="AB47" s="44" t="str">
        <f>IFERROR(INDEX(Data_Omakoodi!E:E,MATCH(AA47,Data_Omakoodi!A:A,0)),"")</f>
        <v/>
      </c>
      <c r="AC47" t="str">
        <f>IFERROR(IF(INDEX(Data_Omakoodi!H:H,MATCH($AH$3&amp;$AL47,Data_Omakoodi!A:A,0))="P","",$AH$3&amp;$AL47),$AH$3&amp;$AL47)</f>
        <v>ComboBox_TyHlo_yksikko_00000040</v>
      </c>
      <c r="AD47" s="44" t="str">
        <f>IFERROR(INDEX(Data_Omakoodi!E:E,MATCH(AC47,Data_Omakoodi!A:A,0)),"")</f>
        <v/>
      </c>
      <c r="AE47" t="str">
        <f>IFERROR(IF(INDEX(Data_Omakoodi!H:H,MATCH($AH$3&amp;$AL47,Data_Omakoodi!A:A,0))="P","",$AH$3&amp;$AL47),$AH$3&amp;$AL47)</f>
        <v>ComboBox_TyHlo_yksikko_00000040</v>
      </c>
      <c r="AF47" t="s">
        <v>1630</v>
      </c>
      <c r="AG47" s="739" t="str">
        <f t="shared" si="0"/>
        <v/>
      </c>
      <c r="AH47" s="739" t="str">
        <f t="shared" si="1"/>
        <v/>
      </c>
      <c r="AI47"/>
      <c r="AJ47" s="739" t="str">
        <f t="shared" si="2"/>
        <v/>
      </c>
      <c r="AK47" s="739" t="str">
        <f t="shared" si="3"/>
        <v/>
      </c>
      <c r="AL47">
        <v>40</v>
      </c>
    </row>
    <row r="48" spans="1:38" x14ac:dyDescent="0.25">
      <c r="A48" s="83" t="s">
        <v>158</v>
      </c>
      <c r="B48" s="84">
        <f>SUMIFS(AS!$W:$W,AS!$BO:$BO,$W$7,AS!$AB:$AB,AS!$AA$1,AS!$AH:$AH,$X$8,AS!$AM:$AM,Tilanne!$X48,AS!$AV:$AV,Tilanne!$X$6,AS!$AW:$AW,Tilanne!$Y$6,AS!$X:$X,Tilanne!$Y$5,AS!$K:$K,Tilanne!$V$2)</f>
        <v>0</v>
      </c>
      <c r="C48" s="324" t="str">
        <f t="shared" si="31"/>
        <v>-</v>
      </c>
      <c r="D48" s="84">
        <f>SUMIFS(AS!$W:$W,AS!$BO:$BO,$W$7,AS!$AB:$AB,AS!$AA$1,AS!$AH:$AH,$X$8,AS!$AM:$AM,Tilanne!$X48,AS!$AV:$AV,Tilanne!$X$6,AS!$I:$I,$X$7,AS!$AW:$AW,Tilanne!$Y$6,AS!$X:$X,Tilanne!$Y$5,AS!$K:$K,Tilanne!$V$2)</f>
        <v>0</v>
      </c>
      <c r="E48" s="84">
        <f>SUMIFS(AS!$W:$W,AS!$BO:$BO,$W$7,AS!$AB:$AB,AS!$AA$1,AS!$AH:$AH,$X$8,AS!$AM:$AM,Tilanne!$X48,AS!$AV:$AV,Tilanne!$X$6,AS!$I:$I,$Y$7,AS!$AW:$AW,Tilanne!$Y$6,AS!$X:$X,Tilanne!$Y$5,AS!$K:$K,Tilanne!$V$2)</f>
        <v>0</v>
      </c>
      <c r="F48" s="263">
        <f>SUMIFS(AS!$W:$W,AS!$BO:$BO,$W$7,AS!$AB:$AB,AS!$AA$1,AS!$AH:$AH,$Y$8,AS!$AM:$AM,Tilanne!$X48,AS!$AV:$AV,Tilanne!$X$6,AS!$AW:$AW,Tilanne!$Y$6,AS!$X:$X,Tilanne!$Y$5,AS!$K:$K,Tilanne!$V$2)</f>
        <v>0</v>
      </c>
      <c r="G48" s="264"/>
      <c r="I48" s="269" t="s">
        <v>158</v>
      </c>
      <c r="J48" s="268">
        <f>SUMIFS(AS!$W:$W,AS!$BO:$BO,$W$7,AS!$AB:$AB,AS!$AA$1,AS!$AH:$AH,$X$8,AS!$AR:$AR,Tilanne!$X48,AS!$AV:$AV,Tilanne!$X$6,AS!$AW:$AW,Tilanne!$Y$6,AS!$X:$X,Tilanne!$Y$5,AS!$K:$K,Tilanne!$V$2)</f>
        <v>0</v>
      </c>
      <c r="K48" s="324" t="str">
        <f t="shared" si="24"/>
        <v>-</v>
      </c>
      <c r="L48" s="84">
        <f>SUMIFS(AS!$W:$W,AS!$BO:$BO,$W$7,AS!$AB:$AB,AS!$AA$1,AS!$AH:$AH,$X$8,AS!$AR:$AR,Tilanne!$X48,AS!$AV:$AV,Tilanne!$X$6,AS!$I:$I,$X$7,AS!$AW:$AW,Tilanne!$Y$6,AS!$X:$X,Tilanne!$Y$5,AS!$K:$K,Tilanne!$V$2)</f>
        <v>0</v>
      </c>
      <c r="M48" s="84">
        <f>SUMIFS(AS!$W:$W,AS!$BO:$BO,$W$7,AS!$AB:$AB,AS!$AA$1,AS!$AH:$AH,$X$8,AS!$AR:$AR,Tilanne!$X48,AS!$AV:$AV,Tilanne!$X$6,AS!$I:$I,$Y$7,AS!$AW:$AW,Tilanne!$Y$6,AS!$X:$X,Tilanne!$Y$5,AS!$K:$K,Tilanne!$V$2)</f>
        <v>0</v>
      </c>
      <c r="N48" s="84">
        <f>SUMIFS(AS!$W:$W,AS!$BO:$BO,$W$7,AS!$AB:$AB,AS!$AA$1,AS!$AH:$AH,"vanha",AS!$AR:$AR,Tilanne!$X48,AS!$AV:$AV,Tilanne!$X$6,AS!$AW:$AW,Tilanne!$Y$6,AS!$X:$X,Tilanne!$Y$5,AS!$K:$K,Tilanne!$V$2)</f>
        <v>0</v>
      </c>
      <c r="O48" s="264"/>
      <c r="Q48" s="83" t="s">
        <v>158</v>
      </c>
      <c r="R48" s="91">
        <f t="shared" si="18"/>
        <v>0</v>
      </c>
      <c r="S48" s="323" t="str">
        <f t="shared" si="22"/>
        <v>-</v>
      </c>
      <c r="T48" s="91">
        <f t="shared" si="19"/>
        <v>0</v>
      </c>
      <c r="U48" s="91">
        <f t="shared" si="20"/>
        <v>0</v>
      </c>
      <c r="V48" s="91">
        <f t="shared" si="21"/>
        <v>0</v>
      </c>
      <c r="X48" s="47" t="s">
        <v>349</v>
      </c>
      <c r="Y48" s="51">
        <v>14</v>
      </c>
      <c r="Z48" s="96" t="e">
        <f t="shared" si="30"/>
        <v>#NUM!</v>
      </c>
      <c r="AA48" s="176" t="str">
        <f>IFERROR(IF(INDEX(Data_Omakoodi!H:H,MATCH($AK$3&amp;$AL48,Data_Omakoodi!A:A,0))="P","",$AK$3&amp;$AL48),$AK$3&amp;$AL48)</f>
        <v>ComboBox_EtKuntakoodi_00000041</v>
      </c>
      <c r="AB48" s="44" t="str">
        <f>IFERROR(INDEX(Data_Omakoodi!E:E,MATCH(AA48,Data_Omakoodi!A:A,0)),"")</f>
        <v/>
      </c>
      <c r="AC48" t="str">
        <f>IFERROR(IF(INDEX(Data_Omakoodi!H:H,MATCH($AH$3&amp;$AL48,Data_Omakoodi!A:A,0))="P","",$AH$3&amp;$AL48),$AH$3&amp;$AL48)</f>
        <v>ComboBox_TyHlo_yksikko_00000041</v>
      </c>
      <c r="AD48" s="44" t="str">
        <f>IFERROR(INDEX(Data_Omakoodi!E:E,MATCH(AC48,Data_Omakoodi!A:A,0)),"")</f>
        <v/>
      </c>
      <c r="AE48" t="str">
        <f>IFERROR(IF(INDEX(Data_Omakoodi!H:H,MATCH($AH$3&amp;$AL48,Data_Omakoodi!A:A,0))="P","",$AH$3&amp;$AL48),$AH$3&amp;$AL48)</f>
        <v>ComboBox_TyHlo_yksikko_00000041</v>
      </c>
      <c r="AF48" t="s">
        <v>1631</v>
      </c>
      <c r="AG48" s="739" t="str">
        <f t="shared" si="0"/>
        <v/>
      </c>
      <c r="AH48" s="739" t="str">
        <f t="shared" si="1"/>
        <v/>
      </c>
      <c r="AI48"/>
      <c r="AJ48" s="739" t="str">
        <f t="shared" si="2"/>
        <v/>
      </c>
      <c r="AK48" s="739" t="str">
        <f t="shared" si="3"/>
        <v/>
      </c>
      <c r="AL48">
        <v>41</v>
      </c>
    </row>
    <row r="49" spans="1:38" x14ac:dyDescent="0.25">
      <c r="A49" s="83" t="s">
        <v>63</v>
      </c>
      <c r="B49" s="84">
        <f>SUMIFS(AS!$W:$W,AS!$BO:$BO,$W$7,AS!$AB:$AB,AS!$AA$1,AS!$AH:$AH,$X$8,AS!$AM:$AM,Tilanne!$X49,AS!$AV:$AV,Tilanne!$X$6,AS!$AW:$AW,Tilanne!$Y$6,AS!$X:$X,Tilanne!$Y$5,AS!$K:$K,Tilanne!$V$2)</f>
        <v>0</v>
      </c>
      <c r="C49" s="324" t="str">
        <f t="shared" si="31"/>
        <v>-</v>
      </c>
      <c r="D49" s="84">
        <f>SUMIFS(AS!$W:$W,AS!$BO:$BO,$W$7,AS!$AB:$AB,AS!$AA$1,AS!$AH:$AH,$X$8,AS!$AM:$AM,Tilanne!$X49,AS!$AV:$AV,Tilanne!$X$6,AS!$I:$I,$X$7,AS!$AW:$AW,Tilanne!$Y$6,AS!$X:$X,Tilanne!$Y$5,AS!$K:$K,Tilanne!$V$2)</f>
        <v>0</v>
      </c>
      <c r="E49" s="84">
        <f>SUMIFS(AS!$W:$W,AS!$BO:$BO,$W$7,AS!$AB:$AB,AS!$AA$1,AS!$AH:$AH,$X$8,AS!$AM:$AM,Tilanne!$X49,AS!$AV:$AV,Tilanne!$X$6,AS!$I:$I,$Y$7,AS!$AW:$AW,Tilanne!$Y$6,AS!$X:$X,Tilanne!$Y$5,AS!$K:$K,Tilanne!$V$2)</f>
        <v>0</v>
      </c>
      <c r="F49" s="263">
        <f>SUMIFS(AS!$W:$W,AS!$BO:$BO,$W$7,AS!$AB:$AB,AS!$AA$1,AS!$AH:$AH,$Y$8,AS!$AM:$AM,Tilanne!$X49,AS!$AV:$AV,Tilanne!$X$6,AS!$AW:$AW,Tilanne!$Y$6,AS!$X:$X,Tilanne!$Y$5,AS!$K:$K,Tilanne!$V$2)</f>
        <v>0</v>
      </c>
      <c r="G49" s="264"/>
      <c r="I49" s="269" t="s">
        <v>63</v>
      </c>
      <c r="J49" s="268">
        <f>SUMIFS(AS!$W:$W,AS!$BO:$BO,$W$7,AS!$AB:$AB,AS!$AA$1,AS!$AH:$AH,$X$8,AS!$AR:$AR,Tilanne!$X49,AS!$AV:$AV,Tilanne!$X$6,AS!$AW:$AW,Tilanne!$Y$6,AS!$X:$X,Tilanne!$Y$5,AS!$K:$K,Tilanne!$V$2)</f>
        <v>0</v>
      </c>
      <c r="K49" s="324" t="str">
        <f t="shared" si="24"/>
        <v>-</v>
      </c>
      <c r="L49" s="84">
        <f>SUMIFS(AS!$W:$W,AS!$BO:$BO,$W$7,AS!$AB:$AB,AS!$AA$1,AS!$AH:$AH,$X$8,AS!$AR:$AR,Tilanne!$X49,AS!$AV:$AV,Tilanne!$X$6,AS!$I:$I,$X$7,AS!$AW:$AW,Tilanne!$Y$6,AS!$X:$X,Tilanne!$Y$5,AS!$K:$K,Tilanne!$V$2)</f>
        <v>0</v>
      </c>
      <c r="M49" s="84">
        <f>SUMIFS(AS!$W:$W,AS!$BO:$BO,$W$7,AS!$AB:$AB,AS!$AA$1,AS!$AH:$AH,$X$8,AS!$AR:$AR,Tilanne!$X49,AS!$AV:$AV,Tilanne!$X$6,AS!$I:$I,$Y$7,AS!$AW:$AW,Tilanne!$Y$6,AS!$X:$X,Tilanne!$Y$5,AS!$K:$K,Tilanne!$V$2)</f>
        <v>0</v>
      </c>
      <c r="N49" s="84">
        <f>SUMIFS(AS!$W:$W,AS!$BO:$BO,$W$7,AS!$AB:$AB,AS!$AA$1,AS!$AH:$AH,"vanha",AS!$AR:$AR,Tilanne!$X49,AS!$AV:$AV,Tilanne!$X$6,AS!$AW:$AW,Tilanne!$Y$6,AS!$X:$X,Tilanne!$Y$5,AS!$K:$K,Tilanne!$V$2)</f>
        <v>0</v>
      </c>
      <c r="O49" s="264"/>
      <c r="Q49" s="83" t="s">
        <v>63</v>
      </c>
      <c r="R49" s="91">
        <f t="shared" si="18"/>
        <v>0</v>
      </c>
      <c r="S49" s="323" t="str">
        <f t="shared" si="22"/>
        <v>-</v>
      </c>
      <c r="T49" s="91">
        <f t="shared" si="19"/>
        <v>0</v>
      </c>
      <c r="U49" s="91">
        <f t="shared" si="20"/>
        <v>0</v>
      </c>
      <c r="V49" s="91">
        <f t="shared" si="21"/>
        <v>0</v>
      </c>
      <c r="X49" s="47" t="s">
        <v>392</v>
      </c>
      <c r="Y49" s="51">
        <v>15</v>
      </c>
      <c r="Z49" s="96" t="e">
        <f t="shared" si="30"/>
        <v>#NUM!</v>
      </c>
      <c r="AA49" s="176" t="str">
        <f>IFERROR(IF(INDEX(Data_Omakoodi!H:H,MATCH($AK$3&amp;$AL49,Data_Omakoodi!A:A,0))="P","",$AK$3&amp;$AL49),$AK$3&amp;$AL49)</f>
        <v>ComboBox_EtKuntakoodi_00000042</v>
      </c>
      <c r="AB49" s="44" t="str">
        <f>IFERROR(INDEX(Data_Omakoodi!E:E,MATCH(AA49,Data_Omakoodi!A:A,0)),"")</f>
        <v/>
      </c>
      <c r="AC49" t="str">
        <f>IFERROR(IF(INDEX(Data_Omakoodi!H:H,MATCH($AH$3&amp;$AL49,Data_Omakoodi!A:A,0))="P","",$AH$3&amp;$AL49),$AH$3&amp;$AL49)</f>
        <v>ComboBox_TyHlo_yksikko_00000042</v>
      </c>
      <c r="AD49" s="44" t="str">
        <f>IFERROR(INDEX(Data_Omakoodi!E:E,MATCH(AC49,Data_Omakoodi!A:A,0)),"")</f>
        <v/>
      </c>
      <c r="AE49" t="str">
        <f>IFERROR(IF(INDEX(Data_Omakoodi!H:H,MATCH($AH$3&amp;$AL49,Data_Omakoodi!A:A,0))="P","",$AH$3&amp;$AL49),$AH$3&amp;$AL49)</f>
        <v>ComboBox_TyHlo_yksikko_00000042</v>
      </c>
      <c r="AF49" t="s">
        <v>1632</v>
      </c>
      <c r="AG49" s="739" t="str">
        <f t="shared" si="0"/>
        <v/>
      </c>
      <c r="AH49" s="739" t="str">
        <f t="shared" si="1"/>
        <v/>
      </c>
      <c r="AI49"/>
      <c r="AJ49" s="739" t="str">
        <f t="shared" si="2"/>
        <v/>
      </c>
      <c r="AK49" s="739" t="str">
        <f t="shared" si="3"/>
        <v/>
      </c>
      <c r="AL49">
        <v>42</v>
      </c>
    </row>
    <row r="50" spans="1:38" x14ac:dyDescent="0.25">
      <c r="A50" s="59" t="s">
        <v>97</v>
      </c>
      <c r="B50" s="65">
        <f>SUM(B51:B52)</f>
        <v>0</v>
      </c>
      <c r="C50" s="322" t="str">
        <f>IFERROR(B50/B$53,"-")</f>
        <v>-</v>
      </c>
      <c r="D50" s="65">
        <f>SUM(D51:D52)</f>
        <v>0</v>
      </c>
      <c r="E50" s="65">
        <f>SUM(E51:E52)</f>
        <v>0</v>
      </c>
      <c r="F50" s="65">
        <f>SUM(F51:F52)</f>
        <v>0</v>
      </c>
      <c r="G50" s="264"/>
      <c r="I50" s="590" t="s">
        <v>97</v>
      </c>
      <c r="J50" s="589">
        <f>SUM(J51:J52)</f>
        <v>0</v>
      </c>
      <c r="K50" s="601" t="str">
        <f>IFERROR(J50/J$53,"-")</f>
        <v>-</v>
      </c>
      <c r="L50" s="589">
        <f>SUM(L51:L52)</f>
        <v>0</v>
      </c>
      <c r="M50" s="589">
        <f>SUM(M51:M52)</f>
        <v>0</v>
      </c>
      <c r="N50" s="589">
        <f>SUM(N51:N52)</f>
        <v>0</v>
      </c>
      <c r="O50" s="264"/>
      <c r="Q50" s="59" t="s">
        <v>97</v>
      </c>
      <c r="R50" s="92">
        <f>J50-B50</f>
        <v>0</v>
      </c>
      <c r="S50" s="325" t="str">
        <f>IFERROR(K50-C50,"-")</f>
        <v>-</v>
      </c>
      <c r="T50" s="92">
        <f>L50-D50</f>
        <v>0</v>
      </c>
      <c r="U50" s="92">
        <f>M50-E50</f>
        <v>0</v>
      </c>
      <c r="V50" s="92">
        <f t="shared" si="21"/>
        <v>0</v>
      </c>
      <c r="X50" s="47"/>
      <c r="Z50" s="96" t="e">
        <f t="shared" si="30"/>
        <v>#NUM!</v>
      </c>
      <c r="AA50" s="176" t="str">
        <f>IFERROR(IF(INDEX(Data_Omakoodi!H:H,MATCH($AK$3&amp;$AL50,Data_Omakoodi!A:A,0))="P","",$AK$3&amp;$AL50),$AK$3&amp;$AL50)</f>
        <v>ComboBox_EtKuntakoodi_00000043</v>
      </c>
      <c r="AB50" s="44" t="str">
        <f>IFERROR(INDEX(Data_Omakoodi!E:E,MATCH(AA50,Data_Omakoodi!A:A,0)),"")</f>
        <v/>
      </c>
      <c r="AC50" t="str">
        <f>IFERROR(IF(INDEX(Data_Omakoodi!H:H,MATCH($AH$3&amp;$AL50,Data_Omakoodi!A:A,0))="P","",$AH$3&amp;$AL50),$AH$3&amp;$AL50)</f>
        <v>ComboBox_TyHlo_yksikko_00000043</v>
      </c>
      <c r="AD50" s="44" t="str">
        <f>IFERROR(INDEX(Data_Omakoodi!E:E,MATCH(AC50,Data_Omakoodi!A:A,0)),"")</f>
        <v/>
      </c>
      <c r="AE50" t="str">
        <f>IFERROR(IF(INDEX(Data_Omakoodi!H:H,MATCH($AH$3&amp;$AL50,Data_Omakoodi!A:A,0))="P","",$AH$3&amp;$AL50),$AH$3&amp;$AL50)</f>
        <v>ComboBox_TyHlo_yksikko_00000043</v>
      </c>
      <c r="AF50" t="s">
        <v>1633</v>
      </c>
      <c r="AG50" s="739" t="str">
        <f t="shared" si="0"/>
        <v/>
      </c>
      <c r="AH50" s="739" t="str">
        <f t="shared" si="1"/>
        <v/>
      </c>
      <c r="AI50"/>
      <c r="AJ50" s="739" t="str">
        <f t="shared" si="2"/>
        <v/>
      </c>
      <c r="AK50" s="739" t="str">
        <f t="shared" si="3"/>
        <v/>
      </c>
      <c r="AL50">
        <v>43</v>
      </c>
    </row>
    <row r="51" spans="1:38" x14ac:dyDescent="0.25">
      <c r="A51" s="273" t="s">
        <v>97</v>
      </c>
      <c r="B51" s="274">
        <f>SUMIFS(AS!$W:$W,AS!$BO:$BO,$W$7,AS!$AB:$AB,AS!$AA$1,AS!$AH:$AH,$X$8,AS!$AM:$AM,Tilanne!$X51,AS!$AV:$AV,Tilanne!$X$6,AS!$AW:$AW,Tilanne!$Y$6,AS!$X:$X,Tilanne!$Y$5,AS!$K:$K,Tilanne!$V$2)</f>
        <v>0</v>
      </c>
      <c r="C51" s="324" t="str">
        <f>IFERROR(B51/B$53,"-")</f>
        <v>-</v>
      </c>
      <c r="D51" s="63">
        <f>SUMIFS(AS!$W:$W,AS!$BO:$BO,$W$7,AS!$AB:$AB,AS!$AA$1,AS!$AH:$AH,$X$8,AS!$AM:$AM,Tilanne!$X51,AS!$AV:$AV,Tilanne!$X$6,AS!$I:$I,$X$7,AS!$AW:$AW,Tilanne!$Y$6,AS!$X:$X,Tilanne!$Y$5,AS!$K:$K,Tilanne!$V$2)</f>
        <v>0</v>
      </c>
      <c r="E51" s="63">
        <f>SUMIFS(AS!$W:$W,AS!$BO:$BO,$W$7,AS!$AB:$AB,AS!$AA$1,AS!$AH:$AH,$X$8,AS!$AM:$AM,Tilanne!$X51,AS!$AV:$AV,Tilanne!$X$6,AS!$I:$I,$Y$7,AS!$AW:$AW,Tilanne!$Y$6,AS!$X:$X,Tilanne!$Y$5,AS!$K:$K,Tilanne!$V$2)</f>
        <v>0</v>
      </c>
      <c r="F51" s="148">
        <f>SUMIFS(AS!$W:$W,AS!$BO:$BO,$W$7,AS!$AB:$AB,AS!$AA$1,AS!$AH:$AH,$Y$8,AS!$AM:$AM,Tilanne!$X51,AS!$AV:$AV,Tilanne!$X$6,AS!$AW:$AW,Tilanne!$Y$6,AS!$X:$X,Tilanne!$Y$5,AS!$K:$K,Tilanne!$V$2)</f>
        <v>0</v>
      </c>
      <c r="G51" s="264"/>
      <c r="I51" s="273" t="s">
        <v>97</v>
      </c>
      <c r="J51" s="274">
        <f>SUMIFS(AS!$W:$W,AS!$BO:$BO,$W$7,AS!$AB:$AB,AS!$AA$1,AS!$AH:$AH,$X$8,AS!$AR:$AR,Tilanne!$X51,AS!$AV:$AV,Tilanne!$X$6,AS!$AW:$AW,Tilanne!$Y$6,AS!$X:$X,Tilanne!$Y$5,AS!$K:$K,Tilanne!$V$2)</f>
        <v>0</v>
      </c>
      <c r="K51" s="324" t="str">
        <f>IFERROR(J51/J$53,"-")</f>
        <v>-</v>
      </c>
      <c r="L51" s="63">
        <f>SUMIFS(AS!$W:$W,AS!$BO:$BO,$W$7,AS!$AB:$AB,AS!$AA$1,AS!$AH:$AH,$X$8,AS!$AR:$AR,Tilanne!$X51,AS!$AV:$AV,Tilanne!$X$6,AS!$I:$I,$X$7,AS!$AW:$AW,Tilanne!$Y$6,AS!$X:$X,Tilanne!$Y$5,AS!$K:$K,Tilanne!$V$2)</f>
        <v>0</v>
      </c>
      <c r="M51" s="63">
        <f>SUMIFS(AS!$W:$W,AS!$BO:$BO,$W$7,AS!$AB:$AB,AS!$AA$1,AS!$AH:$AH,$X$8,AS!$AR:$AR,Tilanne!$X51,AS!$AV:$AV,Tilanne!$X$6,AS!$I:$I,$Y$7,AS!$AW:$AW,Tilanne!$Y$6,AS!$X:$X,Tilanne!$Y$5,AS!$K:$K,Tilanne!$V$2)</f>
        <v>0</v>
      </c>
      <c r="N51" s="148">
        <f>SUMIFS(AS!$W:$W,AS!$BO:$BO,$W$7,AS!$AB:$AB,AS!$AA$1,AS!$AH:$AH,"vanha",AS!$AR:$AR,Tilanne!$X51,AS!$AV:$AV,Tilanne!$X$6,AS!$AW:$AW,Tilanne!$Y$6,AS!$X:$X,Tilanne!$Y$5,AS!$K:$K,Tilanne!$V$2)</f>
        <v>0</v>
      </c>
      <c r="O51" s="264"/>
      <c r="Q51" s="83" t="s">
        <v>97</v>
      </c>
      <c r="R51" s="91">
        <f>J51-B51</f>
        <v>0</v>
      </c>
      <c r="S51" s="323" t="str">
        <f>IFERROR(K51-C51,"-")</f>
        <v>-</v>
      </c>
      <c r="T51" s="91">
        <f>L51-D51</f>
        <v>0</v>
      </c>
      <c r="U51" s="91">
        <f>M51-E51</f>
        <v>0</v>
      </c>
      <c r="V51" s="91">
        <f t="shared" si="21"/>
        <v>0</v>
      </c>
      <c r="X51" s="47" t="s">
        <v>360</v>
      </c>
      <c r="Y51" s="51">
        <v>16</v>
      </c>
      <c r="Z51" s="96" t="e">
        <f t="shared" si="30"/>
        <v>#NUM!</v>
      </c>
      <c r="AA51" s="176" t="str">
        <f>IFERROR(IF(INDEX(Data_Omakoodi!H:H,MATCH($AK$3&amp;$AL51,Data_Omakoodi!A:A,0))="P","",$AK$3&amp;$AL51),$AK$3&amp;$AL51)</f>
        <v>ComboBox_EtKuntakoodi_00000044</v>
      </c>
      <c r="AB51" s="44" t="str">
        <f>IFERROR(INDEX(Data_Omakoodi!E:E,MATCH(AA51,Data_Omakoodi!A:A,0)),"")</f>
        <v/>
      </c>
      <c r="AC51" t="str">
        <f>IFERROR(IF(INDEX(Data_Omakoodi!H:H,MATCH($AH$3&amp;$AL51,Data_Omakoodi!A:A,0))="P","",$AH$3&amp;$AL51),$AH$3&amp;$AL51)</f>
        <v>ComboBox_TyHlo_yksikko_00000044</v>
      </c>
      <c r="AD51" s="44" t="str">
        <f>IFERROR(INDEX(Data_Omakoodi!E:E,MATCH(AC51,Data_Omakoodi!A:A,0)),"")</f>
        <v/>
      </c>
      <c r="AE51" t="str">
        <f>IFERROR(IF(INDEX(Data_Omakoodi!H:H,MATCH($AH$3&amp;$AL51,Data_Omakoodi!A:A,0))="P","",$AH$3&amp;$AL51),$AH$3&amp;$AL51)</f>
        <v>ComboBox_TyHlo_yksikko_00000044</v>
      </c>
      <c r="AF51" t="s">
        <v>1634</v>
      </c>
      <c r="AG51" s="739" t="str">
        <f t="shared" si="0"/>
        <v/>
      </c>
      <c r="AH51" s="739" t="str">
        <f t="shared" si="1"/>
        <v/>
      </c>
      <c r="AI51"/>
      <c r="AJ51" s="739" t="str">
        <f t="shared" si="2"/>
        <v/>
      </c>
      <c r="AK51" s="739" t="str">
        <f t="shared" si="3"/>
        <v/>
      </c>
      <c r="AL51">
        <v>44</v>
      </c>
    </row>
    <row r="52" spans="1:38" x14ac:dyDescent="0.25">
      <c r="A52" s="83" t="s">
        <v>548</v>
      </c>
      <c r="B52" s="84">
        <f>SUMIFS(AS!$W:$W,AS!$BO:$BO,$W$7,AS!$AB:$AB,AS!$AA$1,AS!$AH:$AH,$X$8,AS!$AM:$AM,"",AS!$AV:$AV,Tilanne!$X$6,AS!$AW:$AW,Tilanne!$Y$6,AS!$X:$X,Tilanne!$Y$5,AS!$K:$K,Tilanne!$V$2)</f>
        <v>0</v>
      </c>
      <c r="C52" s="324" t="str">
        <f>IFERROR(B52/B$53,"-")</f>
        <v>-</v>
      </c>
      <c r="D52" s="84">
        <f>SUMIFS(AS!$W:$W,AS!$BO:$BO,$W$7,AS!$AB:$AB,AS!$AA$1,AS!$AH:$AH,$X$8,AS!$AM:$AM,"",AS!$AV:$AV,Tilanne!$X$6,AS!$I:$I,$X$7,AS!$AW:$AW,Tilanne!$Y$6,AS!$X:$X,Tilanne!$Y$5,AS!$K:$K,Tilanne!$V$2)</f>
        <v>0</v>
      </c>
      <c r="E52" s="84">
        <f>SUMIFS(AS!$W:$W,AS!$BO:$BO,$W$7,AS!$AB:$AB,AS!$AA$1,AS!$AH:$AH,$X$8,AS!$AM:$AM,"",AS!$AV:$AV,Tilanne!$X$6,AS!$I:$I,$Y$7,AS!$AW:$AW,Tilanne!$Y$6,AS!$X:$X,Tilanne!$Y$5,AS!$K:$K,Tilanne!$V$2)</f>
        <v>0</v>
      </c>
      <c r="F52" s="263">
        <f>SUMIFS(AS!$W:$W,AS!$BO:$BO,$W$7,AS!$AB:$AB,AS!$AA$1,AS!$AH:$AH,$Y$8,AS!$AM:$AM,"",AS!$AV:$AV,Tilanne!$X$6,AS!$AW:$AW,Tilanne!$Y$6,AS!$X:$X,Tilanne!$Y$5,AS!$K:$K,Tilanne!$V$2)</f>
        <v>0</v>
      </c>
      <c r="G52" s="264"/>
      <c r="I52" s="269" t="s">
        <v>548</v>
      </c>
      <c r="J52" s="268">
        <f>SUMIFS(AS!$W:$W,AS!$BO:$BO,$W$7,AS!$AB:$AB,AS!$AA$1,AS!$AH:$AH,$X$8,AS!$AR:$AR,"",AS!$AV:$AV,Tilanne!$X$6,AS!$AW:$AW,Tilanne!$Y$6,AS!$X:$X,Tilanne!$Y$5,AS!$K:$K,Tilanne!$V$2)</f>
        <v>0</v>
      </c>
      <c r="K52" s="324" t="str">
        <f>IFERROR(J52/J$53,"-")</f>
        <v>-</v>
      </c>
      <c r="L52" s="84">
        <f>SUMIFS(AS!$W:$W,AS!$BO:$BO,$W$7,AS!$AB:$AB,AS!$AA$1,AS!$AH:$AH,$X$8,AS!$AR:$AR,"",AS!$AV:$AV,Tilanne!$X$6,AS!$I:$I,$X$7,AS!$AW:$AW,Tilanne!$Y$6,AS!$X:$X,Tilanne!$Y$5,AS!$K:$K,Tilanne!$V$2)</f>
        <v>0</v>
      </c>
      <c r="M52" s="84">
        <f>SUMIFS(AS!$W:$W,AS!$BO:$BO,$W$7,AS!$AB:$AB,AS!$AA$1,AS!$AH:$AH,$X$8,AS!$AR:$AR,"",AS!$AV:$AV,Tilanne!$X$6,AS!$I:$I,$Y$7,AS!$AW:$AW,Tilanne!$Y$6,AS!$X:$X,Tilanne!$Y$5,AS!$K:$K,Tilanne!$V$2)</f>
        <v>0</v>
      </c>
      <c r="N52" s="84">
        <f>SUMIFS(AS!$W:$W,AS!$BO:$BO,$W$7,AS!$AB:$AB,AS!$AA$1,AS!$AH:$AH,"vanha",AS!$AR:$AR,"",AS!$AV:$AV,Tilanne!$X$6,AS!$AW:$AW,Tilanne!$Y$6,AS!$X:$X,Tilanne!$Y$5,AS!$K:$K,Tilanne!$V$2)</f>
        <v>0</v>
      </c>
      <c r="O52" s="264"/>
      <c r="Q52" s="83" t="s">
        <v>548</v>
      </c>
      <c r="R52" s="91">
        <f t="shared" si="18"/>
        <v>0</v>
      </c>
      <c r="S52" s="323" t="str">
        <f>IFERROR(K52-C52,"-")</f>
        <v>-</v>
      </c>
      <c r="T52" s="91">
        <f t="shared" si="19"/>
        <v>0</v>
      </c>
      <c r="U52" s="91">
        <f t="shared" si="20"/>
        <v>0</v>
      </c>
      <c r="V52" s="91">
        <f t="shared" si="21"/>
        <v>0</v>
      </c>
      <c r="X52" s="7"/>
      <c r="AA52" s="176" t="str">
        <f>IFERROR(IF(INDEX(Data_Omakoodi!H:H,MATCH($AK$3&amp;$AL52,Data_Omakoodi!A:A,0))="P","",$AK$3&amp;$AL52),$AK$3&amp;$AL52)</f>
        <v>ComboBox_EtKuntakoodi_00000045</v>
      </c>
      <c r="AB52" s="44" t="str">
        <f>IFERROR(INDEX(Data_Omakoodi!E:E,MATCH(AA52,Data_Omakoodi!A:A,0)),"")</f>
        <v/>
      </c>
      <c r="AC52" t="str">
        <f>IFERROR(IF(INDEX(Data_Omakoodi!H:H,MATCH($AH$3&amp;$AL52,Data_Omakoodi!A:A,0))="P","",$AH$3&amp;$AL52),$AH$3&amp;$AL52)</f>
        <v>ComboBox_TyHlo_yksikko_00000045</v>
      </c>
      <c r="AD52" s="44" t="str">
        <f>IFERROR(INDEX(Data_Omakoodi!E:E,MATCH(AC52,Data_Omakoodi!A:A,0)),"")</f>
        <v/>
      </c>
      <c r="AE52" t="str">
        <f>IFERROR(IF(INDEX(Data_Omakoodi!H:H,MATCH($AH$3&amp;$AL52,Data_Omakoodi!A:A,0))="P","",$AH$3&amp;$AL52),$AH$3&amp;$AL52)</f>
        <v>ComboBox_TyHlo_yksikko_00000045</v>
      </c>
      <c r="AF52" t="s">
        <v>1635</v>
      </c>
      <c r="AG52" s="739" t="str">
        <f t="shared" si="0"/>
        <v/>
      </c>
      <c r="AH52" s="739" t="str">
        <f t="shared" si="1"/>
        <v/>
      </c>
      <c r="AI52"/>
      <c r="AJ52" s="739" t="str">
        <f t="shared" si="2"/>
        <v/>
      </c>
      <c r="AK52" s="739" t="str">
        <f t="shared" si="3"/>
        <v/>
      </c>
      <c r="AL52">
        <v>45</v>
      </c>
    </row>
    <row r="53" spans="1:38" x14ac:dyDescent="0.25">
      <c r="A53" s="85" t="s">
        <v>114</v>
      </c>
      <c r="B53" s="87">
        <f>SUM(B35:B50)</f>
        <v>0</v>
      </c>
      <c r="C53" s="270">
        <f>SUM(C35:C50)</f>
        <v>0</v>
      </c>
      <c r="D53" s="87">
        <f>SUM(D35:D50)</f>
        <v>0</v>
      </c>
      <c r="E53" s="87">
        <f>SUM(E35:E50)</f>
        <v>0</v>
      </c>
      <c r="F53" s="87">
        <f>SUM(F35:F50)</f>
        <v>0</v>
      </c>
      <c r="G53" s="262"/>
      <c r="I53" s="591" t="s">
        <v>114</v>
      </c>
      <c r="J53" s="594">
        <f>SUM(J35:J50)</f>
        <v>0</v>
      </c>
      <c r="K53" s="593">
        <f>SUM(K35:K50)</f>
        <v>0</v>
      </c>
      <c r="L53" s="594">
        <f>SUM(L35:L50)</f>
        <v>0</v>
      </c>
      <c r="M53" s="594">
        <f>SUM(M35:M50)</f>
        <v>0</v>
      </c>
      <c r="N53" s="594">
        <f>SUM(N35:N50)</f>
        <v>0</v>
      </c>
      <c r="O53" s="262"/>
      <c r="Q53" s="85" t="s">
        <v>114</v>
      </c>
      <c r="R53" s="93">
        <f t="shared" si="18"/>
        <v>0</v>
      </c>
      <c r="S53" s="326">
        <f>IFERROR(K53-C53,"-")</f>
        <v>0</v>
      </c>
      <c r="T53" s="93">
        <f t="shared" si="19"/>
        <v>0</v>
      </c>
      <c r="U53" s="93">
        <f t="shared" si="20"/>
        <v>0</v>
      </c>
      <c r="V53" s="93">
        <f t="shared" si="21"/>
        <v>0</v>
      </c>
      <c r="AA53" s="176" t="str">
        <f>IFERROR(IF(INDEX(Data_Omakoodi!H:H,MATCH($AK$3&amp;$AL53,Data_Omakoodi!A:A,0))="P","",$AK$3&amp;$AL53),$AK$3&amp;$AL53)</f>
        <v>ComboBox_EtKuntakoodi_00000046</v>
      </c>
      <c r="AB53" s="44" t="str">
        <f>IFERROR(INDEX(Data_Omakoodi!E:E,MATCH(AA53,Data_Omakoodi!A:A,0)),"")</f>
        <v/>
      </c>
      <c r="AC53" t="str">
        <f>IFERROR(IF(INDEX(Data_Omakoodi!H:H,MATCH($AH$3&amp;$AL53,Data_Omakoodi!A:A,0))="P","",$AH$3&amp;$AL53),$AH$3&amp;$AL53)</f>
        <v>ComboBox_TyHlo_yksikko_00000046</v>
      </c>
      <c r="AD53" s="44" t="str">
        <f>IFERROR(INDEX(Data_Omakoodi!E:E,MATCH(AC53,Data_Omakoodi!A:A,0)),"")</f>
        <v/>
      </c>
      <c r="AE53" t="str">
        <f>IFERROR(IF(INDEX(Data_Omakoodi!H:H,MATCH($AH$3&amp;$AL53,Data_Omakoodi!A:A,0))="P","",$AH$3&amp;$AL53),$AH$3&amp;$AL53)</f>
        <v>ComboBox_TyHlo_yksikko_00000046</v>
      </c>
      <c r="AF53" t="s">
        <v>1636</v>
      </c>
      <c r="AG53" s="739" t="str">
        <f t="shared" si="0"/>
        <v/>
      </c>
      <c r="AH53" s="739" t="str">
        <f t="shared" si="1"/>
        <v/>
      </c>
      <c r="AI53"/>
      <c r="AJ53" s="739" t="str">
        <f t="shared" si="2"/>
        <v/>
      </c>
      <c r="AK53" s="739" t="str">
        <f t="shared" si="3"/>
        <v/>
      </c>
      <c r="AL53">
        <v>46</v>
      </c>
    </row>
    <row r="54" spans="1:38" x14ac:dyDescent="0.25">
      <c r="B54" s="53"/>
      <c r="C54" s="53"/>
      <c r="D54" s="53"/>
      <c r="I54" s="53"/>
      <c r="J54" s="53"/>
      <c r="K54" s="53"/>
      <c r="Q54" s="53"/>
      <c r="R54" s="26"/>
      <c r="S54" s="94"/>
      <c r="T54" s="27"/>
      <c r="U54" s="27"/>
      <c r="V54" s="27"/>
      <c r="AA54" s="176" t="str">
        <f>IFERROR(IF(INDEX(Data_Omakoodi!H:H,MATCH($AK$3&amp;$AL54,Data_Omakoodi!A:A,0))="P","",$AK$3&amp;$AL54),$AK$3&amp;$AL54)</f>
        <v>ComboBox_EtKuntakoodi_00000047</v>
      </c>
      <c r="AB54" s="44" t="str">
        <f>IFERROR(INDEX(Data_Omakoodi!E:E,MATCH(AA54,Data_Omakoodi!A:A,0)),"")</f>
        <v/>
      </c>
      <c r="AC54" t="str">
        <f>IFERROR(IF(INDEX(Data_Omakoodi!H:H,MATCH($AH$3&amp;$AL54,Data_Omakoodi!A:A,0))="P","",$AH$3&amp;$AL54),$AH$3&amp;$AL54)</f>
        <v>ComboBox_TyHlo_yksikko_00000047</v>
      </c>
      <c r="AD54" s="44" t="str">
        <f>IFERROR(INDEX(Data_Omakoodi!E:E,MATCH(AC54,Data_Omakoodi!A:A,0)),"")</f>
        <v/>
      </c>
      <c r="AE54" t="str">
        <f>IFERROR(IF(INDEX(Data_Omakoodi!H:H,MATCH($AH$3&amp;$AL54,Data_Omakoodi!A:A,0))="P","",$AH$3&amp;$AL54),$AH$3&amp;$AL54)</f>
        <v>ComboBox_TyHlo_yksikko_00000047</v>
      </c>
      <c r="AF54" t="s">
        <v>1637</v>
      </c>
      <c r="AG54" s="739" t="str">
        <f t="shared" si="0"/>
        <v/>
      </c>
      <c r="AH54" s="739" t="str">
        <f t="shared" si="1"/>
        <v/>
      </c>
      <c r="AI54"/>
      <c r="AJ54" s="739" t="str">
        <f t="shared" si="2"/>
        <v/>
      </c>
      <c r="AK54" s="739" t="str">
        <f t="shared" si="3"/>
        <v/>
      </c>
      <c r="AL54">
        <v>47</v>
      </c>
    </row>
    <row r="55" spans="1:38" x14ac:dyDescent="0.25">
      <c r="A55" s="52" t="str">
        <f>X58&amp;X10&amp;X12</f>
        <v>Nuoren pääasiallinen asumismuoto aloitustilanteessa - 01.01.2025-30.04.2025 (Tavoitetut)</v>
      </c>
      <c r="B55" s="50"/>
      <c r="C55" s="50"/>
      <c r="D55" s="50"/>
      <c r="E55" s="51"/>
      <c r="F55" s="51"/>
      <c r="I55" s="49" t="str">
        <f>W58&amp;X10&amp;X12</f>
        <v>Nuoren pääasiallinen asumismuoto - viimeisin tieto - 01.01.2025-30.04.2025 (Tavoitetut)</v>
      </c>
      <c r="J55" s="50"/>
      <c r="K55" s="50"/>
      <c r="L55" s="50"/>
      <c r="M55" s="51"/>
      <c r="N55" s="51"/>
      <c r="Q55" s="49" t="str">
        <f>Y58&amp;X10&amp;X12</f>
        <v>Nuoren pääasiallinen toiminta - muutos - 01.01.2025-30.04.2025 (Tavoitetut)</v>
      </c>
      <c r="R55" s="95"/>
      <c r="S55" s="90"/>
      <c r="T55" s="95"/>
      <c r="AA55" s="176" t="str">
        <f>IFERROR(IF(INDEX(Data_Omakoodi!H:H,MATCH($AK$3&amp;$AL55,Data_Omakoodi!A:A,0))="P","",$AK$3&amp;$AL55),$AK$3&amp;$AL55)</f>
        <v>ComboBox_EtKuntakoodi_00000048</v>
      </c>
      <c r="AB55" s="44" t="str">
        <f>IFERROR(INDEX(Data_Omakoodi!E:E,MATCH(AA55,Data_Omakoodi!A:A,0)),"")</f>
        <v/>
      </c>
      <c r="AC55" t="str">
        <f>IFERROR(IF(INDEX(Data_Omakoodi!H:H,MATCH($AH$3&amp;$AL55,Data_Omakoodi!A:A,0))="P","",$AH$3&amp;$AL55),$AH$3&amp;$AL55)</f>
        <v>ComboBox_TyHlo_yksikko_00000048</v>
      </c>
      <c r="AD55" s="44" t="str">
        <f>IFERROR(INDEX(Data_Omakoodi!E:E,MATCH(AC55,Data_Omakoodi!A:A,0)),"")</f>
        <v/>
      </c>
      <c r="AE55" t="str">
        <f>IFERROR(IF(INDEX(Data_Omakoodi!H:H,MATCH($AH$3&amp;$AL55,Data_Omakoodi!A:A,0))="P","",$AH$3&amp;$AL55),$AH$3&amp;$AL55)</f>
        <v>ComboBox_TyHlo_yksikko_00000048</v>
      </c>
      <c r="AF55" t="s">
        <v>1638</v>
      </c>
      <c r="AG55" s="739" t="str">
        <f t="shared" si="0"/>
        <v/>
      </c>
      <c r="AH55" s="739" t="str">
        <f t="shared" si="1"/>
        <v/>
      </c>
      <c r="AI55"/>
      <c r="AJ55" s="739" t="str">
        <f t="shared" si="2"/>
        <v/>
      </c>
      <c r="AK55" s="739" t="str">
        <f t="shared" si="3"/>
        <v/>
      </c>
      <c r="AL55">
        <v>48</v>
      </c>
    </row>
    <row r="56" spans="1:38" ht="25.5" x14ac:dyDescent="0.25">
      <c r="A56" s="840" t="s">
        <v>143</v>
      </c>
      <c r="B56" s="833" t="s">
        <v>114</v>
      </c>
      <c r="C56" s="833"/>
      <c r="D56" s="57" t="s">
        <v>132</v>
      </c>
      <c r="E56" s="58" t="s">
        <v>133</v>
      </c>
      <c r="F56" s="234" t="s">
        <v>134</v>
      </c>
      <c r="G56" s="883" t="str">
        <f>A55&amp;" (N="&amp;B58&amp;")"</f>
        <v>Nuoren pääasiallinen asumismuoto aloitustilanteessa - 01.01.2025-30.04.2025 (Tavoitetut) (N=0)</v>
      </c>
      <c r="H56" s="266"/>
      <c r="I56" s="885" t="s">
        <v>143</v>
      </c>
      <c r="J56" s="882" t="s">
        <v>114</v>
      </c>
      <c r="K56" s="833"/>
      <c r="L56" s="57" t="s">
        <v>132</v>
      </c>
      <c r="M56" s="58" t="s">
        <v>133</v>
      </c>
      <c r="N56" s="57" t="s">
        <v>134</v>
      </c>
      <c r="O56" s="883" t="str">
        <f>I55&amp;" (N="&amp;J58&amp;")"</f>
        <v>Nuoren pääasiallinen asumismuoto - viimeisin tieto - 01.01.2025-30.04.2025 (Tavoitetut) (N=0)</v>
      </c>
      <c r="P56" s="586"/>
      <c r="Q56" s="840" t="s">
        <v>143</v>
      </c>
      <c r="R56" s="833" t="s">
        <v>114</v>
      </c>
      <c r="S56" s="833"/>
      <c r="T56" s="57" t="s">
        <v>132</v>
      </c>
      <c r="U56" s="58" t="s">
        <v>133</v>
      </c>
      <c r="V56" s="57" t="s">
        <v>134</v>
      </c>
    </row>
    <row r="57" spans="1:38" x14ac:dyDescent="0.25">
      <c r="A57" s="840"/>
      <c r="B57" s="57" t="s">
        <v>106</v>
      </c>
      <c r="C57" s="57" t="s">
        <v>176</v>
      </c>
      <c r="D57" s="57" t="s">
        <v>106</v>
      </c>
      <c r="E57" s="57" t="s">
        <v>106</v>
      </c>
      <c r="F57" s="234" t="s">
        <v>106</v>
      </c>
      <c r="G57" s="884"/>
      <c r="H57" s="266"/>
      <c r="I57" s="886"/>
      <c r="J57" s="267" t="s">
        <v>106</v>
      </c>
      <c r="K57" s="57" t="s">
        <v>176</v>
      </c>
      <c r="L57" s="57" t="s">
        <v>106</v>
      </c>
      <c r="M57" s="57" t="s">
        <v>106</v>
      </c>
      <c r="N57" s="57" t="s">
        <v>106</v>
      </c>
      <c r="O57" s="884"/>
      <c r="P57" s="586"/>
      <c r="Q57" s="840"/>
      <c r="R57" s="57" t="s">
        <v>106</v>
      </c>
      <c r="S57" s="86" t="s">
        <v>176</v>
      </c>
      <c r="T57" s="57" t="s">
        <v>106</v>
      </c>
      <c r="U57" s="57" t="s">
        <v>106</v>
      </c>
      <c r="V57" s="57" t="s">
        <v>106</v>
      </c>
    </row>
    <row r="58" spans="1:38" x14ac:dyDescent="0.25">
      <c r="A58" s="59" t="s">
        <v>143</v>
      </c>
      <c r="B58" s="65">
        <f>SUM(B59:B69)</f>
        <v>0</v>
      </c>
      <c r="C58" s="322" t="str">
        <f>IFERROR(B58/B$73,"-")</f>
        <v>-</v>
      </c>
      <c r="D58" s="65">
        <f>SUM(D59:D69)</f>
        <v>0</v>
      </c>
      <c r="E58" s="65">
        <f>SUM(E59:E69)</f>
        <v>0</v>
      </c>
      <c r="F58" s="247">
        <f>SUM(F59:F69)</f>
        <v>0</v>
      </c>
      <c r="G58" s="264"/>
      <c r="I58" s="587" t="s">
        <v>143</v>
      </c>
      <c r="J58" s="588">
        <f>SUM(J59:J69)</f>
        <v>0</v>
      </c>
      <c r="K58" s="601" t="str">
        <f>IFERROR(J58/J$73,"-")</f>
        <v>-</v>
      </c>
      <c r="L58" s="589">
        <f>SUM(L59:L69)</f>
        <v>0</v>
      </c>
      <c r="M58" s="589">
        <f>SUM(M59:M69)</f>
        <v>0</v>
      </c>
      <c r="N58" s="589">
        <f>SUM(N59:N69)</f>
        <v>0</v>
      </c>
      <c r="O58" s="264"/>
      <c r="Q58" s="59" t="s">
        <v>143</v>
      </c>
      <c r="R58" s="92">
        <f t="shared" ref="R58:R73" si="32">J58-B58</f>
        <v>0</v>
      </c>
      <c r="S58" s="325" t="str">
        <f>IFERROR(K58-C58,"-")</f>
        <v>-</v>
      </c>
      <c r="T58" s="92">
        <f t="shared" ref="T58:T73" si="33">L58-D58</f>
        <v>0</v>
      </c>
      <c r="U58" s="92">
        <f t="shared" ref="U58:U73" si="34">M58-E58</f>
        <v>0</v>
      </c>
      <c r="V58" s="92">
        <f t="shared" ref="V58:V73" si="35">N58-F58</f>
        <v>0</v>
      </c>
      <c r="W58" s="224" t="s">
        <v>727</v>
      </c>
      <c r="X58" s="224" t="s">
        <v>682</v>
      </c>
      <c r="Y58" s="265" t="s">
        <v>679</v>
      </c>
    </row>
    <row r="59" spans="1:38" x14ac:dyDescent="0.25">
      <c r="A59" s="83" t="s">
        <v>166</v>
      </c>
      <c r="B59" s="84">
        <f>SUMIFS(AS!$W:$W,AS!$BO:$BO,$W$7,AS!$AB:$AB,AS!$AA$1,AS!$AH:$AH,$X$8,AS!$AN:$AN,Tilanne!$X59,AS!$AV:$AV,Tilanne!$X$6,AS!$AW:$AW,Tilanne!$Y$6,AS!$X:$X,Tilanne!$Y$5,AS!$K:$K,Tilanne!$V$2)</f>
        <v>0</v>
      </c>
      <c r="C59" s="324" t="str">
        <f>IFERROR(B59/B$73,"-")</f>
        <v>-</v>
      </c>
      <c r="D59" s="84">
        <f>SUMIFS(AS!$W:$W,AS!$BO:$BO,$W$7,AS!$AB:$AB,AS!$AA$1,AS!$AH:$AH,$X$8,AS!$AN:$AN,Tilanne!$X59,AS!$AV:$AV,Tilanne!$X$6,AS!$I:$I,$X$7,AS!$AW:$AW,Tilanne!$Y$6,AS!$X:$X,Tilanne!$Y$5,AS!$K:$K,Tilanne!$V$2)</f>
        <v>0</v>
      </c>
      <c r="E59" s="84">
        <f>SUMIFS(AS!$W:$W,AS!$BO:$BO,$W$7,AS!$AB:$AB,AS!$AA$1,AS!$AH:$AH,$X$8,AS!$AN:$AN,Tilanne!$X59,AS!$AV:$AV,Tilanne!$X$6,AS!$I:$I,$Y$7,AS!$AW:$AW,Tilanne!$Y$6,AS!$X:$X,Tilanne!$Y$5,AS!$K:$K,Tilanne!$V$2)</f>
        <v>0</v>
      </c>
      <c r="F59" s="263">
        <f>SUMIFS(AS!$W:$W,AS!$BO:$BO,$W$7,AS!$AB:$AB,AS!$AA$1,AS!$AH:$AH,$Y$8,AS!$AN:$AN,Tilanne!$X59,AS!$AV:$AV,Tilanne!$X$6,AS!$AW:$AW,Tilanne!$Y$6,AS!$X:$X,Tilanne!$Y$5,AS!$K:$K,Tilanne!$V$2)</f>
        <v>0</v>
      </c>
      <c r="G59" s="264"/>
      <c r="I59" s="269" t="s">
        <v>166</v>
      </c>
      <c r="J59" s="268">
        <f>SUMIFS(AS!$W:$W,AS!$BO:$BO,$W$7,AS!$AB:$AB,AS!$AA$1,AS!$AH:$AH,$X$8,AS!$AS:$AS,Tilanne!$X59,AS!$AV:$AV,Tilanne!$X$6,AS!$AW:$AW,Tilanne!$Y$6,AS!$X:$X,Tilanne!$Y$5,AS!$K:$K,Tilanne!$V$2)</f>
        <v>0</v>
      </c>
      <c r="K59" s="324" t="str">
        <f>IFERROR(J59/J$73,"-")</f>
        <v>-</v>
      </c>
      <c r="L59" s="84">
        <f>SUMIFS(AS!$W:$W,AS!$BO:$BO,$W$7,AS!$AB:$AB,AS!$AA$1,AS!$AH:$AH,$X$8,AS!$AS:$AS,Tilanne!$X59,AS!$AV:$AV,Tilanne!$X$6,AS!$I:$I,$X$7,AS!$AW:$AW,Tilanne!$Y$6,AS!$X:$X,Tilanne!$Y$5,AS!$K:$K,Tilanne!$V$2)</f>
        <v>0</v>
      </c>
      <c r="M59" s="84">
        <f>SUMIFS(AS!$W:$W,AS!$BO:$BO,$W$7,AS!$AB:$AB,AS!$AA$1,AS!$AH:$AH,$X$8,AS!$AS:$AS,Tilanne!$X59,AS!$AV:$AV,Tilanne!$X$6,AS!$I:$I,$Y$7,AS!$AW:$AW,Tilanne!$Y$6,AS!$X:$X,Tilanne!$Y$5,AS!$K:$K,Tilanne!$V$2)</f>
        <v>0</v>
      </c>
      <c r="N59" s="84">
        <f>SUMIFS(AS!$W:$W,AS!$BO:$BO,$W$7,AS!$AB:$AB,AS!$AA$1,AS!$AH:$AH,"vanha",AS!$AS:$AS,Tilanne!$X59,AS!$AV:$AV,Tilanne!$X$6,AS!$AW:$AW,Tilanne!$Y$6,AS!$X:$X,Tilanne!$Y$5,AS!$K:$K,Tilanne!$V$2)</f>
        <v>0</v>
      </c>
      <c r="O59" s="264"/>
      <c r="Q59" s="83" t="s">
        <v>166</v>
      </c>
      <c r="R59" s="91">
        <f t="shared" si="32"/>
        <v>0</v>
      </c>
      <c r="S59" s="323" t="str">
        <f t="shared" ref="S59:S68" si="36">IFERROR(K59-C59,"-")</f>
        <v>-</v>
      </c>
      <c r="T59" s="91">
        <f t="shared" si="33"/>
        <v>0</v>
      </c>
      <c r="U59" s="91">
        <f t="shared" si="34"/>
        <v>0</v>
      </c>
      <c r="V59" s="91">
        <f t="shared" si="35"/>
        <v>0</v>
      </c>
      <c r="X59" s="47" t="s">
        <v>353</v>
      </c>
    </row>
    <row r="60" spans="1:38" x14ac:dyDescent="0.25">
      <c r="A60" s="83" t="s">
        <v>167</v>
      </c>
      <c r="B60" s="84">
        <f>SUMIFS(AS!$W:$W,AS!$BO:$BO,$W$7,AS!$AB:$AB,AS!$AA$1,AS!$AH:$AH,$X$8,AS!$AN:$AN,Tilanne!$X60,AS!$AV:$AV,Tilanne!$X$6,AS!$AW:$AW,Tilanne!$Y$6,AS!$X:$X,Tilanne!$Y$5,AS!$K:$K,Tilanne!$V$2)</f>
        <v>0</v>
      </c>
      <c r="C60" s="324" t="str">
        <f t="shared" ref="C60:C69" si="37">IFERROR(B60/B$73,"-")</f>
        <v>-</v>
      </c>
      <c r="D60" s="84">
        <f>SUMIFS(AS!$W:$W,AS!$BO:$BO,$W$7,AS!$AB:$AB,AS!$AA$1,AS!$AH:$AH,$X$8,AS!$AN:$AN,Tilanne!$X60,AS!$AV:$AV,Tilanne!$X$6,AS!$I:$I,$X$7,AS!$AW:$AW,Tilanne!$Y$6,AS!$X:$X,Tilanne!$Y$5,AS!$K:$K,Tilanne!$V$2)</f>
        <v>0</v>
      </c>
      <c r="E60" s="84">
        <f>SUMIFS(AS!$W:$W,AS!$BO:$BO,$W$7,AS!$AB:$AB,AS!$AA$1,AS!$AH:$AH,$X$8,AS!$AN:$AN,Tilanne!$X60,AS!$AV:$AV,Tilanne!$X$6,AS!$I:$I,$Y$7,AS!$AW:$AW,Tilanne!$Y$6,AS!$X:$X,Tilanne!$Y$5,AS!$K:$K,Tilanne!$V$2)</f>
        <v>0</v>
      </c>
      <c r="F60" s="263">
        <f>SUMIFS(AS!$W:$W,AS!$BO:$BO,$W$7,AS!$AB:$AB,AS!$AA$1,AS!$AH:$AH,$Y$8,AS!$AN:$AN,Tilanne!$X60,AS!$AV:$AV,Tilanne!$X$6,AS!$AW:$AW,Tilanne!$Y$6,AS!$X:$X,Tilanne!$Y$5,AS!$K:$K,Tilanne!$V$2)</f>
        <v>0</v>
      </c>
      <c r="G60" s="264"/>
      <c r="I60" s="269" t="s">
        <v>167</v>
      </c>
      <c r="J60" s="268">
        <f>SUMIFS(AS!$W:$W,AS!$BO:$BO,$W$7,AS!$AB:$AB,AS!$AA$1,AS!$AH:$AH,$X$8,AS!$AS:$AS,Tilanne!$X60,AS!$AV:$AV,Tilanne!$X$6,AS!$AW:$AW,Tilanne!$Y$6,AS!$X:$X,Tilanne!$Y$5,AS!$K:$K,Tilanne!$V$2)</f>
        <v>0</v>
      </c>
      <c r="K60" s="324" t="str">
        <f t="shared" ref="K60:K69" si="38">IFERROR(J60/J$73,"-")</f>
        <v>-</v>
      </c>
      <c r="L60" s="84">
        <f>SUMIFS(AS!$W:$W,AS!$BO:$BO,$W$7,AS!$AB:$AB,AS!$AA$1,AS!$AH:$AH,$X$8,AS!$AS:$AS,Tilanne!$X60,AS!$AV:$AV,Tilanne!$X$6,AS!$I:$I,$X$7,AS!$AW:$AW,Tilanne!$Y$6,AS!$X:$X,Tilanne!$Y$5,AS!$K:$K,Tilanne!$V$2)</f>
        <v>0</v>
      </c>
      <c r="M60" s="84">
        <f>SUMIFS(AS!$W:$W,AS!$BO:$BO,$W$7,AS!$AB:$AB,AS!$AA$1,AS!$AH:$AH,$X$8,AS!$AS:$AS,Tilanne!$X60,AS!$AV:$AV,Tilanne!$X$6,AS!$I:$I,$Y$7,AS!$AW:$AW,Tilanne!$Y$6,AS!$X:$X,Tilanne!$Y$5,AS!$K:$K,Tilanne!$V$2)</f>
        <v>0</v>
      </c>
      <c r="N60" s="84">
        <f>SUMIFS(AS!$W:$W,AS!$BO:$BO,$W$7,AS!$AB:$AB,AS!$AA$1,AS!$AH:$AH,"vanha",AS!$AS:$AS,Tilanne!$X60,AS!$AV:$AV,Tilanne!$X$6,AS!$AW:$AW,Tilanne!$Y$6,AS!$X:$X,Tilanne!$Y$5,AS!$K:$K,Tilanne!$V$2)</f>
        <v>0</v>
      </c>
      <c r="O60" s="264"/>
      <c r="Q60" s="83" t="s">
        <v>167</v>
      </c>
      <c r="R60" s="91">
        <f t="shared" si="32"/>
        <v>0</v>
      </c>
      <c r="S60" s="323" t="str">
        <f t="shared" si="36"/>
        <v>-</v>
      </c>
      <c r="T60" s="91">
        <f t="shared" si="33"/>
        <v>0</v>
      </c>
      <c r="U60" s="91">
        <f t="shared" si="34"/>
        <v>0</v>
      </c>
      <c r="V60" s="91">
        <f t="shared" si="35"/>
        <v>0</v>
      </c>
      <c r="X60" s="47" t="s">
        <v>357</v>
      </c>
    </row>
    <row r="61" spans="1:38" x14ac:dyDescent="0.25">
      <c r="A61" s="83" t="s">
        <v>168</v>
      </c>
      <c r="B61" s="84">
        <f>SUMIFS(AS!$W:$W,AS!$BO:$BO,$W$7,AS!$AB:$AB,AS!$AA$1,AS!$AH:$AH,$X$8,AS!$AN:$AN,Tilanne!$X61,AS!$AV:$AV,Tilanne!$X$6,AS!$AW:$AW,Tilanne!$Y$6,AS!$X:$X,Tilanne!$Y$5,AS!$K:$K,Tilanne!$V$2)</f>
        <v>0</v>
      </c>
      <c r="C61" s="324" t="str">
        <f t="shared" si="37"/>
        <v>-</v>
      </c>
      <c r="D61" s="84">
        <f>SUMIFS(AS!$W:$W,AS!$BO:$BO,$W$7,AS!$AB:$AB,AS!$AA$1,AS!$AH:$AH,$X$8,AS!$AN:$AN,Tilanne!$X61,AS!$AV:$AV,Tilanne!$X$6,AS!$I:$I,$X$7,AS!$AW:$AW,Tilanne!$Y$6,AS!$X:$X,Tilanne!$Y$5,AS!$K:$K,Tilanne!$V$2)</f>
        <v>0</v>
      </c>
      <c r="E61" s="84">
        <f>SUMIFS(AS!$W:$W,AS!$BO:$BO,$W$7,AS!$AB:$AB,AS!$AA$1,AS!$AH:$AH,$X$8,AS!$AN:$AN,Tilanne!$X61,AS!$AV:$AV,Tilanne!$X$6,AS!$I:$I,$Y$7,AS!$AW:$AW,Tilanne!$Y$6,AS!$X:$X,Tilanne!$Y$5,AS!$K:$K,Tilanne!$V$2)</f>
        <v>0</v>
      </c>
      <c r="F61" s="263">
        <f>SUMIFS(AS!$W:$W,AS!$BO:$BO,$W$7,AS!$AB:$AB,AS!$AA$1,AS!$AH:$AH,$Y$8,AS!$AN:$AN,Tilanne!$X61,AS!$AV:$AV,Tilanne!$X$6,AS!$AW:$AW,Tilanne!$Y$6,AS!$X:$X,Tilanne!$Y$5,AS!$K:$K,Tilanne!$V$2)</f>
        <v>0</v>
      </c>
      <c r="G61" s="264"/>
      <c r="I61" s="269" t="s">
        <v>168</v>
      </c>
      <c r="J61" s="268">
        <f>SUMIFS(AS!$W:$W,AS!$BO:$BO,$W$7,AS!$AB:$AB,AS!$AA$1,AS!$AH:$AH,$X$8,AS!$AS:$AS,Tilanne!$X61,AS!$AV:$AV,Tilanne!$X$6,AS!$AW:$AW,Tilanne!$Y$6,AS!$X:$X,Tilanne!$Y$5,AS!$K:$K,Tilanne!$V$2)</f>
        <v>0</v>
      </c>
      <c r="K61" s="324" t="str">
        <f t="shared" si="38"/>
        <v>-</v>
      </c>
      <c r="L61" s="84">
        <f>SUMIFS(AS!$W:$W,AS!$BO:$BO,$W$7,AS!$AB:$AB,AS!$AA$1,AS!$AH:$AH,$X$8,AS!$AS:$AS,Tilanne!$X61,AS!$AV:$AV,Tilanne!$X$6,AS!$I:$I,$X$7,AS!$AW:$AW,Tilanne!$Y$6,AS!$X:$X,Tilanne!$Y$5,AS!$K:$K,Tilanne!$V$2)</f>
        <v>0</v>
      </c>
      <c r="M61" s="84">
        <f>SUMIFS(AS!$W:$W,AS!$BO:$BO,$W$7,AS!$AB:$AB,AS!$AA$1,AS!$AH:$AH,$X$8,AS!$AS:$AS,Tilanne!$X61,AS!$AV:$AV,Tilanne!$X$6,AS!$I:$I,$Y$7,AS!$AW:$AW,Tilanne!$Y$6,AS!$X:$X,Tilanne!$Y$5,AS!$K:$K,Tilanne!$V$2)</f>
        <v>0</v>
      </c>
      <c r="N61" s="84">
        <f>SUMIFS(AS!$W:$W,AS!$BO:$BO,$W$7,AS!$AB:$AB,AS!$AA$1,AS!$AH:$AH,"vanha",AS!$AS:$AS,Tilanne!$X61,AS!$AV:$AV,Tilanne!$X$6,AS!$AW:$AW,Tilanne!$Y$6,AS!$X:$X,Tilanne!$Y$5,AS!$K:$K,Tilanne!$V$2)</f>
        <v>0</v>
      </c>
      <c r="O61" s="264"/>
      <c r="Q61" s="83" t="s">
        <v>168</v>
      </c>
      <c r="R61" s="91">
        <f t="shared" si="32"/>
        <v>0</v>
      </c>
      <c r="S61" s="323" t="str">
        <f t="shared" si="36"/>
        <v>-</v>
      </c>
      <c r="T61" s="91">
        <f t="shared" si="33"/>
        <v>0</v>
      </c>
      <c r="U61" s="91">
        <f t="shared" si="34"/>
        <v>0</v>
      </c>
      <c r="V61" s="91">
        <f t="shared" si="35"/>
        <v>0</v>
      </c>
      <c r="X61" s="47" t="s">
        <v>395</v>
      </c>
    </row>
    <row r="62" spans="1:38" x14ac:dyDescent="0.25">
      <c r="A62" s="83" t="s">
        <v>169</v>
      </c>
      <c r="B62" s="84">
        <f>SUMIFS(AS!$W:$W,AS!$BO:$BO,$W$7,AS!$AB:$AB,AS!$AA$1,AS!$AH:$AH,$X$8,AS!$AN:$AN,Tilanne!$X62,AS!$AV:$AV,Tilanne!$X$6,AS!$AW:$AW,Tilanne!$Y$6,AS!$X:$X,Tilanne!$Y$5,AS!$K:$K,Tilanne!$V$2)</f>
        <v>0</v>
      </c>
      <c r="C62" s="324" t="str">
        <f t="shared" si="37"/>
        <v>-</v>
      </c>
      <c r="D62" s="84">
        <f>SUMIFS(AS!$W:$W,AS!$BO:$BO,$W$7,AS!$AB:$AB,AS!$AA$1,AS!$AH:$AH,$X$8,AS!$AN:$AN,Tilanne!$X62,AS!$AV:$AV,Tilanne!$X$6,AS!$I:$I,$X$7,AS!$AW:$AW,Tilanne!$Y$6,AS!$X:$X,Tilanne!$Y$5,AS!$K:$K,Tilanne!$V$2)</f>
        <v>0</v>
      </c>
      <c r="E62" s="84">
        <f>SUMIFS(AS!$W:$W,AS!$BO:$BO,$W$7,AS!$AB:$AB,AS!$AA$1,AS!$AH:$AH,$X$8,AS!$AN:$AN,Tilanne!$X62,AS!$AV:$AV,Tilanne!$X$6,AS!$I:$I,$Y$7,AS!$AW:$AW,Tilanne!$Y$6,AS!$X:$X,Tilanne!$Y$5,AS!$K:$K,Tilanne!$V$2)</f>
        <v>0</v>
      </c>
      <c r="F62" s="263">
        <f>SUMIFS(AS!$W:$W,AS!$BO:$BO,$W$7,AS!$AB:$AB,AS!$AA$1,AS!$AH:$AH,$Y$8,AS!$AN:$AN,Tilanne!$X62,AS!$AV:$AV,Tilanne!$X$6,AS!$AW:$AW,Tilanne!$Y$6,AS!$X:$X,Tilanne!$Y$5,AS!$K:$K,Tilanne!$V$2)</f>
        <v>0</v>
      </c>
      <c r="G62" s="264"/>
      <c r="I62" s="269" t="s">
        <v>169</v>
      </c>
      <c r="J62" s="268">
        <f>SUMIFS(AS!$W:$W,AS!$BO:$BO,$W$7,AS!$AB:$AB,AS!$AA$1,AS!$AH:$AH,$X$8,AS!$AS:$AS,Tilanne!$X62,AS!$AV:$AV,Tilanne!$X$6,AS!$AW:$AW,Tilanne!$Y$6,AS!$X:$X,Tilanne!$Y$5,AS!$K:$K,Tilanne!$V$2)</f>
        <v>0</v>
      </c>
      <c r="K62" s="324" t="str">
        <f t="shared" si="38"/>
        <v>-</v>
      </c>
      <c r="L62" s="84">
        <f>SUMIFS(AS!$W:$W,AS!$BO:$BO,$W$7,AS!$AB:$AB,AS!$AA$1,AS!$AH:$AH,$X$8,AS!$AS:$AS,Tilanne!$X62,AS!$AV:$AV,Tilanne!$X$6,AS!$I:$I,$X$7,AS!$AW:$AW,Tilanne!$Y$6,AS!$X:$X,Tilanne!$Y$5,AS!$K:$K,Tilanne!$V$2)</f>
        <v>0</v>
      </c>
      <c r="M62" s="84">
        <f>SUMIFS(AS!$W:$W,AS!$BO:$BO,$W$7,AS!$AB:$AB,AS!$AA$1,AS!$AH:$AH,$X$8,AS!$AS:$AS,Tilanne!$X62,AS!$AV:$AV,Tilanne!$X$6,AS!$I:$I,$Y$7,AS!$AW:$AW,Tilanne!$Y$6,AS!$X:$X,Tilanne!$Y$5,AS!$K:$K,Tilanne!$V$2)</f>
        <v>0</v>
      </c>
      <c r="N62" s="84">
        <f>SUMIFS(AS!$W:$W,AS!$BO:$BO,$W$7,AS!$AB:$AB,AS!$AA$1,AS!$AH:$AH,"vanha",AS!$AS:$AS,Tilanne!$X62,AS!$AV:$AV,Tilanne!$X$6,AS!$AW:$AW,Tilanne!$Y$6,AS!$X:$X,Tilanne!$Y$5,AS!$K:$K,Tilanne!$V$2)</f>
        <v>0</v>
      </c>
      <c r="O62" s="264"/>
      <c r="Q62" s="83" t="s">
        <v>169</v>
      </c>
      <c r="R62" s="91">
        <f t="shared" si="32"/>
        <v>0</v>
      </c>
      <c r="S62" s="323" t="str">
        <f t="shared" si="36"/>
        <v>-</v>
      </c>
      <c r="T62" s="91">
        <f t="shared" si="33"/>
        <v>0</v>
      </c>
      <c r="U62" s="91">
        <f t="shared" si="34"/>
        <v>0</v>
      </c>
      <c r="V62" s="91">
        <f t="shared" si="35"/>
        <v>0</v>
      </c>
      <c r="X62" s="47" t="s">
        <v>387</v>
      </c>
    </row>
    <row r="63" spans="1:38" x14ac:dyDescent="0.25">
      <c r="A63" s="83" t="s">
        <v>170</v>
      </c>
      <c r="B63" s="84">
        <f>SUMIFS(AS!$W:$W,AS!$BO:$BO,$W$7,AS!$AB:$AB,AS!$AA$1,AS!$AH:$AH,$X$8,AS!$AN:$AN,Tilanne!$X63,AS!$AV:$AV,Tilanne!$X$6,AS!$AW:$AW,Tilanne!$Y$6,AS!$X:$X,Tilanne!$Y$5,AS!$K:$K,Tilanne!$V$2)</f>
        <v>0</v>
      </c>
      <c r="C63" s="324" t="str">
        <f t="shared" si="37"/>
        <v>-</v>
      </c>
      <c r="D63" s="84">
        <f>SUMIFS(AS!$W:$W,AS!$BO:$BO,$W$7,AS!$AB:$AB,AS!$AA$1,AS!$AH:$AH,$X$8,AS!$AN:$AN,Tilanne!$X63,AS!$AV:$AV,Tilanne!$X$6,AS!$I:$I,$X$7,AS!$AW:$AW,Tilanne!$Y$6,AS!$X:$X,Tilanne!$Y$5,AS!$K:$K,Tilanne!$V$2)</f>
        <v>0</v>
      </c>
      <c r="E63" s="84">
        <f>SUMIFS(AS!$W:$W,AS!$BO:$BO,$W$7,AS!$AB:$AB,AS!$AA$1,AS!$AH:$AH,$X$8,AS!$AN:$AN,Tilanne!$X63,AS!$AV:$AV,Tilanne!$X$6,AS!$I:$I,$Y$7,AS!$AW:$AW,Tilanne!$Y$6,AS!$X:$X,Tilanne!$Y$5,AS!$K:$K,Tilanne!$V$2)</f>
        <v>0</v>
      </c>
      <c r="F63" s="263">
        <f>SUMIFS(AS!$W:$W,AS!$BO:$BO,$W$7,AS!$AB:$AB,AS!$AA$1,AS!$AH:$AH,$Y$8,AS!$AN:$AN,Tilanne!$X63,AS!$AV:$AV,Tilanne!$X$6,AS!$AW:$AW,Tilanne!$Y$6,AS!$X:$X,Tilanne!$Y$5,AS!$K:$K,Tilanne!$V$2)</f>
        <v>0</v>
      </c>
      <c r="G63" s="264"/>
      <c r="I63" s="269" t="s">
        <v>170</v>
      </c>
      <c r="J63" s="268">
        <f>SUMIFS(AS!$W:$W,AS!$BO:$BO,$W$7,AS!$AB:$AB,AS!$AA$1,AS!$AH:$AH,$X$8,AS!$AS:$AS,Tilanne!$X63,AS!$AV:$AV,Tilanne!$X$6,AS!$AW:$AW,Tilanne!$Y$6,AS!$X:$X,Tilanne!$Y$5,AS!$K:$K,Tilanne!$V$2)</f>
        <v>0</v>
      </c>
      <c r="K63" s="324" t="str">
        <f t="shared" si="38"/>
        <v>-</v>
      </c>
      <c r="L63" s="84">
        <f>SUMIFS(AS!$W:$W,AS!$BO:$BO,$W$7,AS!$AB:$AB,AS!$AA$1,AS!$AH:$AH,$X$8,AS!$AS:$AS,Tilanne!$X63,AS!$AV:$AV,Tilanne!$X$6,AS!$I:$I,$X$7,AS!$AW:$AW,Tilanne!$Y$6,AS!$X:$X,Tilanne!$Y$5,AS!$K:$K,Tilanne!$V$2)</f>
        <v>0</v>
      </c>
      <c r="M63" s="84">
        <f>SUMIFS(AS!$W:$W,AS!$BO:$BO,$W$7,AS!$AB:$AB,AS!$AA$1,AS!$AH:$AH,$X$8,AS!$AS:$AS,Tilanne!$X63,AS!$AV:$AV,Tilanne!$X$6,AS!$I:$I,$Y$7,AS!$AW:$AW,Tilanne!$Y$6,AS!$X:$X,Tilanne!$Y$5,AS!$K:$K,Tilanne!$V$2)</f>
        <v>0</v>
      </c>
      <c r="N63" s="84">
        <f>SUMIFS(AS!$W:$W,AS!$BO:$BO,$W$7,AS!$AB:$AB,AS!$AA$1,AS!$AH:$AH,"vanha",AS!$AS:$AS,Tilanne!$X63,AS!$AV:$AV,Tilanne!$X$6,AS!$AW:$AW,Tilanne!$Y$6,AS!$X:$X,Tilanne!$Y$5,AS!$K:$K,Tilanne!$V$2)</f>
        <v>0</v>
      </c>
      <c r="O63" s="264"/>
      <c r="Q63" s="83" t="s">
        <v>170</v>
      </c>
      <c r="R63" s="91">
        <f t="shared" si="32"/>
        <v>0</v>
      </c>
      <c r="S63" s="323" t="str">
        <f t="shared" si="36"/>
        <v>-</v>
      </c>
      <c r="T63" s="91">
        <f t="shared" si="33"/>
        <v>0</v>
      </c>
      <c r="U63" s="91">
        <f t="shared" si="34"/>
        <v>0</v>
      </c>
      <c r="V63" s="91">
        <f t="shared" si="35"/>
        <v>0</v>
      </c>
      <c r="X63" s="47" t="s">
        <v>393</v>
      </c>
    </row>
    <row r="64" spans="1:38" x14ac:dyDescent="0.25">
      <c r="A64" s="83" t="s">
        <v>171</v>
      </c>
      <c r="B64" s="84">
        <f>SUMIFS(AS!$W:$W,AS!$BO:$BO,$W$7,AS!$AB:$AB,AS!$AA$1,AS!$AH:$AH,$X$8,AS!$AN:$AN,Tilanne!$X64,AS!$AV:$AV,Tilanne!$X$6,AS!$AW:$AW,Tilanne!$Y$6,AS!$X:$X,Tilanne!$Y$5,AS!$K:$K,Tilanne!$V$2)</f>
        <v>0</v>
      </c>
      <c r="C64" s="324" t="str">
        <f t="shared" si="37"/>
        <v>-</v>
      </c>
      <c r="D64" s="84">
        <f>SUMIFS(AS!$W:$W,AS!$BO:$BO,$W$7,AS!$AB:$AB,AS!$AA$1,AS!$AH:$AH,$X$8,AS!$AN:$AN,Tilanne!$X64,AS!$AV:$AV,Tilanne!$X$6,AS!$I:$I,$X$7,AS!$AW:$AW,Tilanne!$Y$6,AS!$X:$X,Tilanne!$Y$5,AS!$K:$K,Tilanne!$V$2)</f>
        <v>0</v>
      </c>
      <c r="E64" s="84">
        <f>SUMIFS(AS!$W:$W,AS!$BO:$BO,$W$7,AS!$AB:$AB,AS!$AA$1,AS!$AH:$AH,$X$8,AS!$AN:$AN,Tilanne!$X64,AS!$AV:$AV,Tilanne!$X$6,AS!$I:$I,$Y$7,AS!$AW:$AW,Tilanne!$Y$6,AS!$X:$X,Tilanne!$Y$5,AS!$K:$K,Tilanne!$V$2)</f>
        <v>0</v>
      </c>
      <c r="F64" s="263">
        <f>SUMIFS(AS!$W:$W,AS!$BO:$BO,$W$7,AS!$AB:$AB,AS!$AA$1,AS!$AH:$AH,$Y$8,AS!$AN:$AN,Tilanne!$X64,AS!$AV:$AV,Tilanne!$X$6,AS!$AW:$AW,Tilanne!$Y$6,AS!$X:$X,Tilanne!$Y$5,AS!$K:$K,Tilanne!$V$2)</f>
        <v>0</v>
      </c>
      <c r="G64" s="264"/>
      <c r="I64" s="269" t="s">
        <v>171</v>
      </c>
      <c r="J64" s="268">
        <f>SUMIFS(AS!$W:$W,AS!$BO:$BO,$W$7,AS!$AB:$AB,AS!$AA$1,AS!$AH:$AH,$X$8,AS!$AS:$AS,Tilanne!$X64,AS!$AV:$AV,Tilanne!$X$6,AS!$AW:$AW,Tilanne!$Y$6,AS!$X:$X,Tilanne!$Y$5,AS!$K:$K,Tilanne!$V$2)</f>
        <v>0</v>
      </c>
      <c r="K64" s="324" t="str">
        <f t="shared" si="38"/>
        <v>-</v>
      </c>
      <c r="L64" s="84">
        <f>SUMIFS(AS!$W:$W,AS!$BO:$BO,$W$7,AS!$AB:$AB,AS!$AA$1,AS!$AH:$AH,$X$8,AS!$AS:$AS,Tilanne!$X64,AS!$AV:$AV,Tilanne!$X$6,AS!$I:$I,$X$7,AS!$AW:$AW,Tilanne!$Y$6,AS!$X:$X,Tilanne!$Y$5,AS!$K:$K,Tilanne!$V$2)</f>
        <v>0</v>
      </c>
      <c r="M64" s="84">
        <f>SUMIFS(AS!$W:$W,AS!$BO:$BO,$W$7,AS!$AB:$AB,AS!$AA$1,AS!$AH:$AH,$X$8,AS!$AS:$AS,Tilanne!$X64,AS!$AV:$AV,Tilanne!$X$6,AS!$I:$I,$Y$7,AS!$AW:$AW,Tilanne!$Y$6,AS!$X:$X,Tilanne!$Y$5,AS!$K:$K,Tilanne!$V$2)</f>
        <v>0</v>
      </c>
      <c r="N64" s="84">
        <f>SUMIFS(AS!$W:$W,AS!$BO:$BO,$W$7,AS!$AB:$AB,AS!$AA$1,AS!$AH:$AH,"vanha",AS!$AS:$AS,Tilanne!$X64,AS!$AV:$AV,Tilanne!$X$6,AS!$AW:$AW,Tilanne!$Y$6,AS!$X:$X,Tilanne!$Y$5,AS!$K:$K,Tilanne!$V$2)</f>
        <v>0</v>
      </c>
      <c r="O64" s="264"/>
      <c r="Q64" s="83" t="s">
        <v>171</v>
      </c>
      <c r="R64" s="91">
        <f t="shared" si="32"/>
        <v>0</v>
      </c>
      <c r="S64" s="323" t="str">
        <f t="shared" si="36"/>
        <v>-</v>
      </c>
      <c r="T64" s="91">
        <f t="shared" si="33"/>
        <v>0</v>
      </c>
      <c r="U64" s="91">
        <f t="shared" si="34"/>
        <v>0</v>
      </c>
      <c r="V64" s="91">
        <f t="shared" si="35"/>
        <v>0</v>
      </c>
      <c r="X64" s="47" t="s">
        <v>382</v>
      </c>
    </row>
    <row r="65" spans="1:25" x14ac:dyDescent="0.25">
      <c r="A65" s="83" t="s">
        <v>172</v>
      </c>
      <c r="B65" s="84">
        <f>SUMIFS(AS!$W:$W,AS!$BO:$BO,$W$7,AS!$AB:$AB,AS!$AA$1,AS!$AH:$AH,$X$8,AS!$AN:$AN,Tilanne!$X65,AS!$AV:$AV,Tilanne!$X$6,AS!$AW:$AW,Tilanne!$Y$6,AS!$X:$X,Tilanne!$Y$5,AS!$K:$K,Tilanne!$V$2)</f>
        <v>0</v>
      </c>
      <c r="C65" s="324" t="str">
        <f t="shared" si="37"/>
        <v>-</v>
      </c>
      <c r="D65" s="84">
        <f>SUMIFS(AS!$W:$W,AS!$BO:$BO,$W$7,AS!$AB:$AB,AS!$AA$1,AS!$AH:$AH,$X$8,AS!$AN:$AN,Tilanne!$X65,AS!$AV:$AV,Tilanne!$X$6,AS!$I:$I,$X$7,AS!$AW:$AW,Tilanne!$Y$6,AS!$X:$X,Tilanne!$Y$5,AS!$K:$K,Tilanne!$V$2)</f>
        <v>0</v>
      </c>
      <c r="E65" s="84">
        <f>SUMIFS(AS!$W:$W,AS!$BO:$BO,$W$7,AS!$AB:$AB,AS!$AA$1,AS!$AH:$AH,$X$8,AS!$AN:$AN,Tilanne!$X65,AS!$AV:$AV,Tilanne!$X$6,AS!$I:$I,$Y$7,AS!$AW:$AW,Tilanne!$Y$6,AS!$X:$X,Tilanne!$Y$5,AS!$K:$K,Tilanne!$V$2)</f>
        <v>0</v>
      </c>
      <c r="F65" s="263">
        <f>SUMIFS(AS!$W:$W,AS!$BO:$BO,$W$7,AS!$AB:$AB,AS!$AA$1,AS!$AH:$AH,$Y$8,AS!$AN:$AN,Tilanne!$X65,AS!$AV:$AV,Tilanne!$X$6,AS!$AW:$AW,Tilanne!$Y$6,AS!$X:$X,Tilanne!$Y$5,AS!$K:$K,Tilanne!$V$2)</f>
        <v>0</v>
      </c>
      <c r="G65" s="264"/>
      <c r="I65" s="269" t="s">
        <v>172</v>
      </c>
      <c r="J65" s="268">
        <f>SUMIFS(AS!$W:$W,AS!$BO:$BO,$W$7,AS!$AB:$AB,AS!$AA$1,AS!$AH:$AH,$X$8,AS!$AS:$AS,Tilanne!$X65,AS!$AV:$AV,Tilanne!$X$6,AS!$AW:$AW,Tilanne!$Y$6,AS!$X:$X,Tilanne!$Y$5,AS!$K:$K,Tilanne!$V$2)</f>
        <v>0</v>
      </c>
      <c r="K65" s="324" t="str">
        <f t="shared" si="38"/>
        <v>-</v>
      </c>
      <c r="L65" s="84">
        <f>SUMIFS(AS!$W:$W,AS!$BO:$BO,$W$7,AS!$AB:$AB,AS!$AA$1,AS!$AH:$AH,$X$8,AS!$AS:$AS,Tilanne!$X65,AS!$AV:$AV,Tilanne!$X$6,AS!$I:$I,$X$7,AS!$AW:$AW,Tilanne!$Y$6,AS!$X:$X,Tilanne!$Y$5,AS!$K:$K,Tilanne!$V$2)</f>
        <v>0</v>
      </c>
      <c r="M65" s="84">
        <f>SUMIFS(AS!$W:$W,AS!$BO:$BO,$W$7,AS!$AB:$AB,AS!$AA$1,AS!$AH:$AH,$X$8,AS!$AS:$AS,Tilanne!$X65,AS!$AV:$AV,Tilanne!$X$6,AS!$I:$I,$Y$7,AS!$AW:$AW,Tilanne!$Y$6,AS!$X:$X,Tilanne!$Y$5,AS!$K:$K,Tilanne!$V$2)</f>
        <v>0</v>
      </c>
      <c r="N65" s="84">
        <f>SUMIFS(AS!$W:$W,AS!$BO:$BO,$W$7,AS!$AB:$AB,AS!$AA$1,AS!$AH:$AH,"vanha",AS!$AS:$AS,Tilanne!$X65,AS!$AV:$AV,Tilanne!$X$6,AS!$AW:$AW,Tilanne!$Y$6,AS!$X:$X,Tilanne!$Y$5,AS!$K:$K,Tilanne!$V$2)</f>
        <v>0</v>
      </c>
      <c r="O65" s="264"/>
      <c r="Q65" s="83" t="s">
        <v>172</v>
      </c>
      <c r="R65" s="91">
        <f t="shared" si="32"/>
        <v>0</v>
      </c>
      <c r="S65" s="323" t="str">
        <f t="shared" si="36"/>
        <v>-</v>
      </c>
      <c r="T65" s="91">
        <f t="shared" si="33"/>
        <v>0</v>
      </c>
      <c r="U65" s="91">
        <f t="shared" si="34"/>
        <v>0</v>
      </c>
      <c r="V65" s="91">
        <f t="shared" si="35"/>
        <v>0</v>
      </c>
      <c r="X65" s="47" t="s">
        <v>385</v>
      </c>
    </row>
    <row r="66" spans="1:25" x14ac:dyDescent="0.25">
      <c r="A66" s="83" t="s">
        <v>173</v>
      </c>
      <c r="B66" s="84">
        <f>SUMIFS(AS!$W:$W,AS!$BO:$BO,$W$7,AS!$AB:$AB,AS!$AA$1,AS!$AH:$AH,$X$8,AS!$AN:$AN,Tilanne!$X66,AS!$AV:$AV,Tilanne!$X$6,AS!$AW:$AW,Tilanne!$Y$6,AS!$X:$X,Tilanne!$Y$5,AS!$K:$K,Tilanne!$V$2)</f>
        <v>0</v>
      </c>
      <c r="C66" s="324" t="str">
        <f t="shared" si="37"/>
        <v>-</v>
      </c>
      <c r="D66" s="84">
        <f>SUMIFS(AS!$W:$W,AS!$BO:$BO,$W$7,AS!$AB:$AB,AS!$AA$1,AS!$AH:$AH,$X$8,AS!$AN:$AN,Tilanne!$X66,AS!$AV:$AV,Tilanne!$X$6,AS!$I:$I,$X$7,AS!$AW:$AW,Tilanne!$Y$6,AS!$X:$X,Tilanne!$Y$5,AS!$K:$K,Tilanne!$V$2)</f>
        <v>0</v>
      </c>
      <c r="E66" s="84">
        <f>SUMIFS(AS!$W:$W,AS!$BO:$BO,$W$7,AS!$AB:$AB,AS!$AA$1,AS!$AH:$AH,$X$8,AS!$AN:$AN,Tilanne!$X66,AS!$AV:$AV,Tilanne!$X$6,AS!$I:$I,$Y$7,AS!$AW:$AW,Tilanne!$Y$6,AS!$X:$X,Tilanne!$Y$5,AS!$K:$K,Tilanne!$V$2)</f>
        <v>0</v>
      </c>
      <c r="F66" s="263">
        <f>SUMIFS(AS!$W:$W,AS!$BO:$BO,$W$7,AS!$AB:$AB,AS!$AA$1,AS!$AH:$AH,$Y$8,AS!$AN:$AN,Tilanne!$X66,AS!$AV:$AV,Tilanne!$X$6,AS!$AW:$AW,Tilanne!$Y$6,AS!$X:$X,Tilanne!$Y$5,AS!$K:$K,Tilanne!$V$2)</f>
        <v>0</v>
      </c>
      <c r="G66" s="264"/>
      <c r="I66" s="269" t="s">
        <v>173</v>
      </c>
      <c r="J66" s="268">
        <f>SUMIFS(AS!$W:$W,AS!$BO:$BO,$W$7,AS!$AB:$AB,AS!$AA$1,AS!$AH:$AH,$X$8,AS!$AS:$AS,Tilanne!$X66,AS!$AV:$AV,Tilanne!$X$6,AS!$AW:$AW,Tilanne!$Y$6,AS!$X:$X,Tilanne!$Y$5,AS!$K:$K,Tilanne!$V$2)</f>
        <v>0</v>
      </c>
      <c r="K66" s="324" t="str">
        <f t="shared" si="38"/>
        <v>-</v>
      </c>
      <c r="L66" s="84">
        <f>SUMIFS(AS!$W:$W,AS!$BO:$BO,$W$7,AS!$AB:$AB,AS!$AA$1,AS!$AH:$AH,$X$8,AS!$AS:$AS,Tilanne!$X66,AS!$AV:$AV,Tilanne!$X$6,AS!$I:$I,$X$7,AS!$AW:$AW,Tilanne!$Y$6,AS!$X:$X,Tilanne!$Y$5,AS!$K:$K,Tilanne!$V$2)</f>
        <v>0</v>
      </c>
      <c r="M66" s="84">
        <f>SUMIFS(AS!$W:$W,AS!$BO:$BO,$W$7,AS!$AB:$AB,AS!$AA$1,AS!$AH:$AH,$X$8,AS!$AS:$AS,Tilanne!$X66,AS!$AV:$AV,Tilanne!$X$6,AS!$I:$I,$Y$7,AS!$AW:$AW,Tilanne!$Y$6,AS!$X:$X,Tilanne!$Y$5,AS!$K:$K,Tilanne!$V$2)</f>
        <v>0</v>
      </c>
      <c r="N66" s="84">
        <f>SUMIFS(AS!$W:$W,AS!$BO:$BO,$W$7,AS!$AB:$AB,AS!$AA$1,AS!$AH:$AH,"vanha",AS!$AS:$AS,Tilanne!$X66,AS!$AV:$AV,Tilanne!$X$6,AS!$AW:$AW,Tilanne!$Y$6,AS!$X:$X,Tilanne!$Y$5,AS!$K:$K,Tilanne!$V$2)</f>
        <v>0</v>
      </c>
      <c r="O66" s="264"/>
      <c r="Q66" s="83" t="s">
        <v>173</v>
      </c>
      <c r="R66" s="91">
        <f t="shared" si="32"/>
        <v>0</v>
      </c>
      <c r="S66" s="323" t="str">
        <f t="shared" si="36"/>
        <v>-</v>
      </c>
      <c r="T66" s="91">
        <f t="shared" si="33"/>
        <v>0</v>
      </c>
      <c r="U66" s="91">
        <f t="shared" si="34"/>
        <v>0</v>
      </c>
      <c r="V66" s="91">
        <f t="shared" si="35"/>
        <v>0</v>
      </c>
      <c r="X66" s="47" t="s">
        <v>378</v>
      </c>
    </row>
    <row r="67" spans="1:25" x14ac:dyDescent="0.25">
      <c r="A67" s="83" t="s">
        <v>174</v>
      </c>
      <c r="B67" s="84">
        <f>SUMIFS(AS!$W:$W,AS!$BO:$BO,$W$7,AS!$AB:$AB,AS!$AA$1,AS!$AH:$AH,$X$8,AS!$AN:$AN,Tilanne!$X67,AS!$AV:$AV,Tilanne!$X$6,AS!$AW:$AW,Tilanne!$Y$6,AS!$X:$X,Tilanne!$Y$5,AS!$K:$K,Tilanne!$V$2)</f>
        <v>0</v>
      </c>
      <c r="C67" s="324" t="str">
        <f t="shared" si="37"/>
        <v>-</v>
      </c>
      <c r="D67" s="84">
        <f>SUMIFS(AS!$W:$W,AS!$BO:$BO,$W$7,AS!$AB:$AB,AS!$AA$1,AS!$AH:$AH,$X$8,AS!$AN:$AN,Tilanne!$X67,AS!$AV:$AV,Tilanne!$X$6,AS!$I:$I,$X$7,AS!$AW:$AW,Tilanne!$Y$6,AS!$X:$X,Tilanne!$Y$5,AS!$K:$K,Tilanne!$V$2)</f>
        <v>0</v>
      </c>
      <c r="E67" s="84">
        <f>SUMIFS(AS!$W:$W,AS!$BO:$BO,$W$7,AS!$AB:$AB,AS!$AA$1,AS!$AH:$AH,$X$8,AS!$AN:$AN,Tilanne!$X67,AS!$AV:$AV,Tilanne!$X$6,AS!$I:$I,$Y$7,AS!$AW:$AW,Tilanne!$Y$6,AS!$X:$X,Tilanne!$Y$5,AS!$K:$K,Tilanne!$V$2)</f>
        <v>0</v>
      </c>
      <c r="F67" s="263">
        <f>SUMIFS(AS!$W:$W,AS!$BO:$BO,$W$7,AS!$AB:$AB,AS!$AA$1,AS!$AH:$AH,$Y$8,AS!$AN:$AN,Tilanne!$X67,AS!$AV:$AV,Tilanne!$X$6,AS!$AW:$AW,Tilanne!$Y$6,AS!$X:$X,Tilanne!$Y$5,AS!$K:$K,Tilanne!$V$2)</f>
        <v>0</v>
      </c>
      <c r="G67" s="264"/>
      <c r="I67" s="269" t="s">
        <v>174</v>
      </c>
      <c r="J67" s="268">
        <f>SUMIFS(AS!$W:$W,AS!$BO:$BO,$W$7,AS!$AB:$AB,AS!$AA$1,AS!$AH:$AH,$X$8,AS!$AS:$AS,Tilanne!$X67,AS!$AV:$AV,Tilanne!$X$6,AS!$AW:$AW,Tilanne!$Y$6,AS!$X:$X,Tilanne!$Y$5,AS!$K:$K,Tilanne!$V$2)</f>
        <v>0</v>
      </c>
      <c r="K67" s="324" t="str">
        <f t="shared" si="38"/>
        <v>-</v>
      </c>
      <c r="L67" s="84">
        <f>SUMIFS(AS!$W:$W,AS!$BO:$BO,$W$7,AS!$AB:$AB,AS!$AA$1,AS!$AH:$AH,$X$8,AS!$AS:$AS,Tilanne!$X67,AS!$AV:$AV,Tilanne!$X$6,AS!$I:$I,$X$7,AS!$AW:$AW,Tilanne!$Y$6,AS!$X:$X,Tilanne!$Y$5,AS!$K:$K,Tilanne!$V$2)</f>
        <v>0</v>
      </c>
      <c r="M67" s="84">
        <f>SUMIFS(AS!$W:$W,AS!$BO:$BO,$W$7,AS!$AB:$AB,AS!$AA$1,AS!$AH:$AH,$X$8,AS!$AS:$AS,Tilanne!$X67,AS!$AV:$AV,Tilanne!$X$6,AS!$I:$I,$Y$7,AS!$AW:$AW,Tilanne!$Y$6,AS!$X:$X,Tilanne!$Y$5,AS!$K:$K,Tilanne!$V$2)</f>
        <v>0</v>
      </c>
      <c r="N67" s="84">
        <f>SUMIFS(AS!$W:$W,AS!$BO:$BO,$W$7,AS!$AB:$AB,AS!$AA$1,AS!$AH:$AH,"vanha",AS!$AS:$AS,Tilanne!$X67,AS!$AV:$AV,Tilanne!$X$6,AS!$AW:$AW,Tilanne!$Y$6,AS!$X:$X,Tilanne!$Y$5,AS!$K:$K,Tilanne!$V$2)</f>
        <v>0</v>
      </c>
      <c r="O67" s="264"/>
      <c r="Q67" s="83" t="s">
        <v>174</v>
      </c>
      <c r="R67" s="91">
        <f t="shared" si="32"/>
        <v>0</v>
      </c>
      <c r="S67" s="323" t="str">
        <f t="shared" si="36"/>
        <v>-</v>
      </c>
      <c r="T67" s="91">
        <f t="shared" si="33"/>
        <v>0</v>
      </c>
      <c r="U67" s="91">
        <f t="shared" si="34"/>
        <v>0</v>
      </c>
      <c r="V67" s="91">
        <f t="shared" si="35"/>
        <v>0</v>
      </c>
      <c r="X67" s="47" t="s">
        <v>388</v>
      </c>
    </row>
    <row r="68" spans="1:25" x14ac:dyDescent="0.25">
      <c r="A68" s="83" t="s">
        <v>175</v>
      </c>
      <c r="B68" s="84">
        <f>SUMIFS(AS!$W:$W,AS!$BO:$BO,$W$7,AS!$AB:$AB,AS!$AA$1,AS!$AH:$AH,$X$8,AS!$AN:$AN,Tilanne!$X68,AS!$AV:$AV,Tilanne!$X$6,AS!$AW:$AW,Tilanne!$Y$6,AS!$X:$X,Tilanne!$Y$5,AS!$K:$K,Tilanne!$V$2)</f>
        <v>0</v>
      </c>
      <c r="C68" s="324" t="str">
        <f t="shared" si="37"/>
        <v>-</v>
      </c>
      <c r="D68" s="84">
        <f>SUMIFS(AS!$W:$W,AS!$BO:$BO,$W$7,AS!$AB:$AB,AS!$AA$1,AS!$AH:$AH,$X$8,AS!$AN:$AN,Tilanne!$X68,AS!$AV:$AV,Tilanne!$X$6,AS!$I:$I,$X$7,AS!$AW:$AW,Tilanne!$Y$6,AS!$X:$X,Tilanne!$Y$5,AS!$K:$K,Tilanne!$V$2)</f>
        <v>0</v>
      </c>
      <c r="E68" s="84">
        <f>SUMIFS(AS!$W:$W,AS!$BO:$BO,$W$7,AS!$AB:$AB,AS!$AA$1,AS!$AH:$AH,$X$8,AS!$AN:$AN,Tilanne!$X68,AS!$AV:$AV,Tilanne!$X$6,AS!$I:$I,$Y$7,AS!$AW:$AW,Tilanne!$Y$6,AS!$X:$X,Tilanne!$Y$5,AS!$K:$K,Tilanne!$V$2)</f>
        <v>0</v>
      </c>
      <c r="F68" s="263">
        <f>SUMIFS(AS!$W:$W,AS!$BO:$BO,$W$7,AS!$AB:$AB,AS!$AA$1,AS!$AH:$AH,$Y$8,AS!$AN:$AN,Tilanne!$X68,AS!$AV:$AV,Tilanne!$X$6,AS!$AW:$AW,Tilanne!$Y$6,AS!$X:$X,Tilanne!$Y$5,AS!$K:$K,Tilanne!$V$2)</f>
        <v>0</v>
      </c>
      <c r="G68" s="264"/>
      <c r="I68" s="269" t="s">
        <v>175</v>
      </c>
      <c r="J68" s="268">
        <f>SUMIFS(AS!$W:$W,AS!$BO:$BO,$W$7,AS!$AB:$AB,AS!$AA$1,AS!$AH:$AH,$X$8,AS!$AS:$AS,Tilanne!$X68,AS!$AV:$AV,Tilanne!$X$6,AS!$AW:$AW,Tilanne!$Y$6,AS!$X:$X,Tilanne!$Y$5,AS!$K:$K,Tilanne!$V$2)</f>
        <v>0</v>
      </c>
      <c r="K68" s="324" t="str">
        <f t="shared" si="38"/>
        <v>-</v>
      </c>
      <c r="L68" s="84">
        <f>SUMIFS(AS!$W:$W,AS!$BO:$BO,$W$7,AS!$AB:$AB,AS!$AA$1,AS!$AH:$AH,$X$8,AS!$AS:$AS,Tilanne!$X68,AS!$AV:$AV,Tilanne!$X$6,AS!$I:$I,$X$7,AS!$AW:$AW,Tilanne!$Y$6,AS!$X:$X,Tilanne!$Y$5,AS!$K:$K,Tilanne!$V$2)</f>
        <v>0</v>
      </c>
      <c r="M68" s="84">
        <f>SUMIFS(AS!$W:$W,AS!$BO:$BO,$W$7,AS!$AB:$AB,AS!$AA$1,AS!$AH:$AH,$X$8,AS!$AS:$AS,Tilanne!$X68,AS!$AV:$AV,Tilanne!$X$6,AS!$I:$I,$Y$7,AS!$AW:$AW,Tilanne!$Y$6,AS!$X:$X,Tilanne!$Y$5,AS!$K:$K,Tilanne!$V$2)</f>
        <v>0</v>
      </c>
      <c r="N68" s="84">
        <f>SUMIFS(AS!$W:$W,AS!$BO:$BO,$W$7,AS!$AB:$AB,AS!$AA$1,AS!$AH:$AH,"vanha",AS!$AS:$AS,Tilanne!$X68,AS!$AV:$AV,Tilanne!$X$6,AS!$AW:$AW,Tilanne!$Y$6,AS!$X:$X,Tilanne!$Y$5,AS!$K:$K,Tilanne!$V$2)</f>
        <v>0</v>
      </c>
      <c r="O68" s="264"/>
      <c r="Q68" s="83" t="s">
        <v>175</v>
      </c>
      <c r="R68" s="91">
        <f t="shared" si="32"/>
        <v>0</v>
      </c>
      <c r="S68" s="323" t="str">
        <f t="shared" si="36"/>
        <v>-</v>
      </c>
      <c r="T68" s="91">
        <f t="shared" si="33"/>
        <v>0</v>
      </c>
      <c r="U68" s="91">
        <f t="shared" si="34"/>
        <v>0</v>
      </c>
      <c r="V68" s="91">
        <f t="shared" si="35"/>
        <v>0</v>
      </c>
      <c r="X68" s="47" t="s">
        <v>515</v>
      </c>
    </row>
    <row r="69" spans="1:25" x14ac:dyDescent="0.25">
      <c r="A69" s="83" t="s">
        <v>63</v>
      </c>
      <c r="B69" s="84">
        <f>SUMIFS(AS!$W:$W,AS!$BO:$BO,$W$7,AS!$AB:$AB,AS!$AA$1,AS!$AH:$AH,$X$8,AS!$AN:$AN,Tilanne!$X69,AS!$AV:$AV,Tilanne!$X$6,AS!$AW:$AW,Tilanne!$Y$6,AS!$X:$X,Tilanne!$Y$5,AS!$K:$K,Tilanne!$V$2)</f>
        <v>0</v>
      </c>
      <c r="C69" s="324" t="str">
        <f t="shared" si="37"/>
        <v>-</v>
      </c>
      <c r="D69" s="84">
        <f>SUMIFS(AS!$W:$W,AS!$BO:$BO,$W$7,AS!$AB:$AB,AS!$AA$1,AS!$AH:$AH,$X$8,AS!$AN:$AN,Tilanne!$X69,AS!$AV:$AV,Tilanne!$X$6,AS!$I:$I,$X$7,AS!$AW:$AW,Tilanne!$Y$6,AS!$X:$X,Tilanne!$Y$5,AS!$K:$K,Tilanne!$V$2)</f>
        <v>0</v>
      </c>
      <c r="E69" s="84">
        <f>SUMIFS(AS!$W:$W,AS!$BO:$BO,$W$7,AS!$AB:$AB,AS!$AA$1,AS!$AH:$AH,$X$8,AS!$AN:$AN,Tilanne!$X69,AS!$AV:$AV,Tilanne!$X$6,AS!$I:$I,$Y$7,AS!$AW:$AW,Tilanne!$Y$6,AS!$X:$X,Tilanne!$Y$5,AS!$K:$K,Tilanne!$V$2)</f>
        <v>0</v>
      </c>
      <c r="F69" s="263">
        <f>SUMIFS(AS!$W:$W,AS!$BO:$BO,$W$7,AS!$AB:$AB,AS!$AA$1,AS!$AH:$AH,$Y$8,AS!$AN:$AN,Tilanne!$X69,AS!$AV:$AV,Tilanne!$X$6,AS!$AW:$AW,Tilanne!$Y$6,AS!$X:$X,Tilanne!$Y$5,AS!$K:$K,Tilanne!$V$2)</f>
        <v>0</v>
      </c>
      <c r="G69" s="264"/>
      <c r="I69" s="269" t="s">
        <v>63</v>
      </c>
      <c r="J69" s="268">
        <f>SUMIFS(AS!$W:$W,AS!$BO:$BO,$W$7,AS!$AB:$AB,AS!$AA$1,AS!$AH:$AH,$X$8,AS!$AS:$AS,Tilanne!$X69,AS!$AV:$AV,Tilanne!$X$6,AS!$AW:$AW,Tilanne!$Y$6,AS!$X:$X,Tilanne!$Y$5,AS!$K:$K,Tilanne!$V$2)</f>
        <v>0</v>
      </c>
      <c r="K69" s="324" t="str">
        <f t="shared" si="38"/>
        <v>-</v>
      </c>
      <c r="L69" s="84">
        <f>SUMIFS(AS!$W:$W,AS!$BO:$BO,$W$7,AS!$AB:$AB,AS!$AA$1,AS!$AH:$AH,$X$8,AS!$AS:$AS,Tilanne!$X69,AS!$AV:$AV,Tilanne!$X$6,AS!$I:$I,$X$7,AS!$AW:$AW,Tilanne!$Y$6,AS!$X:$X,Tilanne!$Y$5,AS!$K:$K,Tilanne!$V$2)</f>
        <v>0</v>
      </c>
      <c r="M69" s="84">
        <f>SUMIFS(AS!$W:$W,AS!$BO:$BO,$W$7,AS!$AB:$AB,AS!$AA$1,AS!$AH:$AH,$X$8,AS!$AS:$AS,Tilanne!$X69,AS!$AV:$AV,Tilanne!$X$6,AS!$I:$I,$Y$7,AS!$AW:$AW,Tilanne!$Y$6,AS!$X:$X,Tilanne!$Y$5,AS!$K:$K,Tilanne!$V$2)</f>
        <v>0</v>
      </c>
      <c r="N69" s="84">
        <f>SUMIFS(AS!$W:$W,AS!$BO:$BO,$W$7,AS!$AB:$AB,AS!$AA$1,AS!$AH:$AH,"vanha",AS!$AS:$AS,Tilanne!$X69,AS!$AV:$AV,Tilanne!$X$6,AS!$AW:$AW,Tilanne!$Y$6,AS!$X:$X,Tilanne!$Y$5,AS!$K:$K,Tilanne!$V$2)</f>
        <v>0</v>
      </c>
      <c r="O69" s="264"/>
      <c r="Q69" s="83" t="s">
        <v>63</v>
      </c>
      <c r="R69" s="91">
        <f t="shared" si="32"/>
        <v>0</v>
      </c>
      <c r="S69" s="323" t="str">
        <f>IFERROR(K69-C69,"-")</f>
        <v>-</v>
      </c>
      <c r="T69" s="91">
        <f t="shared" si="33"/>
        <v>0</v>
      </c>
      <c r="U69" s="91">
        <f t="shared" si="34"/>
        <v>0</v>
      </c>
      <c r="V69" s="91">
        <f t="shared" si="35"/>
        <v>0</v>
      </c>
      <c r="X69" s="47" t="s">
        <v>396</v>
      </c>
    </row>
    <row r="70" spans="1:25" x14ac:dyDescent="0.25">
      <c r="A70" s="59" t="s">
        <v>97</v>
      </c>
      <c r="B70" s="65">
        <f>SUM(B71:B72)</f>
        <v>0</v>
      </c>
      <c r="C70" s="322" t="str">
        <f>IFERROR(B70/B$73,"-")</f>
        <v>-</v>
      </c>
      <c r="D70" s="65">
        <f>SUM(D71:D72)</f>
        <v>0</v>
      </c>
      <c r="E70" s="65">
        <f>SUM(E71:E72)</f>
        <v>0</v>
      </c>
      <c r="F70" s="65">
        <f>SUM(F71:F72)</f>
        <v>0</v>
      </c>
      <c r="G70" s="264"/>
      <c r="I70" s="590" t="s">
        <v>97</v>
      </c>
      <c r="J70" s="589">
        <f>SUM(J71:J72)</f>
        <v>0</v>
      </c>
      <c r="K70" s="601" t="str">
        <f>IFERROR(J70/J$73,"-")</f>
        <v>-</v>
      </c>
      <c r="L70" s="589">
        <f>SUM(L71:L72)</f>
        <v>0</v>
      </c>
      <c r="M70" s="589">
        <f>SUM(M71:M72)</f>
        <v>0</v>
      </c>
      <c r="N70" s="589">
        <f>SUM(N71:N72)</f>
        <v>0</v>
      </c>
      <c r="O70" s="264"/>
      <c r="Q70" s="59" t="s">
        <v>97</v>
      </c>
      <c r="R70" s="92">
        <f>J70-B70</f>
        <v>0</v>
      </c>
      <c r="S70" s="325" t="str">
        <f>IFERROR(K70-C70,"-")</f>
        <v>-</v>
      </c>
      <c r="T70" s="92">
        <f>L70-D70</f>
        <v>0</v>
      </c>
      <c r="U70" s="92">
        <f>M70-E70</f>
        <v>0</v>
      </c>
      <c r="V70" s="92">
        <f t="shared" si="35"/>
        <v>0</v>
      </c>
      <c r="X70" s="47"/>
    </row>
    <row r="71" spans="1:25" x14ac:dyDescent="0.25">
      <c r="A71" s="273" t="s">
        <v>97</v>
      </c>
      <c r="B71" s="274">
        <f>SUMIFS(AS!$W:$W,AS!$BO:$BO,$W$7,AS!$AB:$AB,AS!$AA$1,AS!$AH:$AH,$X$8,AS!$AN:$AN,Tilanne!$X71,AS!$AV:$AV,Tilanne!$X$6,AS!$AW:$AW,Tilanne!$Y$6,AS!$X:$X,Tilanne!$Y$5,AS!$K:$K,Tilanne!$V$2)</f>
        <v>0</v>
      </c>
      <c r="C71" s="324" t="str">
        <f>IFERROR(B71/B$73,"-")</f>
        <v>-</v>
      </c>
      <c r="D71" s="63">
        <f>SUMIFS(AS!$W:$W,AS!$BO:$BO,$W$7,AS!$AB:$AB,AS!$AA$1,AS!$AH:$AH,$X$8,AS!$AN:$AN,Tilanne!$X71,AS!$AV:$AV,Tilanne!$X$6,AS!$I:$I,$X$7,AS!$AW:$AW,Tilanne!$Y$6,AS!$X:$X,Tilanne!$Y$5,AS!$K:$K,Tilanne!$V$2)</f>
        <v>0</v>
      </c>
      <c r="E71" s="63">
        <f>SUMIFS(AS!$W:$W,AS!$BO:$BO,$W$7,AS!$AB:$AB,AS!$AA$1,AS!$AH:$AH,$X$8,AS!$AN:$AN,Tilanne!$X71,AS!$AV:$AV,Tilanne!$X$6,AS!$I:$I,$Y$7,AS!$AW:$AW,Tilanne!$Y$6,AS!$X:$X,Tilanne!$Y$5,AS!$K:$K,Tilanne!$V$2)</f>
        <v>0</v>
      </c>
      <c r="F71" s="148">
        <f>SUMIFS(AS!$W:$W,AS!$BO:$BO,$W$7,AS!$AB:$AB,AS!$AA$1,AS!$AH:$AH,$Y$8,AS!$AN:$AN,Tilanne!$X71,AS!$AV:$AV,Tilanne!$X$6,AS!$AW:$AW,Tilanne!$Y$6,AS!$X:$X,Tilanne!$Y$5,AS!$K:$K,Tilanne!$V$2)</f>
        <v>0</v>
      </c>
      <c r="G71" s="264"/>
      <c r="I71" s="273" t="s">
        <v>97</v>
      </c>
      <c r="J71" s="274">
        <f>SUMIFS(AS!$W:$W,AS!$BO:$BO,$W$7,AS!$AB:$AB,AS!$AA$1,AS!$AH:$AH,$X$8,AS!$AS:$AS,Tilanne!$X71,AS!$AV:$AV,Tilanne!$X$6,AS!$AW:$AW,Tilanne!$Y$6,AS!$X:$X,Tilanne!$Y$5,AS!$K:$K,Tilanne!$V$2)</f>
        <v>0</v>
      </c>
      <c r="K71" s="324" t="str">
        <f>IFERROR(J71/J$73,"-")</f>
        <v>-</v>
      </c>
      <c r="L71" s="63">
        <f>SUMIFS(AS!$W:$W,AS!$BO:$BO,$W$7,AS!$AB:$AB,AS!$AA$1,AS!$AH:$AH,$X$8,AS!$AS:$AS,Tilanne!$X71,AS!$AV:$AV,Tilanne!$X$6,AS!$I:$I,$X$7,AS!$AW:$AW,Tilanne!$Y$6,AS!$X:$X,Tilanne!$Y$5,AS!$K:$K,Tilanne!$V$2)</f>
        <v>0</v>
      </c>
      <c r="M71" s="63">
        <f>SUMIFS(AS!$W:$W,AS!$BO:$BO,$W$7,AS!$AB:$AB,AS!$AA$1,AS!$AH:$AH,$X$8,AS!$AS:$AS,Tilanne!$X71,AS!$AV:$AV,Tilanne!$X$6,AS!$I:$I,$Y$7,AS!$AW:$AW,Tilanne!$Y$6,AS!$X:$X,Tilanne!$Y$5,AS!$K:$K,Tilanne!$V$2)</f>
        <v>0</v>
      </c>
      <c r="N71" s="148">
        <f>SUMIFS(AS!$W:$W,AS!$BO:$BO,$W$7,AS!$AB:$AB,AS!$AA$1,AS!$AH:$AH,"vanha",AS!$AS:$AS,Tilanne!$X71,AS!$AV:$AV,Tilanne!$X$6,AS!$AW:$AW,Tilanne!$Y$6,AS!$X:$X,Tilanne!$Y$5,AS!$K:$K,Tilanne!$V$2)</f>
        <v>0</v>
      </c>
      <c r="O71" s="264"/>
      <c r="Q71" s="83" t="s">
        <v>97</v>
      </c>
      <c r="R71" s="91">
        <f>J71-B71</f>
        <v>0</v>
      </c>
      <c r="S71" s="323" t="str">
        <f>IFERROR(K71-C71,"-")</f>
        <v>-</v>
      </c>
      <c r="T71" s="91">
        <f>L71-D71</f>
        <v>0</v>
      </c>
      <c r="U71" s="91">
        <f>M71-E71</f>
        <v>0</v>
      </c>
      <c r="V71" s="91">
        <f t="shared" si="35"/>
        <v>0</v>
      </c>
      <c r="X71" s="47" t="s">
        <v>361</v>
      </c>
    </row>
    <row r="72" spans="1:25" x14ac:dyDescent="0.25">
      <c r="A72" s="83" t="s">
        <v>548</v>
      </c>
      <c r="B72" s="84">
        <f>SUMIFS(AS!$W:$W,AS!$BO:$BO,$W$7,AS!$AB:$AB,AS!$AA$1,AS!$AH:$AH,$X$8,AS!$AN:$AN,"",AS!$AV:$AV,Tilanne!$X$6,AS!$AW:$AW,Tilanne!$Y$6,AS!$X:$X,Tilanne!$Y$5,AS!$K:$K,Tilanne!$V$2)</f>
        <v>0</v>
      </c>
      <c r="C72" s="324" t="str">
        <f>IFERROR(B72/B$73,"-")</f>
        <v>-</v>
      </c>
      <c r="D72" s="84">
        <f>SUMIFS(AS!$W:$W,AS!$BO:$BO,$W$7,AS!$AB:$AB,AS!$AA$1,AS!$AH:$AH,$X$8,AS!$AN:$AN,"",AS!$AV:$AV,Tilanne!$X$6,AS!$I:$I,$X$7,AS!$AW:$AW,Tilanne!$Y$6,AS!$X:$X,Tilanne!$Y$5,AS!$K:$K,Tilanne!$V$2)</f>
        <v>0</v>
      </c>
      <c r="E72" s="84">
        <f>SUMIFS(AS!$W:$W,AS!$BO:$BO,$W$7,AS!$AB:$AB,AS!$AA$1,AS!$AH:$AH,$X$8,AS!$AN:$AN,"",AS!$AV:$AV,Tilanne!$X$6,AS!$I:$I,$Y$7,AS!$AW:$AW,Tilanne!$Y$6,AS!$X:$X,Tilanne!$Y$5,AS!$K:$K,Tilanne!$V$2)</f>
        <v>0</v>
      </c>
      <c r="F72" s="263">
        <f>SUMIFS(AS!$W:$W,AS!$BO:$BO,$W$7,AS!$AB:$AB,AS!$AA$1,AS!$AH:$AH,$Y$8,AS!$AN:$AN,"",AS!$AV:$AV,Tilanne!$X$6,AS!$AW:$AW,Tilanne!$Y$6,AS!$X:$X,Tilanne!$Y$5,AS!$K:$K,Tilanne!$V$2)</f>
        <v>0</v>
      </c>
      <c r="G72" s="264"/>
      <c r="I72" s="269" t="s">
        <v>548</v>
      </c>
      <c r="J72" s="268">
        <f>SUMIFS(AS!$W:$W,AS!$BO:$BO,$W$7,AS!$AB:$AB,AS!$AA$1,AS!$AH:$AH,$X$8,AS!$AS:$AS,"",AS!$AV:$AV,Tilanne!$X$6,AS!$AW:$AW,Tilanne!$Y$6,AS!$X:$X,Tilanne!$Y$5,AS!$K:$K,Tilanne!$V$2)</f>
        <v>0</v>
      </c>
      <c r="K72" s="324" t="str">
        <f>IFERROR(J72/J$73,"-")</f>
        <v>-</v>
      </c>
      <c r="L72" s="84">
        <f>SUMIFS(AS!$W:$W,AS!$BO:$BO,$W$7,AS!$AB:$AB,AS!$AA$1,AS!$AH:$AH,$X$8,AS!$AS:$AS,"",AS!$AV:$AV,Tilanne!$X$6,AS!$I:$I,$X$7,AS!$AW:$AW,Tilanne!$Y$6,AS!$X:$X,Tilanne!$Y$5,AS!$K:$K,Tilanne!$V$2)</f>
        <v>0</v>
      </c>
      <c r="M72" s="84">
        <f>SUMIFS(AS!$W:$W,AS!$BO:$BO,$W$7,AS!$AB:$AB,AS!$AA$1,AS!$AH:$AH,$X$8,AS!$AS:$AS,"",AS!$AV:$AV,Tilanne!$X$6,AS!$I:$I,$Y$7,AS!$AW:$AW,Tilanne!$Y$6,AS!$X:$X,Tilanne!$Y$5,AS!$K:$K,Tilanne!$V$2)</f>
        <v>0</v>
      </c>
      <c r="N72" s="84">
        <f>SUMIFS(AS!$W:$W,AS!$BO:$BO,$W$7,AS!$AB:$AB,AS!$AA$1,AS!$AH:$AH,"vanha",AS!$AS:$AS,"",AS!$AV:$AV,Tilanne!$X$6,AS!$AW:$AW,Tilanne!$Y$6,AS!$X:$X,Tilanne!$Y$5,AS!$K:$K,Tilanne!$V$2)</f>
        <v>0</v>
      </c>
      <c r="O72" s="264"/>
      <c r="Q72" s="83" t="s">
        <v>548</v>
      </c>
      <c r="R72" s="91">
        <f t="shared" si="32"/>
        <v>0</v>
      </c>
      <c r="S72" s="323" t="str">
        <f>IFERROR(K72-C72,"-")</f>
        <v>-</v>
      </c>
      <c r="T72" s="91">
        <f t="shared" si="33"/>
        <v>0</v>
      </c>
      <c r="U72" s="91">
        <f t="shared" si="34"/>
        <v>0</v>
      </c>
      <c r="V72" s="91">
        <f t="shared" si="35"/>
        <v>0</v>
      </c>
      <c r="X72" s="7"/>
    </row>
    <row r="73" spans="1:25" x14ac:dyDescent="0.25">
      <c r="A73" s="85" t="s">
        <v>114</v>
      </c>
      <c r="B73" s="87">
        <f>SUM(B59:B70)</f>
        <v>0</v>
      </c>
      <c r="C73" s="270">
        <f>SUM(C59:C70)</f>
        <v>0</v>
      </c>
      <c r="D73" s="87">
        <f>SUM(D59:D70)</f>
        <v>0</v>
      </c>
      <c r="E73" s="87">
        <f>SUM(E59:E70)</f>
        <v>0</v>
      </c>
      <c r="F73" s="87">
        <f>SUM(F59:F70)</f>
        <v>0</v>
      </c>
      <c r="G73" s="262"/>
      <c r="I73" s="591" t="s">
        <v>114</v>
      </c>
      <c r="J73" s="594">
        <f>SUM(J59:J70)</f>
        <v>0</v>
      </c>
      <c r="K73" s="593">
        <f>SUM(K59:K70)</f>
        <v>0</v>
      </c>
      <c r="L73" s="594">
        <f>SUM(L59:L70)</f>
        <v>0</v>
      </c>
      <c r="M73" s="594">
        <f>SUM(M59:M70)</f>
        <v>0</v>
      </c>
      <c r="N73" s="594">
        <f>SUM(N59:N70)</f>
        <v>0</v>
      </c>
      <c r="O73" s="262"/>
      <c r="Q73" s="85" t="s">
        <v>114</v>
      </c>
      <c r="R73" s="93">
        <f t="shared" si="32"/>
        <v>0</v>
      </c>
      <c r="S73" s="326">
        <f>IFERROR(K73-C73,"-")</f>
        <v>0</v>
      </c>
      <c r="T73" s="93">
        <f t="shared" si="33"/>
        <v>0</v>
      </c>
      <c r="U73" s="93">
        <f t="shared" si="34"/>
        <v>0</v>
      </c>
      <c r="V73" s="93">
        <f t="shared" si="35"/>
        <v>0</v>
      </c>
    </row>
    <row r="76" spans="1:25" x14ac:dyDescent="0.25">
      <c r="A76" s="163"/>
    </row>
    <row r="77" spans="1:25" x14ac:dyDescent="0.25">
      <c r="A77" s="52" t="str">
        <f>X80&amp;X10&amp;X12</f>
        <v>Nuoren koulutustilanne aloittaessa - 01.01.2025-30.04.2025 (Tavoitetut)</v>
      </c>
      <c r="I77" s="1" t="str">
        <f>W80&amp;X10&amp;X12</f>
        <v>Nuoren koulutustilanne - viimeisin tieto - 01.01.2025-30.04.2025 (Tavoitetut)</v>
      </c>
      <c r="Q77" s="52" t="str">
        <f>Y80&amp;X10&amp;X12</f>
        <v>Nuoren koulutustilanne - muutos - 01.01.2025-30.04.2025 (Tavoitetut)</v>
      </c>
    </row>
    <row r="78" spans="1:25" ht="25.5" x14ac:dyDescent="0.25">
      <c r="A78" s="859" t="s">
        <v>585</v>
      </c>
      <c r="B78" s="833" t="s">
        <v>114</v>
      </c>
      <c r="C78" s="833"/>
      <c r="D78" s="57" t="s">
        <v>132</v>
      </c>
      <c r="E78" s="58" t="s">
        <v>133</v>
      </c>
      <c r="F78" s="234" t="s">
        <v>134</v>
      </c>
      <c r="G78" s="883" t="str">
        <f>A77&amp;" (N="&amp;B80&amp;")"</f>
        <v>Nuoren koulutustilanne aloittaessa - 01.01.2025-30.04.2025 (Tavoitetut) (N=0)</v>
      </c>
      <c r="H78" s="266"/>
      <c r="I78" s="880" t="s">
        <v>101</v>
      </c>
      <c r="J78" s="882" t="s">
        <v>114</v>
      </c>
      <c r="K78" s="833"/>
      <c r="L78" s="57" t="s">
        <v>132</v>
      </c>
      <c r="M78" s="58" t="s">
        <v>133</v>
      </c>
      <c r="N78" s="57" t="s">
        <v>134</v>
      </c>
      <c r="O78" s="883" t="str">
        <f>I77&amp;" (N="&amp;J80&amp;")"</f>
        <v>Nuoren koulutustilanne - viimeisin tieto - 01.01.2025-30.04.2025 (Tavoitetut) (N=0)</v>
      </c>
      <c r="P78" s="586"/>
      <c r="Q78" s="859" t="s">
        <v>585</v>
      </c>
      <c r="R78" s="833" t="s">
        <v>114</v>
      </c>
      <c r="S78" s="833"/>
      <c r="T78" s="57" t="s">
        <v>132</v>
      </c>
      <c r="U78" s="58" t="s">
        <v>133</v>
      </c>
      <c r="V78" s="57" t="s">
        <v>134</v>
      </c>
    </row>
    <row r="79" spans="1:25" x14ac:dyDescent="0.25">
      <c r="A79" s="859"/>
      <c r="B79" s="57" t="s">
        <v>106</v>
      </c>
      <c r="C79" s="57" t="s">
        <v>176</v>
      </c>
      <c r="D79" s="57" t="s">
        <v>106</v>
      </c>
      <c r="E79" s="57" t="s">
        <v>106</v>
      </c>
      <c r="F79" s="234" t="s">
        <v>106</v>
      </c>
      <c r="G79" s="884"/>
      <c r="H79" s="266"/>
      <c r="I79" s="881"/>
      <c r="J79" s="267" t="s">
        <v>106</v>
      </c>
      <c r="K79" s="57" t="s">
        <v>176</v>
      </c>
      <c r="L79" s="57" t="s">
        <v>106</v>
      </c>
      <c r="M79" s="57" t="s">
        <v>106</v>
      </c>
      <c r="N79" s="57" t="s">
        <v>106</v>
      </c>
      <c r="O79" s="884"/>
      <c r="P79" s="586"/>
      <c r="Q79" s="859"/>
      <c r="R79" s="57" t="s">
        <v>106</v>
      </c>
      <c r="S79" s="57" t="s">
        <v>176</v>
      </c>
      <c r="T79" s="57" t="s">
        <v>106</v>
      </c>
      <c r="U79" s="57" t="s">
        <v>106</v>
      </c>
      <c r="V79" s="57" t="s">
        <v>106</v>
      </c>
    </row>
    <row r="80" spans="1:25" x14ac:dyDescent="0.25">
      <c r="A80" s="59" t="s">
        <v>585</v>
      </c>
      <c r="B80" s="65">
        <f>SUM(B81:B96)</f>
        <v>0</v>
      </c>
      <c r="C80" s="322" t="str">
        <f>IFERROR(B80/B$100,"-")</f>
        <v>-</v>
      </c>
      <c r="D80" s="65">
        <f>SUM(D81:D96)</f>
        <v>0</v>
      </c>
      <c r="E80" s="65">
        <f>SUM(E81:E96)</f>
        <v>0</v>
      </c>
      <c r="F80" s="247">
        <f>SUM(F81:F96)</f>
        <v>0</v>
      </c>
      <c r="G80" s="261"/>
      <c r="I80" s="587" t="s">
        <v>101</v>
      </c>
      <c r="J80" s="588">
        <f>SUM(J81:J96)</f>
        <v>0</v>
      </c>
      <c r="K80" s="601" t="str">
        <f>IFERROR(J80/J$100,"-")</f>
        <v>-</v>
      </c>
      <c r="L80" s="589">
        <f>SUM(L81:L96)</f>
        <v>0</v>
      </c>
      <c r="M80" s="589">
        <f>SUM(M81:M96)</f>
        <v>0</v>
      </c>
      <c r="N80" s="589">
        <f>SUM(N81:N96)</f>
        <v>0</v>
      </c>
      <c r="O80" s="261"/>
      <c r="Q80" s="59" t="s">
        <v>585</v>
      </c>
      <c r="R80" s="92">
        <f>J80-B80</f>
        <v>0</v>
      </c>
      <c r="S80" s="325" t="str">
        <f>IFERROR(K80-C80,"-")</f>
        <v>-</v>
      </c>
      <c r="T80" s="92">
        <f>L80-D80</f>
        <v>0</v>
      </c>
      <c r="U80" s="92">
        <f>M80-E80</f>
        <v>0</v>
      </c>
      <c r="V80" s="92">
        <f>N80-F80</f>
        <v>0</v>
      </c>
      <c r="W80" s="225" t="s">
        <v>729</v>
      </c>
      <c r="X80" s="224" t="s">
        <v>583</v>
      </c>
      <c r="Y80" s="224" t="s">
        <v>683</v>
      </c>
    </row>
    <row r="81" spans="1:24" x14ac:dyDescent="0.25">
      <c r="A81" s="275" t="s">
        <v>119</v>
      </c>
      <c r="B81" s="148">
        <f>SUMIFS(AS!$W:$W,AS!$BO:$BO,$W$7,AS!$AB:$AB,AS!$AA$1,AS!$AK:$AK,$X81,AS!$AH:$AH,$X$8,AS!$AV:$AV,$X$6,AS!$AW:$AW,Tilanne!$Y$6,AS!$X:$X,Tilanne!$Y$5,AS!$K:$K,Tilanne!$V$2)</f>
        <v>0</v>
      </c>
      <c r="C81" s="324" t="str">
        <f>IFERROR(B81/B$100,"-")</f>
        <v>-</v>
      </c>
      <c r="D81" s="63">
        <f>SUMIFS(AS!$W:$W,AS!$BO:$BO,$W$7,AS!$AB:$AB,AS!$AA$1,AS!$AK:$AK,$X81,AS!$AH:$AH,$X$8,AS!$I:$I,$X$7,AS!$AV:$AV,$X$6,AS!$AW:$AW,Tilanne!$Y$6,AS!$X:$X,Tilanne!$Y$5,AS!$K:$K,Tilanne!$V$2)</f>
        <v>0</v>
      </c>
      <c r="E81" s="162">
        <f>SUMIFS(AS!$W:$W,AS!$BO:$BO,$W$7,AS!$AB:$AB,AS!$AA$1,AS!$AK:$AK,$X81,AS!$AH:$AH,$X$8,AS!$I:$I,$Y$7,AS!$AV:$AV,$X$6,AS!$AW:$AW,Tilanne!$Y$6,AS!$X:$X,Tilanne!$Y$5,AS!$K:$K,Tilanne!$V$2)</f>
        <v>0</v>
      </c>
      <c r="F81" s="248">
        <f>SUMIFS(AS!$W:$W,AS!$BO:$BO,$W$7,AS!$AB:$AB,AS!$AA$1,AS!$AK:$AK,$X81,AS!$AH:$AH,$Y$8,AS!$AV:$AV,$X$6,AS!$AW:$AW,Tilanne!$Y$6,AS!$X:$X,Tilanne!$Y$5,AS!$K:$K,Tilanne!$V$2)</f>
        <v>0</v>
      </c>
      <c r="G81" s="264"/>
      <c r="I81" s="273" t="s">
        <v>119</v>
      </c>
      <c r="J81" s="274">
        <f>SUMIFS(AS!$W:$W,AS!$BO:$BO,$W$7,AS!$AB:$AB,AS!$AA$1,AS!$AP:$AP,$X81,AS!$AH:$AH,$X$8,AS!$AV:$AV,$X$6,AS!$AW:$AW,Tilanne!$Y$6,AS!$X:$X,Tilanne!$Y$5,AS!$K:$K,Tilanne!$V$2)</f>
        <v>0</v>
      </c>
      <c r="K81" s="324" t="str">
        <f>IFERROR(J81/J$100,"-")</f>
        <v>-</v>
      </c>
      <c r="L81" s="63">
        <f>SUMIFS(AS!$W:$W,AS!$BO:$BO,$W$7,AS!$AB:$AB,AS!$AA$1,AS!$AP:$AP,$X81,AS!$AH:$AH,$X$8,AS!$I:$I,$X$7,AS!$AV:$AV,$X$6,AS!$AW:$AW,Tilanne!$Y$6,AS!$X:$X,Tilanne!$Y$5,AS!$K:$K,Tilanne!$V$2)</f>
        <v>0</v>
      </c>
      <c r="M81" s="162">
        <f>SUMIFS(AS!$W:$W,AS!$BO:$BO,$W$7,AS!$AB:$AB,AS!$AA$1,AS!$AP:$AP,$X81,AS!$AH:$AH,$X$8,AS!$I:$I,$Y$7,AS!$AV:$AV,$X$6,AS!$AW:$AW,Tilanne!$Y$6,AS!$X:$X,Tilanne!$Y$5,AS!$K:$K,Tilanne!$V$2)</f>
        <v>0</v>
      </c>
      <c r="N81" s="162">
        <f>SUMIFS(AS!$W:$W,AS!$BO:$BO,$W$7,AS!$AB:$AB,AS!$AA$1,AS!$AP:$AP,$X81,AS!$AH:$AH,"vanha",AS!$AV:$AV,$X$6,AS!$AW:$AW,Tilanne!$Y$6,AS!$X:$X,Tilanne!$Y$5,AS!$K:$K,Tilanne!$V$2)</f>
        <v>0</v>
      </c>
      <c r="O81" s="264"/>
      <c r="Q81" s="275" t="s">
        <v>119</v>
      </c>
      <c r="R81" s="91">
        <f t="shared" ref="R81:R96" si="39">J81-B81</f>
        <v>0</v>
      </c>
      <c r="S81" s="323" t="str">
        <f t="shared" ref="S81:S90" si="40">IFERROR(K81-C81,"-")</f>
        <v>-</v>
      </c>
      <c r="T81" s="91">
        <f t="shared" ref="T81:T96" si="41">L81-D81</f>
        <v>0</v>
      </c>
      <c r="U81" s="91">
        <f t="shared" ref="U81:U96" si="42">M81-E81</f>
        <v>0</v>
      </c>
      <c r="V81" s="91">
        <f t="shared" ref="V81:V98" si="43">N81-F81</f>
        <v>0</v>
      </c>
      <c r="X81" s="35" t="s">
        <v>371</v>
      </c>
    </row>
    <row r="82" spans="1:24" x14ac:dyDescent="0.25">
      <c r="A82" s="275" t="s">
        <v>125</v>
      </c>
      <c r="B82" s="148">
        <f>SUMIFS(AS!$W:$W,AS!$BO:$BO,$W$7,AS!$AB:$AB,AS!$AA$1,AS!$AK:$AK,$X82,AS!$AH:$AH,$X$8,AS!$AV:$AV,$X$6,AS!$AW:$AW,Tilanne!$Y$6,AS!$X:$X,Tilanne!$Y$5,AS!$K:$K,Tilanne!$V$2)</f>
        <v>0</v>
      </c>
      <c r="C82" s="324" t="str">
        <f t="shared" ref="C82:C96" si="44">IFERROR(B82/B$100,"-")</f>
        <v>-</v>
      </c>
      <c r="D82" s="63">
        <f>SUMIFS(AS!$W:$W,AS!$BO:$BO,$W$7,AS!$AB:$AB,AS!$AA$1,AS!$AK:$AK,$X82,AS!$AH:$AH,$X$8,AS!$I:$I,$X$7,AS!$AV:$AV,$X$6,AS!$AW:$AW,Tilanne!$Y$6,AS!$X:$X,Tilanne!$Y$5,AS!$K:$K,Tilanne!$V$2)</f>
        <v>0</v>
      </c>
      <c r="E82" s="162">
        <f>SUMIFS(AS!$W:$W,AS!$BO:$BO,$W$7,AS!$AB:$AB,AS!$AA$1,AS!$AK:$AK,$X82,AS!$AH:$AH,$X$8,AS!$I:$I,$Y$7,AS!$AV:$AV,$X$6,AS!$AW:$AW,Tilanne!$Y$6,AS!$X:$X,Tilanne!$Y$5,AS!$K:$K,Tilanne!$V$2)</f>
        <v>0</v>
      </c>
      <c r="F82" s="248">
        <f>SUMIFS(AS!$W:$W,AS!$BO:$BO,$W$7,AS!$AB:$AB,AS!$AA$1,AS!$AK:$AK,$X82,AS!$AH:$AH,$Y$8,AS!$AV:$AV,$X$6,AS!$AW:$AW,Tilanne!$Y$6,AS!$X:$X,Tilanne!$Y$5,AS!$K:$K,Tilanne!$V$2)</f>
        <v>0</v>
      </c>
      <c r="G82" s="264"/>
      <c r="I82" s="273" t="s">
        <v>125</v>
      </c>
      <c r="J82" s="274">
        <f>SUMIFS(AS!$W:$W,AS!$BO:$BO,$W$7,AS!$AB:$AB,AS!$AA$1,AS!$AP:$AP,$X82,AS!$AH:$AH,$X$8,AS!$AV:$AV,$X$6,AS!$AW:$AW,Tilanne!$Y$6,AS!$X:$X,Tilanne!$Y$5,AS!$K:$K,Tilanne!$V$2)</f>
        <v>0</v>
      </c>
      <c r="K82" s="324" t="str">
        <f t="shared" ref="K82:K96" si="45">IFERROR(J82/J$100,"-")</f>
        <v>-</v>
      </c>
      <c r="L82" s="63">
        <f>SUMIFS(AS!$W:$W,AS!$BO:$BO,$W$7,AS!$AB:$AB,AS!$AA$1,AS!$AP:$AP,$X82,AS!$AH:$AH,$X$8,AS!$I:$I,$X$7,AS!$AV:$AV,$X$6,AS!$AW:$AW,Tilanne!$Y$6,AS!$X:$X,Tilanne!$Y$5,AS!$K:$K,Tilanne!$V$2)</f>
        <v>0</v>
      </c>
      <c r="M82" s="162">
        <f>SUMIFS(AS!$W:$W,AS!$BO:$BO,$W$7,AS!$AB:$AB,AS!$AA$1,AS!$AP:$AP,$X82,AS!$AH:$AH,$X$8,AS!$I:$I,$Y$7,AS!$AV:$AV,$X$6,AS!$AW:$AW,Tilanne!$Y$6,AS!$X:$X,Tilanne!$Y$5,AS!$K:$K,Tilanne!$V$2)</f>
        <v>0</v>
      </c>
      <c r="N82" s="162">
        <f>SUMIFS(AS!$W:$W,AS!$BO:$BO,$W$7,AS!$AB:$AB,AS!$AA$1,AS!$AP:$AP,$X82,AS!$AH:$AH,"vanha",AS!$AV:$AV,$X$6,AS!$AW:$AW,Tilanne!$Y$6,AS!$X:$X,Tilanne!$Y$5,AS!$K:$K,Tilanne!$V$2)</f>
        <v>0</v>
      </c>
      <c r="O82" s="264"/>
      <c r="Q82" s="275" t="s">
        <v>125</v>
      </c>
      <c r="R82" s="91">
        <f t="shared" si="39"/>
        <v>0</v>
      </c>
      <c r="S82" s="323" t="str">
        <f t="shared" si="40"/>
        <v>-</v>
      </c>
      <c r="T82" s="91">
        <f t="shared" si="41"/>
        <v>0</v>
      </c>
      <c r="U82" s="91">
        <f t="shared" si="42"/>
        <v>0</v>
      </c>
      <c r="V82" s="91">
        <f t="shared" si="43"/>
        <v>0</v>
      </c>
      <c r="X82" s="35" t="s">
        <v>355</v>
      </c>
    </row>
    <row r="83" spans="1:24" x14ac:dyDescent="0.25">
      <c r="A83" s="275" t="s">
        <v>177</v>
      </c>
      <c r="B83" s="148">
        <f>SUMIFS(AS!$W:$W,AS!$BO:$BO,$W$7,AS!$AB:$AB,AS!$AA$1,AS!$AK:$AK,$X83,AS!$AH:$AH,$X$8,AS!$AV:$AV,$X$6,AS!$AW:$AW,Tilanne!$Y$6,AS!$X:$X,Tilanne!$Y$5,AS!$K:$K,Tilanne!$V$2)</f>
        <v>0</v>
      </c>
      <c r="C83" s="324" t="str">
        <f t="shared" si="44"/>
        <v>-</v>
      </c>
      <c r="D83" s="63">
        <f>SUMIFS(AS!$W:$W,AS!$BO:$BO,$W$7,AS!$AB:$AB,AS!$AA$1,AS!$AK:$AK,$X83,AS!$AH:$AH,$X$8,AS!$I:$I,$X$7,AS!$AV:$AV,$X$6,AS!$AW:$AW,Tilanne!$Y$6,AS!$X:$X,Tilanne!$Y$5,AS!$K:$K,Tilanne!$V$2)</f>
        <v>0</v>
      </c>
      <c r="E83" s="162">
        <f>SUMIFS(AS!$W:$W,AS!$BO:$BO,$W$7,AS!$AB:$AB,AS!$AA$1,AS!$AK:$AK,$X83,AS!$AH:$AH,$X$8,AS!$I:$I,$Y$7,AS!$AV:$AV,$X$6,AS!$AW:$AW,Tilanne!$Y$6,AS!$X:$X,Tilanne!$Y$5,AS!$K:$K,Tilanne!$V$2)</f>
        <v>0</v>
      </c>
      <c r="F83" s="248">
        <f>SUMIFS(AS!$W:$W,AS!$BO:$BO,$W$7,AS!$AB:$AB,AS!$AA$1,AS!$AK:$AK,$X83,AS!$AH:$AH,$Y$8,AS!$AV:$AV,$X$6,AS!$AW:$AW,Tilanne!$Y$6,AS!$X:$X,Tilanne!$Y$5,AS!$K:$K,Tilanne!$V$2)</f>
        <v>0</v>
      </c>
      <c r="G83" s="264"/>
      <c r="I83" s="273" t="s">
        <v>177</v>
      </c>
      <c r="J83" s="274">
        <f>SUMIFS(AS!$W:$W,AS!$BO:$BO,$W$7,AS!$AB:$AB,AS!$AA$1,AS!$AP:$AP,$X83,AS!$AH:$AH,$X$8,AS!$AV:$AV,$X$6,AS!$AW:$AW,Tilanne!$Y$6,AS!$X:$X,Tilanne!$Y$5,AS!$K:$K,Tilanne!$V$2)</f>
        <v>0</v>
      </c>
      <c r="K83" s="324" t="str">
        <f t="shared" si="45"/>
        <v>-</v>
      </c>
      <c r="L83" s="63">
        <f>SUMIFS(AS!$W:$W,AS!$BO:$BO,$W$7,AS!$AB:$AB,AS!$AA$1,AS!$AP:$AP,$X83,AS!$AH:$AH,$X$8,AS!$I:$I,$X$7,AS!$AV:$AV,$X$6,AS!$AW:$AW,Tilanne!$Y$6,AS!$X:$X,Tilanne!$Y$5,AS!$K:$K,Tilanne!$V$2)</f>
        <v>0</v>
      </c>
      <c r="M83" s="162">
        <f>SUMIFS(AS!$W:$W,AS!$BO:$BO,$W$7,AS!$AB:$AB,AS!$AA$1,AS!$AP:$AP,$X83,AS!$AH:$AH,$X$8,AS!$I:$I,$Y$7,AS!$AV:$AV,$X$6,AS!$AW:$AW,Tilanne!$Y$6,AS!$X:$X,Tilanne!$Y$5,AS!$K:$K,Tilanne!$V$2)</f>
        <v>0</v>
      </c>
      <c r="N83" s="162">
        <f>SUMIFS(AS!$W:$W,AS!$BO:$BO,$W$7,AS!$AB:$AB,AS!$AA$1,AS!$AP:$AP,$X83,AS!$AH:$AH,"vanha",AS!$AV:$AV,$X$6,AS!$AW:$AW,Tilanne!$Y$6,AS!$X:$X,Tilanne!$Y$5,AS!$K:$K,Tilanne!$V$2)</f>
        <v>0</v>
      </c>
      <c r="O83" s="264"/>
      <c r="Q83" s="275" t="s">
        <v>177</v>
      </c>
      <c r="R83" s="91">
        <f t="shared" si="39"/>
        <v>0</v>
      </c>
      <c r="S83" s="323" t="str">
        <f t="shared" si="40"/>
        <v>-</v>
      </c>
      <c r="T83" s="91">
        <f t="shared" si="41"/>
        <v>0</v>
      </c>
      <c r="U83" s="91">
        <f t="shared" si="42"/>
        <v>0</v>
      </c>
      <c r="V83" s="91">
        <f t="shared" si="43"/>
        <v>0</v>
      </c>
      <c r="X83" s="35" t="s">
        <v>358</v>
      </c>
    </row>
    <row r="84" spans="1:24" x14ac:dyDescent="0.25">
      <c r="A84" s="275" t="s">
        <v>126</v>
      </c>
      <c r="B84" s="148">
        <f>SUMIFS(AS!$W:$W,AS!$BO:$BO,$W$7,AS!$AB:$AB,AS!$AA$1,AS!$AK:$AK,$X84,AS!$AH:$AH,$X$8,AS!$AV:$AV,$X$6,AS!$AW:$AW,Tilanne!$Y$6,AS!$X:$X,Tilanne!$Y$5,AS!$K:$K,Tilanne!$V$2)</f>
        <v>0</v>
      </c>
      <c r="C84" s="324" t="str">
        <f t="shared" si="44"/>
        <v>-</v>
      </c>
      <c r="D84" s="63">
        <f>SUMIFS(AS!$W:$W,AS!$BO:$BO,$W$7,AS!$AB:$AB,AS!$AA$1,AS!$AK:$AK,$X84,AS!$AH:$AH,$X$8,AS!$I:$I,$X$7,AS!$AV:$AV,$X$6,AS!$AW:$AW,Tilanne!$Y$6,AS!$X:$X,Tilanne!$Y$5,AS!$K:$K,Tilanne!$V$2)</f>
        <v>0</v>
      </c>
      <c r="E84" s="162">
        <f>SUMIFS(AS!$W:$W,AS!$BO:$BO,$W$7,AS!$AB:$AB,AS!$AA$1,AS!$AK:$AK,$X84,AS!$AH:$AH,$X$8,AS!$I:$I,$Y$7,AS!$AV:$AV,$X$6,AS!$AW:$AW,Tilanne!$Y$6,AS!$X:$X,Tilanne!$Y$5,AS!$K:$K,Tilanne!$V$2)</f>
        <v>0</v>
      </c>
      <c r="F84" s="248">
        <f>SUMIFS(AS!$W:$W,AS!$BO:$BO,$W$7,AS!$AB:$AB,AS!$AA$1,AS!$AK:$AK,$X84,AS!$AH:$AH,$Y$8,AS!$AV:$AV,$X$6,AS!$AW:$AW,Tilanne!$Y$6,AS!$X:$X,Tilanne!$Y$5,AS!$K:$K,Tilanne!$V$2)</f>
        <v>0</v>
      </c>
      <c r="G84" s="264"/>
      <c r="I84" s="273" t="s">
        <v>126</v>
      </c>
      <c r="J84" s="274">
        <f>SUMIFS(AS!$W:$W,AS!$BO:$BO,$W$7,AS!$AB:$AB,AS!$AA$1,AS!$AP:$AP,$X84,AS!$AH:$AH,$X$8,AS!$AV:$AV,$X$6,AS!$AW:$AW,Tilanne!$Y$6,AS!$X:$X,Tilanne!$Y$5,AS!$K:$K,Tilanne!$V$2)</f>
        <v>0</v>
      </c>
      <c r="K84" s="324" t="str">
        <f t="shared" si="45"/>
        <v>-</v>
      </c>
      <c r="L84" s="63">
        <f>SUMIFS(AS!$W:$W,AS!$BO:$BO,$W$7,AS!$AB:$AB,AS!$AA$1,AS!$AP:$AP,$X84,AS!$AH:$AH,$X$8,AS!$I:$I,$X$7,AS!$AV:$AV,$X$6,AS!$AW:$AW,Tilanne!$Y$6,AS!$X:$X,Tilanne!$Y$5,AS!$K:$K,Tilanne!$V$2)</f>
        <v>0</v>
      </c>
      <c r="M84" s="162">
        <f>SUMIFS(AS!$W:$W,AS!$BO:$BO,$W$7,AS!$AB:$AB,AS!$AA$1,AS!$AP:$AP,$X84,AS!$AH:$AH,$X$8,AS!$I:$I,$Y$7,AS!$AV:$AV,$X$6,AS!$AW:$AW,Tilanne!$Y$6,AS!$X:$X,Tilanne!$Y$5,AS!$K:$K,Tilanne!$V$2)</f>
        <v>0</v>
      </c>
      <c r="N84" s="162">
        <f>SUMIFS(AS!$W:$W,AS!$BO:$BO,$W$7,AS!$AB:$AB,AS!$AA$1,AS!$AP:$AP,$X84,AS!$AH:$AH,"vanha",AS!$AV:$AV,$X$6,AS!$AW:$AW,Tilanne!$Y$6,AS!$X:$X,Tilanne!$Y$5,AS!$K:$K,Tilanne!$V$2)</f>
        <v>0</v>
      </c>
      <c r="O84" s="264"/>
      <c r="Q84" s="275" t="s">
        <v>126</v>
      </c>
      <c r="R84" s="91">
        <f t="shared" si="39"/>
        <v>0</v>
      </c>
      <c r="S84" s="323" t="str">
        <f t="shared" si="40"/>
        <v>-</v>
      </c>
      <c r="T84" s="91">
        <f t="shared" si="41"/>
        <v>0</v>
      </c>
      <c r="U84" s="91">
        <f t="shared" si="42"/>
        <v>0</v>
      </c>
      <c r="V84" s="91">
        <f t="shared" si="43"/>
        <v>0</v>
      </c>
      <c r="X84" s="35" t="s">
        <v>347</v>
      </c>
    </row>
    <row r="85" spans="1:24" x14ac:dyDescent="0.25">
      <c r="A85" s="275" t="s">
        <v>127</v>
      </c>
      <c r="B85" s="148">
        <f>SUMIFS(AS!$W:$W,AS!$BO:$BO,$W$7,AS!$AB:$AB,AS!$AA$1,AS!$AK:$AK,$X85,AS!$AH:$AH,$X$8,AS!$AV:$AV,$X$6,AS!$AW:$AW,Tilanne!$Y$6,AS!$X:$X,Tilanne!$Y$5,AS!$K:$K,Tilanne!$V$2)</f>
        <v>0</v>
      </c>
      <c r="C85" s="324" t="str">
        <f t="shared" si="44"/>
        <v>-</v>
      </c>
      <c r="D85" s="63">
        <f>SUMIFS(AS!$W:$W,AS!$BO:$BO,$W$7,AS!$AB:$AB,AS!$AA$1,AS!$AK:$AK,$X85,AS!$AH:$AH,$X$8,AS!$I:$I,$X$7,AS!$AV:$AV,$X$6,AS!$AW:$AW,Tilanne!$Y$6,AS!$X:$X,Tilanne!$Y$5,AS!$K:$K,Tilanne!$V$2)</f>
        <v>0</v>
      </c>
      <c r="E85" s="162">
        <f>SUMIFS(AS!$W:$W,AS!$BO:$BO,$W$7,AS!$AB:$AB,AS!$AA$1,AS!$AK:$AK,$X85,AS!$AH:$AH,$X$8,AS!$I:$I,$Y$7,AS!$AV:$AV,$X$6,AS!$AW:$AW,Tilanne!$Y$6,AS!$X:$X,Tilanne!$Y$5,AS!$K:$K,Tilanne!$V$2)</f>
        <v>0</v>
      </c>
      <c r="F85" s="248">
        <f>SUMIFS(AS!$W:$W,AS!$BO:$BO,$W$7,AS!$AB:$AB,AS!$AA$1,AS!$AK:$AK,$X85,AS!$AH:$AH,$Y$8,AS!$AV:$AV,$X$6,AS!$AW:$AW,Tilanne!$Y$6,AS!$X:$X,Tilanne!$Y$5,AS!$K:$K,Tilanne!$V$2)</f>
        <v>0</v>
      </c>
      <c r="G85" s="264"/>
      <c r="I85" s="273" t="s">
        <v>127</v>
      </c>
      <c r="J85" s="274">
        <f>SUMIFS(AS!$W:$W,AS!$BO:$BO,$W$7,AS!$AB:$AB,AS!$AA$1,AS!$AP:$AP,$X85,AS!$AH:$AH,$X$8,AS!$AV:$AV,$X$6,AS!$AW:$AW,Tilanne!$Y$6,AS!$X:$X,Tilanne!$Y$5,AS!$K:$K,Tilanne!$V$2)</f>
        <v>0</v>
      </c>
      <c r="K85" s="324" t="str">
        <f t="shared" si="45"/>
        <v>-</v>
      </c>
      <c r="L85" s="63">
        <f>SUMIFS(AS!$W:$W,AS!$BO:$BO,$W$7,AS!$AB:$AB,AS!$AA$1,AS!$AP:$AP,$X85,AS!$AH:$AH,$X$8,AS!$I:$I,$X$7,AS!$AV:$AV,$X$6,AS!$AW:$AW,Tilanne!$Y$6,AS!$X:$X,Tilanne!$Y$5,AS!$K:$K,Tilanne!$V$2)</f>
        <v>0</v>
      </c>
      <c r="M85" s="162">
        <f>SUMIFS(AS!$W:$W,AS!$BO:$BO,$W$7,AS!$AB:$AB,AS!$AA$1,AS!$AP:$AP,$X85,AS!$AH:$AH,$X$8,AS!$I:$I,$Y$7,AS!$AV:$AV,$X$6,AS!$AW:$AW,Tilanne!$Y$6,AS!$X:$X,Tilanne!$Y$5,AS!$K:$K,Tilanne!$V$2)</f>
        <v>0</v>
      </c>
      <c r="N85" s="162">
        <f>SUMIFS(AS!$W:$W,AS!$BO:$BO,$W$7,AS!$AB:$AB,AS!$AA$1,AS!$AP:$AP,$X85,AS!$AH:$AH,"vanha",AS!$AV:$AV,$X$6,AS!$AW:$AW,Tilanne!$Y$6,AS!$X:$X,Tilanne!$Y$5,AS!$K:$K,Tilanne!$V$2)</f>
        <v>0</v>
      </c>
      <c r="O85" s="264"/>
      <c r="Q85" s="275" t="s">
        <v>127</v>
      </c>
      <c r="R85" s="91">
        <f t="shared" si="39"/>
        <v>0</v>
      </c>
      <c r="S85" s="323" t="str">
        <f t="shared" si="40"/>
        <v>-</v>
      </c>
      <c r="T85" s="91">
        <f t="shared" si="41"/>
        <v>0</v>
      </c>
      <c r="U85" s="91">
        <f t="shared" si="42"/>
        <v>0</v>
      </c>
      <c r="V85" s="91">
        <f t="shared" si="43"/>
        <v>0</v>
      </c>
      <c r="X85" s="35" t="s">
        <v>369</v>
      </c>
    </row>
    <row r="86" spans="1:24" x14ac:dyDescent="0.25">
      <c r="A86" s="275" t="s">
        <v>120</v>
      </c>
      <c r="B86" s="148">
        <f>SUMIFS(AS!$W:$W,AS!$BO:$BO,$W$7,AS!$AB:$AB,AS!$AA$1,AS!$AK:$AK,$X86,AS!$AH:$AH,$X$8,AS!$AV:$AV,$X$6,AS!$AW:$AW,Tilanne!$Y$6,AS!$X:$X,Tilanne!$Y$5,AS!$K:$K,Tilanne!$V$2)</f>
        <v>0</v>
      </c>
      <c r="C86" s="324" t="str">
        <f t="shared" si="44"/>
        <v>-</v>
      </c>
      <c r="D86" s="63">
        <f>SUMIFS(AS!$W:$W,AS!$BO:$BO,$W$7,AS!$AB:$AB,AS!$AA$1,AS!$AK:$AK,$X86,AS!$AH:$AH,$X$8,AS!$I:$I,$X$7,AS!$AV:$AV,$X$6,AS!$AW:$AW,Tilanne!$Y$6,AS!$X:$X,Tilanne!$Y$5,AS!$K:$K,Tilanne!$V$2)</f>
        <v>0</v>
      </c>
      <c r="E86" s="162">
        <f>SUMIFS(AS!$W:$W,AS!$BO:$BO,$W$7,AS!$AB:$AB,AS!$AA$1,AS!$AK:$AK,$X86,AS!$AH:$AH,$X$8,AS!$I:$I,$Y$7,AS!$AV:$AV,$X$6,AS!$AW:$AW,Tilanne!$Y$6,AS!$X:$X,Tilanne!$Y$5,AS!$K:$K,Tilanne!$V$2)</f>
        <v>0</v>
      </c>
      <c r="F86" s="248">
        <f>SUMIFS(AS!$W:$W,AS!$BO:$BO,$W$7,AS!$AB:$AB,AS!$AA$1,AS!$AK:$AK,$X86,AS!$AH:$AH,$Y$8,AS!$AV:$AV,$X$6,AS!$AW:$AW,Tilanne!$Y$6,AS!$X:$X,Tilanne!$Y$5,AS!$K:$K,Tilanne!$V$2)</f>
        <v>0</v>
      </c>
      <c r="G86" s="264"/>
      <c r="I86" s="273" t="s">
        <v>120</v>
      </c>
      <c r="J86" s="274">
        <f>SUMIFS(AS!$W:$W,AS!$BO:$BO,$W$7,AS!$AB:$AB,AS!$AA$1,AS!$AP:$AP,$X86,AS!$AH:$AH,$X$8,AS!$AV:$AV,$X$6,AS!$AW:$AW,Tilanne!$Y$6,AS!$X:$X,Tilanne!$Y$5,AS!$K:$K,Tilanne!$V$2)</f>
        <v>0</v>
      </c>
      <c r="K86" s="324" t="str">
        <f t="shared" si="45"/>
        <v>-</v>
      </c>
      <c r="L86" s="63">
        <f>SUMIFS(AS!$W:$W,AS!$BO:$BO,$W$7,AS!$AB:$AB,AS!$AA$1,AS!$AP:$AP,$X86,AS!$AH:$AH,$X$8,AS!$I:$I,$X$7,AS!$AV:$AV,$X$6,AS!$AW:$AW,Tilanne!$Y$6,AS!$X:$X,Tilanne!$Y$5,AS!$K:$K,Tilanne!$V$2)</f>
        <v>0</v>
      </c>
      <c r="M86" s="162">
        <f>SUMIFS(AS!$W:$W,AS!$BO:$BO,$W$7,AS!$AB:$AB,AS!$AA$1,AS!$AP:$AP,$X86,AS!$AH:$AH,$X$8,AS!$I:$I,$Y$7,AS!$AV:$AV,$X$6,AS!$AW:$AW,Tilanne!$Y$6,AS!$X:$X,Tilanne!$Y$5,AS!$K:$K,Tilanne!$V$2)</f>
        <v>0</v>
      </c>
      <c r="N86" s="162">
        <f>SUMIFS(AS!$W:$W,AS!$BO:$BO,$W$7,AS!$AB:$AB,AS!$AA$1,AS!$AP:$AP,$X86,AS!$AH:$AH,"vanha",AS!$AV:$AV,$X$6,AS!$AW:$AW,Tilanne!$Y$6,AS!$X:$X,Tilanne!$Y$5,AS!$K:$K,Tilanne!$V$2)</f>
        <v>0</v>
      </c>
      <c r="O86" s="264"/>
      <c r="Q86" s="275" t="s">
        <v>120</v>
      </c>
      <c r="R86" s="91">
        <f t="shared" si="39"/>
        <v>0</v>
      </c>
      <c r="S86" s="323" t="str">
        <f t="shared" si="40"/>
        <v>-</v>
      </c>
      <c r="T86" s="91">
        <f t="shared" si="41"/>
        <v>0</v>
      </c>
      <c r="U86" s="91">
        <f t="shared" si="42"/>
        <v>0</v>
      </c>
      <c r="V86" s="91">
        <f t="shared" si="43"/>
        <v>0</v>
      </c>
      <c r="X86" s="35" t="s">
        <v>380</v>
      </c>
    </row>
    <row r="87" spans="1:24" x14ac:dyDescent="0.25">
      <c r="A87" s="275" t="s">
        <v>128</v>
      </c>
      <c r="B87" s="148">
        <f>SUMIFS(AS!$W:$W,AS!$BO:$BO,$W$7,AS!$AB:$AB,AS!$AA$1,AS!$AK:$AK,$X87,AS!$AH:$AH,$X$8,AS!$AV:$AV,$X$6,AS!$AW:$AW,Tilanne!$Y$6,AS!$X:$X,Tilanne!$Y$5,AS!$K:$K,Tilanne!$V$2)</f>
        <v>0</v>
      </c>
      <c r="C87" s="324" t="str">
        <f t="shared" si="44"/>
        <v>-</v>
      </c>
      <c r="D87" s="63">
        <f>SUMIFS(AS!$W:$W,AS!$BO:$BO,$W$7,AS!$AB:$AB,AS!$AA$1,AS!$AK:$AK,$X87,AS!$AH:$AH,$X$8,AS!$I:$I,$X$7,AS!$AV:$AV,$X$6,AS!$AW:$AW,Tilanne!$Y$6,AS!$X:$X,Tilanne!$Y$5,AS!$K:$K,Tilanne!$V$2)</f>
        <v>0</v>
      </c>
      <c r="E87" s="162">
        <f>SUMIFS(AS!$W:$W,AS!$BO:$BO,$W$7,AS!$AB:$AB,AS!$AA$1,AS!$AK:$AK,$X87,AS!$AH:$AH,$X$8,AS!$I:$I,$Y$7,AS!$AV:$AV,$X$6,AS!$AW:$AW,Tilanne!$Y$6,AS!$X:$X,Tilanne!$Y$5,AS!$K:$K,Tilanne!$V$2)</f>
        <v>0</v>
      </c>
      <c r="F87" s="248">
        <f>SUMIFS(AS!$W:$W,AS!$BO:$BO,$W$7,AS!$AB:$AB,AS!$AA$1,AS!$AK:$AK,$X87,AS!$AH:$AH,$Y$8,AS!$AV:$AV,$X$6,AS!$AW:$AW,Tilanne!$Y$6,AS!$X:$X,Tilanne!$Y$5,AS!$K:$K,Tilanne!$V$2)</f>
        <v>0</v>
      </c>
      <c r="G87" s="264"/>
      <c r="I87" s="273" t="s">
        <v>128</v>
      </c>
      <c r="J87" s="274">
        <f>SUMIFS(AS!$W:$W,AS!$BO:$BO,$W$7,AS!$AB:$AB,AS!$AA$1,AS!$AP:$AP,$X87,AS!$AH:$AH,$X$8,AS!$AV:$AV,$X$6,AS!$AW:$AW,Tilanne!$Y$6,AS!$X:$X,Tilanne!$Y$5,AS!$K:$K,Tilanne!$V$2)</f>
        <v>0</v>
      </c>
      <c r="K87" s="324" t="str">
        <f t="shared" si="45"/>
        <v>-</v>
      </c>
      <c r="L87" s="63">
        <f>SUMIFS(AS!$W:$W,AS!$BO:$BO,$W$7,AS!$AB:$AB,AS!$AA$1,AS!$AP:$AP,$X87,AS!$AH:$AH,$X$8,AS!$I:$I,$X$7,AS!$AV:$AV,$X$6,AS!$AW:$AW,Tilanne!$Y$6,AS!$X:$X,Tilanne!$Y$5,AS!$K:$K,Tilanne!$V$2)</f>
        <v>0</v>
      </c>
      <c r="M87" s="162">
        <f>SUMIFS(AS!$W:$W,AS!$BO:$BO,$W$7,AS!$AB:$AB,AS!$AA$1,AS!$AP:$AP,$X87,AS!$AH:$AH,$X$8,AS!$I:$I,$Y$7,AS!$AV:$AV,$X$6,AS!$AW:$AW,Tilanne!$Y$6,AS!$X:$X,Tilanne!$Y$5,AS!$K:$K,Tilanne!$V$2)</f>
        <v>0</v>
      </c>
      <c r="N87" s="162">
        <f>SUMIFS(AS!$W:$W,AS!$BO:$BO,$W$7,AS!$AB:$AB,AS!$AA$1,AS!$AP:$AP,$X87,AS!$AH:$AH,"vanha",AS!$AV:$AV,$X$6,AS!$AW:$AW,Tilanne!$Y$6,AS!$X:$X,Tilanne!$Y$5,AS!$K:$K,Tilanne!$V$2)</f>
        <v>0</v>
      </c>
      <c r="O87" s="264"/>
      <c r="Q87" s="275" t="s">
        <v>128</v>
      </c>
      <c r="R87" s="91">
        <f t="shared" si="39"/>
        <v>0</v>
      </c>
      <c r="S87" s="323" t="str">
        <f t="shared" si="40"/>
        <v>-</v>
      </c>
      <c r="T87" s="91">
        <f t="shared" si="41"/>
        <v>0</v>
      </c>
      <c r="U87" s="91">
        <f t="shared" si="42"/>
        <v>0</v>
      </c>
      <c r="V87" s="91">
        <f t="shared" si="43"/>
        <v>0</v>
      </c>
      <c r="X87" s="35" t="s">
        <v>379</v>
      </c>
    </row>
    <row r="88" spans="1:24" x14ac:dyDescent="0.25">
      <c r="A88" s="275" t="s">
        <v>582</v>
      </c>
      <c r="B88" s="148">
        <f>SUMIFS(AS!$W:$W,AS!$BO:$BO,$W$7,AS!$AB:$AB,AS!$AA$1,AS!$AK:$AK,$X88,AS!$AH:$AH,$X$8,AS!$AV:$AV,$X$6,AS!$AW:$AW,Tilanne!$Y$6,AS!$X:$X,Tilanne!$Y$5,AS!$K:$K,Tilanne!$V$2)</f>
        <v>0</v>
      </c>
      <c r="C88" s="324" t="str">
        <f t="shared" si="44"/>
        <v>-</v>
      </c>
      <c r="D88" s="63">
        <f>SUMIFS(AS!$W:$W,AS!$BO:$BO,$W$7,AS!$AB:$AB,AS!$AA$1,AS!$AK:$AK,$X88,AS!$AH:$AH,$X$8,AS!$I:$I,$X$7,AS!$AV:$AV,$X$6,AS!$AW:$AW,Tilanne!$Y$6,AS!$X:$X,Tilanne!$Y$5,AS!$K:$K,Tilanne!$V$2)</f>
        <v>0</v>
      </c>
      <c r="E88" s="162">
        <f>SUMIFS(AS!$W:$W,AS!$BO:$BO,$W$7,AS!$AB:$AB,AS!$AA$1,AS!$AK:$AK,$X88,AS!$AH:$AH,$X$8,AS!$I:$I,$Y$7,AS!$AV:$AV,$X$6,AS!$AW:$AW,Tilanne!$Y$6,AS!$X:$X,Tilanne!$Y$5,AS!$K:$K,Tilanne!$V$2)</f>
        <v>0</v>
      </c>
      <c r="F88" s="248">
        <f>SUMIFS(AS!$W:$W,AS!$BO:$BO,$W$7,AS!$AB:$AB,AS!$AA$1,AS!$AK:$AK,$X88,AS!$AH:$AH,$Y$8,AS!$AV:$AV,$X$6,AS!$AW:$AW,Tilanne!$Y$6,AS!$X:$X,Tilanne!$Y$5,AS!$K:$K,Tilanne!$V$2)</f>
        <v>0</v>
      </c>
      <c r="G88" s="264"/>
      <c r="I88" s="273" t="s">
        <v>582</v>
      </c>
      <c r="J88" s="274">
        <f>SUMIFS(AS!$W:$W,AS!$BO:$BO,$W$7,AS!$AB:$AB,AS!$AA$1,AS!$AP:$AP,$X88,AS!$AH:$AH,$X$8,AS!$AV:$AV,$X$6,AS!$AW:$AW,Tilanne!$Y$6,AS!$X:$X,Tilanne!$Y$5,AS!$K:$K,Tilanne!$V$2)</f>
        <v>0</v>
      </c>
      <c r="K88" s="324" t="str">
        <f t="shared" si="45"/>
        <v>-</v>
      </c>
      <c r="L88" s="63">
        <f>SUMIFS(AS!$W:$W,AS!$BO:$BO,$W$7,AS!$AB:$AB,AS!$AA$1,AS!$AP:$AP,$X88,AS!$AH:$AH,$X$8,AS!$I:$I,$X$7,AS!$AV:$AV,$X$6,AS!$AW:$AW,Tilanne!$Y$6,AS!$X:$X,Tilanne!$Y$5,AS!$K:$K,Tilanne!$V$2)</f>
        <v>0</v>
      </c>
      <c r="M88" s="162">
        <f>SUMIFS(AS!$W:$W,AS!$BO:$BO,$W$7,AS!$AB:$AB,AS!$AA$1,AS!$AP:$AP,$X88,AS!$AH:$AH,$X$8,AS!$I:$I,$Y$7,AS!$AV:$AV,$X$6,AS!$AW:$AW,Tilanne!$Y$6,AS!$X:$X,Tilanne!$Y$5,AS!$K:$K,Tilanne!$V$2)</f>
        <v>0</v>
      </c>
      <c r="N88" s="162">
        <f>SUMIFS(AS!$W:$W,AS!$BO:$BO,$W$7,AS!$AB:$AB,AS!$AA$1,AS!$AP:$AP,$X88,AS!$AH:$AH,"vanha",AS!$AV:$AV,$X$6,AS!$AW:$AW,Tilanne!$Y$6,AS!$X:$X,Tilanne!$Y$5,AS!$K:$K,Tilanne!$V$2)</f>
        <v>0</v>
      </c>
      <c r="O88" s="264"/>
      <c r="Q88" s="275" t="s">
        <v>582</v>
      </c>
      <c r="R88" s="91">
        <f t="shared" si="39"/>
        <v>0</v>
      </c>
      <c r="S88" s="323" t="str">
        <f t="shared" si="40"/>
        <v>-</v>
      </c>
      <c r="T88" s="91">
        <f t="shared" si="41"/>
        <v>0</v>
      </c>
      <c r="U88" s="91">
        <f t="shared" si="42"/>
        <v>0</v>
      </c>
      <c r="V88" s="91">
        <f t="shared" si="43"/>
        <v>0</v>
      </c>
      <c r="X88" s="155" t="s">
        <v>364</v>
      </c>
    </row>
    <row r="89" spans="1:24" x14ac:dyDescent="0.25">
      <c r="A89" s="275" t="s">
        <v>129</v>
      </c>
      <c r="B89" s="148">
        <f>SUMIFS(AS!$W:$W,AS!$BO:$BO,$W$7,AS!$AB:$AB,AS!$AA$1,AS!$AK:$AK,$X89,AS!$AH:$AH,$X$8,AS!$AV:$AV,$X$6,AS!$AW:$AW,Tilanne!$Y$6,AS!$X:$X,Tilanne!$Y$5,AS!$K:$K,Tilanne!$V$2)</f>
        <v>0</v>
      </c>
      <c r="C89" s="324" t="str">
        <f t="shared" si="44"/>
        <v>-</v>
      </c>
      <c r="D89" s="63">
        <f>SUMIFS(AS!$W:$W,AS!$BO:$BO,$W$7,AS!$AB:$AB,AS!$AA$1,AS!$AK:$AK,$X89,AS!$AH:$AH,$X$8,AS!$I:$I,$X$7,AS!$AV:$AV,$X$6,AS!$AW:$AW,Tilanne!$Y$6,AS!$X:$X,Tilanne!$Y$5,AS!$K:$K,Tilanne!$V$2)</f>
        <v>0</v>
      </c>
      <c r="E89" s="162">
        <f>SUMIFS(AS!$W:$W,AS!$BO:$BO,$W$7,AS!$AB:$AB,AS!$AA$1,AS!$AK:$AK,$X89,AS!$AH:$AH,$X$8,AS!$I:$I,$Y$7,AS!$AV:$AV,$X$6,AS!$AW:$AW,Tilanne!$Y$6,AS!$X:$X,Tilanne!$Y$5,AS!$K:$K,Tilanne!$V$2)</f>
        <v>0</v>
      </c>
      <c r="F89" s="248">
        <f>SUMIFS(AS!$W:$W,AS!$BO:$BO,$W$7,AS!$AB:$AB,AS!$AA$1,AS!$AK:$AK,$X89,AS!$AH:$AH,$Y$8,AS!$AV:$AV,$X$6,AS!$AW:$AW,Tilanne!$Y$6,AS!$X:$X,Tilanne!$Y$5,AS!$K:$K,Tilanne!$V$2)</f>
        <v>0</v>
      </c>
      <c r="G89" s="264"/>
      <c r="I89" s="273" t="s">
        <v>129</v>
      </c>
      <c r="J89" s="274">
        <f>SUMIFS(AS!$W:$W,AS!$BO:$BO,$W$7,AS!$AB:$AB,AS!$AA$1,AS!$AP:$AP,$X89,AS!$AH:$AH,$X$8,AS!$AV:$AV,$X$6,AS!$AW:$AW,Tilanne!$Y$6,AS!$X:$X,Tilanne!$Y$5,AS!$K:$K,Tilanne!$V$2)</f>
        <v>0</v>
      </c>
      <c r="K89" s="324" t="str">
        <f t="shared" si="45"/>
        <v>-</v>
      </c>
      <c r="L89" s="63">
        <f>SUMIFS(AS!$W:$W,AS!$BO:$BO,$W$7,AS!$AB:$AB,AS!$AA$1,AS!$AP:$AP,$X89,AS!$AH:$AH,$X$8,AS!$I:$I,$X$7,AS!$AV:$AV,$X$6,AS!$AW:$AW,Tilanne!$Y$6,AS!$X:$X,Tilanne!$Y$5,AS!$K:$K,Tilanne!$V$2)</f>
        <v>0</v>
      </c>
      <c r="M89" s="162">
        <f>SUMIFS(AS!$W:$W,AS!$BO:$BO,$W$7,AS!$AB:$AB,AS!$AA$1,AS!$AP:$AP,$X89,AS!$AH:$AH,$X$8,AS!$I:$I,$Y$7,AS!$AV:$AV,$X$6,AS!$AW:$AW,Tilanne!$Y$6,AS!$X:$X,Tilanne!$Y$5,AS!$K:$K,Tilanne!$V$2)</f>
        <v>0</v>
      </c>
      <c r="N89" s="162">
        <f>SUMIFS(AS!$W:$W,AS!$BO:$BO,$W$7,AS!$AB:$AB,AS!$AA$1,AS!$AP:$AP,$X89,AS!$AH:$AH,"vanha",AS!$AV:$AV,$X$6,AS!$AW:$AW,Tilanne!$Y$6,AS!$X:$X,Tilanne!$Y$5,AS!$K:$K,Tilanne!$V$2)</f>
        <v>0</v>
      </c>
      <c r="O89" s="264"/>
      <c r="Q89" s="275" t="s">
        <v>129</v>
      </c>
      <c r="R89" s="91">
        <f t="shared" si="39"/>
        <v>0</v>
      </c>
      <c r="S89" s="323" t="str">
        <f t="shared" si="40"/>
        <v>-</v>
      </c>
      <c r="T89" s="91">
        <f t="shared" si="41"/>
        <v>0</v>
      </c>
      <c r="U89" s="91">
        <f t="shared" si="42"/>
        <v>0</v>
      </c>
      <c r="V89" s="91">
        <f t="shared" si="43"/>
        <v>0</v>
      </c>
      <c r="X89" s="155" t="s">
        <v>350</v>
      </c>
    </row>
    <row r="90" spans="1:24" x14ac:dyDescent="0.25">
      <c r="A90" s="275" t="s">
        <v>30</v>
      </c>
      <c r="B90" s="148">
        <f>SUMIFS(AS!$W:$W,AS!$BO:$BO,$W$7,AS!$AB:$AB,AS!$AA$1,AS!$AK:$AK,$X90,AS!$AH:$AH,$X$8,AS!$AV:$AV,$X$6,AS!$AW:$AW,Tilanne!$Y$6,AS!$X:$X,Tilanne!$Y$5,AS!$K:$K,Tilanne!$V$2)</f>
        <v>0</v>
      </c>
      <c r="C90" s="324" t="str">
        <f t="shared" si="44"/>
        <v>-</v>
      </c>
      <c r="D90" s="63">
        <f>SUMIFS(AS!$W:$W,AS!$BO:$BO,$W$7,AS!$AB:$AB,AS!$AA$1,AS!$AK:$AK,$X90,AS!$AH:$AH,$X$8,AS!$I:$I,$X$7,AS!$AV:$AV,$X$6,AS!$AW:$AW,Tilanne!$Y$6,AS!$X:$X,Tilanne!$Y$5,AS!$K:$K,Tilanne!$V$2)</f>
        <v>0</v>
      </c>
      <c r="E90" s="162">
        <f>SUMIFS(AS!$W:$W,AS!$BO:$BO,$W$7,AS!$AB:$AB,AS!$AA$1,AS!$AK:$AK,$X90,AS!$AH:$AH,$X$8,AS!$I:$I,$Y$7,AS!$AV:$AV,$X$6,AS!$AW:$AW,Tilanne!$Y$6,AS!$X:$X,Tilanne!$Y$5,AS!$K:$K,Tilanne!$V$2)</f>
        <v>0</v>
      </c>
      <c r="F90" s="248">
        <f>SUMIFS(AS!$W:$W,AS!$BO:$BO,$W$7,AS!$AB:$AB,AS!$AA$1,AS!$AK:$AK,$X90,AS!$AH:$AH,$Y$8,AS!$AV:$AV,$X$6,AS!$AW:$AW,Tilanne!$Y$6,AS!$X:$X,Tilanne!$Y$5,AS!$K:$K,Tilanne!$V$2)</f>
        <v>0</v>
      </c>
      <c r="G90" s="264"/>
      <c r="I90" s="273" t="s">
        <v>30</v>
      </c>
      <c r="J90" s="274">
        <f>SUMIFS(AS!$W:$W,AS!$BO:$BO,$W$7,AS!$AB:$AB,AS!$AA$1,AS!$AP:$AP,$X90,AS!$AH:$AH,$X$8,AS!$AV:$AV,$X$6,AS!$AW:$AW,Tilanne!$Y$6,AS!$X:$X,Tilanne!$Y$5,AS!$K:$K,Tilanne!$V$2)</f>
        <v>0</v>
      </c>
      <c r="K90" s="324" t="str">
        <f t="shared" si="45"/>
        <v>-</v>
      </c>
      <c r="L90" s="63">
        <f>SUMIFS(AS!$W:$W,AS!$BO:$BO,$W$7,AS!$AB:$AB,AS!$AA$1,AS!$AP:$AP,$X90,AS!$AH:$AH,$X$8,AS!$I:$I,$X$7,AS!$AV:$AV,$X$6,AS!$AW:$AW,Tilanne!$Y$6,AS!$X:$X,Tilanne!$Y$5,AS!$K:$K,Tilanne!$V$2)</f>
        <v>0</v>
      </c>
      <c r="M90" s="162">
        <f>SUMIFS(AS!$W:$W,AS!$BO:$BO,$W$7,AS!$AB:$AB,AS!$AA$1,AS!$AP:$AP,$X90,AS!$AH:$AH,$X$8,AS!$I:$I,$Y$7,AS!$AV:$AV,$X$6,AS!$AW:$AW,Tilanne!$Y$6,AS!$X:$X,Tilanne!$Y$5,AS!$K:$K,Tilanne!$V$2)</f>
        <v>0</v>
      </c>
      <c r="N90" s="162">
        <f>SUMIFS(AS!$W:$W,AS!$BO:$BO,$W$7,AS!$AB:$AB,AS!$AA$1,AS!$AP:$AP,$X90,AS!$AH:$AH,"vanha",AS!$AV:$AV,$X$6,AS!$AW:$AW,Tilanne!$Y$6,AS!$X:$X,Tilanne!$Y$5,AS!$K:$K,Tilanne!$V$2)</f>
        <v>0</v>
      </c>
      <c r="O90" s="264"/>
      <c r="Q90" s="275" t="s">
        <v>30</v>
      </c>
      <c r="R90" s="91">
        <f t="shared" si="39"/>
        <v>0</v>
      </c>
      <c r="S90" s="323" t="str">
        <f t="shared" si="40"/>
        <v>-</v>
      </c>
      <c r="T90" s="91">
        <f t="shared" si="41"/>
        <v>0</v>
      </c>
      <c r="U90" s="91">
        <f t="shared" si="42"/>
        <v>0</v>
      </c>
      <c r="V90" s="91">
        <f t="shared" si="43"/>
        <v>0</v>
      </c>
      <c r="X90" s="155" t="s">
        <v>373</v>
      </c>
    </row>
    <row r="91" spans="1:24" x14ac:dyDescent="0.25">
      <c r="A91" s="275" t="s">
        <v>547</v>
      </c>
      <c r="B91" s="148">
        <f>SUMIFS(AS!$W:$W,AS!$BO:$BO,$W$7,AS!$AB:$AB,AS!$AA$1,AS!$AK:$AK,$X91,AS!$AH:$AH,$X$8,AS!$AV:$AV,$X$6,AS!$AW:$AW,Tilanne!$Y$6,AS!$X:$X,Tilanne!$Y$5,AS!$K:$K,Tilanne!$V$2)</f>
        <v>0</v>
      </c>
      <c r="C91" s="324" t="str">
        <f t="shared" si="44"/>
        <v>-</v>
      </c>
      <c r="D91" s="63">
        <f>SUMIFS(AS!$W:$W,AS!$BO:$BO,$W$7,AS!$AB:$AB,AS!$AA$1,AS!$AK:$AK,$X91,AS!$AH:$AH,$X$8,AS!$I:$I,$X$7,AS!$AV:$AV,$X$6,AS!$AW:$AW,Tilanne!$Y$6,AS!$X:$X,Tilanne!$Y$5,AS!$K:$K,Tilanne!$V$2)</f>
        <v>0</v>
      </c>
      <c r="E91" s="162">
        <f>SUMIFS(AS!$W:$W,AS!$BO:$BO,$W$7,AS!$AB:$AB,AS!$AA$1,AS!$AK:$AK,$X91,AS!$AH:$AH,$X$8,AS!$I:$I,$Y$7,AS!$AV:$AV,$X$6,AS!$AW:$AW,Tilanne!$Y$6,AS!$X:$X,Tilanne!$Y$5,AS!$K:$K,Tilanne!$V$2)</f>
        <v>0</v>
      </c>
      <c r="F91" s="248">
        <f>SUMIFS(AS!$W:$W,AS!$BO:$BO,$W$7,AS!$AB:$AB,AS!$AA$1,AS!$AK:$AK,$X91,AS!$AH:$AH,$Y$8,AS!$AV:$AV,$X$6,AS!$AW:$AW,Tilanne!$Y$6,AS!$X:$X,Tilanne!$Y$5,AS!$K:$K,Tilanne!$V$2)</f>
        <v>0</v>
      </c>
      <c r="G91" s="264"/>
      <c r="I91" s="273" t="s">
        <v>547</v>
      </c>
      <c r="J91" s="274">
        <f>SUMIFS(AS!$W:$W,AS!$BO:$BO,$W$7,AS!$AB:$AB,AS!$AA$1,AS!$AP:$AP,$X91,AS!$AH:$AH,$X$8,AS!$AV:$AV,$X$6,AS!$AW:$AW,Tilanne!$Y$6,AS!$X:$X,Tilanne!$Y$5,AS!$K:$K,Tilanne!$V$2)</f>
        <v>0</v>
      </c>
      <c r="K91" s="324" t="str">
        <f t="shared" si="45"/>
        <v>-</v>
      </c>
      <c r="L91" s="63">
        <f>SUMIFS(AS!$W:$W,AS!$BO:$BO,$W$7,AS!$AB:$AB,AS!$AA$1,AS!$AP:$AP,$X91,AS!$AH:$AH,$X$8,AS!$I:$I,$X$7,AS!$AV:$AV,$X$6,AS!$AW:$AW,Tilanne!$Y$6,AS!$X:$X,Tilanne!$Y$5,AS!$K:$K,Tilanne!$V$2)</f>
        <v>0</v>
      </c>
      <c r="M91" s="162">
        <f>SUMIFS(AS!$W:$W,AS!$BO:$BO,$W$7,AS!$AB:$AB,AS!$AA$1,AS!$AP:$AP,$X91,AS!$AH:$AH,$X$8,AS!$I:$I,$Y$7,AS!$AV:$AV,$X$6,AS!$AW:$AW,Tilanne!$Y$6,AS!$X:$X,Tilanne!$Y$5,AS!$K:$K,Tilanne!$V$2)</f>
        <v>0</v>
      </c>
      <c r="N91" s="162">
        <f>SUMIFS(AS!$W:$W,AS!$BO:$BO,$W$7,AS!$AB:$AB,AS!$AA$1,AS!$AP:$AP,$X91,AS!$AH:$AH,"vanha",AS!$AV:$AV,$X$6,AS!$AW:$AW,Tilanne!$Y$6,AS!$X:$X,Tilanne!$Y$5,AS!$K:$K,Tilanne!$V$2)</f>
        <v>0</v>
      </c>
      <c r="O91" s="264"/>
      <c r="Q91" s="275" t="s">
        <v>547</v>
      </c>
      <c r="R91" s="91">
        <f t="shared" si="39"/>
        <v>0</v>
      </c>
      <c r="S91" s="323" t="str">
        <f t="shared" ref="S91:S100" si="46">IFERROR(K91-C91,"-")</f>
        <v>-</v>
      </c>
      <c r="T91" s="91">
        <f t="shared" si="41"/>
        <v>0</v>
      </c>
      <c r="U91" s="91">
        <f t="shared" si="42"/>
        <v>0</v>
      </c>
      <c r="V91" s="91">
        <f t="shared" si="43"/>
        <v>0</v>
      </c>
      <c r="X91" s="155" t="s">
        <v>506</v>
      </c>
    </row>
    <row r="92" spans="1:24" x14ac:dyDescent="0.25">
      <c r="A92" s="275" t="s">
        <v>130</v>
      </c>
      <c r="B92" s="148">
        <f>SUMIFS(AS!$W:$W,AS!$BO:$BO,$W$7,AS!$AB:$AB,AS!$AA$1,AS!$AK:$AK,$X92,AS!$AH:$AH,$X$8,AS!$AV:$AV,$X$6,AS!$AW:$AW,Tilanne!$Y$6,AS!$X:$X,Tilanne!$Y$5,AS!$K:$K,Tilanne!$V$2)</f>
        <v>0</v>
      </c>
      <c r="C92" s="324" t="str">
        <f t="shared" si="44"/>
        <v>-</v>
      </c>
      <c r="D92" s="63">
        <f>SUMIFS(AS!$W:$W,AS!$BO:$BO,$W$7,AS!$AB:$AB,AS!$AA$1,AS!$AK:$AK,$X92,AS!$AH:$AH,$X$8,AS!$I:$I,$X$7,AS!$AV:$AV,$X$6,AS!$AW:$AW,Tilanne!$Y$6,AS!$X:$X,Tilanne!$Y$5,AS!$K:$K,Tilanne!$V$2)</f>
        <v>0</v>
      </c>
      <c r="E92" s="162">
        <f>SUMIFS(AS!$W:$W,AS!$BO:$BO,$W$7,AS!$AB:$AB,AS!$AA$1,AS!$AK:$AK,$X92,AS!$AH:$AH,$X$8,AS!$I:$I,$Y$7,AS!$AV:$AV,$X$6,AS!$AW:$AW,Tilanne!$Y$6,AS!$X:$X,Tilanne!$Y$5,AS!$K:$K,Tilanne!$V$2)</f>
        <v>0</v>
      </c>
      <c r="F92" s="248">
        <f>SUMIFS(AS!$W:$W,AS!$BO:$BO,$W$7,AS!$AB:$AB,AS!$AA$1,AS!$AK:$AK,$X92,AS!$AH:$AH,$Y$8,AS!$AV:$AV,$X$6,AS!$AW:$AW,Tilanne!$Y$6,AS!$X:$X,Tilanne!$Y$5,AS!$K:$K,Tilanne!$V$2)</f>
        <v>0</v>
      </c>
      <c r="G92" s="264"/>
      <c r="I92" s="273" t="s">
        <v>130</v>
      </c>
      <c r="J92" s="274">
        <f>SUMIFS(AS!$W:$W,AS!$BO:$BO,$W$7,AS!$AB:$AB,AS!$AA$1,AS!$AP:$AP,$X92,AS!$AH:$AH,$X$8,AS!$AV:$AV,$X$6,AS!$AW:$AW,Tilanne!$Y$6,AS!$X:$X,Tilanne!$Y$5,AS!$K:$K,Tilanne!$V$2)</f>
        <v>0</v>
      </c>
      <c r="K92" s="324" t="str">
        <f t="shared" si="45"/>
        <v>-</v>
      </c>
      <c r="L92" s="63">
        <f>SUMIFS(AS!$W:$W,AS!$BO:$BO,$W$7,AS!$AB:$AB,AS!$AA$1,AS!$AP:$AP,$X92,AS!$AH:$AH,$X$8,AS!$I:$I,$X$7,AS!$AV:$AV,$X$6,AS!$AW:$AW,Tilanne!$Y$6,AS!$X:$X,Tilanne!$Y$5,AS!$K:$K,Tilanne!$V$2)</f>
        <v>0</v>
      </c>
      <c r="M92" s="162">
        <f>SUMIFS(AS!$W:$W,AS!$BO:$BO,$W$7,AS!$AB:$AB,AS!$AA$1,AS!$AP:$AP,$X92,AS!$AH:$AH,$X$8,AS!$I:$I,$Y$7,AS!$AV:$AV,$X$6,AS!$AW:$AW,Tilanne!$Y$6,AS!$X:$X,Tilanne!$Y$5,AS!$K:$K,Tilanne!$V$2)</f>
        <v>0</v>
      </c>
      <c r="N92" s="162">
        <f>SUMIFS(AS!$W:$W,AS!$BO:$BO,$W$7,AS!$AB:$AB,AS!$AA$1,AS!$AP:$AP,$X92,AS!$AH:$AH,"vanha",AS!$AV:$AV,$X$6,AS!$AW:$AW,Tilanne!$Y$6,AS!$X:$X,Tilanne!$Y$5,AS!$K:$K,Tilanne!$V$2)</f>
        <v>0</v>
      </c>
      <c r="O92" s="264"/>
      <c r="Q92" s="275" t="s">
        <v>130</v>
      </c>
      <c r="R92" s="91">
        <f t="shared" si="39"/>
        <v>0</v>
      </c>
      <c r="S92" s="323" t="str">
        <f t="shared" si="46"/>
        <v>-</v>
      </c>
      <c r="T92" s="91">
        <f t="shared" si="41"/>
        <v>0</v>
      </c>
      <c r="U92" s="91">
        <f t="shared" si="42"/>
        <v>0</v>
      </c>
      <c r="V92" s="91">
        <f t="shared" si="43"/>
        <v>0</v>
      </c>
      <c r="X92" s="155" t="s">
        <v>381</v>
      </c>
    </row>
    <row r="93" spans="1:24" x14ac:dyDescent="0.25">
      <c r="A93" s="275" t="s">
        <v>131</v>
      </c>
      <c r="B93" s="148">
        <f>SUMIFS(AS!$W:$W,AS!$BO:$BO,$W$7,AS!$AB:$AB,AS!$AA$1,AS!$AK:$AK,$X93,AS!$AH:$AH,$X$8,AS!$AV:$AV,$X$6,AS!$AW:$AW,Tilanne!$Y$6,AS!$X:$X,Tilanne!$Y$5,AS!$K:$K,Tilanne!$V$2)</f>
        <v>0</v>
      </c>
      <c r="C93" s="324" t="str">
        <f t="shared" si="44"/>
        <v>-</v>
      </c>
      <c r="D93" s="63">
        <f>SUMIFS(AS!$W:$W,AS!$BO:$BO,$W$7,AS!$AB:$AB,AS!$AA$1,AS!$AK:$AK,$X93,AS!$AH:$AH,$X$8,AS!$I:$I,$X$7,AS!$AV:$AV,$X$6,AS!$AW:$AW,Tilanne!$Y$6,AS!$X:$X,Tilanne!$Y$5,AS!$K:$K,Tilanne!$V$2)</f>
        <v>0</v>
      </c>
      <c r="E93" s="162">
        <f>SUMIFS(AS!$W:$W,AS!$BO:$BO,$W$7,AS!$AB:$AB,AS!$AA$1,AS!$AK:$AK,$X93,AS!$AH:$AH,$X$8,AS!$I:$I,$Y$7,AS!$AV:$AV,$X$6,AS!$AW:$AW,Tilanne!$Y$6,AS!$X:$X,Tilanne!$Y$5,AS!$K:$K,Tilanne!$V$2)</f>
        <v>0</v>
      </c>
      <c r="F93" s="248">
        <f>SUMIFS(AS!$W:$W,AS!$BO:$BO,$W$7,AS!$AB:$AB,AS!$AA$1,AS!$AK:$AK,$X93,AS!$AH:$AH,$Y$8,AS!$AV:$AV,$X$6,AS!$AW:$AW,Tilanne!$Y$6,AS!$X:$X,Tilanne!$Y$5,AS!$K:$K,Tilanne!$V$2)</f>
        <v>0</v>
      </c>
      <c r="G93" s="264"/>
      <c r="I93" s="273" t="s">
        <v>131</v>
      </c>
      <c r="J93" s="274">
        <f>SUMIFS(AS!$W:$W,AS!$BO:$BO,$W$7,AS!$AB:$AB,AS!$AA$1,AS!$AP:$AP,$X93,AS!$AH:$AH,$X$8,AS!$AV:$AV,$X$6,AS!$AW:$AW,Tilanne!$Y$6,AS!$X:$X,Tilanne!$Y$5,AS!$K:$K,Tilanne!$V$2)</f>
        <v>0</v>
      </c>
      <c r="K93" s="324" t="str">
        <f t="shared" si="45"/>
        <v>-</v>
      </c>
      <c r="L93" s="63">
        <f>SUMIFS(AS!$W:$W,AS!$BO:$BO,$W$7,AS!$AB:$AB,AS!$AA$1,AS!$AP:$AP,$X93,AS!$AH:$AH,$X$8,AS!$I:$I,$X$7,AS!$AV:$AV,$X$6,AS!$AW:$AW,Tilanne!$Y$6,AS!$X:$X,Tilanne!$Y$5,AS!$K:$K,Tilanne!$V$2)</f>
        <v>0</v>
      </c>
      <c r="M93" s="162">
        <f>SUMIFS(AS!$W:$W,AS!$BO:$BO,$W$7,AS!$AB:$AB,AS!$AA$1,AS!$AP:$AP,$X93,AS!$AH:$AH,$X$8,AS!$I:$I,$Y$7,AS!$AV:$AV,$X$6,AS!$AW:$AW,Tilanne!$Y$6,AS!$X:$X,Tilanne!$Y$5,AS!$K:$K,Tilanne!$V$2)</f>
        <v>0</v>
      </c>
      <c r="N93" s="162">
        <f>SUMIFS(AS!$W:$W,AS!$BO:$BO,$W$7,AS!$AB:$AB,AS!$AA$1,AS!$AP:$AP,$X93,AS!$AH:$AH,"vanha",AS!$AV:$AV,$X$6,AS!$AW:$AW,Tilanne!$Y$6,AS!$X:$X,Tilanne!$Y$5,AS!$K:$K,Tilanne!$V$2)</f>
        <v>0</v>
      </c>
      <c r="O93" s="264"/>
      <c r="Q93" s="275" t="s">
        <v>131</v>
      </c>
      <c r="R93" s="91">
        <f t="shared" si="39"/>
        <v>0</v>
      </c>
      <c r="S93" s="323" t="str">
        <f t="shared" si="46"/>
        <v>-</v>
      </c>
      <c r="T93" s="91">
        <f t="shared" si="41"/>
        <v>0</v>
      </c>
      <c r="U93" s="91">
        <f t="shared" si="42"/>
        <v>0</v>
      </c>
      <c r="V93" s="91">
        <f t="shared" si="43"/>
        <v>0</v>
      </c>
      <c r="X93" s="155" t="s">
        <v>377</v>
      </c>
    </row>
    <row r="94" spans="1:24" x14ac:dyDescent="0.25">
      <c r="A94" s="275" t="s">
        <v>1250</v>
      </c>
      <c r="B94" s="148">
        <f>SUMIFS(AS!$W:$W,AS!$BO:$BO,$W$7,AS!$AB:$AB,AS!$AA$1,AS!$AK:$AK,$X94,AS!$AH:$AH,$X$8,AS!$AV:$AV,$X$6,AS!$AW:$AW,Tilanne!$Y$6,AS!$X:$X,Tilanne!$Y$5,AS!$K:$K,Tilanne!$V$2)</f>
        <v>0</v>
      </c>
      <c r="C94" s="324" t="str">
        <f t="shared" ref="C94" si="47">IFERROR(B94/B$100,"-")</f>
        <v>-</v>
      </c>
      <c r="D94" s="63">
        <f>SUMIFS(AS!$W:$W,AS!$BO:$BO,$W$7,AS!$AB:$AB,AS!$AA$1,AS!$AK:$AK,$X94,AS!$AH:$AH,$X$8,AS!$I:$I,$X$7,AS!$AV:$AV,$X$6,AS!$AW:$AW,Tilanne!$Y$6,AS!$X:$X,Tilanne!$Y$5,AS!$K:$K,Tilanne!$V$2)</f>
        <v>0</v>
      </c>
      <c r="E94" s="162">
        <f>SUMIFS(AS!$W:$W,AS!$BO:$BO,$W$7,AS!$AB:$AB,AS!$AA$1,AS!$AK:$AK,$X94,AS!$AH:$AH,$X$8,AS!$I:$I,$Y$7,AS!$AV:$AV,$X$6,AS!$AW:$AW,Tilanne!$Y$6,AS!$X:$X,Tilanne!$Y$5,AS!$K:$K,Tilanne!$V$2)</f>
        <v>0</v>
      </c>
      <c r="F94" s="248">
        <f>SUMIFS(AS!$W:$W,AS!$BO:$BO,$W$7,AS!$AB:$AB,AS!$AA$1,AS!$AK:$AK,$X94,AS!$AH:$AH,$Y$8,AS!$AV:$AV,$X$6,AS!$AW:$AW,Tilanne!$Y$6,AS!$X:$X,Tilanne!$Y$5,AS!$K:$K,Tilanne!$V$2)</f>
        <v>0</v>
      </c>
      <c r="G94" s="264"/>
      <c r="I94" s="275" t="s">
        <v>1250</v>
      </c>
      <c r="J94" s="274">
        <f>SUMIFS(AS!$W:$W,AS!$BO:$BO,$W$7,AS!$AB:$AB,AS!$AA$1,AS!$AP:$AP,$X94,AS!$AH:$AH,$X$8,AS!$AV:$AV,$X$6,AS!$AW:$AW,Tilanne!$Y$6,AS!$X:$X,Tilanne!$Y$5,AS!$K:$K,Tilanne!$V$2)</f>
        <v>0</v>
      </c>
      <c r="K94" s="324" t="str">
        <f t="shared" ref="K94" si="48">IFERROR(J94/J$100,"-")</f>
        <v>-</v>
      </c>
      <c r="L94" s="63">
        <f>SUMIFS(AS!$W:$W,AS!$BO:$BO,$W$7,AS!$AB:$AB,AS!$AA$1,AS!$AP:$AP,$X94,AS!$AH:$AH,$X$8,AS!$I:$I,$X$7,AS!$AV:$AV,$X$6,AS!$AW:$AW,Tilanne!$Y$6,AS!$X:$X,Tilanne!$Y$5,AS!$K:$K,Tilanne!$V$2)</f>
        <v>0</v>
      </c>
      <c r="M94" s="162">
        <f>SUMIFS(AS!$W:$W,AS!$BO:$BO,$W$7,AS!$AB:$AB,AS!$AA$1,AS!$AP:$AP,$X94,AS!$AH:$AH,$X$8,AS!$I:$I,$Y$7,AS!$AV:$AV,$X$6,AS!$AW:$AW,Tilanne!$Y$6,AS!$X:$X,Tilanne!$Y$5,AS!$K:$K,Tilanne!$V$2)</f>
        <v>0</v>
      </c>
      <c r="N94" s="162">
        <f>SUMIFS(AS!$W:$W,AS!$BO:$BO,$W$7,AS!$AB:$AB,AS!$AA$1,AS!$AP:$AP,$X94,AS!$AH:$AH,"vanha",AS!$AV:$AV,$X$6,AS!$AW:$AW,Tilanne!$Y$6,AS!$X:$X,Tilanne!$Y$5,AS!$K:$K,Tilanne!$V$2)</f>
        <v>0</v>
      </c>
      <c r="O94" s="264"/>
      <c r="Q94" s="275" t="s">
        <v>1250</v>
      </c>
      <c r="R94" s="91">
        <f t="shared" ref="R94" si="49">J94-B94</f>
        <v>0</v>
      </c>
      <c r="S94" s="323" t="str">
        <f t="shared" ref="S94" si="50">IFERROR(K94-C94,"-")</f>
        <v>-</v>
      </c>
      <c r="T94" s="91">
        <f t="shared" ref="T94" si="51">L94-D94</f>
        <v>0</v>
      </c>
      <c r="U94" s="91">
        <f t="shared" ref="U94" si="52">M94-E94</f>
        <v>0</v>
      </c>
      <c r="V94" s="91">
        <f t="shared" ref="V94" si="53">N94-F94</f>
        <v>0</v>
      </c>
      <c r="X94" s="155"/>
    </row>
    <row r="95" spans="1:24" x14ac:dyDescent="0.25">
      <c r="A95" s="275" t="s">
        <v>124</v>
      </c>
      <c r="B95" s="148">
        <f>SUMIFS(AS!$W:$W,AS!$BO:$BO,$W$7,AS!$AB:$AB,AS!$AA$1,AS!$AK:$AK,$X95,AS!$AH:$AH,$X$8,AS!$AV:$AV,$X$6,AS!$AW:$AW,Tilanne!$Y$6,AS!$X:$X,Tilanne!$Y$5,AS!$K:$K,Tilanne!$V$2)</f>
        <v>0</v>
      </c>
      <c r="C95" s="324" t="str">
        <f t="shared" si="44"/>
        <v>-</v>
      </c>
      <c r="D95" s="63">
        <f>SUMIFS(AS!$W:$W,AS!$BO:$BO,$W$7,AS!$AB:$AB,AS!$AA$1,AS!$AK:$AK,$X95,AS!$AH:$AH,$X$8,AS!$I:$I,$X$7,AS!$AV:$AV,$X$6,AS!$AW:$AW,Tilanne!$Y$6,AS!$X:$X,Tilanne!$Y$5,AS!$K:$K,Tilanne!$V$2)</f>
        <v>0</v>
      </c>
      <c r="E95" s="162">
        <f>SUMIFS(AS!$W:$W,AS!$BO:$BO,$W$7,AS!$AB:$AB,AS!$AA$1,AS!$AK:$AK,$X95,AS!$AH:$AH,$X$8,AS!$I:$I,$Y$7,AS!$AV:$AV,$X$6,AS!$AW:$AW,Tilanne!$Y$6,AS!$X:$X,Tilanne!$Y$5,AS!$K:$K,Tilanne!$V$2)</f>
        <v>0</v>
      </c>
      <c r="F95" s="248">
        <f>SUMIFS(AS!$W:$W,AS!$BO:$BO,$W$7,AS!$AB:$AB,AS!$AA$1,AS!$AK:$AK,$X95,AS!$AH:$AH,$Y$8,AS!$AV:$AV,$X$6,AS!$AW:$AW,Tilanne!$Y$6,AS!$X:$X,Tilanne!$Y$5,AS!$K:$K,Tilanne!$V$2)</f>
        <v>0</v>
      </c>
      <c r="G95" s="264"/>
      <c r="I95" s="273" t="s">
        <v>124</v>
      </c>
      <c r="J95" s="274">
        <f>SUMIFS(AS!$W:$W,AS!$BO:$BO,$W$7,AS!$AB:$AB,AS!$AA$1,AS!$AP:$AP,$X95,AS!$AH:$AH,$X$8,AS!$AV:$AV,$X$6,AS!$AW:$AW,Tilanne!$Y$6,AS!$X:$X,Tilanne!$Y$5,AS!$K:$K,Tilanne!$V$2)</f>
        <v>0</v>
      </c>
      <c r="K95" s="324" t="str">
        <f t="shared" si="45"/>
        <v>-</v>
      </c>
      <c r="L95" s="63">
        <f>SUMIFS(AS!$W:$W,AS!$BO:$BO,$W$7,AS!$AB:$AB,AS!$AA$1,AS!$AP:$AP,$X95,AS!$AH:$AH,$X$8,AS!$I:$I,$X$7,AS!$AV:$AV,$X$6,AS!$AW:$AW,Tilanne!$Y$6,AS!$X:$X,Tilanne!$Y$5,AS!$K:$K,Tilanne!$V$2)</f>
        <v>0</v>
      </c>
      <c r="M95" s="162">
        <f>SUMIFS(AS!$W:$W,AS!$BO:$BO,$W$7,AS!$AB:$AB,AS!$AA$1,AS!$AP:$AP,$X95,AS!$AH:$AH,$X$8,AS!$I:$I,$Y$7,AS!$AV:$AV,$X$6,AS!$AW:$AW,Tilanne!$Y$6,AS!$X:$X,Tilanne!$Y$5,AS!$K:$K,Tilanne!$V$2)</f>
        <v>0</v>
      </c>
      <c r="N95" s="162">
        <f>SUMIFS(AS!$W:$W,AS!$BO:$BO,$W$7,AS!$AB:$AB,AS!$AA$1,AS!$AP:$AP,$X95,AS!$AH:$AH,"vanha",AS!$AV:$AV,$X$6,AS!$AW:$AW,Tilanne!$Y$6,AS!$X:$X,Tilanne!$Y$5,AS!$K:$K,Tilanne!$V$2)</f>
        <v>0</v>
      </c>
      <c r="O95" s="264"/>
      <c r="Q95" s="275" t="s">
        <v>124</v>
      </c>
      <c r="R95" s="91">
        <f t="shared" si="39"/>
        <v>0</v>
      </c>
      <c r="S95" s="323" t="str">
        <f t="shared" si="46"/>
        <v>-</v>
      </c>
      <c r="T95" s="91">
        <f t="shared" si="41"/>
        <v>0</v>
      </c>
      <c r="U95" s="91">
        <f t="shared" si="42"/>
        <v>0</v>
      </c>
      <c r="V95" s="91">
        <f t="shared" si="43"/>
        <v>0</v>
      </c>
      <c r="X95" s="155" t="s">
        <v>394</v>
      </c>
    </row>
    <row r="96" spans="1:24" x14ac:dyDescent="0.25">
      <c r="A96" s="275" t="s">
        <v>63</v>
      </c>
      <c r="B96" s="148">
        <f>SUMIFS(AS!$W:$W,AS!$BO:$BO,$W$7,AS!$AB:$AB,AS!$AA$1,AS!$AK:$AK,$X96,AS!$AH:$AH,$X$8,AS!$AV:$AV,$X$6,AS!$AW:$AW,Tilanne!$Y$6,AS!$X:$X,Tilanne!$Y$5,AS!$K:$K,Tilanne!$V$2)</f>
        <v>0</v>
      </c>
      <c r="C96" s="324" t="str">
        <f t="shared" si="44"/>
        <v>-</v>
      </c>
      <c r="D96" s="63">
        <f>SUMIFS(AS!$W:$W,AS!$BO:$BO,$W$7,AS!$AB:$AB,AS!$AA$1,AS!$AK:$AK,$X96,AS!$AH:$AH,$X$8,AS!$I:$I,$X$7,AS!$AV:$AV,$X$6,AS!$AW:$AW,Tilanne!$Y$6,AS!$X:$X,Tilanne!$Y$5,AS!$K:$K,Tilanne!$V$2)</f>
        <v>0</v>
      </c>
      <c r="E96" s="162">
        <f>SUMIFS(AS!$W:$W,AS!$BO:$BO,$W$7,AS!$AB:$AB,AS!$AA$1,AS!$AK:$AK,$X96,AS!$AH:$AH,$X$8,AS!$I:$I,$Y$7,AS!$AV:$AV,$X$6,AS!$AW:$AW,Tilanne!$Y$6,AS!$X:$X,Tilanne!$Y$5,AS!$K:$K,Tilanne!$V$2)</f>
        <v>0</v>
      </c>
      <c r="F96" s="248">
        <f>SUMIFS(AS!$W:$W,AS!$BO:$BO,$W$7,AS!$AB:$AB,AS!$AA$1,AS!$AK:$AK,$X96,AS!$AH:$AH,$Y$8,AS!$AV:$AV,$X$6,AS!$AW:$AW,Tilanne!$Y$6,AS!$X:$X,Tilanne!$Y$5,AS!$K:$K,Tilanne!$V$2)</f>
        <v>0</v>
      </c>
      <c r="G96" s="264"/>
      <c r="I96" s="273" t="s">
        <v>63</v>
      </c>
      <c r="J96" s="274">
        <f>SUMIFS(AS!$W:$W,AS!$BO:$BO,$W$7,AS!$AB:$AB,AS!$AA$1,AS!$AP:$AP,$X96,AS!$AH:$AH,$X$8,AS!$AV:$AV,$X$6,AS!$AW:$AW,Tilanne!$Y$6,AS!$X:$X,Tilanne!$Y$5,AS!$K:$K,Tilanne!$V$2)</f>
        <v>0</v>
      </c>
      <c r="K96" s="324" t="str">
        <f t="shared" si="45"/>
        <v>-</v>
      </c>
      <c r="L96" s="63">
        <f>SUMIFS(AS!$W:$W,AS!$BO:$BO,$W$7,AS!$AB:$AB,AS!$AA$1,AS!$AP:$AP,$X96,AS!$AH:$AH,$X$8,AS!$I:$I,$X$7,AS!$AV:$AV,$X$6,AS!$AW:$AW,Tilanne!$Y$6,AS!$X:$X,Tilanne!$Y$5,AS!$K:$K,Tilanne!$V$2)</f>
        <v>0</v>
      </c>
      <c r="M96" s="162">
        <f>SUMIFS(AS!$W:$W,AS!$BO:$BO,$W$7,AS!$AB:$AB,AS!$AA$1,AS!$AP:$AP,$X96,AS!$AH:$AH,$X$8,AS!$I:$I,$Y$7,AS!$AV:$AV,$X$6,AS!$AW:$AW,Tilanne!$Y$6,AS!$X:$X,Tilanne!$Y$5,AS!$K:$K,Tilanne!$V$2)</f>
        <v>0</v>
      </c>
      <c r="N96" s="162">
        <f>SUMIFS(AS!$W:$W,AS!$BO:$BO,$W$7,AS!$AB:$AB,AS!$AA$1,AS!$AP:$AP,$X96,AS!$AH:$AH,"vanha",AS!$AV:$AV,$X$6,AS!$AW:$AW,Tilanne!$Y$6,AS!$X:$X,Tilanne!$Y$5,AS!$K:$K,Tilanne!$V$2)</f>
        <v>0</v>
      </c>
      <c r="O96" s="264"/>
      <c r="Q96" s="275" t="s">
        <v>63</v>
      </c>
      <c r="R96" s="91">
        <f t="shared" si="39"/>
        <v>0</v>
      </c>
      <c r="S96" s="323" t="str">
        <f t="shared" si="46"/>
        <v>-</v>
      </c>
      <c r="T96" s="91">
        <f t="shared" si="41"/>
        <v>0</v>
      </c>
      <c r="U96" s="91">
        <f t="shared" si="42"/>
        <v>0</v>
      </c>
      <c r="V96" s="91">
        <f t="shared" si="43"/>
        <v>0</v>
      </c>
      <c r="X96" s="155" t="s">
        <v>399</v>
      </c>
    </row>
    <row r="97" spans="1:25" x14ac:dyDescent="0.25">
      <c r="A97" s="59" t="s">
        <v>97</v>
      </c>
      <c r="B97" s="65">
        <f>SUM(B98:B99)</f>
        <v>0</v>
      </c>
      <c r="C97" s="322" t="str">
        <f>IFERROR(B97/B$100,"-")</f>
        <v>-</v>
      </c>
      <c r="D97" s="65">
        <f>SUM(D98:D99)</f>
        <v>0</v>
      </c>
      <c r="E97" s="65">
        <f>SUM(E98:E99)</f>
        <v>0</v>
      </c>
      <c r="F97" s="65">
        <f>SUM(F98:F99)</f>
        <v>0</v>
      </c>
      <c r="G97" s="264"/>
      <c r="I97" s="590" t="s">
        <v>97</v>
      </c>
      <c r="J97" s="589">
        <f>SUM(J98:J99)</f>
        <v>0</v>
      </c>
      <c r="K97" s="601" t="str">
        <f>IFERROR(J97/J$100,"-")</f>
        <v>-</v>
      </c>
      <c r="L97" s="589">
        <f>SUM(L98:L99)</f>
        <v>0</v>
      </c>
      <c r="M97" s="589">
        <f>SUM(M98:M99)</f>
        <v>0</v>
      </c>
      <c r="N97" s="589">
        <f>SUM(N98:N99)</f>
        <v>0</v>
      </c>
      <c r="O97" s="264"/>
      <c r="Q97" s="59" t="s">
        <v>97</v>
      </c>
      <c r="R97" s="92">
        <f>J97-B97</f>
        <v>0</v>
      </c>
      <c r="S97" s="325" t="str">
        <f t="shared" si="46"/>
        <v>-</v>
      </c>
      <c r="T97" s="92">
        <f>L97-D97</f>
        <v>0</v>
      </c>
      <c r="U97" s="92">
        <f>M97-E97</f>
        <v>0</v>
      </c>
      <c r="V97" s="92">
        <f t="shared" si="43"/>
        <v>0</v>
      </c>
      <c r="X97" s="155" t="s">
        <v>1460</v>
      </c>
    </row>
    <row r="98" spans="1:25" x14ac:dyDescent="0.25">
      <c r="A98" s="273" t="s">
        <v>123</v>
      </c>
      <c r="B98" s="274">
        <f>SUMIFS(AS!$W:$W,AS!$BO:$BO,$W$7,AS!$AB:$AB,AS!$AA$1,AS!$AK:$AK,$X98,AS!$AH:$AH,$X$8,AS!$AV:$AV,$X$6,AS!$AW:$AW,Tilanne!$Y$6,AS!$X:$X,Tilanne!$Y$5,AS!$K:$K,Tilanne!$V$2)</f>
        <v>0</v>
      </c>
      <c r="C98" s="324" t="str">
        <f>IFERROR(B98/B$100,"-")</f>
        <v>-</v>
      </c>
      <c r="D98" s="63">
        <f>SUMIFS(AS!$W:$W,AS!$BO:$BO,$W$7,AS!$AB:$AB,AS!$AA$1,AS!$AK:$AK,$X98,AS!$AH:$AH,$X$8,AS!$I:$I,$X$7,AS!$AV:$AV,$X$6,AS!$AW:$AW,Tilanne!$Y$6,AS!$X:$X,Tilanne!$Y$5,AS!$K:$K,Tilanne!$V$2)</f>
        <v>0</v>
      </c>
      <c r="E98" s="63">
        <f>SUMIFS(AS!$W:$W,AS!$BO:$BO,$W$7,AS!$AB:$AB,AS!$AA$1,AS!$AK:$AK,$X98,AS!$AH:$AH,$X$8,AS!$I:$I,$Y$7,AS!$AV:$AV,$X$6,AS!$AW:$AW,Tilanne!$Y$6,AS!$X:$X,Tilanne!$Y$5,AS!$K:$K,Tilanne!$V$2)</f>
        <v>0</v>
      </c>
      <c r="F98" s="148">
        <f>SUMIFS(AS!$W:$W,AS!$BO:$BO,$W$7,AS!$AB:$AB,AS!$AA$1,AS!$AK:$AK,$X98,AS!$AH:$AH,$Y$8,AS!$AV:$AV,$X$6,AS!$AW:$AW,Tilanne!$Y$6,AS!$X:$X,Tilanne!$Y$5,AS!$K:$K,Tilanne!$V$2)</f>
        <v>0</v>
      </c>
      <c r="G98" s="264"/>
      <c r="I98" s="273" t="s">
        <v>123</v>
      </c>
      <c r="J98" s="274">
        <f>SUMIFS(AS!$W:$W,AS!$BO:$BO,$W$7,AS!$AB:$AB,AS!$AA$1,AS!$AP:$AP,$X98,AS!$AH:$AH,$X$8,AS!$AV:$AV,$X$6,AS!$AW:$AW,Tilanne!$Y$6,AS!$X:$X,Tilanne!$Y$5,AS!$K:$K,Tilanne!$V$2)</f>
        <v>0</v>
      </c>
      <c r="K98" s="324" t="str">
        <f>IFERROR(J98/J$100,"-")</f>
        <v>-</v>
      </c>
      <c r="L98" s="63">
        <f>SUMIFS(AS!$W:$W,AS!$BO:$BO,$W$7,AS!$AB:$AB,AS!$AA$1,AS!$AP:$AP,$X98,AS!$AH:$AH,$X$8,AS!$I:$I,$X$7,AS!$AV:$AV,$X$6,AS!$AW:$AW,Tilanne!$Y$6,AS!$X:$X,Tilanne!$Y$5,AS!$K:$K,Tilanne!$V$2)</f>
        <v>0</v>
      </c>
      <c r="M98" s="63">
        <f>SUMIFS(AS!$W:$W,AS!$BO:$BO,$W$7,AS!$AB:$AB,AS!$AA$1,AS!$AP:$AP,$X98,AS!$AH:$AH,$X$8,AS!$I:$I,$Y$7,AS!$AV:$AV,$X$6,AS!$AW:$AW,Tilanne!$Y$6,AS!$X:$X,Tilanne!$Y$5,AS!$K:$K,Tilanne!$V$2)</f>
        <v>0</v>
      </c>
      <c r="N98" s="148">
        <f>SUMIFS(AS!$W:$W,AS!$BO:$BO,$W$7,AS!$AB:$AB,AS!$AA$1,AS!$AP:$AP,$X98,AS!$AH:$AH,"vanha",AS!$AV:$AV,$X$6,AS!$AW:$AW,Tilanne!$Y$6,AS!$X:$X,Tilanne!$Y$5,AS!$K:$K,Tilanne!$V$2)</f>
        <v>0</v>
      </c>
      <c r="O98" s="264"/>
      <c r="Q98" s="83" t="s">
        <v>97</v>
      </c>
      <c r="R98" s="91">
        <f>J98-B98</f>
        <v>0</v>
      </c>
      <c r="S98" s="323" t="str">
        <f t="shared" si="46"/>
        <v>-</v>
      </c>
      <c r="T98" s="91">
        <f>L98-D98</f>
        <v>0</v>
      </c>
      <c r="U98" s="91">
        <f>M98-E98</f>
        <v>0</v>
      </c>
      <c r="V98" s="91">
        <f t="shared" si="43"/>
        <v>0</v>
      </c>
      <c r="X98" s="155" t="s">
        <v>365</v>
      </c>
    </row>
    <row r="99" spans="1:25" x14ac:dyDescent="0.25">
      <c r="A99" s="275" t="s">
        <v>548</v>
      </c>
      <c r="B99" s="148">
        <f>SUMIFS(AS!$W:$W,AS!$BO:$BO,$W$7,AS!$AB:$AB,AS!$AA$1,AS!$AK:$AK,"",AS!$AH:$AH,$X$8,AS!$AV:$AV,$X$6,AS!$AW:$AW,Tilanne!$Y$6,AS!$X:$X,Tilanne!$Y$5,AS!$K:$K,Tilanne!$V$2)</f>
        <v>0</v>
      </c>
      <c r="C99" s="324" t="str">
        <f>IFERROR(B99/B$100,"-")</f>
        <v>-</v>
      </c>
      <c r="D99" s="63">
        <f>SUMIFS(AS!$W:$W,AS!$BO:$BO,$W$7,AS!$AB:$AB,AS!$AA$1,AS!$AK:$AK,"",AS!$AH:$AH,$X$8,AS!$I:$I,$X$7,AS!$AV:$AV,$X$6,AS!$AW:$AW,Tilanne!$Y$6,AS!$X:$X,Tilanne!$Y$5,AS!$K:$K,Tilanne!$V$2)</f>
        <v>0</v>
      </c>
      <c r="E99" s="162">
        <f>SUMIFS(AS!$W:$W,AS!$BO:$BO,$W$7,AS!$AB:$AB,AS!$AA$1,AS!$AK:$AK,"",AS!$AH:$AH,$X$8,AS!$I:$I,$Y$7,AS!$AV:$AV,$X$6,AS!$AW:$AW,Tilanne!$Y$6,AS!$X:$X,Tilanne!$Y$5,AS!$K:$K,Tilanne!$V$2)</f>
        <v>0</v>
      </c>
      <c r="F99" s="248">
        <f>SUMIFS(AS!$W:$W,AS!$BO:$BO,$W$7,AS!$AB:$AB,AS!$AA$1,AS!$AK:$AK,"",AS!$AH:$AH,$Y$8,AS!$AV:$AV,$X$6,AS!$AW:$AW,Tilanne!$Y$6,AS!$X:$X,Tilanne!$Y$5,AS!$K:$K,Tilanne!$V$2)</f>
        <v>0</v>
      </c>
      <c r="G99" s="264"/>
      <c r="I99" s="273" t="s">
        <v>548</v>
      </c>
      <c r="J99" s="274">
        <f>SUMIFS(AS!$W:$W,AS!$BO:$BO,$W$7,AS!$AB:$AB,AS!$AA$1,AS!$AP:$AP,"",AS!$AH:$AH,$X$8,AS!$AV:$AV,$X$6,AS!$AW:$AW,Tilanne!$Y$6,AS!$X:$X,Tilanne!$Y$5,AS!$K:$K,Tilanne!$V$2)</f>
        <v>0</v>
      </c>
      <c r="K99" s="324" t="str">
        <f>IFERROR(J99/J$100,"-")</f>
        <v>-</v>
      </c>
      <c r="L99" s="63">
        <f>SUMIFS(AS!$W:$W,AS!$BO:$BO,$W$7,AS!$AB:$AB,AS!$AA$1,AS!$AP:$AP,"",AS!$AH:$AH,$X$8,AS!$I:$I,$X$7,AS!$AV:$AV,$X$6,AS!$AW:$AW,Tilanne!$Y$6,AS!$X:$X,Tilanne!$Y$5,AS!$K:$K,Tilanne!$V$2)</f>
        <v>0</v>
      </c>
      <c r="M99" s="162">
        <f>SUMIFS(AS!$W:$W,AS!$BO:$BO,$W$7,AS!$AB:$AB,AS!$AA$1,AS!$AP:$AP,"",AS!$AH:$AH,$X$8,AS!$I:$I,$Y$7,AS!$AV:$AV,$X$6,AS!$AW:$AW,Tilanne!$Y$6,AS!$X:$X,Tilanne!$Y$5,AS!$K:$K,Tilanne!$V$2)</f>
        <v>0</v>
      </c>
      <c r="N99" s="162">
        <f>SUMIFS(AS!$W:$W,AS!$BO:$BO,$W$7,AS!$AB:$AB,AS!$AA$1,AS!$AP:$AP,"",AS!$AH:$AH,"vanha",AS!$AV:$AV,$X$6,AS!$AW:$AW,Tilanne!$Y$6,AS!$X:$X,Tilanne!$Y$5,AS!$K:$K,Tilanne!$V$2)</f>
        <v>0</v>
      </c>
      <c r="O99" s="264"/>
      <c r="Q99" s="275" t="s">
        <v>548</v>
      </c>
      <c r="R99" s="91">
        <f>J99-B99</f>
        <v>0</v>
      </c>
      <c r="S99" s="323" t="str">
        <f t="shared" si="46"/>
        <v>-</v>
      </c>
      <c r="T99" s="91">
        <f t="shared" ref="T99:V100" si="54">L99-D99</f>
        <v>0</v>
      </c>
      <c r="U99" s="91">
        <f t="shared" si="54"/>
        <v>0</v>
      </c>
      <c r="V99" s="91">
        <f t="shared" si="54"/>
        <v>0</v>
      </c>
    </row>
    <row r="100" spans="1:25" x14ac:dyDescent="0.25">
      <c r="A100" s="85" t="s">
        <v>114</v>
      </c>
      <c r="B100" s="66">
        <f>SUM(B81:B97)</f>
        <v>0</v>
      </c>
      <c r="C100" s="270">
        <f>SUM(C81:C97)</f>
        <v>0</v>
      </c>
      <c r="D100" s="66">
        <f>SUM(D81:D97)</f>
        <v>0</v>
      </c>
      <c r="E100" s="66">
        <f>SUM(E81:E97)</f>
        <v>0</v>
      </c>
      <c r="F100" s="66">
        <f>SUM(F81:F97)</f>
        <v>0</v>
      </c>
      <c r="G100" s="262"/>
      <c r="I100" s="591" t="s">
        <v>114</v>
      </c>
      <c r="J100" s="592">
        <f>SUM(J81:J97)</f>
        <v>0</v>
      </c>
      <c r="K100" s="593">
        <f>SUM(K81:K97)</f>
        <v>0</v>
      </c>
      <c r="L100" s="592">
        <f>SUM(L81:L97)</f>
        <v>0</v>
      </c>
      <c r="M100" s="592">
        <f>SUM(M81:M97)</f>
        <v>0</v>
      </c>
      <c r="N100" s="592">
        <f>SUM(N81:N97)</f>
        <v>0</v>
      </c>
      <c r="O100" s="262"/>
      <c r="Q100" s="85" t="s">
        <v>114</v>
      </c>
      <c r="R100" s="93">
        <f>J100-B100</f>
        <v>0</v>
      </c>
      <c r="S100" s="326">
        <f t="shared" si="46"/>
        <v>0</v>
      </c>
      <c r="T100" s="93">
        <f t="shared" si="54"/>
        <v>0</v>
      </c>
      <c r="U100" s="93">
        <f t="shared" si="54"/>
        <v>0</v>
      </c>
      <c r="V100" s="93">
        <f t="shared" si="54"/>
        <v>0</v>
      </c>
    </row>
    <row r="101" spans="1:25" x14ac:dyDescent="0.25">
      <c r="A101" s="27"/>
      <c r="B101" s="26"/>
      <c r="C101" s="26"/>
      <c r="D101" s="27"/>
      <c r="E101" s="27"/>
      <c r="F101" s="27"/>
      <c r="G101" s="27"/>
      <c r="H101" s="27"/>
      <c r="I101" s="27"/>
      <c r="J101" s="27"/>
      <c r="K101" s="27"/>
      <c r="L101" s="27"/>
      <c r="M101" s="27"/>
      <c r="N101" s="27"/>
      <c r="O101" s="27"/>
      <c r="P101" s="27"/>
      <c r="Q101" s="27"/>
      <c r="R101" s="27"/>
    </row>
    <row r="102" spans="1:25" x14ac:dyDescent="0.25">
      <c r="A102" s="163"/>
      <c r="B102" s="26"/>
      <c r="C102" s="26"/>
      <c r="D102" s="26"/>
      <c r="E102" s="27"/>
      <c r="F102" s="27"/>
      <c r="G102" s="27"/>
      <c r="H102" s="27"/>
      <c r="I102" s="27"/>
      <c r="J102" s="27"/>
      <c r="K102" s="27"/>
      <c r="L102" s="27"/>
      <c r="M102" s="27"/>
      <c r="N102" s="27"/>
      <c r="O102" s="27"/>
      <c r="P102" s="27"/>
      <c r="Q102" s="27"/>
      <c r="R102" s="27"/>
    </row>
    <row r="103" spans="1:25" x14ac:dyDescent="0.25">
      <c r="A103" s="52" t="str">
        <f>X106&amp;X10&amp;X12</f>
        <v>Nuoren ylin suoritettu tutkinto aloitustilanteessa - 01.01.2025-30.04.2025 (Tavoitetut)</v>
      </c>
      <c r="B103" s="26"/>
      <c r="C103" s="26"/>
      <c r="D103" s="26"/>
      <c r="E103" s="27"/>
      <c r="F103" s="27"/>
      <c r="G103" s="27"/>
      <c r="H103" s="27"/>
      <c r="I103" s="52" t="str">
        <f>W106&amp;X10&amp;X12</f>
        <v>Nuoren ylin suoritettu tutkinto - viimeisin tieto - 01.01.2025-30.04.2025 (Tavoitetut)</v>
      </c>
      <c r="J103" s="27"/>
      <c r="K103" s="27"/>
      <c r="L103" s="27"/>
      <c r="M103" s="27"/>
      <c r="N103" s="27"/>
      <c r="O103" s="27"/>
      <c r="P103" s="27"/>
      <c r="Q103" s="52" t="str">
        <f>Y106&amp;X10&amp;X12</f>
        <v>Nuoren ylin suoritettu tutkinto -muutos - 01.01.2025-30.04.2025 (Tavoitetut)</v>
      </c>
      <c r="R103" s="27"/>
    </row>
    <row r="104" spans="1:25" ht="25.5" x14ac:dyDescent="0.25">
      <c r="A104" s="859" t="s">
        <v>101</v>
      </c>
      <c r="B104" s="833" t="s">
        <v>114</v>
      </c>
      <c r="C104" s="833"/>
      <c r="D104" s="57" t="s">
        <v>132</v>
      </c>
      <c r="E104" s="58" t="s">
        <v>133</v>
      </c>
      <c r="F104" s="234" t="s">
        <v>134</v>
      </c>
      <c r="G104" s="883" t="str">
        <f>A103&amp;" (N="&amp;B106&amp;")"</f>
        <v>Nuoren ylin suoritettu tutkinto aloitustilanteessa - 01.01.2025-30.04.2025 (Tavoitetut) (N=0)</v>
      </c>
      <c r="H104" s="27"/>
      <c r="I104" s="880" t="s">
        <v>101</v>
      </c>
      <c r="J104" s="882" t="s">
        <v>114</v>
      </c>
      <c r="K104" s="833"/>
      <c r="L104" s="57" t="s">
        <v>132</v>
      </c>
      <c r="M104" s="58" t="s">
        <v>133</v>
      </c>
      <c r="N104" s="57" t="s">
        <v>134</v>
      </c>
      <c r="O104" s="883" t="str">
        <f>I103&amp;" (N="&amp;J106&amp;")"</f>
        <v>Nuoren ylin suoritettu tutkinto - viimeisin tieto - 01.01.2025-30.04.2025 (Tavoitetut) (N=0)</v>
      </c>
      <c r="P104" s="586"/>
      <c r="Q104" s="859" t="s">
        <v>101</v>
      </c>
      <c r="R104" s="833" t="s">
        <v>114</v>
      </c>
      <c r="S104" s="833"/>
      <c r="T104" s="57" t="s">
        <v>132</v>
      </c>
      <c r="U104" s="58" t="s">
        <v>133</v>
      </c>
      <c r="V104" s="57" t="s">
        <v>134</v>
      </c>
    </row>
    <row r="105" spans="1:25" x14ac:dyDescent="0.25">
      <c r="A105" s="859"/>
      <c r="B105" s="57" t="s">
        <v>106</v>
      </c>
      <c r="C105" s="57" t="s">
        <v>176</v>
      </c>
      <c r="D105" s="57" t="s">
        <v>106</v>
      </c>
      <c r="E105" s="57" t="s">
        <v>106</v>
      </c>
      <c r="F105" s="234" t="s">
        <v>106</v>
      </c>
      <c r="G105" s="884"/>
      <c r="H105" s="27"/>
      <c r="I105" s="881"/>
      <c r="J105" s="267" t="s">
        <v>106</v>
      </c>
      <c r="K105" s="57" t="s">
        <v>176</v>
      </c>
      <c r="L105" s="57" t="s">
        <v>106</v>
      </c>
      <c r="M105" s="57" t="s">
        <v>106</v>
      </c>
      <c r="N105" s="57" t="s">
        <v>106</v>
      </c>
      <c r="O105" s="884"/>
      <c r="P105" s="586"/>
      <c r="Q105" s="859"/>
      <c r="R105" s="57" t="s">
        <v>106</v>
      </c>
      <c r="S105" s="57" t="s">
        <v>176</v>
      </c>
      <c r="T105" s="57" t="s">
        <v>106</v>
      </c>
      <c r="U105" s="57" t="s">
        <v>106</v>
      </c>
      <c r="V105" s="57" t="s">
        <v>106</v>
      </c>
    </row>
    <row r="106" spans="1:25" x14ac:dyDescent="0.25">
      <c r="A106" s="59" t="s">
        <v>101</v>
      </c>
      <c r="B106" s="65">
        <f>SUM(B107:B116)</f>
        <v>0</v>
      </c>
      <c r="C106" s="322" t="str">
        <f>IFERROR(B106/B$120,"-")</f>
        <v>-</v>
      </c>
      <c r="D106" s="65">
        <f>SUM(D107:D116)</f>
        <v>0</v>
      </c>
      <c r="E106" s="65">
        <f>SUM(E107:E116)</f>
        <v>0</v>
      </c>
      <c r="F106" s="247">
        <f>SUM(F107:F116)</f>
        <v>0</v>
      </c>
      <c r="G106" s="261"/>
      <c r="I106" s="587" t="s">
        <v>101</v>
      </c>
      <c r="J106" s="588">
        <f>SUM(J107:J116)</f>
        <v>0</v>
      </c>
      <c r="K106" s="601" t="str">
        <f>IFERROR(J106/J$120,"-")</f>
        <v>-</v>
      </c>
      <c r="L106" s="589">
        <f>SUM(L107:L116)</f>
        <v>0</v>
      </c>
      <c r="M106" s="589">
        <f>SUM(M107:M116)</f>
        <v>0</v>
      </c>
      <c r="N106" s="589">
        <f>SUM(N107:N116)</f>
        <v>0</v>
      </c>
      <c r="O106" s="261"/>
      <c r="Q106" s="59" t="s">
        <v>101</v>
      </c>
      <c r="R106" s="92">
        <f>J106-B106</f>
        <v>0</v>
      </c>
      <c r="S106" s="325" t="str">
        <f>IFERROR(K106-C106,"-")</f>
        <v>-</v>
      </c>
      <c r="T106" s="92">
        <f>L106-D106</f>
        <v>0</v>
      </c>
      <c r="U106" s="92">
        <f>M106-E106</f>
        <v>0</v>
      </c>
      <c r="V106" s="92">
        <f>N106-F106</f>
        <v>0</v>
      </c>
      <c r="W106" s="224" t="s">
        <v>728</v>
      </c>
      <c r="X106" s="224" t="s">
        <v>584</v>
      </c>
      <c r="Y106" s="224" t="s">
        <v>684</v>
      </c>
    </row>
    <row r="107" spans="1:25" x14ac:dyDescent="0.25">
      <c r="A107" s="275" t="s">
        <v>119</v>
      </c>
      <c r="B107" s="148">
        <f>SUMIFS(AS!$W:$W,AS!$BO:$BO,$W$7,AS!$AB:$AB,AS!$AA$1,AS!$AJ:$AJ,$X107,AS!$AH:$AH,$X$8,AS!$AV:$AV,$X$6,AS!$AW:$AW,Tilanne!$Y$6,AS!$X:$X,Tilanne!$Y$5,AS!$K:$K,Tilanne!$V$2)</f>
        <v>0</v>
      </c>
      <c r="C107" s="324" t="str">
        <f>IFERROR(B107/B$120,"-")</f>
        <v>-</v>
      </c>
      <c r="D107" s="63">
        <f>SUMIFS(AS!$W:$W,AS!$BO:$BO,$W$7,AS!$AB:$AB,AS!$AA$1,AS!$AJ:$AJ,$X107,AS!$AH:$AH,$X$8,AS!$I:$I,$X$7,AS!$AV:$AV,$X$6,AS!$AW:$AW,Tilanne!$Y$6,AS!$X:$X,Tilanne!$Y$5,AS!$K:$K,Tilanne!$V$2)</f>
        <v>0</v>
      </c>
      <c r="E107" s="63">
        <f>SUMIFS(AS!$W:$W,AS!$BO:$BO,$W$7,AS!$AB:$AB,AS!$AA$1,AS!$AJ:$AJ,$X107,AS!$AH:$AH,$X$8,AS!$I:$I,$Y$7,AS!$AV:$AV,$X$6,AS!$AW:$AW,Tilanne!$Y$6,AS!$X:$X,Tilanne!$Y$5,AS!$K:$K,Tilanne!$V$2)</f>
        <v>0</v>
      </c>
      <c r="F107" s="239">
        <f>SUMIFS(AS!$W:$W,AS!$BO:$BO,$W$7,AS!$AB:$AB,AS!$AA$1,AS!$AJ:$AJ,$X107,AS!$AH:$AH,$Y$8,AS!$AV:$AV,$X$6,AS!$AW:$AW,Tilanne!$Y$6,AS!$X:$X,Tilanne!$Y$5,AS!$K:$K,Tilanne!$V$2)</f>
        <v>0</v>
      </c>
      <c r="G107" s="277"/>
      <c r="H107" s="27"/>
      <c r="I107" s="273" t="s">
        <v>119</v>
      </c>
      <c r="J107" s="274">
        <f>SUMIFS(AS!$W:$W,AS!$BO:$BO,$W$7,AS!$AB:$AB,AS!$AA$1,AS!$AO:$AO,$X107,AS!$AH:$AH,$X$8,AS!$AV:$AV,$X$6,AS!$AW:$AW,Tilanne!$Y$6,AS!$X:$X,Tilanne!$Y$5,AS!$K:$K,Tilanne!$V$2)</f>
        <v>0</v>
      </c>
      <c r="K107" s="324" t="str">
        <f>IFERROR(J107/J$120,"-")</f>
        <v>-</v>
      </c>
      <c r="L107" s="63">
        <f>SUMIFS(AS!$W:$W,AS!$BO:$BO,$W$7,AS!$AB:$AB,AS!$AA$1,AS!$AO:$AO,$X107,AS!$AH:$AH,$X$8,AS!$I:$I,$X$7,AS!$AV:$AV,$X$6,AS!$AW:$AW,Tilanne!$Y$6,AS!$X:$X,Tilanne!$Y$5,AS!$K:$K,Tilanne!$V$2)</f>
        <v>0</v>
      </c>
      <c r="M107" s="63">
        <f>SUMIFS(AS!$W:$W,AS!$BO:$BO,$W$7,AS!$AB:$AB,AS!$AA$1,AS!$AO:$AO,$X107,AS!$AH:$AH,$X$8,AS!$I:$I,$Y$7,AS!$AV:$AV,$X$6,AS!$AW:$AW,Tilanne!$Y$6,AS!$X:$X,Tilanne!$Y$5,AS!$K:$K,Tilanne!$V$2)</f>
        <v>0</v>
      </c>
      <c r="N107" s="148">
        <f>SUMIFS(AS!$W:$W,AS!$BO:$BO,$W$7,AS!$AB:$AB,AS!$AA$1,AS!$AO:$AO,$X107,AS!$AH:$AH,"vanha",AS!$AV:$AV,$X$6,AS!$AW:$AW,Tilanne!$Y$6,AS!$X:$X,Tilanne!$Y$5,AS!$K:$K,Tilanne!$V$2)</f>
        <v>0</v>
      </c>
      <c r="O107" s="277"/>
      <c r="P107" s="27"/>
      <c r="Q107" s="275" t="s">
        <v>119</v>
      </c>
      <c r="R107" s="91">
        <f t="shared" ref="R107:R116" si="55">J107-B107</f>
        <v>0</v>
      </c>
      <c r="S107" s="323" t="str">
        <f t="shared" ref="S107:S116" si="56">IFERROR(K107-C107,"-")</f>
        <v>-</v>
      </c>
      <c r="T107" s="91">
        <f t="shared" ref="T107:T116" si="57">L107-D107</f>
        <v>0</v>
      </c>
      <c r="U107" s="91">
        <f t="shared" ref="U107:U116" si="58">M107-E107</f>
        <v>0</v>
      </c>
      <c r="V107" s="91">
        <f t="shared" ref="V107:V118" si="59">N107-F107</f>
        <v>0</v>
      </c>
      <c r="X107" s="47" t="s">
        <v>404</v>
      </c>
    </row>
    <row r="108" spans="1:25" x14ac:dyDescent="0.25">
      <c r="A108" s="275" t="s">
        <v>125</v>
      </c>
      <c r="B108" s="148">
        <f>SUMIFS(AS!$W:$W,AS!$BO:$BO,$W$7,AS!$AB:$AB,AS!$AA$1,AS!$AJ:$AJ,$X108,AS!$AH:$AH,$X$8,AS!$AV:$AV,$X$6,AS!$AW:$AW,Tilanne!$Y$6,AS!$X:$X,Tilanne!$Y$5,AS!$K:$K,Tilanne!$V$2)</f>
        <v>0</v>
      </c>
      <c r="C108" s="324" t="str">
        <f t="shared" ref="C108:C116" si="60">IFERROR(B108/B$120,"-")</f>
        <v>-</v>
      </c>
      <c r="D108" s="63">
        <f>SUMIFS(AS!$W:$W,AS!$BO:$BO,$W$7,AS!$AB:$AB,AS!$AA$1,AS!$AJ:$AJ,$X108,AS!$AH:$AH,$X$8,AS!$I:$I,$X$7,AS!$AV:$AV,$X$6,AS!$AW:$AW,Tilanne!$Y$6,AS!$X:$X,Tilanne!$Y$5,AS!$K:$K,Tilanne!$V$2)</f>
        <v>0</v>
      </c>
      <c r="E108" s="63">
        <f>SUMIFS(AS!$W:$W,AS!$BO:$BO,$W$7,AS!$AB:$AB,AS!$AA$1,AS!$AJ:$AJ,$X108,AS!$AH:$AH,$X$8,AS!$I:$I,$Y$7,AS!$AV:$AV,$X$6,AS!$AW:$AW,Tilanne!$Y$6,AS!$X:$X,Tilanne!$Y$5,AS!$K:$K,Tilanne!$V$2)</f>
        <v>0</v>
      </c>
      <c r="F108" s="239">
        <f>SUMIFS(AS!$W:$W,AS!$BO:$BO,$W$7,AS!$AB:$AB,AS!$AA$1,AS!$AJ:$AJ,$X108,AS!$AH:$AH,$Y$8,AS!$AV:$AV,$X$6,AS!$AW:$AW,Tilanne!$Y$6,AS!$X:$X,Tilanne!$Y$5,AS!$K:$K,Tilanne!$V$2)</f>
        <v>0</v>
      </c>
      <c r="G108" s="277"/>
      <c r="H108" s="27"/>
      <c r="I108" s="273" t="s">
        <v>125</v>
      </c>
      <c r="J108" s="274">
        <f>SUMIFS(AS!$W:$W,AS!$BO:$BO,$W$7,AS!$AB:$AB,AS!$AA$1,AS!$AO:$AO,$X108,AS!$AH:$AH,$X$8,AS!$AV:$AV,$X$6,AS!$AW:$AW,Tilanne!$Y$6,AS!$X:$X,Tilanne!$Y$5,AS!$K:$K,Tilanne!$V$2)</f>
        <v>0</v>
      </c>
      <c r="K108" s="324" t="str">
        <f t="shared" ref="K108:K116" si="61">IFERROR(J108/J$120,"-")</f>
        <v>-</v>
      </c>
      <c r="L108" s="63">
        <f>SUMIFS(AS!$W:$W,AS!$BO:$BO,$W$7,AS!$AB:$AB,AS!$AA$1,AS!$AO:$AO,$X108,AS!$AH:$AH,$X$8,AS!$I:$I,$X$7,AS!$AV:$AV,$X$6,AS!$AW:$AW,Tilanne!$Y$6,AS!$X:$X,Tilanne!$Y$5,AS!$K:$K,Tilanne!$V$2)</f>
        <v>0</v>
      </c>
      <c r="M108" s="63">
        <f>SUMIFS(AS!$W:$W,AS!$BO:$BO,$W$7,AS!$AB:$AB,AS!$AA$1,AS!$AO:$AO,$X108,AS!$AH:$AH,$X$8,AS!$I:$I,$Y$7,AS!$AV:$AV,$X$6,AS!$AW:$AW,Tilanne!$Y$6,AS!$X:$X,Tilanne!$Y$5,AS!$K:$K,Tilanne!$V$2)</f>
        <v>0</v>
      </c>
      <c r="N108" s="148">
        <f>SUMIFS(AS!$W:$W,AS!$BO:$BO,$W$7,AS!$AB:$AB,AS!$AA$1,AS!$AO:$AO,$X108,AS!$AH:$AH,"vanha",AS!$AV:$AV,$X$6,AS!$AW:$AW,Tilanne!$Y$6,AS!$X:$X,Tilanne!$Y$5,AS!$K:$K,Tilanne!$V$2)</f>
        <v>0</v>
      </c>
      <c r="O108" s="277"/>
      <c r="P108" s="27"/>
      <c r="Q108" s="275" t="s">
        <v>125</v>
      </c>
      <c r="R108" s="91">
        <f t="shared" si="55"/>
        <v>0</v>
      </c>
      <c r="S108" s="323" t="str">
        <f t="shared" si="56"/>
        <v>-</v>
      </c>
      <c r="T108" s="91">
        <f t="shared" si="57"/>
        <v>0</v>
      </c>
      <c r="U108" s="91">
        <f t="shared" si="58"/>
        <v>0</v>
      </c>
      <c r="V108" s="91">
        <f t="shared" si="59"/>
        <v>0</v>
      </c>
      <c r="X108" s="47" t="s">
        <v>354</v>
      </c>
    </row>
    <row r="109" spans="1:25" x14ac:dyDescent="0.25">
      <c r="A109" s="275" t="s">
        <v>177</v>
      </c>
      <c r="B109" s="148">
        <f>SUMIFS(AS!$W:$W,AS!$BO:$BO,$W$7,AS!$AB:$AB,AS!$AA$1,AS!$AJ:$AJ,$X109,AS!$AH:$AH,$X$8,AS!$AV:$AV,$X$6,AS!$AW:$AW,Tilanne!$Y$6,AS!$X:$X,Tilanne!$Y$5,AS!$K:$K,Tilanne!$V$2)</f>
        <v>0</v>
      </c>
      <c r="C109" s="324" t="str">
        <f t="shared" si="60"/>
        <v>-</v>
      </c>
      <c r="D109" s="63">
        <f>SUMIFS(AS!$W:$W,AS!$BO:$BO,$W$7,AS!$AB:$AB,AS!$AA$1,AS!$AJ:$AJ,$X109,AS!$AH:$AH,$X$8,AS!$I:$I,$X$7,AS!$AV:$AV,$X$6,AS!$AW:$AW,Tilanne!$Y$6,AS!$X:$X,Tilanne!$Y$5,AS!$K:$K,Tilanne!$V$2)</f>
        <v>0</v>
      </c>
      <c r="E109" s="63">
        <f>SUMIFS(AS!$W:$W,AS!$BO:$BO,$W$7,AS!$AB:$AB,AS!$AA$1,AS!$AJ:$AJ,$X109,AS!$AH:$AH,$X$8,AS!$I:$I,$Y$7,AS!$AV:$AV,$X$6,AS!$AW:$AW,Tilanne!$Y$6,AS!$X:$X,Tilanne!$Y$5,AS!$K:$K,Tilanne!$V$2)</f>
        <v>0</v>
      </c>
      <c r="F109" s="239">
        <f>SUMIFS(AS!$W:$W,AS!$BO:$BO,$W$7,AS!$AB:$AB,AS!$AA$1,AS!$AJ:$AJ,$X109,AS!$AH:$AH,$Y$8,AS!$AV:$AV,$X$6,AS!$AW:$AW,Tilanne!$Y$6,AS!$X:$X,Tilanne!$Y$5,AS!$K:$K,Tilanne!$V$2)</f>
        <v>0</v>
      </c>
      <c r="G109" s="277"/>
      <c r="H109" s="27"/>
      <c r="I109" s="273" t="s">
        <v>177</v>
      </c>
      <c r="J109" s="274">
        <f>SUMIFS(AS!$W:$W,AS!$BO:$BO,$W$7,AS!$AB:$AB,AS!$AA$1,AS!$AO:$AO,$X109,AS!$AH:$AH,$X$8,AS!$AV:$AV,$X$6,AS!$AW:$AW,Tilanne!$Y$6,AS!$X:$X,Tilanne!$Y$5,AS!$K:$K,Tilanne!$V$2)</f>
        <v>0</v>
      </c>
      <c r="K109" s="324" t="str">
        <f t="shared" si="61"/>
        <v>-</v>
      </c>
      <c r="L109" s="63">
        <f>SUMIFS(AS!$W:$W,AS!$BO:$BO,$W$7,AS!$AB:$AB,AS!$AA$1,AS!$AO:$AO,$X109,AS!$AH:$AH,$X$8,AS!$I:$I,$X$7,AS!$AV:$AV,$X$6,AS!$AW:$AW,Tilanne!$Y$6,AS!$X:$X,Tilanne!$Y$5,AS!$K:$K,Tilanne!$V$2)</f>
        <v>0</v>
      </c>
      <c r="M109" s="63">
        <f>SUMIFS(AS!$W:$W,AS!$BO:$BO,$W$7,AS!$AB:$AB,AS!$AA$1,AS!$AO:$AO,$X109,AS!$AH:$AH,$X$8,AS!$I:$I,$Y$7,AS!$AV:$AV,$X$6,AS!$AW:$AW,Tilanne!$Y$6,AS!$X:$X,Tilanne!$Y$5,AS!$K:$K,Tilanne!$V$2)</f>
        <v>0</v>
      </c>
      <c r="N109" s="148">
        <f>SUMIFS(AS!$W:$W,AS!$BO:$BO,$W$7,AS!$AB:$AB,AS!$AA$1,AS!$AO:$AO,$X109,AS!$AH:$AH,"vanha",AS!$AV:$AV,$X$6,AS!$AW:$AW,Tilanne!$Y$6,AS!$X:$X,Tilanne!$Y$5,AS!$K:$K,Tilanne!$V$2)</f>
        <v>0</v>
      </c>
      <c r="O109" s="277"/>
      <c r="P109" s="27"/>
      <c r="Q109" s="275" t="s">
        <v>177</v>
      </c>
      <c r="R109" s="91">
        <f t="shared" si="55"/>
        <v>0</v>
      </c>
      <c r="S109" s="323" t="str">
        <f t="shared" si="56"/>
        <v>-</v>
      </c>
      <c r="T109" s="91">
        <f t="shared" si="57"/>
        <v>0</v>
      </c>
      <c r="U109" s="91">
        <f t="shared" si="58"/>
        <v>0</v>
      </c>
      <c r="V109" s="91">
        <f t="shared" si="59"/>
        <v>0</v>
      </c>
      <c r="X109" s="47" t="s">
        <v>346</v>
      </c>
    </row>
    <row r="110" spans="1:25" x14ac:dyDescent="0.25">
      <c r="A110" s="275" t="s">
        <v>120</v>
      </c>
      <c r="B110" s="148">
        <f>SUMIFS(AS!$W:$W,AS!$BO:$BO,$W$7,AS!$AB:$AB,AS!$AA$1,AS!$AJ:$AJ,$X110,AS!$AH:$AH,$X$8,AS!$AV:$AV,$X$6,AS!$AW:$AW,Tilanne!$Y$6,AS!$X:$X,Tilanne!$Y$5,AS!$K:$K,Tilanne!$V$2)</f>
        <v>0</v>
      </c>
      <c r="C110" s="324" t="str">
        <f t="shared" si="60"/>
        <v>-</v>
      </c>
      <c r="D110" s="63">
        <f>SUMIFS(AS!$W:$W,AS!$BO:$BO,$W$7,AS!$AB:$AB,AS!$AA$1,AS!$AJ:$AJ,$X110,AS!$AH:$AH,$X$8,AS!$I:$I,$X$7,AS!$AV:$AV,$X$6,AS!$AW:$AW,Tilanne!$Y$6,AS!$X:$X,Tilanne!$Y$5,AS!$K:$K,Tilanne!$V$2)</f>
        <v>0</v>
      </c>
      <c r="E110" s="63">
        <f>SUMIFS(AS!$W:$W,AS!$BO:$BO,$W$7,AS!$AB:$AB,AS!$AA$1,AS!$AJ:$AJ,$X110,AS!$AH:$AH,$X$8,AS!$I:$I,$Y$7,AS!$AV:$AV,$X$6,AS!$AW:$AW,Tilanne!$Y$6,AS!$X:$X,Tilanne!$Y$5,AS!$K:$K,Tilanne!$V$2)</f>
        <v>0</v>
      </c>
      <c r="F110" s="239">
        <f>SUMIFS(AS!$W:$W,AS!$BO:$BO,$W$7,AS!$AB:$AB,AS!$AA$1,AS!$AJ:$AJ,$X110,AS!$AH:$AH,$Y$8,AS!$AV:$AV,$X$6,AS!$AW:$AW,Tilanne!$Y$6,AS!$X:$X,Tilanne!$Y$5,AS!$K:$K,Tilanne!$V$2)</f>
        <v>0</v>
      </c>
      <c r="G110" s="277"/>
      <c r="H110" s="27"/>
      <c r="I110" s="273" t="s">
        <v>120</v>
      </c>
      <c r="J110" s="274">
        <f>SUMIFS(AS!$W:$W,AS!$BO:$BO,$W$7,AS!$AB:$AB,AS!$AA$1,AS!$AO:$AO,$X110,AS!$AH:$AH,$X$8,AS!$AV:$AV,$X$6,AS!$AW:$AW,Tilanne!$Y$6,AS!$X:$X,Tilanne!$Y$5,AS!$K:$K,Tilanne!$V$2)</f>
        <v>0</v>
      </c>
      <c r="K110" s="324" t="str">
        <f t="shared" si="61"/>
        <v>-</v>
      </c>
      <c r="L110" s="63">
        <f>SUMIFS(AS!$W:$W,AS!$BO:$BO,$W$7,AS!$AB:$AB,AS!$AA$1,AS!$AO:$AO,$X110,AS!$AH:$AH,$X$8,AS!$I:$I,$X$7,AS!$AV:$AV,$X$6,AS!$AW:$AW,Tilanne!$Y$6,AS!$X:$X,Tilanne!$Y$5,AS!$K:$K,Tilanne!$V$2)</f>
        <v>0</v>
      </c>
      <c r="M110" s="63">
        <f>SUMIFS(AS!$W:$W,AS!$BO:$BO,$W$7,AS!$AB:$AB,AS!$AA$1,AS!$AO:$AO,$X110,AS!$AH:$AH,$X$8,AS!$I:$I,$Y$7,AS!$AV:$AV,$X$6,AS!$AW:$AW,Tilanne!$Y$6,AS!$X:$X,Tilanne!$Y$5,AS!$K:$K,Tilanne!$V$2)</f>
        <v>0</v>
      </c>
      <c r="N110" s="148">
        <f>SUMIFS(AS!$W:$W,AS!$BO:$BO,$W$7,AS!$AB:$AB,AS!$AA$1,AS!$AO:$AO,$X110,AS!$AH:$AH,"vanha",AS!$AV:$AV,$X$6,AS!$AW:$AW,Tilanne!$Y$6,AS!$X:$X,Tilanne!$Y$5,AS!$K:$K,Tilanne!$V$2)</f>
        <v>0</v>
      </c>
      <c r="O110" s="277"/>
      <c r="P110" s="27"/>
      <c r="Q110" s="275" t="s">
        <v>120</v>
      </c>
      <c r="R110" s="91">
        <f t="shared" si="55"/>
        <v>0</v>
      </c>
      <c r="S110" s="323" t="str">
        <f t="shared" si="56"/>
        <v>-</v>
      </c>
      <c r="T110" s="91">
        <f t="shared" si="57"/>
        <v>0</v>
      </c>
      <c r="U110" s="91">
        <f t="shared" si="58"/>
        <v>0</v>
      </c>
      <c r="V110" s="91">
        <f t="shared" si="59"/>
        <v>0</v>
      </c>
      <c r="X110" s="47" t="s">
        <v>407</v>
      </c>
    </row>
    <row r="111" spans="1:25" x14ac:dyDescent="0.25">
      <c r="A111" s="275" t="s">
        <v>128</v>
      </c>
      <c r="B111" s="148">
        <f>SUMIFS(AS!$W:$W,AS!$BO:$BO,$W$7,AS!$AB:$AB,AS!$AA$1,AS!$AJ:$AJ,$X111,AS!$AH:$AH,$X$8,AS!$AV:$AV,$X$6,AS!$AW:$AW,Tilanne!$Y$6,AS!$X:$X,Tilanne!$Y$5,AS!$K:$K,Tilanne!$V$2)</f>
        <v>0</v>
      </c>
      <c r="C111" s="324" t="str">
        <f t="shared" si="60"/>
        <v>-</v>
      </c>
      <c r="D111" s="63">
        <f>SUMIFS(AS!$W:$W,AS!$BO:$BO,$W$7,AS!$AB:$AB,AS!$AA$1,AS!$AJ:$AJ,$X111,AS!$AH:$AH,$X$8,AS!$I:$I,$X$7,AS!$AV:$AV,$X$6,AS!$AW:$AW,Tilanne!$Y$6,AS!$X:$X,Tilanne!$Y$5,AS!$K:$K,Tilanne!$V$2)</f>
        <v>0</v>
      </c>
      <c r="E111" s="63">
        <f>SUMIFS(AS!$W:$W,AS!$BO:$BO,$W$7,AS!$AB:$AB,AS!$AA$1,AS!$AJ:$AJ,$X111,AS!$AH:$AH,$X$8,AS!$I:$I,$Y$7,AS!$AV:$AV,$X$6,AS!$AW:$AW,Tilanne!$Y$6,AS!$X:$X,Tilanne!$Y$5,AS!$K:$K,Tilanne!$V$2)</f>
        <v>0</v>
      </c>
      <c r="F111" s="239">
        <f>SUMIFS(AS!$W:$W,AS!$BO:$BO,$W$7,AS!$AB:$AB,AS!$AA$1,AS!$AJ:$AJ,$X111,AS!$AH:$AH,$Y$8,AS!$AV:$AV,$X$6,AS!$AW:$AW,Tilanne!$Y$6,AS!$X:$X,Tilanne!$Y$5,AS!$K:$K,Tilanne!$V$2)</f>
        <v>0</v>
      </c>
      <c r="G111" s="277"/>
      <c r="H111" s="27"/>
      <c r="I111" s="273" t="s">
        <v>128</v>
      </c>
      <c r="J111" s="274">
        <f>SUMIFS(AS!$W:$W,AS!$BO:$BO,$W$7,AS!$AB:$AB,AS!$AA$1,AS!$AO:$AO,$X111,AS!$AH:$AH,$X$8,AS!$AV:$AV,$X$6,AS!$AW:$AW,Tilanne!$Y$6,AS!$X:$X,Tilanne!$Y$5,AS!$K:$K,Tilanne!$V$2)</f>
        <v>0</v>
      </c>
      <c r="K111" s="324" t="str">
        <f t="shared" si="61"/>
        <v>-</v>
      </c>
      <c r="L111" s="63">
        <f>SUMIFS(AS!$W:$W,AS!$BO:$BO,$W$7,AS!$AB:$AB,AS!$AA$1,AS!$AO:$AO,$X111,AS!$AH:$AH,$X$8,AS!$I:$I,$X$7,AS!$AV:$AV,$X$6,AS!$AW:$AW,Tilanne!$Y$6,AS!$X:$X,Tilanne!$Y$5,AS!$K:$K,Tilanne!$V$2)</f>
        <v>0</v>
      </c>
      <c r="M111" s="63">
        <f>SUMIFS(AS!$W:$W,AS!$BO:$BO,$W$7,AS!$AB:$AB,AS!$AA$1,AS!$AO:$AO,$X111,AS!$AH:$AH,$X$8,AS!$I:$I,$Y$7,AS!$AV:$AV,$X$6,AS!$AW:$AW,Tilanne!$Y$6,AS!$X:$X,Tilanne!$Y$5,AS!$K:$K,Tilanne!$V$2)</f>
        <v>0</v>
      </c>
      <c r="N111" s="148">
        <f>SUMIFS(AS!$W:$W,AS!$BO:$BO,$W$7,AS!$AB:$AB,AS!$AA$1,AS!$AO:$AO,$X111,AS!$AH:$AH,"vanha",AS!$AV:$AV,$X$6,AS!$AW:$AW,Tilanne!$Y$6,AS!$X:$X,Tilanne!$Y$5,AS!$K:$K,Tilanne!$V$2)</f>
        <v>0</v>
      </c>
      <c r="O111" s="277"/>
      <c r="P111" s="27"/>
      <c r="Q111" s="275" t="s">
        <v>128</v>
      </c>
      <c r="R111" s="91">
        <f t="shared" si="55"/>
        <v>0</v>
      </c>
      <c r="S111" s="323" t="str">
        <f t="shared" si="56"/>
        <v>-</v>
      </c>
      <c r="T111" s="91">
        <f t="shared" si="57"/>
        <v>0</v>
      </c>
      <c r="U111" s="91">
        <f t="shared" si="58"/>
        <v>0</v>
      </c>
      <c r="V111" s="91">
        <f t="shared" si="59"/>
        <v>0</v>
      </c>
      <c r="X111" s="47" t="s">
        <v>400</v>
      </c>
    </row>
    <row r="112" spans="1:25" x14ac:dyDescent="0.25">
      <c r="A112" s="275" t="s">
        <v>30</v>
      </c>
      <c r="B112" s="148">
        <f>SUMIFS(AS!$W:$W,AS!$BO:$BO,$W$7,AS!$AB:$AB,AS!$AA$1,AS!$AJ:$AJ,$X112,AS!$AH:$AH,$X$8,AS!$AV:$AV,$X$6,AS!$AW:$AW,Tilanne!$Y$6,AS!$X:$X,Tilanne!$Y$5,AS!$K:$K,Tilanne!$V$2)</f>
        <v>0</v>
      </c>
      <c r="C112" s="324" t="str">
        <f t="shared" si="60"/>
        <v>-</v>
      </c>
      <c r="D112" s="63">
        <f>SUMIFS(AS!$W:$W,AS!$BO:$BO,$W$7,AS!$AB:$AB,AS!$AA$1,AS!$AJ:$AJ,$X112,AS!$AH:$AH,$X$8,AS!$I:$I,$X$7,AS!$AV:$AV,$X$6,AS!$AW:$AW,Tilanne!$Y$6,AS!$X:$X,Tilanne!$Y$5,AS!$K:$K,Tilanne!$V$2)</f>
        <v>0</v>
      </c>
      <c r="E112" s="63">
        <f>SUMIFS(AS!$W:$W,AS!$BO:$BO,$W$7,AS!$AB:$AB,AS!$AA$1,AS!$AJ:$AJ,$X112,AS!$AH:$AH,$X$8,AS!$I:$I,$Y$7,AS!$AV:$AV,$X$6,AS!$AW:$AW,Tilanne!$Y$6,AS!$X:$X,Tilanne!$Y$5,AS!$K:$K,Tilanne!$V$2)</f>
        <v>0</v>
      </c>
      <c r="F112" s="239">
        <f>SUMIFS(AS!$W:$W,AS!$BO:$BO,$W$7,AS!$AB:$AB,AS!$AA$1,AS!$AJ:$AJ,$X112,AS!$AH:$AH,$Y$8,AS!$AV:$AV,$X$6,AS!$AW:$AW,Tilanne!$Y$6,AS!$X:$X,Tilanne!$Y$5,AS!$K:$K,Tilanne!$V$2)</f>
        <v>0</v>
      </c>
      <c r="G112" s="277"/>
      <c r="H112" s="27"/>
      <c r="I112" s="273" t="s">
        <v>30</v>
      </c>
      <c r="J112" s="274">
        <f>SUMIFS(AS!$W:$W,AS!$BO:$BO,$W$7,AS!$AB:$AB,AS!$AA$1,AS!$AO:$AO,$X112,AS!$AH:$AH,$X$8,AS!$AV:$AV,$X$6,AS!$AW:$AW,Tilanne!$Y$6,AS!$X:$X,Tilanne!$Y$5,AS!$K:$K,Tilanne!$V$2)</f>
        <v>0</v>
      </c>
      <c r="K112" s="324" t="str">
        <f t="shared" si="61"/>
        <v>-</v>
      </c>
      <c r="L112" s="63">
        <f>SUMIFS(AS!$W:$W,AS!$BO:$BO,$W$7,AS!$AB:$AB,AS!$AA$1,AS!$AO:$AO,$X112,AS!$AH:$AH,$X$8,AS!$I:$I,$X$7,AS!$AV:$AV,$X$6,AS!$AW:$AW,Tilanne!$Y$6,AS!$X:$X,Tilanne!$Y$5,AS!$K:$K,Tilanne!$V$2)</f>
        <v>0</v>
      </c>
      <c r="M112" s="63">
        <f>SUMIFS(AS!$W:$W,AS!$BO:$BO,$W$7,AS!$AB:$AB,AS!$AA$1,AS!$AO:$AO,$X112,AS!$AH:$AH,$X$8,AS!$I:$I,$Y$7,AS!$AV:$AV,$X$6,AS!$AW:$AW,Tilanne!$Y$6,AS!$X:$X,Tilanne!$Y$5,AS!$K:$K,Tilanne!$V$2)</f>
        <v>0</v>
      </c>
      <c r="N112" s="148">
        <f>SUMIFS(AS!$W:$W,AS!$BO:$BO,$W$7,AS!$AB:$AB,AS!$AA$1,AS!$AO:$AO,$X112,AS!$AH:$AH,"vanha",AS!$AV:$AV,$X$6,AS!$AW:$AW,Tilanne!$Y$6,AS!$X:$X,Tilanne!$Y$5,AS!$K:$K,Tilanne!$V$2)</f>
        <v>0</v>
      </c>
      <c r="O112" s="277"/>
      <c r="P112" s="27"/>
      <c r="Q112" s="275" t="s">
        <v>30</v>
      </c>
      <c r="R112" s="91">
        <f>J112-B112</f>
        <v>0</v>
      </c>
      <c r="S112" s="323" t="str">
        <f t="shared" si="56"/>
        <v>-</v>
      </c>
      <c r="T112" s="91">
        <f t="shared" si="57"/>
        <v>0</v>
      </c>
      <c r="U112" s="91">
        <f t="shared" si="58"/>
        <v>0</v>
      </c>
      <c r="V112" s="91">
        <f t="shared" si="59"/>
        <v>0</v>
      </c>
      <c r="X112" s="47" t="s">
        <v>401</v>
      </c>
    </row>
    <row r="113" spans="1:24" x14ac:dyDescent="0.25">
      <c r="A113" s="275" t="s">
        <v>566</v>
      </c>
      <c r="B113" s="148">
        <f>SUMIFS(AS!$W:$W,AS!$BO:$BO,$W$7,AS!$AB:$AB,AS!$AA$1,AS!$AJ:$AJ,$X113,AS!$AH:$AH,$X$8,AS!$AV:$AV,$X$6,AS!$AW:$AW,Tilanne!$Y$6,AS!$X:$X,Tilanne!$Y$5,AS!$K:$K,Tilanne!$V$2)</f>
        <v>0</v>
      </c>
      <c r="C113" s="324" t="str">
        <f t="shared" si="60"/>
        <v>-</v>
      </c>
      <c r="D113" s="63">
        <f>SUMIFS(AS!$W:$W,AS!$BO:$BO,$W$7,AS!$AB:$AB,AS!$AA$1,AS!$AJ:$AJ,$X113,AS!$AH:$AH,$X$8,AS!$I:$I,$X$7,AS!$AV:$AV,$X$6,AS!$AW:$AW,Tilanne!$Y$6,AS!$X:$X,Tilanne!$Y$5,AS!$K:$K,Tilanne!$V$2)</f>
        <v>0</v>
      </c>
      <c r="E113" s="63">
        <f>SUMIFS(AS!$W:$W,AS!$BO:$BO,$W$7,AS!$AB:$AB,AS!$AA$1,AS!$AJ:$AJ,$X113,AS!$AH:$AH,$X$8,AS!$I:$I,$Y$7,AS!$AV:$AV,$X$6,AS!$AW:$AW,Tilanne!$Y$6,AS!$X:$X,Tilanne!$Y$5,AS!$K:$K,Tilanne!$V$2)</f>
        <v>0</v>
      </c>
      <c r="F113" s="239">
        <f>SUMIFS(AS!$W:$W,AS!$BO:$BO,$W$7,AS!$AB:$AB,AS!$AA$1,AS!$AJ:$AJ,$X113,AS!$AH:$AH,$Y$8,AS!$AV:$AV,$X$6,AS!$AW:$AW,Tilanne!$Y$6,AS!$X:$X,Tilanne!$Y$5,AS!$K:$K,Tilanne!$V$2)</f>
        <v>0</v>
      </c>
      <c r="G113" s="277"/>
      <c r="H113" s="27"/>
      <c r="I113" s="273" t="s">
        <v>566</v>
      </c>
      <c r="J113" s="274">
        <f>SUMIFS(AS!$W:$W,AS!$BO:$BO,$W$7,AS!$AB:$AB,AS!$AA$1,AS!$AO:$AO,$X113,AS!$AH:$AH,$X$8,AS!$AV:$AV,$X$6,AS!$AW:$AW,Tilanne!$Y$6,AS!$X:$X,Tilanne!$Y$5,AS!$K:$K,Tilanne!$V$2)</f>
        <v>0</v>
      </c>
      <c r="K113" s="324" t="str">
        <f t="shared" si="61"/>
        <v>-</v>
      </c>
      <c r="L113" s="63">
        <f>SUMIFS(AS!$W:$W,AS!$BO:$BO,$W$7,AS!$AB:$AB,AS!$AA$1,AS!$AO:$AO,$X113,AS!$AH:$AH,$X$8,AS!$I:$I,$X$7,AS!$AV:$AV,$X$6,AS!$AW:$AW,Tilanne!$Y$6,AS!$X:$X,Tilanne!$Y$5,AS!$K:$K,Tilanne!$V$2)</f>
        <v>0</v>
      </c>
      <c r="M113" s="63">
        <f>SUMIFS(AS!$W:$W,AS!$BO:$BO,$W$7,AS!$AB:$AB,AS!$AA$1,AS!$AO:$AO,$X113,AS!$AH:$AH,$X$8,AS!$I:$I,$Y$7,AS!$AV:$AV,$X$6,AS!$AW:$AW,Tilanne!$Y$6,AS!$X:$X,Tilanne!$Y$5,AS!$K:$K,Tilanne!$V$2)</f>
        <v>0</v>
      </c>
      <c r="N113" s="148">
        <f>SUMIFS(AS!$W:$W,AS!$BO:$BO,$W$7,AS!$AB:$AB,AS!$AA$1,AS!$AO:$AO,$X113,AS!$AH:$AH,"vanha",AS!$AV:$AV,$X$6,AS!$AW:$AW,Tilanne!$Y$6,AS!$X:$X,Tilanne!$Y$5,AS!$K:$K,Tilanne!$V$2)</f>
        <v>0</v>
      </c>
      <c r="O113" s="277"/>
      <c r="P113" s="27"/>
      <c r="Q113" s="275" t="s">
        <v>566</v>
      </c>
      <c r="R113" s="91">
        <f t="shared" si="55"/>
        <v>0</v>
      </c>
      <c r="S113" s="323" t="str">
        <f t="shared" si="56"/>
        <v>-</v>
      </c>
      <c r="T113" s="91">
        <f t="shared" si="57"/>
        <v>0</v>
      </c>
      <c r="U113" s="91">
        <f t="shared" si="58"/>
        <v>0</v>
      </c>
      <c r="V113" s="91">
        <f t="shared" si="59"/>
        <v>0</v>
      </c>
      <c r="X113" s="47" t="s">
        <v>406</v>
      </c>
    </row>
    <row r="114" spans="1:24" x14ac:dyDescent="0.25">
      <c r="A114" s="275" t="s">
        <v>567</v>
      </c>
      <c r="B114" s="148">
        <f>SUMIFS(AS!$W:$W,AS!$BO:$BO,$W$7,AS!$AB:$AB,AS!$AA$1,AS!$AJ:$AJ,$X114,AS!$AH:$AH,$X$8,AS!$AV:$AV,$X$6,AS!$AW:$AW,Tilanne!$Y$6,AS!$X:$X,Tilanne!$Y$5,AS!$K:$K,Tilanne!$V$2)</f>
        <v>0</v>
      </c>
      <c r="C114" s="324" t="str">
        <f t="shared" si="60"/>
        <v>-</v>
      </c>
      <c r="D114" s="63">
        <f>SUMIFS(AS!$W:$W,AS!$BO:$BO,$W$7,AS!$AB:$AB,AS!$AA$1,AS!$AJ:$AJ,$X114,AS!$AH:$AH,$X$8,AS!$I:$I,$X$7,AS!$AV:$AV,$X$6,AS!$AW:$AW,Tilanne!$Y$6,AS!$X:$X,Tilanne!$Y$5,AS!$K:$K,Tilanne!$V$2)</f>
        <v>0</v>
      </c>
      <c r="E114" s="63">
        <f>SUMIFS(AS!$W:$W,AS!$BO:$BO,$W$7,AS!$AB:$AB,AS!$AA$1,AS!$AJ:$AJ,$X114,AS!$AH:$AH,$X$8,AS!$I:$I,$Y$7,AS!$AV:$AV,$X$6,AS!$AW:$AW,Tilanne!$Y$6,AS!$X:$X,Tilanne!$Y$5,AS!$K:$K,Tilanne!$V$2)</f>
        <v>0</v>
      </c>
      <c r="F114" s="239">
        <f>SUMIFS(AS!$W:$W,AS!$BO:$BO,$W$7,AS!$AB:$AB,AS!$AA$1,AS!$AJ:$AJ,$X114,AS!$AH:$AH,$Y$8,AS!$AV:$AV,$X$6,AS!$AW:$AW,Tilanne!$Y$6,AS!$X:$X,Tilanne!$Y$5,AS!$K:$K,Tilanne!$V$2)</f>
        <v>0</v>
      </c>
      <c r="G114" s="277"/>
      <c r="H114" s="27"/>
      <c r="I114" s="273" t="s">
        <v>567</v>
      </c>
      <c r="J114" s="274">
        <f>SUMIFS(AS!$W:$W,AS!$BO:$BO,$W$7,AS!$AB:$AB,AS!$AA$1,AS!$AO:$AO,$X114,AS!$AH:$AH,$X$8,AS!$AV:$AV,$X$6,AS!$AW:$AW,Tilanne!$Y$6,AS!$X:$X,Tilanne!$Y$5,AS!$K:$K,Tilanne!$V$2)</f>
        <v>0</v>
      </c>
      <c r="K114" s="324" t="str">
        <f t="shared" si="61"/>
        <v>-</v>
      </c>
      <c r="L114" s="63">
        <f>SUMIFS(AS!$W:$W,AS!$BO:$BO,$W$7,AS!$AB:$AB,AS!$AA$1,AS!$AO:$AO,$X114,AS!$AH:$AH,$X$8,AS!$I:$I,$X$7,AS!$AV:$AV,$X$6,AS!$AW:$AW,Tilanne!$Y$6,AS!$X:$X,Tilanne!$Y$5,AS!$K:$K,Tilanne!$V$2)</f>
        <v>0</v>
      </c>
      <c r="M114" s="63">
        <f>SUMIFS(AS!$W:$W,AS!$BO:$BO,$W$7,AS!$AB:$AB,AS!$AA$1,AS!$AO:$AO,$X114,AS!$AH:$AH,$X$8,AS!$I:$I,$Y$7,AS!$AV:$AV,$X$6,AS!$AW:$AW,Tilanne!$Y$6,AS!$X:$X,Tilanne!$Y$5,AS!$K:$K,Tilanne!$V$2)</f>
        <v>0</v>
      </c>
      <c r="N114" s="148">
        <f>SUMIFS(AS!$W:$W,AS!$BO:$BO,$W$7,AS!$AB:$AB,AS!$AA$1,AS!$AO:$AO,$X114,AS!$AH:$AH,"vanha",AS!$AV:$AV,$X$6,AS!$AW:$AW,Tilanne!$Y$6,AS!$X:$X,Tilanne!$Y$5,AS!$K:$K,Tilanne!$V$2)</f>
        <v>0</v>
      </c>
      <c r="O114" s="277"/>
      <c r="P114" s="27"/>
      <c r="Q114" s="275" t="s">
        <v>567</v>
      </c>
      <c r="R114" s="91">
        <f t="shared" si="55"/>
        <v>0</v>
      </c>
      <c r="S114" s="323" t="str">
        <f t="shared" si="56"/>
        <v>-</v>
      </c>
      <c r="T114" s="91">
        <f t="shared" si="57"/>
        <v>0</v>
      </c>
      <c r="U114" s="91">
        <f t="shared" si="58"/>
        <v>0</v>
      </c>
      <c r="V114" s="91">
        <f t="shared" si="59"/>
        <v>0</v>
      </c>
      <c r="X114" s="47" t="s">
        <v>403</v>
      </c>
    </row>
    <row r="115" spans="1:24" x14ac:dyDescent="0.25">
      <c r="A115" s="275" t="s">
        <v>124</v>
      </c>
      <c r="B115" s="148">
        <f>SUMIFS(AS!$W:$W,AS!$BO:$BO,$W$7,AS!$AB:$AB,AS!$AA$1,AS!$AJ:$AJ,$X115,AS!$AH:$AH,$X$8,AS!$AV:$AV,$X$6,AS!$AW:$AW,Tilanne!$Y$6,AS!$X:$X,Tilanne!$Y$5,AS!$K:$K,Tilanne!$V$2)</f>
        <v>0</v>
      </c>
      <c r="C115" s="324" t="str">
        <f t="shared" si="60"/>
        <v>-</v>
      </c>
      <c r="D115" s="63">
        <f>SUMIFS(AS!$W:$W,AS!$BO:$BO,$W$7,AS!$AB:$AB,AS!$AA$1,AS!$AJ:$AJ,$X115,AS!$AH:$AH,$X$8,AS!$I:$I,$X$7,AS!$AV:$AV,$X$6,AS!$AW:$AW,Tilanne!$Y$6,AS!$X:$X,Tilanne!$Y$5,AS!$K:$K,Tilanne!$V$2)</f>
        <v>0</v>
      </c>
      <c r="E115" s="63">
        <f>SUMIFS(AS!$W:$W,AS!$BO:$BO,$W$7,AS!$AB:$AB,AS!$AA$1,AS!$AJ:$AJ,$X115,AS!$AH:$AH,$X$8,AS!$I:$I,$Y$7,AS!$AV:$AV,$X$6,AS!$AW:$AW,Tilanne!$Y$6,AS!$X:$X,Tilanne!$Y$5,AS!$K:$K,Tilanne!$V$2)</f>
        <v>0</v>
      </c>
      <c r="F115" s="239">
        <f>SUMIFS(AS!$W:$W,AS!$BO:$BO,$W$7,AS!$AB:$AB,AS!$AA$1,AS!$AJ:$AJ,$X115,AS!$AH:$AH,$Y$8,AS!$AV:$AV,$X$6,AS!$AW:$AW,Tilanne!$Y$6,AS!$X:$X,Tilanne!$Y$5,AS!$K:$K,Tilanne!$V$2)</f>
        <v>0</v>
      </c>
      <c r="G115" s="277"/>
      <c r="H115" s="27"/>
      <c r="I115" s="273" t="s">
        <v>124</v>
      </c>
      <c r="J115" s="274">
        <f>SUMIFS(AS!$W:$W,AS!$BO:$BO,$W$7,AS!$AB:$AB,AS!$AA$1,AS!$AO:$AO,$X115,AS!$AH:$AH,$X$8,AS!$AV:$AV,$X$6,AS!$AW:$AW,Tilanne!$Y$6,AS!$X:$X,Tilanne!$Y$5,AS!$K:$K,Tilanne!$V$2)</f>
        <v>0</v>
      </c>
      <c r="K115" s="324" t="str">
        <f t="shared" si="61"/>
        <v>-</v>
      </c>
      <c r="L115" s="63">
        <f>SUMIFS(AS!$W:$W,AS!$BO:$BO,$W$7,AS!$AB:$AB,AS!$AA$1,AS!$AO:$AO,$X115,AS!$AH:$AH,$X$8,AS!$I:$I,$X$7,AS!$AV:$AV,$X$6,AS!$AW:$AW,Tilanne!$Y$6,AS!$X:$X,Tilanne!$Y$5,AS!$K:$K,Tilanne!$V$2)</f>
        <v>0</v>
      </c>
      <c r="M115" s="63">
        <f>SUMIFS(AS!$W:$W,AS!$BO:$BO,$W$7,AS!$AB:$AB,AS!$AA$1,AS!$AO:$AO,$X115,AS!$AH:$AH,$X$8,AS!$I:$I,$Y$7,AS!$AV:$AV,$X$6,AS!$AW:$AW,Tilanne!$Y$6,AS!$X:$X,Tilanne!$Y$5,AS!$K:$K,Tilanne!$V$2)</f>
        <v>0</v>
      </c>
      <c r="N115" s="148">
        <f>SUMIFS(AS!$W:$W,AS!$BO:$BO,$W$7,AS!$AB:$AB,AS!$AA$1,AS!$AO:$AO,$X115,AS!$AH:$AH,"vanha",AS!$AV:$AV,$X$6,AS!$AW:$AW,Tilanne!$Y$6,AS!$X:$X,Tilanne!$Y$5,AS!$K:$K,Tilanne!$V$2)</f>
        <v>0</v>
      </c>
      <c r="O115" s="277"/>
      <c r="P115" s="27"/>
      <c r="Q115" s="275" t="s">
        <v>124</v>
      </c>
      <c r="R115" s="91">
        <f t="shared" si="55"/>
        <v>0</v>
      </c>
      <c r="S115" s="323" t="str">
        <f t="shared" si="56"/>
        <v>-</v>
      </c>
      <c r="T115" s="91">
        <f t="shared" si="57"/>
        <v>0</v>
      </c>
      <c r="U115" s="91">
        <f t="shared" si="58"/>
        <v>0</v>
      </c>
      <c r="V115" s="91">
        <f t="shared" si="59"/>
        <v>0</v>
      </c>
      <c r="X115" s="47" t="s">
        <v>507</v>
      </c>
    </row>
    <row r="116" spans="1:24" x14ac:dyDescent="0.25">
      <c r="A116" s="275" t="s">
        <v>63</v>
      </c>
      <c r="B116" s="148">
        <f>SUMIFS(AS!$W:$W,AS!$BO:$BO,$W$7,AS!$AB:$AB,AS!$AA$1,AS!$AJ:$AJ,$X116,AS!$AH:$AH,$X$8,AS!$AV:$AV,$X$6,AS!$AW:$AW,Tilanne!$Y$6,AS!$X:$X,Tilanne!$Y$5,AS!$K:$K,Tilanne!$V$2)</f>
        <v>0</v>
      </c>
      <c r="C116" s="324" t="str">
        <f t="shared" si="60"/>
        <v>-</v>
      </c>
      <c r="D116" s="63">
        <f>SUMIFS(AS!$W:$W,AS!$BO:$BO,$W$7,AS!$AB:$AB,AS!$AA$1,AS!$AJ:$AJ,$X116,AS!$AH:$AH,$X$8,AS!$I:$I,$X$7,AS!$AV:$AV,$X$6,AS!$AW:$AW,Tilanne!$Y$6,AS!$X:$X,Tilanne!$Y$5,AS!$K:$K,Tilanne!$V$2)</f>
        <v>0</v>
      </c>
      <c r="E116" s="63">
        <f>SUMIFS(AS!$W:$W,AS!$BO:$BO,$W$7,AS!$AB:$AB,AS!$AA$1,AS!$AJ:$AJ,$X116,AS!$AH:$AH,$X$8,AS!$I:$I,$Y$7,AS!$AV:$AV,$X$6,AS!$AW:$AW,Tilanne!$Y$6,AS!$X:$X,Tilanne!$Y$5,AS!$K:$K,Tilanne!$V$2)</f>
        <v>0</v>
      </c>
      <c r="F116" s="239">
        <f>SUMIFS(AS!$W:$W,AS!$BO:$BO,$W$7,AS!$AB:$AB,AS!$AA$1,AS!$AJ:$AJ,$X116,AS!$AH:$AH,$Y$8,AS!$AV:$AV,$X$6,AS!$AW:$AW,Tilanne!$Y$6,AS!$X:$X,Tilanne!$Y$5,AS!$K:$K,Tilanne!$V$2)</f>
        <v>0</v>
      </c>
      <c r="G116" s="277"/>
      <c r="H116" s="27"/>
      <c r="I116" s="273" t="s">
        <v>63</v>
      </c>
      <c r="J116" s="274">
        <f>SUMIFS(AS!$W:$W,AS!$BO:$BO,$W$7,AS!$AB:$AB,AS!$AA$1,AS!$AO:$AO,$X116,AS!$AH:$AH,$X$8,AS!$AV:$AV,$X$6,AS!$AW:$AW,Tilanne!$Y$6,AS!$X:$X,Tilanne!$Y$5,AS!$K:$K,Tilanne!$V$2)</f>
        <v>0</v>
      </c>
      <c r="K116" s="324" t="str">
        <f t="shared" si="61"/>
        <v>-</v>
      </c>
      <c r="L116" s="63">
        <f>SUMIFS(AS!$W:$W,AS!$BO:$BO,$W$7,AS!$AB:$AB,AS!$AA$1,AS!$AO:$AO,$X116,AS!$AH:$AH,$X$8,AS!$I:$I,$X$7,AS!$AV:$AV,$X$6,AS!$AW:$AW,Tilanne!$Y$6,AS!$X:$X,Tilanne!$Y$5,AS!$K:$K,Tilanne!$V$2)</f>
        <v>0</v>
      </c>
      <c r="M116" s="63">
        <f>SUMIFS(AS!$W:$W,AS!$BO:$BO,$W$7,AS!$AB:$AB,AS!$AA$1,AS!$AO:$AO,$X116,AS!$AH:$AH,$X$8,AS!$I:$I,$Y$7,AS!$AV:$AV,$X$6,AS!$AW:$AW,Tilanne!$Y$6,AS!$X:$X,Tilanne!$Y$5,AS!$K:$K,Tilanne!$V$2)</f>
        <v>0</v>
      </c>
      <c r="N116" s="148">
        <f>SUMIFS(AS!$W:$W,AS!$BO:$BO,$W$7,AS!$AB:$AB,AS!$AA$1,AS!$AO:$AO,$X116,AS!$AH:$AH,"vanha",AS!$AV:$AV,$X$6,AS!$AW:$AW,Tilanne!$Y$6,AS!$X:$X,Tilanne!$Y$5,AS!$K:$K,Tilanne!$V$2)</f>
        <v>0</v>
      </c>
      <c r="O116" s="277"/>
      <c r="P116" s="27"/>
      <c r="Q116" s="275" t="s">
        <v>63</v>
      </c>
      <c r="R116" s="91">
        <f t="shared" si="55"/>
        <v>0</v>
      </c>
      <c r="S116" s="323" t="str">
        <f t="shared" si="56"/>
        <v>-</v>
      </c>
      <c r="T116" s="91">
        <f t="shared" si="57"/>
        <v>0</v>
      </c>
      <c r="U116" s="91">
        <f t="shared" si="58"/>
        <v>0</v>
      </c>
      <c r="V116" s="91">
        <f t="shared" si="59"/>
        <v>0</v>
      </c>
      <c r="X116" s="47" t="s">
        <v>405</v>
      </c>
    </row>
    <row r="117" spans="1:24" x14ac:dyDescent="0.25">
      <c r="A117" s="59" t="s">
        <v>97</v>
      </c>
      <c r="B117" s="65">
        <f>SUM(B118:B119)</f>
        <v>0</v>
      </c>
      <c r="C117" s="322" t="str">
        <f>IFERROR(B117/B$120,"-")</f>
        <v>-</v>
      </c>
      <c r="D117" s="65">
        <f>SUM(D118:D119)</f>
        <v>0</v>
      </c>
      <c r="E117" s="65">
        <f>SUM(E118:E119)</f>
        <v>0</v>
      </c>
      <c r="F117" s="65">
        <f>SUM(F118:F119)</f>
        <v>0</v>
      </c>
      <c r="G117" s="277"/>
      <c r="H117" s="27"/>
      <c r="I117" s="590" t="s">
        <v>97</v>
      </c>
      <c r="J117" s="589">
        <f>SUM(J118:J119)</f>
        <v>0</v>
      </c>
      <c r="K117" s="601" t="str">
        <f>IFERROR(J117/J$120,"-")</f>
        <v>-</v>
      </c>
      <c r="L117" s="589">
        <f>SUM(L118:L119)</f>
        <v>0</v>
      </c>
      <c r="M117" s="589">
        <f>SUM(M118:M119)</f>
        <v>0</v>
      </c>
      <c r="N117" s="589">
        <f>SUM(N118:N119)</f>
        <v>0</v>
      </c>
      <c r="O117" s="277"/>
      <c r="P117" s="27"/>
      <c r="Q117" s="59" t="s">
        <v>97</v>
      </c>
      <c r="R117" s="92">
        <f>J117-B117</f>
        <v>0</v>
      </c>
      <c r="S117" s="325" t="str">
        <f>IFERROR(K117-C117,"-")</f>
        <v>-</v>
      </c>
      <c r="T117" s="92">
        <f>L117-D117</f>
        <v>0</v>
      </c>
      <c r="U117" s="92">
        <f>M117-E117</f>
        <v>0</v>
      </c>
      <c r="V117" s="92">
        <f t="shared" si="59"/>
        <v>0</v>
      </c>
      <c r="X117" s="47"/>
    </row>
    <row r="118" spans="1:24" x14ac:dyDescent="0.25">
      <c r="A118" s="273" t="s">
        <v>123</v>
      </c>
      <c r="B118" s="274">
        <f>SUMIFS(AS!$W:$W,AS!$BO:$BO,$W$7,AS!$AB:$AB,AS!$AA$1,AS!$AJ:$AJ,$X118,AS!$AH:$AH,$X$8,AS!$AV:$AV,$X$6,AS!$AW:$AW,Tilanne!$Y$6,AS!$X:$X,Tilanne!$Y$5,AS!$K:$K,Tilanne!$V$2)</f>
        <v>0</v>
      </c>
      <c r="C118" s="324" t="str">
        <f>IFERROR(B118/B$120,"-")</f>
        <v>-</v>
      </c>
      <c r="D118" s="63">
        <f>SUMIFS(AS!$W:$W,AS!$BO:$BO,$W$7,AS!$AB:$AB,AS!$AA$1,AS!$AJ:$AJ,$X118,AS!$AH:$AH,$X$8,AS!$I:$I,$X$7,AS!$AV:$AV,$X$6,AS!$AW:$AW,Tilanne!$Y$6,AS!$X:$X,Tilanne!$Y$5,AS!$K:$K,Tilanne!$V$2)</f>
        <v>0</v>
      </c>
      <c r="E118" s="63">
        <f>SUMIFS(AS!$W:$W,AS!$BO:$BO,$W$7,AS!$AB:$AB,AS!$AA$1,AS!$AJ:$AJ,$X118,AS!$AH:$AH,$X$8,AS!$I:$I,$Y$7,AS!$AV:$AV,$X$6,AS!$AW:$AW,Tilanne!$Y$6,AS!$X:$X,Tilanne!$Y$5,AS!$K:$K,Tilanne!$V$2)</f>
        <v>0</v>
      </c>
      <c r="F118" s="148">
        <f>SUMIFS(AS!$W:$W,AS!$BO:$BO,$W$7,AS!$AB:$AB,AS!$AA$1,AS!$AJ:$AJ,$X118,AS!$AH:$AH,$Y$8,AS!$AV:$AV,$X$6,AS!$AW:$AW,Tilanne!$Y$6,AS!$X:$X,Tilanne!$Y$5,AS!$K:$K,Tilanne!$V$2)</f>
        <v>0</v>
      </c>
      <c r="G118" s="277"/>
      <c r="H118" s="27"/>
      <c r="I118" s="273" t="s">
        <v>123</v>
      </c>
      <c r="J118" s="274">
        <f>SUMIFS(AS!$W:$W,AS!$BO:$BO,$W$7,AS!$AB:$AB,AS!$AA$1,AS!$AO:$AO,$X118,AS!$AH:$AH,$X$8,AS!$AV:$AV,$X$6,AS!$AW:$AW,Tilanne!$Y$6,AS!$X:$X,Tilanne!$Y$5,AS!$K:$K,Tilanne!$V$2)</f>
        <v>0</v>
      </c>
      <c r="K118" s="324" t="str">
        <f>IFERROR(J118/J$120,"-")</f>
        <v>-</v>
      </c>
      <c r="L118" s="63">
        <f>SUMIFS(AS!$W:$W,AS!$BO:$BO,$W$7,AS!$AB:$AB,AS!$AA$1,AS!$AO:$AO,$X118,AS!$AH:$AH,$X$8,AS!$I:$I,$X$7,AS!$AV:$AV,$X$6,AS!$AW:$AW,Tilanne!$Y$6,AS!$X:$X,Tilanne!$Y$5,AS!$K:$K,Tilanne!$V$2)</f>
        <v>0</v>
      </c>
      <c r="M118" s="63">
        <f>SUMIFS(AS!$W:$W,AS!$BO:$BO,$W$7,AS!$AB:$AB,AS!$AA$1,AS!$AO:$AO,$X118,AS!$AH:$AH,$X$8,AS!$I:$I,$Y$7,AS!$AV:$AV,$X$6,AS!$AW:$AW,Tilanne!$Y$6,AS!$X:$X,Tilanne!$Y$5,AS!$K:$K,Tilanne!$V$2)</f>
        <v>0</v>
      </c>
      <c r="N118" s="148">
        <f>SUMIFS(AS!$W:$W,AS!$BO:$BO,$W$7,AS!$AB:$AB,AS!$AA$1,AS!$AO:$AO,$X118,AS!$AH:$AH,"vanha",AS!$AV:$AV,$X$6,AS!$AW:$AW,Tilanne!$Y$6,AS!$X:$X,Tilanne!$Y$5,AS!$K:$K,Tilanne!$V$2)</f>
        <v>0</v>
      </c>
      <c r="O118" s="277"/>
      <c r="P118" s="27"/>
      <c r="Q118" s="83" t="s">
        <v>97</v>
      </c>
      <c r="R118" s="91">
        <f>J118-B118</f>
        <v>0</v>
      </c>
      <c r="S118" s="323" t="str">
        <f>IFERROR(K118-C118,"-")</f>
        <v>-</v>
      </c>
      <c r="T118" s="91">
        <f>L118-D118</f>
        <v>0</v>
      </c>
      <c r="U118" s="91">
        <f>M118-E118</f>
        <v>0</v>
      </c>
      <c r="V118" s="91">
        <f t="shared" si="59"/>
        <v>0</v>
      </c>
      <c r="X118" s="47" t="s">
        <v>402</v>
      </c>
    </row>
    <row r="119" spans="1:24" x14ac:dyDescent="0.25">
      <c r="A119" s="275" t="s">
        <v>548</v>
      </c>
      <c r="B119" s="148">
        <f>SUMIFS(AS!$W:$W,AS!$BO:$BO,$W$7,AS!$AB:$AB,AS!$AA$1,AS!$AJ:$AJ,"",AS!$AH:$AH,$X$8,AS!$AV:$AV,$X$6,AS!$AW:$AW,Tilanne!$Y$6,AS!$X:$X,Tilanne!$Y$5,AS!$K:$K,Tilanne!$V$2)</f>
        <v>0</v>
      </c>
      <c r="C119" s="324" t="str">
        <f>IFERROR(B119/B$120,"-")</f>
        <v>-</v>
      </c>
      <c r="D119" s="63">
        <f>SUMIFS(AS!$W:$W,AS!$BO:$BO,$W$7,AS!$AB:$AB,AS!$AA$1,AS!$AJ:$AJ,"",AS!$AH:$AH,$X$8,AS!$I:$I,$X$7,AS!$AV:$AV,$X$6,AS!$AW:$AW,Tilanne!$Y$6,AS!$X:$X,Tilanne!$Y$5,AS!$K:$K,Tilanne!$V$2)</f>
        <v>0</v>
      </c>
      <c r="E119" s="63">
        <f>SUMIFS(AS!$W:$W,AS!$BO:$BO,$W$7,AS!$AB:$AB,AS!$AA$1,AS!$AJ:$AJ,"",AS!$AH:$AH,$X$8,AS!$I:$I,$Y$7,AS!$AV:$AV,$X$6,AS!$AW:$AW,Tilanne!$Y$6,AS!$X:$X,Tilanne!$Y$5,AS!$K:$K,Tilanne!$V$2)</f>
        <v>0</v>
      </c>
      <c r="F119" s="239">
        <f>SUMIFS(AS!$W:$W,AS!$BO:$BO,$W$7,AS!$AB:$AB,AS!$AA$1,AS!$AJ:$AJ,"",AS!$AH:$AH,$Y$8,AS!$AV:$AV,$X$6,AS!$AW:$AW,Tilanne!$Y$6,AS!$X:$X,Tilanne!$Y$5,AS!$K:$K,Tilanne!$V$2)</f>
        <v>0</v>
      </c>
      <c r="G119" s="277"/>
      <c r="H119" s="27"/>
      <c r="I119" s="273" t="s">
        <v>548</v>
      </c>
      <c r="J119" s="274">
        <f>SUMIFS(AS!$W:$W,AS!$BO:$BO,$W$7,AS!$AB:$AB,AS!$AA$1,AS!$AO:$AO,"",AS!$AH:$AH,$X$8,AS!$AV:$AV,$X$6,AS!$AW:$AW,Tilanne!$Y$6,AS!$X:$X,Tilanne!$Y$5,AS!$K:$K,Tilanne!$V$2)</f>
        <v>0</v>
      </c>
      <c r="K119" s="324" t="str">
        <f>IFERROR(J119/J$120,"-")</f>
        <v>-</v>
      </c>
      <c r="L119" s="63">
        <f>SUMIFS(AS!$W:$W,AS!$BO:$BO,$W$7,AS!$AB:$AB,AS!$AA$1,AS!$AO:$AO,"",AS!$AH:$AH,$X$8,AS!$I:$I,$X$7,AS!$AV:$AV,$X$6,AS!$AW:$AW,Tilanne!$Y$6,AS!$X:$X,Tilanne!$Y$5,AS!$K:$K,Tilanne!$V$2)</f>
        <v>0</v>
      </c>
      <c r="M119" s="63">
        <f>SUMIFS(AS!$W:$W,AS!$BO:$BO,$W$7,AS!$AB:$AB,AS!$AA$1,AS!$AO:$AO,"",AS!$AH:$AH,$X$8,AS!$I:$I,$Y$7,AS!$AV:$AV,$X$6,AS!$AW:$AW,Tilanne!$Y$6,AS!$X:$X,Tilanne!$Y$5,AS!$K:$K,Tilanne!$V$2)</f>
        <v>0</v>
      </c>
      <c r="N119" s="148">
        <f>SUMIFS(AS!$W:$W,AS!$BO:$BO,$W$7,AS!$AB:$AB,AS!$AA$1,AS!$AO:$AO,"",AS!$AH:$AH,"vanha",AS!$AV:$AV,$X$6,AS!$AW:$AW,Tilanne!$Y$6,AS!$X:$X,Tilanne!$Y$5,AS!$K:$K,Tilanne!$V$2)</f>
        <v>0</v>
      </c>
      <c r="O119" s="277"/>
      <c r="P119" s="27"/>
      <c r="Q119" s="275" t="s">
        <v>548</v>
      </c>
      <c r="R119" s="91">
        <f>J119-B119</f>
        <v>0</v>
      </c>
      <c r="S119" s="323" t="str">
        <f>IFERROR(K119-C119,"-")</f>
        <v>-</v>
      </c>
      <c r="T119" s="91">
        <f t="shared" ref="T119:V120" si="62">L119-D119</f>
        <v>0</v>
      </c>
      <c r="U119" s="91">
        <f t="shared" si="62"/>
        <v>0</v>
      </c>
      <c r="V119" s="91">
        <f t="shared" si="62"/>
        <v>0</v>
      </c>
    </row>
    <row r="120" spans="1:24" x14ac:dyDescent="0.25">
      <c r="A120" s="85" t="s">
        <v>114</v>
      </c>
      <c r="B120" s="66">
        <f>SUM(B107:B117)</f>
        <v>0</v>
      </c>
      <c r="C120" s="270">
        <f>SUM(C107:C117)</f>
        <v>0</v>
      </c>
      <c r="D120" s="66">
        <f>SUM(D107:D117)</f>
        <v>0</v>
      </c>
      <c r="E120" s="66">
        <f>SUM(E107:E117)</f>
        <v>0</v>
      </c>
      <c r="F120" s="66">
        <f>SUM(F107:F117)</f>
        <v>0</v>
      </c>
      <c r="G120" s="278"/>
      <c r="H120" s="27"/>
      <c r="I120" s="591" t="s">
        <v>114</v>
      </c>
      <c r="J120" s="592">
        <f>SUM(J107:J117)</f>
        <v>0</v>
      </c>
      <c r="K120" s="593">
        <f>SUM(K107:K117)</f>
        <v>0</v>
      </c>
      <c r="L120" s="592">
        <f>SUM(L107:L117)</f>
        <v>0</v>
      </c>
      <c r="M120" s="592">
        <f>SUM(M107:M117)</f>
        <v>0</v>
      </c>
      <c r="N120" s="592">
        <f>SUM(N107:N117)</f>
        <v>0</v>
      </c>
      <c r="O120" s="278"/>
      <c r="P120" s="27"/>
      <c r="Q120" s="85" t="s">
        <v>114</v>
      </c>
      <c r="R120" s="93">
        <f>J120-B120</f>
        <v>0</v>
      </c>
      <c r="S120" s="93">
        <f>K120-C120</f>
        <v>0</v>
      </c>
      <c r="T120" s="93">
        <f t="shared" si="62"/>
        <v>0</v>
      </c>
      <c r="U120" s="93">
        <f t="shared" si="62"/>
        <v>0</v>
      </c>
      <c r="V120" s="93">
        <f t="shared" si="62"/>
        <v>0</v>
      </c>
    </row>
    <row r="121" spans="1:24" x14ac:dyDescent="0.25">
      <c r="A121" s="27"/>
      <c r="B121" s="26"/>
      <c r="C121" s="26"/>
      <c r="D121" s="27"/>
      <c r="E121" s="27"/>
      <c r="F121" s="27"/>
      <c r="G121" s="27"/>
      <c r="H121" s="27"/>
      <c r="I121" s="27"/>
      <c r="J121" s="27"/>
      <c r="K121" s="27"/>
      <c r="L121" s="27"/>
      <c r="M121" s="27"/>
      <c r="N121" s="27"/>
      <c r="O121" s="27"/>
      <c r="P121" s="27"/>
      <c r="Q121" s="27"/>
      <c r="R121" s="27"/>
    </row>
    <row r="122" spans="1:24" x14ac:dyDescent="0.25">
      <c r="B122" s="146"/>
    </row>
    <row r="123" spans="1:24" x14ac:dyDescent="0.25">
      <c r="A123" s="352" t="s">
        <v>746</v>
      </c>
    </row>
  </sheetData>
  <sheetProtection sheet="1"/>
  <mergeCells count="40">
    <mergeCell ref="R11:S11"/>
    <mergeCell ref="R32:S32"/>
    <mergeCell ref="R56:S56"/>
    <mergeCell ref="J11:K11"/>
    <mergeCell ref="J32:K32"/>
    <mergeCell ref="J56:K56"/>
    <mergeCell ref="Q11:Q12"/>
    <mergeCell ref="Q32:Q33"/>
    <mergeCell ref="Q56:Q57"/>
    <mergeCell ref="O11:O12"/>
    <mergeCell ref="O32:O33"/>
    <mergeCell ref="O56:O57"/>
    <mergeCell ref="A11:A12"/>
    <mergeCell ref="I11:I12"/>
    <mergeCell ref="A32:A33"/>
    <mergeCell ref="I32:I33"/>
    <mergeCell ref="A56:A57"/>
    <mergeCell ref="I56:I57"/>
    <mergeCell ref="B11:C11"/>
    <mergeCell ref="B32:C32"/>
    <mergeCell ref="B56:C56"/>
    <mergeCell ref="G11:G12"/>
    <mergeCell ref="G32:G33"/>
    <mergeCell ref="G56:G57"/>
    <mergeCell ref="A104:A105"/>
    <mergeCell ref="B104:C104"/>
    <mergeCell ref="I78:I79"/>
    <mergeCell ref="J78:K78"/>
    <mergeCell ref="Q78:Q79"/>
    <mergeCell ref="A78:A79"/>
    <mergeCell ref="B78:C78"/>
    <mergeCell ref="G78:G79"/>
    <mergeCell ref="G104:G105"/>
    <mergeCell ref="R78:S78"/>
    <mergeCell ref="I104:I105"/>
    <mergeCell ref="J104:K104"/>
    <mergeCell ref="Q104:Q105"/>
    <mergeCell ref="R104:S104"/>
    <mergeCell ref="O78:O79"/>
    <mergeCell ref="O104:O105"/>
  </mergeCells>
  <conditionalFormatting sqref="C14:C25">
    <cfRule type="colorScale" priority="78">
      <colorScale>
        <cfvo type="min"/>
        <cfvo type="max"/>
        <color rgb="FFFCFCFF"/>
        <color rgb="FF63BE7B"/>
      </colorScale>
    </cfRule>
  </conditionalFormatting>
  <conditionalFormatting sqref="C35:C49">
    <cfRule type="colorScale" priority="39">
      <colorScale>
        <cfvo type="min"/>
        <cfvo type="max"/>
        <color rgb="FFFCFCFF"/>
        <color rgb="FF63BE7B"/>
      </colorScale>
    </cfRule>
  </conditionalFormatting>
  <conditionalFormatting sqref="C59:C69">
    <cfRule type="colorScale" priority="38">
      <colorScale>
        <cfvo type="min"/>
        <cfvo type="max"/>
        <color rgb="FFFCFCFF"/>
        <color rgb="FF63BE7B"/>
      </colorScale>
    </cfRule>
  </conditionalFormatting>
  <conditionalFormatting sqref="C81:C96">
    <cfRule type="colorScale" priority="37">
      <colorScale>
        <cfvo type="min"/>
        <cfvo type="max"/>
        <color rgb="FFFCFCFF"/>
        <color rgb="FF63BE7B"/>
      </colorScale>
    </cfRule>
  </conditionalFormatting>
  <conditionalFormatting sqref="C107:C116">
    <cfRule type="colorScale" priority="36">
      <colorScale>
        <cfvo type="min"/>
        <cfvo type="max"/>
        <color rgb="FFFCFCFF"/>
        <color rgb="FF63BE7B"/>
      </colorScale>
    </cfRule>
  </conditionalFormatting>
  <conditionalFormatting sqref="K14:K25">
    <cfRule type="colorScale" priority="5">
      <colorScale>
        <cfvo type="min"/>
        <cfvo type="max"/>
        <color rgb="FFFCFCFF"/>
        <color rgb="FF63BE7B"/>
      </colorScale>
    </cfRule>
  </conditionalFormatting>
  <conditionalFormatting sqref="K35:K49">
    <cfRule type="colorScale" priority="4">
      <colorScale>
        <cfvo type="min"/>
        <cfvo type="max"/>
        <color rgb="FFFCFCFF"/>
        <color rgb="FF63BE7B"/>
      </colorScale>
    </cfRule>
  </conditionalFormatting>
  <conditionalFormatting sqref="K59:K69">
    <cfRule type="colorScale" priority="3">
      <colorScale>
        <cfvo type="min"/>
        <cfvo type="max"/>
        <color rgb="FFFCFCFF"/>
        <color rgb="FF63BE7B"/>
      </colorScale>
    </cfRule>
  </conditionalFormatting>
  <conditionalFormatting sqref="K81:K96">
    <cfRule type="colorScale" priority="2">
      <colorScale>
        <cfvo type="min"/>
        <cfvo type="max"/>
        <color rgb="FFFCFCFF"/>
        <color rgb="FF63BE7B"/>
      </colorScale>
    </cfRule>
  </conditionalFormatting>
  <conditionalFormatting sqref="K107:K116">
    <cfRule type="colorScale" priority="1">
      <colorScale>
        <cfvo type="min"/>
        <cfvo type="max"/>
        <color rgb="FFFCFCFF"/>
        <color rgb="FF63BE7B"/>
      </colorScale>
    </cfRule>
  </conditionalFormatting>
  <dataValidations count="3">
    <dataValidation type="date" allowBlank="1" showInputMessage="1" showErrorMessage="1" error="Kirjoita päivämäärä muodossa _x000a_pp.kk.vvvv_x000a__x000a_Päivämäärän on oltava _x000a_suurempi kuin 01.01.2008 ja _x000a_pienempi kuin 31.12.2020" sqref="A2:A3" xr:uid="{00000000-0002-0000-0300-000000000000}">
      <formula1>39448</formula1>
      <formula2>44196</formula2>
    </dataValidation>
    <dataValidation type="list" allowBlank="1" showInputMessage="1" showErrorMessage="1" sqref="A4" xr:uid="{00000000-0002-0000-0300-000002000000}">
      <formula1>$W$2:$W$5</formula1>
    </dataValidation>
    <dataValidation type="list" allowBlank="1" showInputMessage="1" showErrorMessage="1" sqref="A6" xr:uid="{48F8B55E-2AA9-45AC-B162-D1919424C6B1}">
      <formula1>$Y$1:$Y$3</formula1>
    </dataValidation>
  </dataValidations>
  <hyperlinks>
    <hyperlink ref="A2" location="Asiakastilastot!A2" display="Asiakastilastot!A2" xr:uid="{00000000-0004-0000-0300-000000000000}"/>
    <hyperlink ref="A3" location="Asiakastilastot!A3" display="Asiakastilastot!A3" xr:uid="{00000000-0004-0000-0300-000001000000}"/>
    <hyperlink ref="A123" location="Tilanne!A1" display="Sivun alkuun" xr:uid="{00000000-0004-0000-0300-000002000000}"/>
  </hyperlinks>
  <pageMargins left="0.70866141732283472" right="0.70866141732283472" top="0.74803149606299213" bottom="0.83333333333333337" header="0" footer="0"/>
  <pageSetup paperSize="9" scale="75" fitToWidth="0" orientation="portrait" r:id="rId1"/>
  <headerFooter>
    <oddFooter>&amp;L 
Etsivä org
Etsivätie 1
01000, E-kunta&amp;C&amp;G&amp;R&amp;P/&amp;N</oddFooter>
  </headerFooter>
  <rowBreaks count="1" manualBreakCount="1">
    <brk id="75" max="16383" man="1"/>
  </rowBreaks>
  <colBreaks count="2" manualBreakCount="2">
    <brk id="6" max="1048575" man="1"/>
    <brk id="16" max="1048575" man="1"/>
  </colBreaks>
  <ignoredErrors>
    <ignoredError sqref="D32:F32 B57:F57 D56:F56 B77:F77 B30:F31 B55:F55 B54:D54 F54 B74:F74" unlockedFormula="1"/>
  </ignoredErrors>
  <drawing r:id="rId2"/>
  <extLst>
    <ext xmlns:x14="http://schemas.microsoft.com/office/spreadsheetml/2009/9/main" uri="{78C0D931-6437-407d-A8EE-F0AAD7539E65}">
      <x14:conditionalFormattings>
        <x14:conditionalFormatting xmlns:xm="http://schemas.microsoft.com/office/excel/2006/main">
          <x14:cfRule type="iconSet" priority="73" id="{1538200C-9088-45D4-A928-12B465C7A324}">
            <x14:iconSet iconSet="3Arrows" custom="1">
              <x14:cfvo type="percent">
                <xm:f>0</xm:f>
              </x14:cfvo>
              <x14:cfvo type="num">
                <xm:f>0</xm:f>
              </x14:cfvo>
              <x14:cfvo type="num" gte="0">
                <xm:f>0</xm:f>
              </x14:cfvo>
              <x14:cfIcon iconSet="3Arrows" iconId="0"/>
              <x14:cfIcon iconSet="NoIcons" iconId="0"/>
              <x14:cfIcon iconSet="3Arrows" iconId="2"/>
            </x14:iconSet>
          </x14:cfRule>
          <xm:sqref>R13 T13:V13</xm:sqref>
        </x14:conditionalFormatting>
        <x14:conditionalFormatting xmlns:xm="http://schemas.microsoft.com/office/excel/2006/main">
          <x14:cfRule type="iconSet" priority="57" id="{5D5CBC8A-ED9C-44EB-AD70-98008733D2EF}">
            <x14:iconSet iconSet="3Arrows" custom="1">
              <x14:cfvo type="percent">
                <xm:f>0</xm:f>
              </x14:cfvo>
              <x14:cfvo type="num">
                <xm:f>0</xm:f>
              </x14:cfvo>
              <x14:cfvo type="num" gte="0">
                <xm:f>0</xm:f>
              </x14:cfvo>
              <x14:cfIcon iconSet="3Arrows" iconId="0"/>
              <x14:cfIcon iconSet="NoIcons" iconId="0"/>
              <x14:cfIcon iconSet="3Arrows" iconId="2"/>
            </x14:iconSet>
          </x14:cfRule>
          <xm:sqref>R26 T26:V26</xm:sqref>
        </x14:conditionalFormatting>
        <x14:conditionalFormatting xmlns:xm="http://schemas.microsoft.com/office/excel/2006/main">
          <x14:cfRule type="iconSet" priority="71" id="{6CC30EE1-D257-48BD-BAF4-01D7EA3859A4}">
            <x14:iconSet iconSet="3Arrows" custom="1">
              <x14:cfvo type="percent">
                <xm:f>0</xm:f>
              </x14:cfvo>
              <x14:cfvo type="num">
                <xm:f>0</xm:f>
              </x14:cfvo>
              <x14:cfvo type="num" gte="0">
                <xm:f>0</xm:f>
              </x14:cfvo>
              <x14:cfIcon iconSet="3Arrows" iconId="0"/>
              <x14:cfIcon iconSet="NoIcons" iconId="0"/>
              <x14:cfIcon iconSet="3Arrows" iconId="2"/>
            </x14:iconSet>
          </x14:cfRule>
          <xm:sqref>R34 T34:V34</xm:sqref>
        </x14:conditionalFormatting>
        <x14:conditionalFormatting xmlns:xm="http://schemas.microsoft.com/office/excel/2006/main">
          <x14:cfRule type="iconSet" priority="53" id="{55F75CE5-B40C-42E0-956E-75FB567E512F}">
            <x14:iconSet iconSet="3Arrows" custom="1">
              <x14:cfvo type="percent">
                <xm:f>0</xm:f>
              </x14:cfvo>
              <x14:cfvo type="num">
                <xm:f>0</xm:f>
              </x14:cfvo>
              <x14:cfvo type="num" gte="0">
                <xm:f>0</xm:f>
              </x14:cfvo>
              <x14:cfIcon iconSet="3Arrows" iconId="0"/>
              <x14:cfIcon iconSet="NoIcons" iconId="0"/>
              <x14:cfIcon iconSet="3Arrows" iconId="2"/>
            </x14:iconSet>
          </x14:cfRule>
          <xm:sqref>R50 T50:V50</xm:sqref>
        </x14:conditionalFormatting>
        <x14:conditionalFormatting xmlns:xm="http://schemas.microsoft.com/office/excel/2006/main">
          <x14:cfRule type="iconSet" priority="67" id="{A8A0903C-A39E-4A8D-B2E7-6E88E3003A79}">
            <x14:iconSet iconSet="3Arrows" custom="1">
              <x14:cfvo type="percent">
                <xm:f>0</xm:f>
              </x14:cfvo>
              <x14:cfvo type="num">
                <xm:f>0</xm:f>
              </x14:cfvo>
              <x14:cfvo type="num" gte="0">
                <xm:f>0</xm:f>
              </x14:cfvo>
              <x14:cfIcon iconSet="3Arrows" iconId="0"/>
              <x14:cfIcon iconSet="NoIcons" iconId="0"/>
              <x14:cfIcon iconSet="3Arrows" iconId="2"/>
            </x14:iconSet>
          </x14:cfRule>
          <xm:sqref>R58 T58:V58</xm:sqref>
        </x14:conditionalFormatting>
        <x14:conditionalFormatting xmlns:xm="http://schemas.microsoft.com/office/excel/2006/main">
          <x14:cfRule type="iconSet" priority="108" id="{A0DD942D-C549-4B67-8E45-5A866D6B2EE1}">
            <x14:iconSet iconSet="3Arrows" custom="1">
              <x14:cfvo type="percent">
                <xm:f>0</xm:f>
              </x14:cfvo>
              <x14:cfvo type="num">
                <xm:f>0</xm:f>
              </x14:cfvo>
              <x14:cfvo type="num" gte="0">
                <xm:f>0</xm:f>
              </x14:cfvo>
              <x14:cfIcon iconSet="3Arrows" iconId="0"/>
              <x14:cfIcon iconSet="NoIcons" iconId="0"/>
              <x14:cfIcon iconSet="3Arrows" iconId="2"/>
            </x14:iconSet>
          </x14:cfRule>
          <xm:sqref>R59:R69 T59:V69</xm:sqref>
        </x14:conditionalFormatting>
        <x14:conditionalFormatting xmlns:xm="http://schemas.microsoft.com/office/excel/2006/main">
          <x14:cfRule type="iconSet" priority="49" id="{2A004FA5-00AB-4DE0-A8A8-371F815B1558}">
            <x14:iconSet iconSet="3Arrows" custom="1">
              <x14:cfvo type="percent">
                <xm:f>0</xm:f>
              </x14:cfvo>
              <x14:cfvo type="num">
                <xm:f>0</xm:f>
              </x14:cfvo>
              <x14:cfvo type="num" gte="0">
                <xm:f>0</xm:f>
              </x14:cfvo>
              <x14:cfIcon iconSet="3Arrows" iconId="0"/>
              <x14:cfIcon iconSet="NoIcons" iconId="0"/>
              <x14:cfIcon iconSet="3Arrows" iconId="2"/>
            </x14:iconSet>
          </x14:cfRule>
          <xm:sqref>R70 T70:V70</xm:sqref>
        </x14:conditionalFormatting>
        <x14:conditionalFormatting xmlns:xm="http://schemas.microsoft.com/office/excel/2006/main">
          <x14:cfRule type="iconSet" priority="106" id="{9689FAD6-B5C6-406B-96E4-06E3D74FB0AE}">
            <x14:iconSet iconSet="3Arrows" custom="1">
              <x14:cfvo type="percent">
                <xm:f>0</xm:f>
              </x14:cfvo>
              <x14:cfvo type="num">
                <xm:f>0</xm:f>
              </x14:cfvo>
              <x14:cfvo type="num" gte="0">
                <xm:f>0</xm:f>
              </x14:cfvo>
              <x14:cfIcon iconSet="3Arrows" iconId="0"/>
              <x14:cfIcon iconSet="NoIcons" iconId="0"/>
              <x14:cfIcon iconSet="3Arrows" iconId="2"/>
            </x14:iconSet>
          </x14:cfRule>
          <xm:sqref>R72 T72:V72</xm:sqref>
        </x14:conditionalFormatting>
        <x14:conditionalFormatting xmlns:xm="http://schemas.microsoft.com/office/excel/2006/main">
          <x14:cfRule type="iconSet" priority="104" id="{10BE55E4-E555-4D04-AB14-6214FD6E3FBF}">
            <x14:iconSet iconSet="3Arrows" custom="1">
              <x14:cfvo type="percent">
                <xm:f>0</xm:f>
              </x14:cfvo>
              <x14:cfvo type="num">
                <xm:f>0</xm:f>
              </x14:cfvo>
              <x14:cfvo type="num" gte="0">
                <xm:f>0</xm:f>
              </x14:cfvo>
              <x14:cfIcon iconSet="3Arrows" iconId="0"/>
              <x14:cfIcon iconSet="NoIcons" iconId="0"/>
              <x14:cfIcon iconSet="3Arrows" iconId="2"/>
            </x14:iconSet>
          </x14:cfRule>
          <xm:sqref>R73 T73:V73</xm:sqref>
        </x14:conditionalFormatting>
        <x14:conditionalFormatting xmlns:xm="http://schemas.microsoft.com/office/excel/2006/main">
          <x14:cfRule type="iconSet" priority="65" id="{6AE91800-DC32-4D24-B5F7-CEE56FA3392C}">
            <x14:iconSet iconSet="3Arrows" custom="1">
              <x14:cfvo type="percent">
                <xm:f>0</xm:f>
              </x14:cfvo>
              <x14:cfvo type="num">
                <xm:f>0</xm:f>
              </x14:cfvo>
              <x14:cfvo type="num" gte="0">
                <xm:f>0</xm:f>
              </x14:cfvo>
              <x14:cfIcon iconSet="3Arrows" iconId="0"/>
              <x14:cfIcon iconSet="NoIcons" iconId="0"/>
              <x14:cfIcon iconSet="3Arrows" iconId="2"/>
            </x14:iconSet>
          </x14:cfRule>
          <xm:sqref>R80 T80:V80</xm:sqref>
        </x14:conditionalFormatting>
        <x14:conditionalFormatting xmlns:xm="http://schemas.microsoft.com/office/excel/2006/main">
          <x14:cfRule type="iconSet" priority="94" id="{291A7025-EC73-4A56-829B-61B41272D20A}">
            <x14:iconSet iconSet="3Arrows" custom="1">
              <x14:cfvo type="percent">
                <xm:f>0</xm:f>
              </x14:cfvo>
              <x14:cfvo type="num">
                <xm:f>0</xm:f>
              </x14:cfvo>
              <x14:cfvo type="num" gte="0">
                <xm:f>0</xm:f>
              </x14:cfvo>
              <x14:cfIcon iconSet="3Arrows" iconId="0"/>
              <x14:cfIcon iconSet="NoIcons" iconId="0"/>
              <x14:cfIcon iconSet="3Arrows" iconId="2"/>
            </x14:iconSet>
          </x14:cfRule>
          <xm:sqref>R81:R96 T81:V96</xm:sqref>
        </x14:conditionalFormatting>
        <x14:conditionalFormatting xmlns:xm="http://schemas.microsoft.com/office/excel/2006/main">
          <x14:cfRule type="iconSet" priority="45" id="{05B7E3AE-3954-4BCE-8490-F953EACBD3AE}">
            <x14:iconSet iconSet="3Arrows" custom="1">
              <x14:cfvo type="percent">
                <xm:f>0</xm:f>
              </x14:cfvo>
              <x14:cfvo type="num">
                <xm:f>0</xm:f>
              </x14:cfvo>
              <x14:cfvo type="num" gte="0">
                <xm:f>0</xm:f>
              </x14:cfvo>
              <x14:cfIcon iconSet="3Arrows" iconId="0"/>
              <x14:cfIcon iconSet="NoIcons" iconId="0"/>
              <x14:cfIcon iconSet="3Arrows" iconId="2"/>
            </x14:iconSet>
          </x14:cfRule>
          <xm:sqref>R97 T97:V97</xm:sqref>
        </x14:conditionalFormatting>
        <x14:conditionalFormatting xmlns:xm="http://schemas.microsoft.com/office/excel/2006/main">
          <x14:cfRule type="iconSet" priority="92" id="{4BCDE275-C1CC-495B-A99F-1B3FCBE38E95}">
            <x14:iconSet iconSet="3Arrows" custom="1">
              <x14:cfvo type="percent">
                <xm:f>0</xm:f>
              </x14:cfvo>
              <x14:cfvo type="num">
                <xm:f>0</xm:f>
              </x14:cfvo>
              <x14:cfvo type="num" gte="0">
                <xm:f>0</xm:f>
              </x14:cfvo>
              <x14:cfIcon iconSet="3Arrows" iconId="0"/>
              <x14:cfIcon iconSet="NoIcons" iconId="0"/>
              <x14:cfIcon iconSet="3Arrows" iconId="2"/>
            </x14:iconSet>
          </x14:cfRule>
          <xm:sqref>R99 T99:V99</xm:sqref>
        </x14:conditionalFormatting>
        <x14:conditionalFormatting xmlns:xm="http://schemas.microsoft.com/office/excel/2006/main">
          <x14:cfRule type="iconSet" priority="90" id="{56C02BD8-8AF5-453B-ACD5-2FA867719CE2}">
            <x14:iconSet iconSet="3Arrows" custom="1">
              <x14:cfvo type="percent">
                <xm:f>0</xm:f>
              </x14:cfvo>
              <x14:cfvo type="num">
                <xm:f>0</xm:f>
              </x14:cfvo>
              <x14:cfvo type="num" gte="0">
                <xm:f>0</xm:f>
              </x14:cfvo>
              <x14:cfIcon iconSet="3Arrows" iconId="0"/>
              <x14:cfIcon iconSet="NoIcons" iconId="0"/>
              <x14:cfIcon iconSet="3Arrows" iconId="2"/>
            </x14:iconSet>
          </x14:cfRule>
          <xm:sqref>R100 T100:V100</xm:sqref>
        </x14:conditionalFormatting>
        <x14:conditionalFormatting xmlns:xm="http://schemas.microsoft.com/office/excel/2006/main">
          <x14:cfRule type="iconSet" priority="63" id="{69AD6BDA-A40F-4BBC-B402-30381A72E5E6}">
            <x14:iconSet iconSet="3Arrows" custom="1">
              <x14:cfvo type="percent">
                <xm:f>0</xm:f>
              </x14:cfvo>
              <x14:cfvo type="num">
                <xm:f>0</xm:f>
              </x14:cfvo>
              <x14:cfvo type="num" gte="0">
                <xm:f>0</xm:f>
              </x14:cfvo>
              <x14:cfIcon iconSet="3Arrows" iconId="0"/>
              <x14:cfIcon iconSet="NoIcons" iconId="0"/>
              <x14:cfIcon iconSet="3Arrows" iconId="2"/>
            </x14:iconSet>
          </x14:cfRule>
          <xm:sqref>R106 T106:V106</xm:sqref>
        </x14:conditionalFormatting>
        <x14:conditionalFormatting xmlns:xm="http://schemas.microsoft.com/office/excel/2006/main">
          <x14:cfRule type="iconSet" priority="86" id="{C8A5B20C-7FE2-4338-AEE3-6F35763AB721}">
            <x14:iconSet iconSet="3Arrows" custom="1">
              <x14:cfvo type="percent">
                <xm:f>0</xm:f>
              </x14:cfvo>
              <x14:cfvo type="num">
                <xm:f>0</xm:f>
              </x14:cfvo>
              <x14:cfvo type="num" gte="0">
                <xm:f>0</xm:f>
              </x14:cfvo>
              <x14:cfIcon iconSet="3Arrows" iconId="0"/>
              <x14:cfIcon iconSet="NoIcons" iconId="0"/>
              <x14:cfIcon iconSet="3Arrows" iconId="2"/>
            </x14:iconSet>
          </x14:cfRule>
          <xm:sqref>R107:R116 T107:V116</xm:sqref>
        </x14:conditionalFormatting>
        <x14:conditionalFormatting xmlns:xm="http://schemas.microsoft.com/office/excel/2006/main">
          <x14:cfRule type="iconSet" priority="41" id="{3C0861B1-AB0B-4DAB-83BA-7562851B72AE}">
            <x14:iconSet iconSet="3Arrows" custom="1">
              <x14:cfvo type="percent">
                <xm:f>0</xm:f>
              </x14:cfvo>
              <x14:cfvo type="num">
                <xm:f>0</xm:f>
              </x14:cfvo>
              <x14:cfvo type="num" gte="0">
                <xm:f>0</xm:f>
              </x14:cfvo>
              <x14:cfIcon iconSet="3Arrows" iconId="0"/>
              <x14:cfIcon iconSet="NoIcons" iconId="0"/>
              <x14:cfIcon iconSet="3Arrows" iconId="2"/>
            </x14:iconSet>
          </x14:cfRule>
          <xm:sqref>R117 T117:V117</xm:sqref>
        </x14:conditionalFormatting>
        <x14:conditionalFormatting xmlns:xm="http://schemas.microsoft.com/office/excel/2006/main">
          <x14:cfRule type="iconSet" priority="84" id="{6C08E892-732F-4364-8068-242F917EF7F5}">
            <x14:iconSet iconSet="3Arrows" custom="1">
              <x14:cfvo type="percent">
                <xm:f>0</xm:f>
              </x14:cfvo>
              <x14:cfvo type="num">
                <xm:f>0</xm:f>
              </x14:cfvo>
              <x14:cfvo type="num" gte="0">
                <xm:f>0</xm:f>
              </x14:cfvo>
              <x14:cfIcon iconSet="3Arrows" iconId="0"/>
              <x14:cfIcon iconSet="NoIcons" iconId="0"/>
              <x14:cfIcon iconSet="3Arrows" iconId="2"/>
            </x14:iconSet>
          </x14:cfRule>
          <xm:sqref>R119 T119:V119</xm:sqref>
        </x14:conditionalFormatting>
        <x14:conditionalFormatting xmlns:xm="http://schemas.microsoft.com/office/excel/2006/main">
          <x14:cfRule type="iconSet" priority="82" id="{BBCE296A-7162-455E-B18D-0D51E8280945}">
            <x14:iconSet iconSet="3Arrows" custom="1">
              <x14:cfvo type="percent">
                <xm:f>0</xm:f>
              </x14:cfvo>
              <x14:cfvo type="num">
                <xm:f>0</xm:f>
              </x14:cfvo>
              <x14:cfvo type="num" gte="0">
                <xm:f>0</xm:f>
              </x14:cfvo>
              <x14:cfIcon iconSet="3Arrows" iconId="0"/>
              <x14:cfIcon iconSet="NoIcons" iconId="0"/>
              <x14:cfIcon iconSet="3Arrows" iconId="2"/>
            </x14:iconSet>
          </x14:cfRule>
          <xm:sqref>R120:V120</xm:sqref>
        </x14:conditionalFormatting>
        <x14:conditionalFormatting xmlns:xm="http://schemas.microsoft.com/office/excel/2006/main">
          <x14:cfRule type="iconSet" priority="72" id="{5CBFE400-7611-422D-87B7-8755947E4424}">
            <x14:iconSet iconSet="3Arrows" custom="1">
              <x14:cfvo type="percent">
                <xm:f>0</xm:f>
              </x14:cfvo>
              <x14:cfvo type="num">
                <xm:f>0</xm:f>
              </x14:cfvo>
              <x14:cfvo type="num" gte="0">
                <xm:f>0</xm:f>
              </x14:cfvo>
              <x14:cfIcon iconSet="3Arrows" iconId="0"/>
              <x14:cfIcon iconSet="NoIcons" iconId="0"/>
              <x14:cfIcon iconSet="3Arrows" iconId="2"/>
            </x14:iconSet>
          </x14:cfRule>
          <xm:sqref>S13 S26</xm:sqref>
        </x14:conditionalFormatting>
        <x14:conditionalFormatting xmlns:xm="http://schemas.microsoft.com/office/excel/2006/main">
          <x14:cfRule type="iconSet" priority="35" id="{8F204C96-9C9B-47DA-B84C-2D9CC43C2055}">
            <x14:iconSet iconSet="3Arrows" custom="1">
              <x14:cfvo type="percent">
                <xm:f>0</xm:f>
              </x14:cfvo>
              <x14:cfvo type="num">
                <xm:f>0</xm:f>
              </x14:cfvo>
              <x14:cfvo type="num" gte="0">
                <xm:f>0</xm:f>
              </x14:cfvo>
              <x14:cfIcon iconSet="3Arrows" iconId="0"/>
              <x14:cfIcon iconSet="NoIcons" iconId="0"/>
              <x14:cfIcon iconSet="3Arrows" iconId="2"/>
            </x14:iconSet>
          </x14:cfRule>
          <xm:sqref>S14:S25</xm:sqref>
        </x14:conditionalFormatting>
        <x14:conditionalFormatting xmlns:xm="http://schemas.microsoft.com/office/excel/2006/main">
          <x14:cfRule type="iconSet" priority="34" id="{2920512D-1E5E-4326-AA8A-6B98F2ABC69B}">
            <x14:iconSet iconSet="3Arrows" custom="1">
              <x14:cfvo type="percent">
                <xm:f>0</xm:f>
              </x14:cfvo>
              <x14:cfvo type="num">
                <xm:f>0</xm:f>
              </x14:cfvo>
              <x14:cfvo type="num" gte="0">
                <xm:f>0</xm:f>
              </x14:cfvo>
              <x14:cfIcon iconSet="3Arrows" iconId="0"/>
              <x14:cfIcon iconSet="NoIcons" iconId="0"/>
              <x14:cfIcon iconSet="3Arrows" iconId="2"/>
            </x14:iconSet>
          </x14:cfRule>
          <xm:sqref>S27:S28</xm:sqref>
        </x14:conditionalFormatting>
        <x14:conditionalFormatting xmlns:xm="http://schemas.microsoft.com/office/excel/2006/main">
          <x14:cfRule type="iconSet" priority="33" id="{4CDF0867-80B8-462B-A90A-0309A1A5DD14}">
            <x14:iconSet iconSet="3Arrows" custom="1">
              <x14:cfvo type="percent">
                <xm:f>0</xm:f>
              </x14:cfvo>
              <x14:cfvo type="num">
                <xm:f>0</xm:f>
              </x14:cfvo>
              <x14:cfvo type="num" gte="0">
                <xm:f>0</xm:f>
              </x14:cfvo>
              <x14:cfIcon iconSet="3Arrows" iconId="0"/>
              <x14:cfIcon iconSet="NoIcons" iconId="0"/>
              <x14:cfIcon iconSet="3Arrows" iconId="2"/>
            </x14:iconSet>
          </x14:cfRule>
          <xm:sqref>S34</xm:sqref>
        </x14:conditionalFormatting>
        <x14:conditionalFormatting xmlns:xm="http://schemas.microsoft.com/office/excel/2006/main">
          <x14:cfRule type="iconSet" priority="32" id="{BFE40E9E-3423-478E-A8A3-C057D30C6358}">
            <x14:iconSet iconSet="3Arrows" custom="1">
              <x14:cfvo type="percent">
                <xm:f>0</xm:f>
              </x14:cfvo>
              <x14:cfvo type="num">
                <xm:f>0</xm:f>
              </x14:cfvo>
              <x14:cfvo type="num" gte="0">
                <xm:f>0</xm:f>
              </x14:cfvo>
              <x14:cfIcon iconSet="3Arrows" iconId="0"/>
              <x14:cfIcon iconSet="NoIcons" iconId="0"/>
              <x14:cfIcon iconSet="3Arrows" iconId="2"/>
            </x14:iconSet>
          </x14:cfRule>
          <xm:sqref>S35:S49</xm:sqref>
        </x14:conditionalFormatting>
        <x14:conditionalFormatting xmlns:xm="http://schemas.microsoft.com/office/excel/2006/main">
          <x14:cfRule type="iconSet" priority="31" id="{40540AA0-AF7F-4BD4-B217-CAB90D6C66D7}">
            <x14:iconSet iconSet="3Arrows" custom="1">
              <x14:cfvo type="percent">
                <xm:f>0</xm:f>
              </x14:cfvo>
              <x14:cfvo type="num">
                <xm:f>0</xm:f>
              </x14:cfvo>
              <x14:cfvo type="num" gte="0">
                <xm:f>0</xm:f>
              </x14:cfvo>
              <x14:cfIcon iconSet="3Arrows" iconId="0"/>
              <x14:cfIcon iconSet="NoIcons" iconId="0"/>
              <x14:cfIcon iconSet="3Arrows" iconId="2"/>
            </x14:iconSet>
          </x14:cfRule>
          <xm:sqref>S50</xm:sqref>
        </x14:conditionalFormatting>
        <x14:conditionalFormatting xmlns:xm="http://schemas.microsoft.com/office/excel/2006/main">
          <x14:cfRule type="iconSet" priority="29" id="{B04731A2-FE29-448F-AE20-544D2497BAE1}">
            <x14:iconSet iconSet="3Arrows" custom="1">
              <x14:cfvo type="percent">
                <xm:f>0</xm:f>
              </x14:cfvo>
              <x14:cfvo type="num">
                <xm:f>0</xm:f>
              </x14:cfvo>
              <x14:cfvo type="num" gte="0">
                <xm:f>0</xm:f>
              </x14:cfvo>
              <x14:cfIcon iconSet="3Arrows" iconId="0"/>
              <x14:cfIcon iconSet="NoIcons" iconId="0"/>
              <x14:cfIcon iconSet="3Arrows" iconId="2"/>
            </x14:iconSet>
          </x14:cfRule>
          <xm:sqref>S51:S52</xm:sqref>
        </x14:conditionalFormatting>
        <x14:conditionalFormatting xmlns:xm="http://schemas.microsoft.com/office/excel/2006/main">
          <x14:cfRule type="iconSet" priority="30" id="{75FAF863-2411-48EC-9CDE-3C95A810A001}">
            <x14:iconSet iconSet="3Arrows" custom="1">
              <x14:cfvo type="percent">
                <xm:f>0</xm:f>
              </x14:cfvo>
              <x14:cfvo type="num">
                <xm:f>0</xm:f>
              </x14:cfvo>
              <x14:cfvo type="num" gte="0">
                <xm:f>0</xm:f>
              </x14:cfvo>
              <x14:cfIcon iconSet="3Arrows" iconId="0"/>
              <x14:cfIcon iconSet="NoIcons" iconId="0"/>
              <x14:cfIcon iconSet="3Arrows" iconId="2"/>
            </x14:iconSet>
          </x14:cfRule>
          <xm:sqref>S53</xm:sqref>
        </x14:conditionalFormatting>
        <x14:conditionalFormatting xmlns:xm="http://schemas.microsoft.com/office/excel/2006/main">
          <x14:cfRule type="iconSet" priority="115" id="{00000000-000E-0000-0500-000005000000}">
            <x14:iconSet iconSet="3Arrows" custom="1">
              <x14:cfvo type="percent">
                <xm:f>0</xm:f>
              </x14:cfvo>
              <x14:cfvo type="num">
                <xm:f>0</xm:f>
              </x14:cfvo>
              <x14:cfvo type="num" gte="0">
                <xm:f>0</xm:f>
              </x14:cfvo>
              <x14:cfIcon iconSet="3Arrows" iconId="0"/>
              <x14:cfIcon iconSet="NoIcons" iconId="0"/>
              <x14:cfIcon iconSet="3Arrows" iconId="2"/>
            </x14:iconSet>
          </x14:cfRule>
          <xm:sqref>S54:S57 S29:S33</xm:sqref>
        </x14:conditionalFormatting>
        <x14:conditionalFormatting xmlns:xm="http://schemas.microsoft.com/office/excel/2006/main">
          <x14:cfRule type="iconSet" priority="28" id="{5F81A890-9F6F-49EF-B1D6-A1F16BD5653C}">
            <x14:iconSet iconSet="3Arrows" custom="1">
              <x14:cfvo type="percent">
                <xm:f>0</xm:f>
              </x14:cfvo>
              <x14:cfvo type="num">
                <xm:f>0</xm:f>
              </x14:cfvo>
              <x14:cfvo type="num" gte="0">
                <xm:f>0</xm:f>
              </x14:cfvo>
              <x14:cfIcon iconSet="3Arrows" iconId="0"/>
              <x14:cfIcon iconSet="NoIcons" iconId="0"/>
              <x14:cfIcon iconSet="3Arrows" iconId="2"/>
            </x14:iconSet>
          </x14:cfRule>
          <xm:sqref>S58</xm:sqref>
        </x14:conditionalFormatting>
        <x14:conditionalFormatting xmlns:xm="http://schemas.microsoft.com/office/excel/2006/main">
          <x14:cfRule type="iconSet" priority="27" id="{2815EA71-9013-478C-9EFA-E0B16D4FB003}">
            <x14:iconSet iconSet="3Arrows" custom="1">
              <x14:cfvo type="percent">
                <xm:f>0</xm:f>
              </x14:cfvo>
              <x14:cfvo type="num">
                <xm:f>0</xm:f>
              </x14:cfvo>
              <x14:cfvo type="num" gte="0">
                <xm:f>0</xm:f>
              </x14:cfvo>
              <x14:cfIcon iconSet="3Arrows" iconId="0"/>
              <x14:cfIcon iconSet="NoIcons" iconId="0"/>
              <x14:cfIcon iconSet="3Arrows" iconId="2"/>
            </x14:iconSet>
          </x14:cfRule>
          <xm:sqref>S59:S69</xm:sqref>
        </x14:conditionalFormatting>
        <x14:conditionalFormatting xmlns:xm="http://schemas.microsoft.com/office/excel/2006/main">
          <x14:cfRule type="iconSet" priority="26" id="{33C91927-5597-499E-86DC-33A7C894A626}">
            <x14:iconSet iconSet="3Arrows" custom="1">
              <x14:cfvo type="percent">
                <xm:f>0</xm:f>
              </x14:cfvo>
              <x14:cfvo type="num">
                <xm:f>0</xm:f>
              </x14:cfvo>
              <x14:cfvo type="num" gte="0">
                <xm:f>0</xm:f>
              </x14:cfvo>
              <x14:cfIcon iconSet="3Arrows" iconId="0"/>
              <x14:cfIcon iconSet="NoIcons" iconId="0"/>
              <x14:cfIcon iconSet="3Arrows" iconId="2"/>
            </x14:iconSet>
          </x14:cfRule>
          <xm:sqref>S70</xm:sqref>
        </x14:conditionalFormatting>
        <x14:conditionalFormatting xmlns:xm="http://schemas.microsoft.com/office/excel/2006/main">
          <x14:cfRule type="iconSet" priority="25" id="{12F0FC78-7403-45D2-B914-6504F6C5DECC}">
            <x14:iconSet iconSet="3Arrows" custom="1">
              <x14:cfvo type="percent">
                <xm:f>0</xm:f>
              </x14:cfvo>
              <x14:cfvo type="num">
                <xm:f>0</xm:f>
              </x14:cfvo>
              <x14:cfvo type="num" gte="0">
                <xm:f>0</xm:f>
              </x14:cfvo>
              <x14:cfIcon iconSet="3Arrows" iconId="0"/>
              <x14:cfIcon iconSet="NoIcons" iconId="0"/>
              <x14:cfIcon iconSet="3Arrows" iconId="2"/>
            </x14:iconSet>
          </x14:cfRule>
          <xm:sqref>S71:S72</xm:sqref>
        </x14:conditionalFormatting>
        <x14:conditionalFormatting xmlns:xm="http://schemas.microsoft.com/office/excel/2006/main">
          <x14:cfRule type="iconSet" priority="24" id="{08DE6910-03DA-4804-896E-FBF482DE9BEB}">
            <x14:iconSet iconSet="3Arrows" custom="1">
              <x14:cfvo type="percent">
                <xm:f>0</xm:f>
              </x14:cfvo>
              <x14:cfvo type="num">
                <xm:f>0</xm:f>
              </x14:cfvo>
              <x14:cfvo type="num" gte="0">
                <xm:f>0</xm:f>
              </x14:cfvo>
              <x14:cfIcon iconSet="3Arrows" iconId="0"/>
              <x14:cfIcon iconSet="NoIcons" iconId="0"/>
              <x14:cfIcon iconSet="3Arrows" iconId="2"/>
            </x14:iconSet>
          </x14:cfRule>
          <xm:sqref>S73</xm:sqref>
        </x14:conditionalFormatting>
        <x14:conditionalFormatting xmlns:xm="http://schemas.microsoft.com/office/excel/2006/main">
          <x14:cfRule type="iconSet" priority="23" id="{ECE3655B-C984-49C8-808B-16FBB88AB4E5}">
            <x14:iconSet iconSet="3Arrows" custom="1">
              <x14:cfvo type="percent">
                <xm:f>0</xm:f>
              </x14:cfvo>
              <x14:cfvo type="num">
                <xm:f>0</xm:f>
              </x14:cfvo>
              <x14:cfvo type="num" gte="0">
                <xm:f>0</xm:f>
              </x14:cfvo>
              <x14:cfIcon iconSet="3Arrows" iconId="0"/>
              <x14:cfIcon iconSet="NoIcons" iconId="0"/>
              <x14:cfIcon iconSet="3Arrows" iconId="2"/>
            </x14:iconSet>
          </x14:cfRule>
          <xm:sqref>S80</xm:sqref>
        </x14:conditionalFormatting>
        <x14:conditionalFormatting xmlns:xm="http://schemas.microsoft.com/office/excel/2006/main">
          <x14:cfRule type="iconSet" priority="22" id="{241326BE-C891-4C89-8ED0-454A4835CCBD}">
            <x14:iconSet iconSet="3Arrows" custom="1">
              <x14:cfvo type="percent">
                <xm:f>0</xm:f>
              </x14:cfvo>
              <x14:cfvo type="num">
                <xm:f>0</xm:f>
              </x14:cfvo>
              <x14:cfvo type="num" gte="0">
                <xm:f>0</xm:f>
              </x14:cfvo>
              <x14:cfIcon iconSet="3Arrows" iconId="0"/>
              <x14:cfIcon iconSet="NoIcons" iconId="0"/>
              <x14:cfIcon iconSet="3Arrows" iconId="2"/>
            </x14:iconSet>
          </x14:cfRule>
          <xm:sqref>S81:S96</xm:sqref>
        </x14:conditionalFormatting>
        <x14:conditionalFormatting xmlns:xm="http://schemas.microsoft.com/office/excel/2006/main">
          <x14:cfRule type="iconSet" priority="21" id="{44B7509B-7AE6-4A25-9D4D-EE70F9EED867}">
            <x14:iconSet iconSet="3Arrows" custom="1">
              <x14:cfvo type="percent">
                <xm:f>0</xm:f>
              </x14:cfvo>
              <x14:cfvo type="num">
                <xm:f>0</xm:f>
              </x14:cfvo>
              <x14:cfvo type="num" gte="0">
                <xm:f>0</xm:f>
              </x14:cfvo>
              <x14:cfIcon iconSet="3Arrows" iconId="0"/>
              <x14:cfIcon iconSet="NoIcons" iconId="0"/>
              <x14:cfIcon iconSet="3Arrows" iconId="2"/>
            </x14:iconSet>
          </x14:cfRule>
          <xm:sqref>S97</xm:sqref>
        </x14:conditionalFormatting>
        <x14:conditionalFormatting xmlns:xm="http://schemas.microsoft.com/office/excel/2006/main">
          <x14:cfRule type="iconSet" priority="20" id="{1CEB7E5A-AFCD-4628-B69C-7A772063A356}">
            <x14:iconSet iconSet="3Arrows" custom="1">
              <x14:cfvo type="percent">
                <xm:f>0</xm:f>
              </x14:cfvo>
              <x14:cfvo type="num">
                <xm:f>0</xm:f>
              </x14:cfvo>
              <x14:cfvo type="num" gte="0">
                <xm:f>0</xm:f>
              </x14:cfvo>
              <x14:cfIcon iconSet="3Arrows" iconId="0"/>
              <x14:cfIcon iconSet="NoIcons" iconId="0"/>
              <x14:cfIcon iconSet="3Arrows" iconId="2"/>
            </x14:iconSet>
          </x14:cfRule>
          <xm:sqref>S98:S99</xm:sqref>
        </x14:conditionalFormatting>
        <x14:conditionalFormatting xmlns:xm="http://schemas.microsoft.com/office/excel/2006/main">
          <x14:cfRule type="iconSet" priority="19" id="{1A02D1F1-BC76-4B5B-8845-3588BAAE1A49}">
            <x14:iconSet iconSet="3Arrows" custom="1">
              <x14:cfvo type="percent">
                <xm:f>0</xm:f>
              </x14:cfvo>
              <x14:cfvo type="num">
                <xm:f>0</xm:f>
              </x14:cfvo>
              <x14:cfvo type="num" gte="0">
                <xm:f>0</xm:f>
              </x14:cfvo>
              <x14:cfIcon iconSet="3Arrows" iconId="0"/>
              <x14:cfIcon iconSet="NoIcons" iconId="0"/>
              <x14:cfIcon iconSet="3Arrows" iconId="2"/>
            </x14:iconSet>
          </x14:cfRule>
          <xm:sqref>S100</xm:sqref>
        </x14:conditionalFormatting>
        <x14:conditionalFormatting xmlns:xm="http://schemas.microsoft.com/office/excel/2006/main">
          <x14:cfRule type="iconSet" priority="18" id="{CE7DBA35-7AF8-4718-B6DC-CFC30D4340FC}">
            <x14:iconSet iconSet="3Arrows" custom="1">
              <x14:cfvo type="percent">
                <xm:f>0</xm:f>
              </x14:cfvo>
              <x14:cfvo type="num">
                <xm:f>0</xm:f>
              </x14:cfvo>
              <x14:cfvo type="num" gte="0">
                <xm:f>0</xm:f>
              </x14:cfvo>
              <x14:cfIcon iconSet="3Arrows" iconId="0"/>
              <x14:cfIcon iconSet="NoIcons" iconId="0"/>
              <x14:cfIcon iconSet="3Arrows" iconId="2"/>
            </x14:iconSet>
          </x14:cfRule>
          <xm:sqref>S106</xm:sqref>
        </x14:conditionalFormatting>
        <x14:conditionalFormatting xmlns:xm="http://schemas.microsoft.com/office/excel/2006/main">
          <x14:cfRule type="iconSet" priority="17" id="{A339A3AC-C09E-4C5B-829C-C5393013FC2A}">
            <x14:iconSet iconSet="3Arrows" custom="1">
              <x14:cfvo type="percent">
                <xm:f>0</xm:f>
              </x14:cfvo>
              <x14:cfvo type="num">
                <xm:f>0</xm:f>
              </x14:cfvo>
              <x14:cfvo type="num" gte="0">
                <xm:f>0</xm:f>
              </x14:cfvo>
              <x14:cfIcon iconSet="3Arrows" iconId="0"/>
              <x14:cfIcon iconSet="NoIcons" iconId="0"/>
              <x14:cfIcon iconSet="3Arrows" iconId="2"/>
            </x14:iconSet>
          </x14:cfRule>
          <xm:sqref>S107:S116</xm:sqref>
        </x14:conditionalFormatting>
        <x14:conditionalFormatting xmlns:xm="http://schemas.microsoft.com/office/excel/2006/main">
          <x14:cfRule type="iconSet" priority="16" id="{45858DE2-72C9-4E8E-A777-E35BD6C34E49}">
            <x14:iconSet iconSet="3Arrows" custom="1">
              <x14:cfvo type="percent">
                <xm:f>0</xm:f>
              </x14:cfvo>
              <x14:cfvo type="num">
                <xm:f>0</xm:f>
              </x14:cfvo>
              <x14:cfvo type="num" gte="0">
                <xm:f>0</xm:f>
              </x14:cfvo>
              <x14:cfIcon iconSet="3Arrows" iconId="0"/>
              <x14:cfIcon iconSet="NoIcons" iconId="0"/>
              <x14:cfIcon iconSet="3Arrows" iconId="2"/>
            </x14:iconSet>
          </x14:cfRule>
          <xm:sqref>S117</xm:sqref>
        </x14:conditionalFormatting>
        <x14:conditionalFormatting xmlns:xm="http://schemas.microsoft.com/office/excel/2006/main">
          <x14:cfRule type="iconSet" priority="15" id="{4750CCA3-D657-4759-A86F-3E1AC23ABD36}">
            <x14:iconSet iconSet="3Arrows" custom="1">
              <x14:cfvo type="percent">
                <xm:f>0</xm:f>
              </x14:cfvo>
              <x14:cfvo type="num">
                <xm:f>0</xm:f>
              </x14:cfvo>
              <x14:cfvo type="num" gte="0">
                <xm:f>0</xm:f>
              </x14:cfvo>
              <x14:cfIcon iconSet="3Arrows" iconId="0"/>
              <x14:cfIcon iconSet="NoIcons" iconId="0"/>
              <x14:cfIcon iconSet="3Arrows" iconId="2"/>
            </x14:iconSet>
          </x14:cfRule>
          <xm:sqref>S118:S119</xm:sqref>
        </x14:conditionalFormatting>
        <x14:conditionalFormatting xmlns:xm="http://schemas.microsoft.com/office/excel/2006/main">
          <x14:cfRule type="iconSet" priority="59" id="{2F71AF0E-27F0-40A0-929B-6FB069CC8FEB}">
            <x14:iconSet iconSet="3Arrows" custom="1">
              <x14:cfvo type="percent">
                <xm:f>0</xm:f>
              </x14:cfvo>
              <x14:cfvo type="num">
                <xm:f>0</xm:f>
              </x14:cfvo>
              <x14:cfvo type="num" gte="0">
                <xm:f>0</xm:f>
              </x14:cfvo>
              <x14:cfIcon iconSet="3Arrows" iconId="0"/>
              <x14:cfIcon iconSet="NoIcons" iconId="0"/>
              <x14:cfIcon iconSet="3Arrows" iconId="2"/>
            </x14:iconSet>
          </x14:cfRule>
          <xm:sqref>T27:V27 R27</xm:sqref>
        </x14:conditionalFormatting>
        <x14:conditionalFormatting xmlns:xm="http://schemas.microsoft.com/office/excel/2006/main">
          <x14:cfRule type="iconSet" priority="120" id="{00000000-000E-0000-0500-00000A000000}">
            <x14:iconSet iconSet="3Arrows" custom="1">
              <x14:cfvo type="percent">
                <xm:f>0</xm:f>
              </x14:cfvo>
              <x14:cfvo type="num">
                <xm:f>0</xm:f>
              </x14:cfvo>
              <x14:cfvo type="num" gte="0">
                <xm:f>0</xm:f>
              </x14:cfvo>
              <x14:cfIcon iconSet="3Arrows" iconId="0"/>
              <x14:cfIcon iconSet="NoIcons" iconId="0"/>
              <x14:cfIcon iconSet="3Arrows" iconId="2"/>
            </x14:iconSet>
          </x14:cfRule>
          <xm:sqref>T28:V29 R28:R29 R14:R25 T14:V25</xm:sqref>
        </x14:conditionalFormatting>
        <x14:conditionalFormatting xmlns:xm="http://schemas.microsoft.com/office/excel/2006/main">
          <x14:cfRule type="iconSet" priority="55" id="{E1B04907-04F7-4784-B141-1A541AA131D2}">
            <x14:iconSet iconSet="3Arrows" custom="1">
              <x14:cfvo type="percent">
                <xm:f>0</xm:f>
              </x14:cfvo>
              <x14:cfvo type="num">
                <xm:f>0</xm:f>
              </x14:cfvo>
              <x14:cfvo type="num" gte="0">
                <xm:f>0</xm:f>
              </x14:cfvo>
              <x14:cfIcon iconSet="3Arrows" iconId="0"/>
              <x14:cfIcon iconSet="NoIcons" iconId="0"/>
              <x14:cfIcon iconSet="3Arrows" iconId="2"/>
            </x14:iconSet>
          </x14:cfRule>
          <xm:sqref>T51:V51 R51</xm:sqref>
        </x14:conditionalFormatting>
        <x14:conditionalFormatting xmlns:xm="http://schemas.microsoft.com/office/excel/2006/main">
          <x14:cfRule type="iconSet" priority="110" id="{69EEB908-1DA8-4076-9AA0-DEB59F960B2A}">
            <x14:iconSet iconSet="3Arrows" custom="1">
              <x14:cfvo type="percent">
                <xm:f>0</xm:f>
              </x14:cfvo>
              <x14:cfvo type="num">
                <xm:f>0</xm:f>
              </x14:cfvo>
              <x14:cfvo type="num" gte="0">
                <xm:f>0</xm:f>
              </x14:cfvo>
              <x14:cfIcon iconSet="3Arrows" iconId="0"/>
              <x14:cfIcon iconSet="NoIcons" iconId="0"/>
              <x14:cfIcon iconSet="3Arrows" iconId="2"/>
            </x14:iconSet>
          </x14:cfRule>
          <xm:sqref>T52:V53 R52:R53 R35:R49 T35:V49</xm:sqref>
        </x14:conditionalFormatting>
        <x14:conditionalFormatting xmlns:xm="http://schemas.microsoft.com/office/excel/2006/main">
          <x14:cfRule type="iconSet" priority="51" id="{7FDE63B8-0B78-44A1-8B47-4EBB3BC86D92}">
            <x14:iconSet iconSet="3Arrows" custom="1">
              <x14:cfvo type="percent">
                <xm:f>0</xm:f>
              </x14:cfvo>
              <x14:cfvo type="num">
                <xm:f>0</xm:f>
              </x14:cfvo>
              <x14:cfvo type="num" gte="0">
                <xm:f>0</xm:f>
              </x14:cfvo>
              <x14:cfIcon iconSet="3Arrows" iconId="0"/>
              <x14:cfIcon iconSet="NoIcons" iconId="0"/>
              <x14:cfIcon iconSet="3Arrows" iconId="2"/>
            </x14:iconSet>
          </x14:cfRule>
          <xm:sqref>T71:V71 R71</xm:sqref>
        </x14:conditionalFormatting>
        <x14:conditionalFormatting xmlns:xm="http://schemas.microsoft.com/office/excel/2006/main">
          <x14:cfRule type="iconSet" priority="47" id="{22756351-4EC0-4E50-861D-C2464B41AE30}">
            <x14:iconSet iconSet="3Arrows" custom="1">
              <x14:cfvo type="percent">
                <xm:f>0</xm:f>
              </x14:cfvo>
              <x14:cfvo type="num">
                <xm:f>0</xm:f>
              </x14:cfvo>
              <x14:cfvo type="num" gte="0">
                <xm:f>0</xm:f>
              </x14:cfvo>
              <x14:cfIcon iconSet="3Arrows" iconId="0"/>
              <x14:cfIcon iconSet="NoIcons" iconId="0"/>
              <x14:cfIcon iconSet="3Arrows" iconId="2"/>
            </x14:iconSet>
          </x14:cfRule>
          <xm:sqref>T98:V98 R98</xm:sqref>
        </x14:conditionalFormatting>
        <x14:conditionalFormatting xmlns:xm="http://schemas.microsoft.com/office/excel/2006/main">
          <x14:cfRule type="iconSet" priority="43" id="{DEE7AC43-8446-4375-B17A-68304E69F577}">
            <x14:iconSet iconSet="3Arrows" custom="1">
              <x14:cfvo type="percent">
                <xm:f>0</xm:f>
              </x14:cfvo>
              <x14:cfvo type="num">
                <xm:f>0</xm:f>
              </x14:cfvo>
              <x14:cfvo type="num" gte="0">
                <xm:f>0</xm:f>
              </x14:cfvo>
              <x14:cfIcon iconSet="3Arrows" iconId="0"/>
              <x14:cfIcon iconSet="NoIcons" iconId="0"/>
              <x14:cfIcon iconSet="3Arrows" iconId="2"/>
            </x14:iconSet>
          </x14:cfRule>
          <xm:sqref>T118:V118 R118</xm:sqref>
        </x14:conditionalFormatting>
      </x14:conditionalFormattings>
    </ext>
    <ext xmlns:x14="http://schemas.microsoft.com/office/spreadsheetml/2009/9/main" uri="{CCE6A557-97BC-4b89-ADB6-D9C93CAAB3DF}">
      <x14:dataValidations xmlns:xm="http://schemas.microsoft.com/office/excel/2006/main" count="2">
        <x14:dataValidation type="list" showInputMessage="1" showErrorMessage="1" xr:uid="{00000000-0002-0000-0300-000003000000}">
          <x14:formula1>
            <xm:f>Parkki!$O$53:$O$82</xm:f>
          </x14:formula1>
          <xm:sqref>A5</xm:sqref>
        </x14:dataValidation>
        <x14:dataValidation type="list" allowBlank="1" showInputMessage="1" showErrorMessage="1" xr:uid="{B32A8CB9-2F7C-4F16-99AB-9889EDFDCE20}">
          <x14:formula1>
            <xm:f>Parkki!$O$19:$O$48</xm:f>
          </x14:formula1>
          <xm:sqref>A7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ul6"/>
  <dimension ref="A1:AU190"/>
  <sheetViews>
    <sheetView showGridLines="0" zoomScaleNormal="100" workbookViewId="0">
      <selection activeCell="B51" sqref="B51"/>
    </sheetView>
  </sheetViews>
  <sheetFormatPr defaultColWidth="9.140625" defaultRowHeight="15" x14ac:dyDescent="0.25"/>
  <cols>
    <col min="1" max="1" width="22.5703125" customWidth="1"/>
    <col min="2" max="2" width="44.7109375" customWidth="1"/>
    <col min="4" max="4" width="9.140625" style="98"/>
    <col min="8" max="8" width="37" customWidth="1"/>
    <col min="9" max="9" width="18.28515625" customWidth="1"/>
    <col min="10" max="15" width="7.5703125" customWidth="1"/>
    <col min="17" max="17" width="9.140625" customWidth="1"/>
    <col min="19" max="19" width="9.140625" hidden="1" customWidth="1"/>
    <col min="20" max="21" width="34.7109375" style="558" hidden="1" customWidth="1"/>
    <col min="22" max="22" width="11.5703125" hidden="1" customWidth="1"/>
    <col min="23" max="23" width="9.140625" hidden="1" customWidth="1"/>
    <col min="24" max="24" width="32.7109375" hidden="1" customWidth="1"/>
    <col min="25" max="32" width="9.140625" hidden="1" customWidth="1"/>
    <col min="33" max="33" width="9" hidden="1" customWidth="1"/>
    <col min="34" max="47" width="9.140625" hidden="1" customWidth="1"/>
    <col min="48" max="48" width="9.140625" customWidth="1"/>
  </cols>
  <sheetData>
    <row r="1" spans="1:47" ht="16.5" thickBot="1" x14ac:dyDescent="0.3">
      <c r="A1" s="307" t="s">
        <v>624</v>
      </c>
      <c r="I1" s="27"/>
      <c r="L1" s="27"/>
      <c r="M1" s="27"/>
      <c r="N1" s="27"/>
      <c r="O1" s="27"/>
      <c r="S1" s="144" t="s">
        <v>623</v>
      </c>
      <c r="T1" s="144" t="s">
        <v>623</v>
      </c>
      <c r="U1" s="144" t="s">
        <v>623</v>
      </c>
      <c r="V1" s="144" t="s">
        <v>623</v>
      </c>
      <c r="W1" s="144" t="s">
        <v>623</v>
      </c>
      <c r="X1" s="144" t="s">
        <v>623</v>
      </c>
      <c r="Y1" s="179" t="s">
        <v>625</v>
      </c>
      <c r="Z1" s="144" t="s">
        <v>623</v>
      </c>
      <c r="AA1" s="143" t="s">
        <v>623</v>
      </c>
      <c r="AB1" s="143" t="s">
        <v>623</v>
      </c>
      <c r="AC1" s="144" t="s">
        <v>623</v>
      </c>
      <c r="AD1" s="143" t="s">
        <v>623</v>
      </c>
      <c r="AE1" s="143" t="s">
        <v>623</v>
      </c>
      <c r="AF1" s="143" t="s">
        <v>623</v>
      </c>
      <c r="AG1" s="143" t="s">
        <v>623</v>
      </c>
      <c r="AH1" s="143" t="s">
        <v>623</v>
      </c>
      <c r="AI1" s="681" t="s">
        <v>623</v>
      </c>
      <c r="AJ1" s="681" t="s">
        <v>623</v>
      </c>
      <c r="AK1" s="681" t="s">
        <v>623</v>
      </c>
      <c r="AL1" s="681" t="s">
        <v>623</v>
      </c>
      <c r="AM1" s="766" t="s">
        <v>1656</v>
      </c>
      <c r="AN1" s="766" t="s">
        <v>1656</v>
      </c>
      <c r="AO1" s="766" t="s">
        <v>1656</v>
      </c>
      <c r="AP1" s="766" t="s">
        <v>1656</v>
      </c>
      <c r="AQ1" s="766" t="s">
        <v>1656</v>
      </c>
      <c r="AR1" s="766" t="s">
        <v>1656</v>
      </c>
      <c r="AS1" s="766" t="s">
        <v>1656</v>
      </c>
      <c r="AT1" s="766" t="s">
        <v>1656</v>
      </c>
      <c r="AU1" s="766" t="s">
        <v>1656</v>
      </c>
    </row>
    <row r="2" spans="1:47" x14ac:dyDescent="0.25">
      <c r="A2" s="305">
        <f>Asiakastilastot!$A$2</f>
        <v>45658</v>
      </c>
      <c r="B2" t="s">
        <v>670</v>
      </c>
      <c r="H2" s="887" t="s">
        <v>1465</v>
      </c>
      <c r="I2" s="888"/>
      <c r="L2" s="27"/>
      <c r="M2" s="27"/>
      <c r="N2" s="27"/>
      <c r="O2" s="27"/>
      <c r="V2" s="181" t="str">
        <f>IF(A9="","*",INDEX(AE5:AE55,MATCH(A9,AD5:AD55,0)))</f>
        <v>*</v>
      </c>
      <c r="W2" s="182" t="s">
        <v>720</v>
      </c>
      <c r="X2" s="183" t="s">
        <v>568</v>
      </c>
      <c r="Y2" s="179" t="s">
        <v>626</v>
      </c>
      <c r="Z2" s="109" t="s">
        <v>597</v>
      </c>
      <c r="AA2" s="177" t="s">
        <v>639</v>
      </c>
      <c r="AB2" s="44" t="s">
        <v>638</v>
      </c>
      <c r="AC2" s="772" t="s">
        <v>625</v>
      </c>
      <c r="AD2" s="44" t="s">
        <v>1601</v>
      </c>
      <c r="AL2" s="15"/>
    </row>
    <row r="3" spans="1:47" x14ac:dyDescent="0.25">
      <c r="A3" s="305">
        <f>Asiakastilastot!$A$3</f>
        <v>45777</v>
      </c>
      <c r="B3" t="s">
        <v>671</v>
      </c>
      <c r="H3" s="888"/>
      <c r="I3" s="888"/>
      <c r="L3" s="27"/>
      <c r="M3" s="27"/>
      <c r="N3" s="27"/>
      <c r="O3" s="27"/>
      <c r="W3" s="184" t="s">
        <v>910</v>
      </c>
      <c r="X3" s="185" t="s">
        <v>205</v>
      </c>
      <c r="Y3" s="179" t="s">
        <v>819</v>
      </c>
      <c r="Z3" s="109" t="s">
        <v>598</v>
      </c>
      <c r="AA3" s="177" t="s">
        <v>635</v>
      </c>
      <c r="AB3" s="44" t="e">
        <f>INDEX(Data_Omakoodi!K:K,MATCH($AB$2,Data_Omakoodi!$I:$I,0))</f>
        <v>#N/A</v>
      </c>
      <c r="AC3" t="s">
        <v>939</v>
      </c>
      <c r="AD3" s="44" t="e">
        <f>INDEX(Data_Omakoodi!K:K,MATCH($AD$2,Data_Omakoodi!$I:$I,0))</f>
        <v>#N/A</v>
      </c>
      <c r="AG3" t="s">
        <v>1521</v>
      </c>
      <c r="AH3" s="176" t="s">
        <v>1649</v>
      </c>
      <c r="AI3" s="15"/>
      <c r="AJ3" t="s">
        <v>1522</v>
      </c>
      <c r="AK3" s="176" t="s">
        <v>1648</v>
      </c>
      <c r="AL3" s="15"/>
    </row>
    <row r="4" spans="1:47" x14ac:dyDescent="0.25">
      <c r="A4" s="328" t="s">
        <v>569</v>
      </c>
      <c r="B4" t="s">
        <v>718</v>
      </c>
      <c r="H4" s="888"/>
      <c r="I4" s="888"/>
      <c r="L4" s="27"/>
      <c r="M4" s="27"/>
      <c r="N4" s="27"/>
      <c r="O4" s="27"/>
      <c r="W4" s="184" t="s">
        <v>722</v>
      </c>
      <c r="X4" s="185" t="s">
        <v>230</v>
      </c>
      <c r="Y4" s="181" t="str">
        <f>IF(A7="","*",IF(A7=Y1,"*",IF(A7=Y2,X9,"*")))</f>
        <v>*</v>
      </c>
      <c r="AA4" s="177" t="s">
        <v>640</v>
      </c>
      <c r="AB4" s="44" t="str">
        <f>IFERROR(MATCH($AB$2,Data_Omakoodi!$I:$I,0),"")</f>
        <v/>
      </c>
      <c r="AC4">
        <f>IF(A8="","*",IF(A8=AC2,"*",IF(A8=AC3,1,"*")))</f>
        <v>1</v>
      </c>
      <c r="AD4" s="44" t="str">
        <f>IFERROR(MATCH($AD$2,Data_Omakoodi!$I:$I,0),"")</f>
        <v/>
      </c>
      <c r="AG4" s="739"/>
      <c r="AH4" s="739" t="s">
        <v>1523</v>
      </c>
      <c r="AI4" s="15"/>
      <c r="AJ4" s="739"/>
      <c r="AK4" s="739" t="s">
        <v>1523</v>
      </c>
      <c r="AL4" s="15"/>
    </row>
    <row r="5" spans="1:47" ht="15.75" thickBot="1" x14ac:dyDescent="0.3">
      <c r="A5" s="201" t="s">
        <v>719</v>
      </c>
      <c r="B5" t="s">
        <v>579</v>
      </c>
      <c r="H5" s="888"/>
      <c r="I5" s="888"/>
      <c r="L5" s="27"/>
      <c r="M5" s="27"/>
      <c r="N5" s="27"/>
      <c r="O5" s="27"/>
      <c r="W5" s="186" t="s">
        <v>723</v>
      </c>
      <c r="X5" s="187" t="s">
        <v>212</v>
      </c>
      <c r="Y5" s="181" t="str">
        <f>IF(A6="","*",IF(A6=Y1,"*",IF(A6=Y3,X9,"*")))</f>
        <v>*</v>
      </c>
      <c r="Z5" s="109" t="s">
        <v>311</v>
      </c>
      <c r="AA5" s="177" t="s">
        <v>568</v>
      </c>
      <c r="AB5" s="44" t="s">
        <v>719</v>
      </c>
      <c r="AC5" s="177" t="s">
        <v>568</v>
      </c>
      <c r="AD5" s="44" t="s">
        <v>1524</v>
      </c>
      <c r="AE5" s="177" t="s">
        <v>568</v>
      </c>
      <c r="AG5" s="739" t="str">
        <f>TEXT(AD5,"@")</f>
        <v>Kaikki yksiköt</v>
      </c>
      <c r="AH5" s="739">
        <f>IF(AG5&lt;&gt;"",ROW(),"")</f>
        <v>5</v>
      </c>
      <c r="AJ5" s="739" t="str">
        <f>TEXT(AB5,"@")</f>
        <v>Kaikki kunnat</v>
      </c>
      <c r="AK5" s="739">
        <f>IF(AJ5&lt;&gt;"",ROW(),"")</f>
        <v>5</v>
      </c>
      <c r="AL5" s="15"/>
    </row>
    <row r="6" spans="1:47" x14ac:dyDescent="0.25">
      <c r="A6" s="200" t="s">
        <v>625</v>
      </c>
      <c r="B6" t="s">
        <v>799</v>
      </c>
      <c r="H6" s="888"/>
      <c r="I6" s="888"/>
      <c r="L6" s="27"/>
      <c r="M6" s="27"/>
      <c r="N6" s="27"/>
      <c r="O6" s="27"/>
      <c r="W6" t="s">
        <v>212</v>
      </c>
      <c r="X6" s="181" t="s">
        <v>212</v>
      </c>
      <c r="Y6" s="181" t="str">
        <f>IF(A5="","*",INDEX(AA5:AA55,MATCH(A5,AB5:AB55,0)))</f>
        <v>*</v>
      </c>
      <c r="Z6" s="109" t="s">
        <v>599</v>
      </c>
      <c r="AA6" s="177" t="s">
        <v>644</v>
      </c>
      <c r="AB6" s="188" t="s">
        <v>643</v>
      </c>
      <c r="AC6" s="177" t="s">
        <v>644</v>
      </c>
      <c r="AD6" s="188" t="s">
        <v>1525</v>
      </c>
      <c r="AE6" s="177" t="s">
        <v>644</v>
      </c>
      <c r="AG6" s="739" t="str">
        <f t="shared" ref="AG6:AG55" si="0">TEXT(AD6,"@")</f>
        <v>Ei yksiköitä</v>
      </c>
      <c r="AH6" s="739">
        <f t="shared" ref="AH6:AH55" si="1">IF(AG6&lt;&gt;"",ROW(),"")</f>
        <v>6</v>
      </c>
      <c r="AJ6" s="739" t="str">
        <f t="shared" ref="AJ6:AJ55" si="2">TEXT(AB6,"@")</f>
        <v>Ei kuntaluokkaa</v>
      </c>
      <c r="AK6" s="739">
        <f t="shared" ref="AK6:AK55" si="3">IF(AJ6&lt;&gt;"",ROW(),"")</f>
        <v>6</v>
      </c>
      <c r="AL6" s="15"/>
    </row>
    <row r="7" spans="1:47" x14ac:dyDescent="0.25">
      <c r="A7" s="201" t="s">
        <v>625</v>
      </c>
      <c r="B7" t="s">
        <v>765</v>
      </c>
      <c r="H7" s="888"/>
      <c r="I7" s="888"/>
      <c r="J7" s="15"/>
      <c r="W7" s="181" t="str">
        <f>IF(A6=Y2,"OK","*")</f>
        <v>*</v>
      </c>
      <c r="X7" s="28" t="s">
        <v>207</v>
      </c>
      <c r="Y7" s="28" t="s">
        <v>213</v>
      </c>
      <c r="Z7" s="109" t="s">
        <v>600</v>
      </c>
      <c r="AA7" s="177" t="s">
        <v>62</v>
      </c>
      <c r="AB7" s="188" t="s">
        <v>641</v>
      </c>
      <c r="AC7" s="177" t="s">
        <v>62</v>
      </c>
      <c r="AD7" s="188" t="s">
        <v>1526</v>
      </c>
      <c r="AE7" s="177" t="s">
        <v>62</v>
      </c>
      <c r="AF7" s="27"/>
      <c r="AG7" s="739" t="str">
        <f t="shared" si="0"/>
        <v>Muut yksiköt</v>
      </c>
      <c r="AH7" s="739">
        <f t="shared" si="1"/>
        <v>7</v>
      </c>
      <c r="AJ7" s="739" t="str">
        <f t="shared" si="2"/>
        <v>Muut kunnat</v>
      </c>
      <c r="AK7" s="739">
        <f t="shared" si="3"/>
        <v>7</v>
      </c>
      <c r="AL7" s="15"/>
    </row>
    <row r="8" spans="1:47" x14ac:dyDescent="0.25">
      <c r="A8" s="771" t="s">
        <v>939</v>
      </c>
      <c r="B8" s="1" t="s">
        <v>938</v>
      </c>
      <c r="W8" s="27"/>
      <c r="X8" s="35" t="s">
        <v>546</v>
      </c>
      <c r="Y8" s="35" t="s">
        <v>593</v>
      </c>
      <c r="Z8" s="109" t="s">
        <v>601</v>
      </c>
      <c r="AA8" s="176" t="str">
        <f>IFERROR(IF(INDEX(Data_Omakoodi!H:H,MATCH($AK$3&amp;$AL8,Data_Omakoodi!A:A,0))="P","",$AK$3&amp;$AL8),$AK$3&amp;$AL8)</f>
        <v>ComboBox_EtKuntakoodi_00000001</v>
      </c>
      <c r="AB8" s="44" t="str">
        <f>IFERROR(INDEX(Data_Omakoodi!E:E,MATCH(AA8,Data_Omakoodi!A:A,0)),"")</f>
        <v/>
      </c>
      <c r="AC8" t="str">
        <f>IFERROR(IF(INDEX(Data_Omakoodi!H:H,MATCH($AH$3&amp;$AL8,Data_Omakoodi!A:A,0))="P","",$AH$3&amp;$AL8),$AH$3&amp;$AL8)</f>
        <v>ComboBox_TyHlo_yksikko_00000001</v>
      </c>
      <c r="AD8" s="44" t="str">
        <f>IFERROR(INDEX(Data_Omakoodi!E:E,MATCH(AC8,Data_Omakoodi!A:A,0)),"")</f>
        <v/>
      </c>
      <c r="AE8" t="str">
        <f>IFERROR(IF(INDEX(Data_Omakoodi!H:H,MATCH($AH$3&amp;$AL8,Data_Omakoodi!A:A,0))="P","",$AH$3&amp;$AL8),$AH$3&amp;$AL8)</f>
        <v>ComboBox_TyHlo_yksikko_00000001</v>
      </c>
      <c r="AF8" t="s">
        <v>1527</v>
      </c>
      <c r="AG8" s="739" t="str">
        <f>TEXT(AD8,"@")</f>
        <v/>
      </c>
      <c r="AH8" s="739" t="str">
        <f t="shared" si="1"/>
        <v/>
      </c>
      <c r="AJ8" s="739" t="str">
        <f t="shared" si="2"/>
        <v/>
      </c>
      <c r="AK8" s="739" t="str">
        <f t="shared" si="3"/>
        <v/>
      </c>
      <c r="AL8" s="370" t="s">
        <v>1639</v>
      </c>
    </row>
    <row r="9" spans="1:47" x14ac:dyDescent="0.25">
      <c r="A9" s="493" t="s">
        <v>1524</v>
      </c>
      <c r="B9" t="s">
        <v>1557</v>
      </c>
      <c r="W9" s="27"/>
      <c r="X9" s="178" t="s">
        <v>486</v>
      </c>
      <c r="Y9" s="362" t="s">
        <v>763</v>
      </c>
      <c r="Z9" s="362" t="s">
        <v>768</v>
      </c>
      <c r="AA9" s="176" t="str">
        <f>IFERROR(IF(INDEX(Data_Omakoodi!H:H,MATCH($AK$3&amp;$AL9,Data_Omakoodi!A:A,0))="P","",$AK$3&amp;$AL9),$AK$3&amp;$AL9)</f>
        <v>ComboBox_EtKuntakoodi_00000002</v>
      </c>
      <c r="AB9" s="44" t="str">
        <f>IFERROR(INDEX(Data_Omakoodi!E:E,MATCH(AA9,Data_Omakoodi!A:A,0)),"")</f>
        <v/>
      </c>
      <c r="AC9" t="str">
        <f>IFERROR(IF(INDEX(Data_Omakoodi!H:H,MATCH($AH$3&amp;$AL9,Data_Omakoodi!A:A,0))="P","",$AH$3&amp;$AL9),$AH$3&amp;$AL9)</f>
        <v>ComboBox_TyHlo_yksikko_00000002</v>
      </c>
      <c r="AD9" s="44" t="str">
        <f>IFERROR(INDEX(Data_Omakoodi!E:E,MATCH(AC9,Data_Omakoodi!A:A,0)),"")</f>
        <v/>
      </c>
      <c r="AE9" t="str">
        <f>IFERROR(IF(INDEX(Data_Omakoodi!H:H,MATCH($AH$3&amp;$AL9,Data_Omakoodi!A:A,0))="P","",$AH$3&amp;$AL9),$AH$3&amp;$AL9)</f>
        <v>ComboBox_TyHlo_yksikko_00000002</v>
      </c>
      <c r="AF9" t="s">
        <v>1528</v>
      </c>
      <c r="AG9" s="739" t="str">
        <f t="shared" si="0"/>
        <v/>
      </c>
      <c r="AH9" s="739" t="str">
        <f t="shared" si="1"/>
        <v/>
      </c>
      <c r="AJ9" s="739" t="str">
        <f t="shared" si="2"/>
        <v/>
      </c>
      <c r="AK9" s="739" t="str">
        <f t="shared" si="3"/>
        <v/>
      </c>
      <c r="AL9" s="370" t="s">
        <v>1640</v>
      </c>
    </row>
    <row r="10" spans="1:47" x14ac:dyDescent="0.25">
      <c r="W10" s="27"/>
      <c r="X10" s="221" t="str">
        <f>" - "&amp;TEXT($A$2,$X$11)&amp;"-"&amp;TEXT($A$3,$X$11)&amp;" "</f>
        <v xml:space="preserve"> - 01.01.2025-30.04.2025 </v>
      </c>
      <c r="Y10" s="362" t="s">
        <v>764</v>
      </c>
      <c r="Z10" s="362" t="s">
        <v>769</v>
      </c>
      <c r="AA10" s="176" t="str">
        <f>IFERROR(IF(INDEX(Data_Omakoodi!H:H,MATCH($AK$3&amp;$AL10,Data_Omakoodi!A:A,0))="P","",$AK$3&amp;$AL10),$AK$3&amp;$AL10)</f>
        <v>ComboBox_EtKuntakoodi_00000003</v>
      </c>
      <c r="AB10" s="44" t="str">
        <f>IFERROR(INDEX(Data_Omakoodi!E:E,MATCH(AA10,Data_Omakoodi!A:A,0)),"")</f>
        <v/>
      </c>
      <c r="AC10" t="str">
        <f>IFERROR(IF(INDEX(Data_Omakoodi!H:H,MATCH($AH$3&amp;$AL10,Data_Omakoodi!A:A,0))="P","",$AH$3&amp;$AL10),$AH$3&amp;$AL10)</f>
        <v>ComboBox_TyHlo_yksikko_00000003</v>
      </c>
      <c r="AD10" s="44" t="str">
        <f>IFERROR(INDEX(Data_Omakoodi!E:E,MATCH(AC10,Data_Omakoodi!A:A,0)),"")</f>
        <v/>
      </c>
      <c r="AE10" t="str">
        <f>IFERROR(IF(INDEX(Data_Omakoodi!H:H,MATCH($AH$3&amp;$AL10,Data_Omakoodi!A:A,0))="P","",$AH$3&amp;$AL10),$AH$3&amp;$AL10)</f>
        <v>ComboBox_TyHlo_yksikko_00000003</v>
      </c>
      <c r="AF10" t="s">
        <v>1529</v>
      </c>
      <c r="AG10" s="739" t="str">
        <f t="shared" si="0"/>
        <v/>
      </c>
      <c r="AH10" s="739" t="str">
        <f t="shared" si="1"/>
        <v/>
      </c>
      <c r="AJ10" s="739" t="str">
        <f t="shared" si="2"/>
        <v/>
      </c>
      <c r="AK10" s="739" t="str">
        <f t="shared" si="3"/>
        <v/>
      </c>
      <c r="AL10" s="370" t="s">
        <v>1641</v>
      </c>
    </row>
    <row r="11" spans="1:47" hidden="1" x14ac:dyDescent="0.25">
      <c r="W11" s="27"/>
      <c r="X11" s="222" t="s">
        <v>675</v>
      </c>
      <c r="Y11" s="222" t="s">
        <v>676</v>
      </c>
      <c r="Z11" s="363" t="s">
        <v>770</v>
      </c>
      <c r="AA11" s="176" t="str">
        <f>IFERROR(IF(INDEX(Data_Omakoodi!H:H,MATCH($AK$3&amp;$AL11,Data_Omakoodi!A:A,0))="P","",$AK$3&amp;$AL11),$AK$3&amp;$AL11)</f>
        <v>ComboBox_EtKuntakoodi_00000004</v>
      </c>
      <c r="AB11" s="44" t="str">
        <f>IFERROR(INDEX(Data_Omakoodi!E:E,MATCH(AA11,Data_Omakoodi!A:A,0)),"")</f>
        <v/>
      </c>
      <c r="AC11" t="str">
        <f>IFERROR(IF(INDEX(Data_Omakoodi!H:H,MATCH($AH$3&amp;$AL11,Data_Omakoodi!A:A,0))="P","",$AH$3&amp;$AL11),$AH$3&amp;$AL11)</f>
        <v>ComboBox_TyHlo_yksikko_00000004</v>
      </c>
      <c r="AD11" s="44" t="str">
        <f>IFERROR(INDEX(Data_Omakoodi!E:E,MATCH(AC11,Data_Omakoodi!A:A,0)),"")</f>
        <v/>
      </c>
      <c r="AE11" t="str">
        <f>IFERROR(IF(INDEX(Data_Omakoodi!H:H,MATCH($AH$3&amp;$AL11,Data_Omakoodi!A:A,0))="P","",$AH$3&amp;$AL11),$AH$3&amp;$AL11)</f>
        <v>ComboBox_TyHlo_yksikko_00000004</v>
      </c>
      <c r="AF11" t="s">
        <v>1530</v>
      </c>
      <c r="AG11" s="739" t="str">
        <f t="shared" si="0"/>
        <v/>
      </c>
      <c r="AH11" s="739" t="str">
        <f t="shared" si="1"/>
        <v/>
      </c>
      <c r="AJ11" s="739" t="str">
        <f t="shared" si="2"/>
        <v/>
      </c>
      <c r="AK11" s="739" t="str">
        <f t="shared" si="3"/>
        <v/>
      </c>
      <c r="AL11" s="370" t="s">
        <v>1642</v>
      </c>
    </row>
    <row r="12" spans="1:47" hidden="1" x14ac:dyDescent="0.25">
      <c r="W12" s="27"/>
      <c r="X12" s="221" t="str">
        <f>IF(A8="Kaikki","","("&amp;A8&amp;") ")&amp;IF(A5=AB5,"","("&amp;A5&amp;") ")&amp;IF(A9=AD5,"","("&amp;A9&amp;")")</f>
        <v xml:space="preserve">(Yksi esiintymä) </v>
      </c>
      <c r="Y12" s="221" t="str">
        <f>IF($A$6=$Y$2,$Y$10,IF(Y1=A6,$Y$9,Y13))</f>
        <v xml:space="preserve">KAIKKI: </v>
      </c>
      <c r="Z12" s="221" t="str">
        <f>IF($A$7=$Y$2,$Z$10,$Z$9)</f>
        <v>Kaikki toimenpiteet</v>
      </c>
      <c r="AA12" s="176" t="str">
        <f>IFERROR(IF(INDEX(Data_Omakoodi!H:H,MATCH($AK$3&amp;$AL12,Data_Omakoodi!A:A,0))="P","",$AK$3&amp;$AL12),$AK$3&amp;$AL12)</f>
        <v>ComboBox_EtKuntakoodi_00000005</v>
      </c>
      <c r="AB12" s="44" t="str">
        <f>IFERROR(INDEX(Data_Omakoodi!E:E,MATCH(AA12,Data_Omakoodi!A:A,0)),"")</f>
        <v/>
      </c>
      <c r="AC12" t="str">
        <f>IFERROR(IF(INDEX(Data_Omakoodi!H:H,MATCH($AH$3&amp;$AL12,Data_Omakoodi!A:A,0))="P","",$AH$3&amp;$AL12),$AH$3&amp;$AL12)</f>
        <v>ComboBox_TyHlo_yksikko_00000005</v>
      </c>
      <c r="AD12" s="44" t="str">
        <f>IFERROR(INDEX(Data_Omakoodi!E:E,MATCH(AC12,Data_Omakoodi!A:A,0)),"")</f>
        <v/>
      </c>
      <c r="AE12" t="str">
        <f>IFERROR(IF(INDEX(Data_Omakoodi!H:H,MATCH($AH$3&amp;$AL12,Data_Omakoodi!A:A,0))="P","",$AH$3&amp;$AL12),$AH$3&amp;$AL12)</f>
        <v>ComboBox_TyHlo_yksikko_00000005</v>
      </c>
      <c r="AF12" t="s">
        <v>1531</v>
      </c>
      <c r="AG12" s="739" t="str">
        <f t="shared" si="0"/>
        <v/>
      </c>
      <c r="AH12" s="739" t="str">
        <f t="shared" si="1"/>
        <v/>
      </c>
      <c r="AJ12" s="739" t="str">
        <f t="shared" si="2"/>
        <v/>
      </c>
      <c r="AK12" s="739" t="str">
        <f t="shared" si="3"/>
        <v/>
      </c>
      <c r="AL12" s="370" t="s">
        <v>1643</v>
      </c>
    </row>
    <row r="13" spans="1:47" hidden="1" x14ac:dyDescent="0.25">
      <c r="W13" s="27"/>
      <c r="Y13" s="362" t="s">
        <v>1032</v>
      </c>
      <c r="AA13" s="176" t="str">
        <f>IFERROR(IF(INDEX(Data_Omakoodi!H:H,MATCH($AK$3&amp;$AL13,Data_Omakoodi!A:A,0))="P","",$AK$3&amp;$AL13),$AK$3&amp;$AL13)</f>
        <v>ComboBox_EtKuntakoodi_00000006</v>
      </c>
      <c r="AB13" s="44" t="str">
        <f>IFERROR(INDEX(Data_Omakoodi!E:E,MATCH(AA13,Data_Omakoodi!A:A,0)),"")</f>
        <v/>
      </c>
      <c r="AC13" t="str">
        <f>IFERROR(IF(INDEX(Data_Omakoodi!H:H,MATCH($AH$3&amp;$AL13,Data_Omakoodi!A:A,0))="P","",$AH$3&amp;$AL13),$AH$3&amp;$AL13)</f>
        <v>ComboBox_TyHlo_yksikko_00000006</v>
      </c>
      <c r="AD13" s="44" t="str">
        <f>IFERROR(INDEX(Data_Omakoodi!E:E,MATCH(AC13,Data_Omakoodi!A:A,0)),"")</f>
        <v/>
      </c>
      <c r="AE13" t="str">
        <f>IFERROR(IF(INDEX(Data_Omakoodi!H:H,MATCH($AH$3&amp;$AL13,Data_Omakoodi!A:A,0))="P","",$AH$3&amp;$AL13),$AH$3&amp;$AL13)</f>
        <v>ComboBox_TyHlo_yksikko_00000006</v>
      </c>
      <c r="AF13" t="s">
        <v>1532</v>
      </c>
      <c r="AG13" s="739" t="str">
        <f t="shared" si="0"/>
        <v/>
      </c>
      <c r="AH13" s="739" t="str">
        <f t="shared" si="1"/>
        <v/>
      </c>
      <c r="AJ13" s="739" t="str">
        <f t="shared" si="2"/>
        <v/>
      </c>
      <c r="AK13" s="739" t="str">
        <f t="shared" si="3"/>
        <v/>
      </c>
      <c r="AL13" s="370" t="s">
        <v>1644</v>
      </c>
    </row>
    <row r="14" spans="1:47" hidden="1" x14ac:dyDescent="0.25">
      <c r="W14" s="27"/>
      <c r="AA14" s="176" t="str">
        <f>IFERROR(IF(INDEX(Data_Omakoodi!H:H,MATCH($AK$3&amp;$AL14,Data_Omakoodi!A:A,0))="P","",$AK$3&amp;$AL14),$AK$3&amp;$AL14)</f>
        <v>ComboBox_EtKuntakoodi_00000007</v>
      </c>
      <c r="AB14" s="44" t="str">
        <f>IFERROR(INDEX(Data_Omakoodi!E:E,MATCH(AA14,Data_Omakoodi!A:A,0)),"")</f>
        <v/>
      </c>
      <c r="AC14" t="str">
        <f>IFERROR(IF(INDEX(Data_Omakoodi!H:H,MATCH($AH$3&amp;$AL14,Data_Omakoodi!A:A,0))="P","",$AH$3&amp;$AL14),$AH$3&amp;$AL14)</f>
        <v>ComboBox_TyHlo_yksikko_00000007</v>
      </c>
      <c r="AD14" s="44" t="str">
        <f>IFERROR(INDEX(Data_Omakoodi!E:E,MATCH(AC14,Data_Omakoodi!A:A,0)),"")</f>
        <v/>
      </c>
      <c r="AE14" t="str">
        <f>IFERROR(IF(INDEX(Data_Omakoodi!H:H,MATCH($AH$3&amp;$AL14,Data_Omakoodi!A:A,0))="P","",$AH$3&amp;$AL14),$AH$3&amp;$AL14)</f>
        <v>ComboBox_TyHlo_yksikko_00000007</v>
      </c>
      <c r="AF14" t="s">
        <v>1533</v>
      </c>
      <c r="AG14" s="739" t="str">
        <f t="shared" si="0"/>
        <v/>
      </c>
      <c r="AH14" s="739" t="str">
        <f t="shared" si="1"/>
        <v/>
      </c>
      <c r="AJ14" s="739" t="str">
        <f t="shared" si="2"/>
        <v/>
      </c>
      <c r="AK14" s="739" t="str">
        <f t="shared" si="3"/>
        <v/>
      </c>
      <c r="AL14" s="370" t="s">
        <v>1645</v>
      </c>
    </row>
    <row r="15" spans="1:47" hidden="1" x14ac:dyDescent="0.25">
      <c r="W15" s="27"/>
      <c r="AA15" s="176" t="str">
        <f>IFERROR(IF(INDEX(Data_Omakoodi!H:H,MATCH($AK$3&amp;$AL15,Data_Omakoodi!A:A,0))="P","",$AK$3&amp;$AL15),$AK$3&amp;$AL15)</f>
        <v>ComboBox_EtKuntakoodi_00000008</v>
      </c>
      <c r="AB15" s="44" t="str">
        <f>IFERROR(INDEX(Data_Omakoodi!E:E,MATCH(AA15,Data_Omakoodi!A:A,0)),"")</f>
        <v/>
      </c>
      <c r="AC15" t="str">
        <f>IFERROR(IF(INDEX(Data_Omakoodi!H:H,MATCH($AH$3&amp;$AL15,Data_Omakoodi!A:A,0))="P","",$AH$3&amp;$AL15),$AH$3&amp;$AL15)</f>
        <v>ComboBox_TyHlo_yksikko_00000008</v>
      </c>
      <c r="AD15" s="44" t="str">
        <f>IFERROR(INDEX(Data_Omakoodi!E:E,MATCH(AC15,Data_Omakoodi!A:A,0)),"")</f>
        <v/>
      </c>
      <c r="AE15" t="str">
        <f>IFERROR(IF(INDEX(Data_Omakoodi!H:H,MATCH($AH$3&amp;$AL15,Data_Omakoodi!A:A,0))="P","",$AH$3&amp;$AL15),$AH$3&amp;$AL15)</f>
        <v>ComboBox_TyHlo_yksikko_00000008</v>
      </c>
      <c r="AF15" t="s">
        <v>1534</v>
      </c>
      <c r="AG15" s="739" t="str">
        <f t="shared" si="0"/>
        <v/>
      </c>
      <c r="AH15" s="739" t="str">
        <f t="shared" si="1"/>
        <v/>
      </c>
      <c r="AJ15" s="739" t="str">
        <f t="shared" si="2"/>
        <v/>
      </c>
      <c r="AK15" s="739" t="str">
        <f t="shared" si="3"/>
        <v/>
      </c>
      <c r="AL15" s="370" t="s">
        <v>1646</v>
      </c>
    </row>
    <row r="16" spans="1:47" hidden="1" x14ac:dyDescent="0.25">
      <c r="W16" s="27"/>
      <c r="AA16" s="176" t="str">
        <f>IFERROR(IF(INDEX(Data_Omakoodi!H:H,MATCH($AK$3&amp;$AL16,Data_Omakoodi!A:A,0))="P","",$AK$3&amp;$AL16),$AK$3&amp;$AL16)</f>
        <v>ComboBox_EtKuntakoodi_00000009</v>
      </c>
      <c r="AB16" s="44" t="str">
        <f>IFERROR(INDEX(Data_Omakoodi!E:E,MATCH(AA16,Data_Omakoodi!A:A,0)),"")</f>
        <v/>
      </c>
      <c r="AC16" t="str">
        <f>IFERROR(IF(INDEX(Data_Omakoodi!H:H,MATCH($AH$3&amp;$AL16,Data_Omakoodi!A:A,0))="P","",$AH$3&amp;$AL16),$AH$3&amp;$AL16)</f>
        <v>ComboBox_TyHlo_yksikko_00000009</v>
      </c>
      <c r="AD16" s="44" t="str">
        <f>IFERROR(INDEX(Data_Omakoodi!E:E,MATCH(AC16,Data_Omakoodi!A:A,0)),"")</f>
        <v/>
      </c>
      <c r="AE16" t="str">
        <f>IFERROR(IF(INDEX(Data_Omakoodi!H:H,MATCH($AH$3&amp;$AL16,Data_Omakoodi!A:A,0))="P","",$AH$3&amp;$AL16),$AH$3&amp;$AL16)</f>
        <v>ComboBox_TyHlo_yksikko_00000009</v>
      </c>
      <c r="AF16" t="s">
        <v>1535</v>
      </c>
      <c r="AG16" s="739" t="str">
        <f t="shared" si="0"/>
        <v/>
      </c>
      <c r="AH16" s="739" t="str">
        <f t="shared" si="1"/>
        <v/>
      </c>
      <c r="AJ16" s="739" t="str">
        <f t="shared" si="2"/>
        <v/>
      </c>
      <c r="AK16" s="739" t="str">
        <f t="shared" si="3"/>
        <v/>
      </c>
      <c r="AL16" s="370" t="s">
        <v>1647</v>
      </c>
    </row>
    <row r="17" spans="23:38" hidden="1" x14ac:dyDescent="0.25">
      <c r="W17" s="27"/>
      <c r="AA17" s="176" t="str">
        <f>IFERROR(IF(INDEX(Data_Omakoodi!H:H,MATCH($AK$3&amp;$AL17,Data_Omakoodi!A:A,0))="P","",$AK$3&amp;$AL17),$AK$3&amp;$AL17)</f>
        <v>ComboBox_EtKuntakoodi_00000010</v>
      </c>
      <c r="AB17" s="44" t="str">
        <f>IFERROR(INDEX(Data_Omakoodi!E:E,MATCH(AA17,Data_Omakoodi!A:A,0)),"")</f>
        <v/>
      </c>
      <c r="AC17" t="str">
        <f>IFERROR(IF(INDEX(Data_Omakoodi!H:H,MATCH($AH$3&amp;$AL17,Data_Omakoodi!A:A,0))="P","",$AH$3&amp;$AL17),$AH$3&amp;$AL17)</f>
        <v>ComboBox_TyHlo_yksikko_00000010</v>
      </c>
      <c r="AD17" s="44" t="str">
        <f>IFERROR(INDEX(Data_Omakoodi!E:E,MATCH(AC17,Data_Omakoodi!A:A,0)),"")</f>
        <v/>
      </c>
      <c r="AE17" t="str">
        <f>IFERROR(IF(INDEX(Data_Omakoodi!H:H,MATCH($AH$3&amp;$AL17,Data_Omakoodi!A:A,0))="P","",$AH$3&amp;$AL17),$AH$3&amp;$AL17)</f>
        <v>ComboBox_TyHlo_yksikko_00000010</v>
      </c>
      <c r="AF17" t="s">
        <v>1536</v>
      </c>
      <c r="AG17" s="739" t="str">
        <f t="shared" si="0"/>
        <v/>
      </c>
      <c r="AH17" s="739" t="str">
        <f t="shared" si="1"/>
        <v/>
      </c>
      <c r="AJ17" s="739" t="str">
        <f t="shared" si="2"/>
        <v/>
      </c>
      <c r="AK17" s="739" t="str">
        <f t="shared" si="3"/>
        <v/>
      </c>
      <c r="AL17">
        <v>10</v>
      </c>
    </row>
    <row r="18" spans="23:38" hidden="1" x14ac:dyDescent="0.25">
      <c r="W18" s="27"/>
      <c r="AA18" s="176" t="str">
        <f>IFERROR(IF(INDEX(Data_Omakoodi!H:H,MATCH($AK$3&amp;$AL18,Data_Omakoodi!A:A,0))="P","",$AK$3&amp;$AL18),$AK$3&amp;$AL18)</f>
        <v>ComboBox_EtKuntakoodi_00000011</v>
      </c>
      <c r="AB18" s="44" t="str">
        <f>IFERROR(INDEX(Data_Omakoodi!E:E,MATCH(AA18,Data_Omakoodi!A:A,0)),"")</f>
        <v/>
      </c>
      <c r="AC18" t="str">
        <f>IFERROR(IF(INDEX(Data_Omakoodi!H:H,MATCH($AH$3&amp;$AL18,Data_Omakoodi!A:A,0))="P","",$AH$3&amp;$AL18),$AH$3&amp;$AL18)</f>
        <v>ComboBox_TyHlo_yksikko_00000011</v>
      </c>
      <c r="AD18" s="44" t="str">
        <f>IFERROR(INDEX(Data_Omakoodi!E:E,MATCH(AC18,Data_Omakoodi!A:A,0)),"")</f>
        <v/>
      </c>
      <c r="AE18" t="str">
        <f>IFERROR(IF(INDEX(Data_Omakoodi!H:H,MATCH($AH$3&amp;$AL18,Data_Omakoodi!A:A,0))="P","",$AH$3&amp;$AL18),$AH$3&amp;$AL18)</f>
        <v>ComboBox_TyHlo_yksikko_00000011</v>
      </c>
      <c r="AF18" t="s">
        <v>1537</v>
      </c>
      <c r="AG18" s="739" t="str">
        <f t="shared" si="0"/>
        <v/>
      </c>
      <c r="AH18" s="739" t="str">
        <f t="shared" si="1"/>
        <v/>
      </c>
      <c r="AJ18" s="739" t="str">
        <f t="shared" si="2"/>
        <v/>
      </c>
      <c r="AK18" s="739" t="str">
        <f t="shared" si="3"/>
        <v/>
      </c>
      <c r="AL18">
        <v>11</v>
      </c>
    </row>
    <row r="19" spans="23:38" hidden="1" x14ac:dyDescent="0.25">
      <c r="W19" s="27"/>
      <c r="AA19" s="176" t="str">
        <f>IFERROR(IF(INDEX(Data_Omakoodi!H:H,MATCH($AK$3&amp;$AL19,Data_Omakoodi!A:A,0))="P","",$AK$3&amp;$AL19),$AK$3&amp;$AL19)</f>
        <v>ComboBox_EtKuntakoodi_00000012</v>
      </c>
      <c r="AB19" s="44" t="str">
        <f>IFERROR(INDEX(Data_Omakoodi!E:E,MATCH(AA19,Data_Omakoodi!A:A,0)),"")</f>
        <v/>
      </c>
      <c r="AC19" t="str">
        <f>IFERROR(IF(INDEX(Data_Omakoodi!H:H,MATCH($AH$3&amp;$AL19,Data_Omakoodi!A:A,0))="P","",$AH$3&amp;$AL19),$AH$3&amp;$AL19)</f>
        <v>ComboBox_TyHlo_yksikko_00000012</v>
      </c>
      <c r="AD19" s="44" t="str">
        <f>IFERROR(INDEX(Data_Omakoodi!E:E,MATCH(AC19,Data_Omakoodi!A:A,0)),"")</f>
        <v/>
      </c>
      <c r="AE19" t="str">
        <f>IFERROR(IF(INDEX(Data_Omakoodi!H:H,MATCH($AH$3&amp;$AL19,Data_Omakoodi!A:A,0))="P","",$AH$3&amp;$AL19),$AH$3&amp;$AL19)</f>
        <v>ComboBox_TyHlo_yksikko_00000012</v>
      </c>
      <c r="AF19" t="s">
        <v>1538</v>
      </c>
      <c r="AG19" s="739" t="str">
        <f t="shared" si="0"/>
        <v/>
      </c>
      <c r="AH19" s="739" t="str">
        <f t="shared" si="1"/>
        <v/>
      </c>
      <c r="AJ19" s="739" t="str">
        <f t="shared" si="2"/>
        <v/>
      </c>
      <c r="AK19" s="739" t="str">
        <f t="shared" si="3"/>
        <v/>
      </c>
      <c r="AL19">
        <v>12</v>
      </c>
    </row>
    <row r="20" spans="23:38" hidden="1" x14ac:dyDescent="0.25">
      <c r="W20" s="27"/>
      <c r="AA20" s="176" t="str">
        <f>IFERROR(IF(INDEX(Data_Omakoodi!H:H,MATCH($AK$3&amp;$AL20,Data_Omakoodi!A:A,0))="P","",$AK$3&amp;$AL20),$AK$3&amp;$AL20)</f>
        <v>ComboBox_EtKuntakoodi_00000013</v>
      </c>
      <c r="AB20" s="44" t="str">
        <f>IFERROR(INDEX(Data_Omakoodi!E:E,MATCH(AA20,Data_Omakoodi!A:A,0)),"")</f>
        <v/>
      </c>
      <c r="AC20" t="str">
        <f>IFERROR(IF(INDEX(Data_Omakoodi!H:H,MATCH($AH$3&amp;$AL20,Data_Omakoodi!A:A,0))="P","",$AH$3&amp;$AL20),$AH$3&amp;$AL20)</f>
        <v>ComboBox_TyHlo_yksikko_00000013</v>
      </c>
      <c r="AD20" s="44" t="str">
        <f>IFERROR(INDEX(Data_Omakoodi!E:E,MATCH(AC20,Data_Omakoodi!A:A,0)),"")</f>
        <v/>
      </c>
      <c r="AE20" t="str">
        <f>IFERROR(IF(INDEX(Data_Omakoodi!H:H,MATCH($AH$3&amp;$AL20,Data_Omakoodi!A:A,0))="P","",$AH$3&amp;$AL20),$AH$3&amp;$AL20)</f>
        <v>ComboBox_TyHlo_yksikko_00000013</v>
      </c>
      <c r="AF20" t="s">
        <v>1539</v>
      </c>
      <c r="AG20" s="739" t="str">
        <f t="shared" si="0"/>
        <v/>
      </c>
      <c r="AH20" s="739" t="str">
        <f t="shared" si="1"/>
        <v/>
      </c>
      <c r="AJ20" s="739" t="str">
        <f t="shared" si="2"/>
        <v/>
      </c>
      <c r="AK20" s="739" t="str">
        <f t="shared" si="3"/>
        <v/>
      </c>
      <c r="AL20">
        <v>13</v>
      </c>
    </row>
    <row r="21" spans="23:38" hidden="1" x14ac:dyDescent="0.25">
      <c r="W21" s="27"/>
      <c r="AA21" s="176" t="str">
        <f>IFERROR(IF(INDEX(Data_Omakoodi!H:H,MATCH($AK$3&amp;$AL21,Data_Omakoodi!A:A,0))="P","",$AK$3&amp;$AL21),$AK$3&amp;$AL21)</f>
        <v>ComboBox_EtKuntakoodi_00000014</v>
      </c>
      <c r="AB21" s="44" t="str">
        <f>IFERROR(INDEX(Data_Omakoodi!E:E,MATCH(AA21,Data_Omakoodi!A:A,0)),"")</f>
        <v/>
      </c>
      <c r="AC21" t="str">
        <f>IFERROR(IF(INDEX(Data_Omakoodi!H:H,MATCH($AH$3&amp;$AL21,Data_Omakoodi!A:A,0))="P","",$AH$3&amp;$AL21),$AH$3&amp;$AL21)</f>
        <v>ComboBox_TyHlo_yksikko_00000014</v>
      </c>
      <c r="AD21" s="44" t="str">
        <f>IFERROR(INDEX(Data_Omakoodi!E:E,MATCH(AC21,Data_Omakoodi!A:A,0)),"")</f>
        <v/>
      </c>
      <c r="AE21" t="str">
        <f>IFERROR(IF(INDEX(Data_Omakoodi!H:H,MATCH($AH$3&amp;$AL21,Data_Omakoodi!A:A,0))="P","",$AH$3&amp;$AL21),$AH$3&amp;$AL21)</f>
        <v>ComboBox_TyHlo_yksikko_00000014</v>
      </c>
      <c r="AF21" t="s">
        <v>1540</v>
      </c>
      <c r="AG21" s="739" t="str">
        <f t="shared" si="0"/>
        <v/>
      </c>
      <c r="AH21" s="739" t="str">
        <f t="shared" si="1"/>
        <v/>
      </c>
      <c r="AJ21" s="739" t="str">
        <f t="shared" si="2"/>
        <v/>
      </c>
      <c r="AK21" s="739" t="str">
        <f t="shared" si="3"/>
        <v/>
      </c>
      <c r="AL21">
        <v>14</v>
      </c>
    </row>
    <row r="22" spans="23:38" hidden="1" x14ac:dyDescent="0.25">
      <c r="W22" s="27"/>
      <c r="AA22" s="176" t="str">
        <f>IFERROR(IF(INDEX(Data_Omakoodi!H:H,MATCH($AK$3&amp;$AL22,Data_Omakoodi!A:A,0))="P","",$AK$3&amp;$AL22),$AK$3&amp;$AL22)</f>
        <v>ComboBox_EtKuntakoodi_00000015</v>
      </c>
      <c r="AB22" s="44" t="str">
        <f>IFERROR(INDEX(Data_Omakoodi!E:E,MATCH(AA22,Data_Omakoodi!A:A,0)),"")</f>
        <v/>
      </c>
      <c r="AC22" t="str">
        <f>IFERROR(IF(INDEX(Data_Omakoodi!H:H,MATCH($AH$3&amp;$AL22,Data_Omakoodi!A:A,0))="P","",$AH$3&amp;$AL22),$AH$3&amp;$AL22)</f>
        <v>ComboBox_TyHlo_yksikko_00000015</v>
      </c>
      <c r="AD22" s="44" t="str">
        <f>IFERROR(INDEX(Data_Omakoodi!E:E,MATCH(AC22,Data_Omakoodi!A:A,0)),"")</f>
        <v/>
      </c>
      <c r="AE22" t="str">
        <f>IFERROR(IF(INDEX(Data_Omakoodi!H:H,MATCH($AH$3&amp;$AL22,Data_Omakoodi!A:A,0))="P","",$AH$3&amp;$AL22),$AH$3&amp;$AL22)</f>
        <v>ComboBox_TyHlo_yksikko_00000015</v>
      </c>
      <c r="AF22" t="s">
        <v>1541</v>
      </c>
      <c r="AG22" s="739" t="str">
        <f t="shared" si="0"/>
        <v/>
      </c>
      <c r="AH22" s="739" t="str">
        <f t="shared" si="1"/>
        <v/>
      </c>
      <c r="AJ22" s="739" t="str">
        <f t="shared" si="2"/>
        <v/>
      </c>
      <c r="AK22" s="739" t="str">
        <f t="shared" si="3"/>
        <v/>
      </c>
      <c r="AL22">
        <v>15</v>
      </c>
    </row>
    <row r="23" spans="23:38" hidden="1" x14ac:dyDescent="0.25">
      <c r="W23" s="27"/>
      <c r="AA23" s="176" t="str">
        <f>IFERROR(IF(INDEX(Data_Omakoodi!H:H,MATCH($AK$3&amp;$AL23,Data_Omakoodi!A:A,0))="P","",$AK$3&amp;$AL23),$AK$3&amp;$AL23)</f>
        <v>ComboBox_EtKuntakoodi_00000016</v>
      </c>
      <c r="AB23" s="44" t="str">
        <f>IFERROR(INDEX(Data_Omakoodi!E:E,MATCH(AA23,Data_Omakoodi!A:A,0)),"")</f>
        <v/>
      </c>
      <c r="AC23" t="str">
        <f>IFERROR(IF(INDEX(Data_Omakoodi!H:H,MATCH($AH$3&amp;$AL23,Data_Omakoodi!A:A,0))="P","",$AH$3&amp;$AL23),$AH$3&amp;$AL23)</f>
        <v>ComboBox_TyHlo_yksikko_00000016</v>
      </c>
      <c r="AD23" s="44" t="str">
        <f>IFERROR(INDEX(Data_Omakoodi!E:E,MATCH(AC23,Data_Omakoodi!A:A,0)),"")</f>
        <v/>
      </c>
      <c r="AE23" t="str">
        <f>IFERROR(IF(INDEX(Data_Omakoodi!H:H,MATCH($AH$3&amp;$AL23,Data_Omakoodi!A:A,0))="P","",$AH$3&amp;$AL23),$AH$3&amp;$AL23)</f>
        <v>ComboBox_TyHlo_yksikko_00000016</v>
      </c>
      <c r="AF23" t="s">
        <v>1542</v>
      </c>
      <c r="AG23" s="739" t="str">
        <f t="shared" si="0"/>
        <v/>
      </c>
      <c r="AH23" s="739" t="str">
        <f t="shared" si="1"/>
        <v/>
      </c>
      <c r="AJ23" s="739" t="str">
        <f t="shared" si="2"/>
        <v/>
      </c>
      <c r="AK23" s="739" t="str">
        <f t="shared" si="3"/>
        <v/>
      </c>
      <c r="AL23">
        <v>16</v>
      </c>
    </row>
    <row r="24" spans="23:38" hidden="1" x14ac:dyDescent="0.25">
      <c r="W24" s="27"/>
      <c r="AA24" s="176" t="str">
        <f>IFERROR(IF(INDEX(Data_Omakoodi!H:H,MATCH($AK$3&amp;$AL24,Data_Omakoodi!A:A,0))="P","",$AK$3&amp;$AL24),$AK$3&amp;$AL24)</f>
        <v>ComboBox_EtKuntakoodi_00000017</v>
      </c>
      <c r="AB24" s="44" t="str">
        <f>IFERROR(INDEX(Data_Omakoodi!E:E,MATCH(AA24,Data_Omakoodi!A:A,0)),"")</f>
        <v/>
      </c>
      <c r="AC24" t="str">
        <f>IFERROR(IF(INDEX(Data_Omakoodi!H:H,MATCH($AH$3&amp;$AL24,Data_Omakoodi!A:A,0))="P","",$AH$3&amp;$AL24),$AH$3&amp;$AL24)</f>
        <v>ComboBox_TyHlo_yksikko_00000017</v>
      </c>
      <c r="AD24" s="44" t="str">
        <f>IFERROR(INDEX(Data_Omakoodi!E:E,MATCH(AC24,Data_Omakoodi!A:A,0)),"")</f>
        <v/>
      </c>
      <c r="AE24" t="str">
        <f>IFERROR(IF(INDEX(Data_Omakoodi!H:H,MATCH($AH$3&amp;$AL24,Data_Omakoodi!A:A,0))="P","",$AH$3&amp;$AL24),$AH$3&amp;$AL24)</f>
        <v>ComboBox_TyHlo_yksikko_00000017</v>
      </c>
      <c r="AF24" t="s">
        <v>1543</v>
      </c>
      <c r="AG24" s="739" t="str">
        <f t="shared" si="0"/>
        <v/>
      </c>
      <c r="AH24" s="739" t="str">
        <f t="shared" si="1"/>
        <v/>
      </c>
      <c r="AJ24" s="739" t="str">
        <f t="shared" si="2"/>
        <v/>
      </c>
      <c r="AK24" s="739" t="str">
        <f t="shared" si="3"/>
        <v/>
      </c>
      <c r="AL24">
        <v>17</v>
      </c>
    </row>
    <row r="25" spans="23:38" hidden="1" x14ac:dyDescent="0.25">
      <c r="W25" s="27"/>
      <c r="AA25" s="176" t="str">
        <f>IFERROR(IF(INDEX(Data_Omakoodi!H:H,MATCH($AK$3&amp;$AL25,Data_Omakoodi!A:A,0))="P","",$AK$3&amp;$AL25),$AK$3&amp;$AL25)</f>
        <v>ComboBox_EtKuntakoodi_00000018</v>
      </c>
      <c r="AB25" s="44" t="str">
        <f>IFERROR(INDEX(Data_Omakoodi!E:E,MATCH(AA25,Data_Omakoodi!A:A,0)),"")</f>
        <v/>
      </c>
      <c r="AC25" t="str">
        <f>IFERROR(IF(INDEX(Data_Omakoodi!H:H,MATCH($AH$3&amp;$AL25,Data_Omakoodi!A:A,0))="P","",$AH$3&amp;$AL25),$AH$3&amp;$AL25)</f>
        <v>ComboBox_TyHlo_yksikko_00000018</v>
      </c>
      <c r="AD25" s="44" t="str">
        <f>IFERROR(INDEX(Data_Omakoodi!E:E,MATCH(AC25,Data_Omakoodi!A:A,0)),"")</f>
        <v/>
      </c>
      <c r="AE25" t="str">
        <f>IFERROR(IF(INDEX(Data_Omakoodi!H:H,MATCH($AH$3&amp;$AL25,Data_Omakoodi!A:A,0))="P","",$AH$3&amp;$AL25),$AH$3&amp;$AL25)</f>
        <v>ComboBox_TyHlo_yksikko_00000018</v>
      </c>
      <c r="AF25" t="s">
        <v>1544</v>
      </c>
      <c r="AG25" s="739" t="str">
        <f t="shared" si="0"/>
        <v/>
      </c>
      <c r="AH25" s="739" t="str">
        <f t="shared" si="1"/>
        <v/>
      </c>
      <c r="AJ25" s="739" t="str">
        <f t="shared" si="2"/>
        <v/>
      </c>
      <c r="AK25" s="739" t="str">
        <f t="shared" si="3"/>
        <v/>
      </c>
      <c r="AL25">
        <v>18</v>
      </c>
    </row>
    <row r="26" spans="23:38" hidden="1" x14ac:dyDescent="0.25">
      <c r="W26" s="27"/>
      <c r="AA26" s="176" t="str">
        <f>IFERROR(IF(INDEX(Data_Omakoodi!H:H,MATCH($AK$3&amp;$AL26,Data_Omakoodi!A:A,0))="P","",$AK$3&amp;$AL26),$AK$3&amp;$AL26)</f>
        <v>ComboBox_EtKuntakoodi_00000019</v>
      </c>
      <c r="AB26" s="44" t="str">
        <f>IFERROR(INDEX(Data_Omakoodi!E:E,MATCH(AA26,Data_Omakoodi!A:A,0)),"")</f>
        <v/>
      </c>
      <c r="AC26" t="str">
        <f>IFERROR(IF(INDEX(Data_Omakoodi!H:H,MATCH($AH$3&amp;$AL26,Data_Omakoodi!A:A,0))="P","",$AH$3&amp;$AL26),$AH$3&amp;$AL26)</f>
        <v>ComboBox_TyHlo_yksikko_00000019</v>
      </c>
      <c r="AD26" s="44" t="str">
        <f>IFERROR(INDEX(Data_Omakoodi!E:E,MATCH(AC26,Data_Omakoodi!A:A,0)),"")</f>
        <v/>
      </c>
      <c r="AE26" t="str">
        <f>IFERROR(IF(INDEX(Data_Omakoodi!H:H,MATCH($AH$3&amp;$AL26,Data_Omakoodi!A:A,0))="P","",$AH$3&amp;$AL26),$AH$3&amp;$AL26)</f>
        <v>ComboBox_TyHlo_yksikko_00000019</v>
      </c>
      <c r="AF26" t="s">
        <v>1545</v>
      </c>
      <c r="AG26" s="739" t="str">
        <f t="shared" si="0"/>
        <v/>
      </c>
      <c r="AH26" s="739" t="str">
        <f t="shared" si="1"/>
        <v/>
      </c>
      <c r="AJ26" s="739" t="str">
        <f t="shared" si="2"/>
        <v/>
      </c>
      <c r="AK26" s="739" t="str">
        <f t="shared" si="3"/>
        <v/>
      </c>
      <c r="AL26">
        <v>19</v>
      </c>
    </row>
    <row r="27" spans="23:38" hidden="1" x14ac:dyDescent="0.25">
      <c r="W27" s="27"/>
      <c r="AA27" s="176" t="str">
        <f>IFERROR(IF(INDEX(Data_Omakoodi!H:H,MATCH($AK$3&amp;$AL27,Data_Omakoodi!A:A,0))="P","",$AK$3&amp;$AL27),$AK$3&amp;$AL27)</f>
        <v>ComboBox_EtKuntakoodi_00000020</v>
      </c>
      <c r="AB27" s="44" t="str">
        <f>IFERROR(INDEX(Data_Omakoodi!E:E,MATCH(AA27,Data_Omakoodi!A:A,0)),"")</f>
        <v/>
      </c>
      <c r="AC27" t="str">
        <f>IFERROR(IF(INDEX(Data_Omakoodi!H:H,MATCH($AH$3&amp;$AL27,Data_Omakoodi!A:A,0))="P","",$AH$3&amp;$AL27),$AH$3&amp;$AL27)</f>
        <v>ComboBox_TyHlo_yksikko_00000020</v>
      </c>
      <c r="AD27" s="44" t="str">
        <f>IFERROR(INDEX(Data_Omakoodi!E:E,MATCH(AC27,Data_Omakoodi!A:A,0)),"")</f>
        <v/>
      </c>
      <c r="AE27" t="str">
        <f>IFERROR(IF(INDEX(Data_Omakoodi!H:H,MATCH($AH$3&amp;$AL27,Data_Omakoodi!A:A,0))="P","",$AH$3&amp;$AL27),$AH$3&amp;$AL27)</f>
        <v>ComboBox_TyHlo_yksikko_00000020</v>
      </c>
      <c r="AF27" t="s">
        <v>1546</v>
      </c>
      <c r="AG27" s="739" t="str">
        <f t="shared" si="0"/>
        <v/>
      </c>
      <c r="AH27" s="739" t="str">
        <f t="shared" si="1"/>
        <v/>
      </c>
      <c r="AJ27" s="739" t="str">
        <f t="shared" si="2"/>
        <v/>
      </c>
      <c r="AK27" s="739" t="str">
        <f t="shared" si="3"/>
        <v/>
      </c>
      <c r="AL27">
        <v>20</v>
      </c>
    </row>
    <row r="28" spans="23:38" hidden="1" x14ac:dyDescent="0.25">
      <c r="W28" s="27"/>
      <c r="AA28" s="176" t="str">
        <f>IFERROR(IF(INDEX(Data_Omakoodi!H:H,MATCH($AK$3&amp;$AL28,Data_Omakoodi!A:A,0))="P","",$AK$3&amp;$AL28),$AK$3&amp;$AL28)</f>
        <v>ComboBox_EtKuntakoodi_00000021</v>
      </c>
      <c r="AB28" s="44" t="str">
        <f>IFERROR(INDEX(Data_Omakoodi!E:E,MATCH(AA28,Data_Omakoodi!A:A,0)),"")</f>
        <v/>
      </c>
      <c r="AC28" t="str">
        <f>IFERROR(IF(INDEX(Data_Omakoodi!H:H,MATCH($AH$3&amp;$AL28,Data_Omakoodi!A:A,0))="P","",$AH$3&amp;$AL28),$AH$3&amp;$AL28)</f>
        <v>ComboBox_TyHlo_yksikko_00000021</v>
      </c>
      <c r="AD28" s="44" t="str">
        <f>IFERROR(INDEX(Data_Omakoodi!E:E,MATCH(AC28,Data_Omakoodi!A:A,0)),"")</f>
        <v/>
      </c>
      <c r="AE28" t="str">
        <f>IFERROR(IF(INDEX(Data_Omakoodi!H:H,MATCH($AH$3&amp;$AL28,Data_Omakoodi!A:A,0))="P","",$AH$3&amp;$AL28),$AH$3&amp;$AL28)</f>
        <v>ComboBox_TyHlo_yksikko_00000021</v>
      </c>
      <c r="AF28" t="s">
        <v>1547</v>
      </c>
      <c r="AG28" s="739" t="str">
        <f t="shared" si="0"/>
        <v/>
      </c>
      <c r="AH28" s="739" t="str">
        <f t="shared" si="1"/>
        <v/>
      </c>
      <c r="AJ28" s="739" t="str">
        <f t="shared" si="2"/>
        <v/>
      </c>
      <c r="AK28" s="739" t="str">
        <f t="shared" si="3"/>
        <v/>
      </c>
      <c r="AL28">
        <v>21</v>
      </c>
    </row>
    <row r="29" spans="23:38" hidden="1" x14ac:dyDescent="0.25">
      <c r="W29" s="27"/>
      <c r="AA29" s="176" t="str">
        <f>IFERROR(IF(INDEX(Data_Omakoodi!H:H,MATCH($AK$3&amp;$AL29,Data_Omakoodi!A:A,0))="P","",$AK$3&amp;$AL29),$AK$3&amp;$AL29)</f>
        <v>ComboBox_EtKuntakoodi_00000022</v>
      </c>
      <c r="AB29" s="44" t="str">
        <f>IFERROR(INDEX(Data_Omakoodi!E:E,MATCH(AA29,Data_Omakoodi!A:A,0)),"")</f>
        <v/>
      </c>
      <c r="AC29" t="str">
        <f>IFERROR(IF(INDEX(Data_Omakoodi!H:H,MATCH($AH$3&amp;$AL29,Data_Omakoodi!A:A,0))="P","",$AH$3&amp;$AL29),$AH$3&amp;$AL29)</f>
        <v>ComboBox_TyHlo_yksikko_00000022</v>
      </c>
      <c r="AD29" s="44" t="str">
        <f>IFERROR(INDEX(Data_Omakoodi!E:E,MATCH(AC29,Data_Omakoodi!A:A,0)),"")</f>
        <v/>
      </c>
      <c r="AE29" t="str">
        <f>IFERROR(IF(INDEX(Data_Omakoodi!H:H,MATCH($AH$3&amp;$AL29,Data_Omakoodi!A:A,0))="P","",$AH$3&amp;$AL29),$AH$3&amp;$AL29)</f>
        <v>ComboBox_TyHlo_yksikko_00000022</v>
      </c>
      <c r="AF29" t="s">
        <v>1548</v>
      </c>
      <c r="AG29" s="739" t="str">
        <f t="shared" si="0"/>
        <v/>
      </c>
      <c r="AH29" s="739" t="str">
        <f t="shared" si="1"/>
        <v/>
      </c>
      <c r="AJ29" s="739" t="str">
        <f t="shared" si="2"/>
        <v/>
      </c>
      <c r="AK29" s="739" t="str">
        <f t="shared" si="3"/>
        <v/>
      </c>
      <c r="AL29">
        <v>22</v>
      </c>
    </row>
    <row r="30" spans="23:38" hidden="1" x14ac:dyDescent="0.25">
      <c r="W30" s="27"/>
      <c r="AA30" s="176" t="str">
        <f>IFERROR(IF(INDEX(Data_Omakoodi!H:H,MATCH($AK$3&amp;$AL30,Data_Omakoodi!A:A,0))="P","",$AK$3&amp;$AL30),$AK$3&amp;$AL30)</f>
        <v>ComboBox_EtKuntakoodi_00000023</v>
      </c>
      <c r="AB30" s="44" t="str">
        <f>IFERROR(INDEX(Data_Omakoodi!E:E,MATCH(AA30,Data_Omakoodi!A:A,0)),"")</f>
        <v/>
      </c>
      <c r="AC30" t="str">
        <f>IFERROR(IF(INDEX(Data_Omakoodi!H:H,MATCH($AH$3&amp;$AL30,Data_Omakoodi!A:A,0))="P","",$AH$3&amp;$AL30),$AH$3&amp;$AL30)</f>
        <v>ComboBox_TyHlo_yksikko_00000023</v>
      </c>
      <c r="AD30" s="44" t="str">
        <f>IFERROR(INDEX(Data_Omakoodi!E:E,MATCH(AC30,Data_Omakoodi!A:A,0)),"")</f>
        <v/>
      </c>
      <c r="AE30" t="str">
        <f>IFERROR(IF(INDEX(Data_Omakoodi!H:H,MATCH($AH$3&amp;$AL30,Data_Omakoodi!A:A,0))="P","",$AH$3&amp;$AL30),$AH$3&amp;$AL30)</f>
        <v>ComboBox_TyHlo_yksikko_00000023</v>
      </c>
      <c r="AF30" t="s">
        <v>1549</v>
      </c>
      <c r="AG30" s="739" t="str">
        <f t="shared" si="0"/>
        <v/>
      </c>
      <c r="AH30" s="739" t="str">
        <f t="shared" si="1"/>
        <v/>
      </c>
      <c r="AJ30" s="739" t="str">
        <f t="shared" si="2"/>
        <v/>
      </c>
      <c r="AK30" s="739" t="str">
        <f t="shared" si="3"/>
        <v/>
      </c>
      <c r="AL30">
        <v>23</v>
      </c>
    </row>
    <row r="31" spans="23:38" hidden="1" x14ac:dyDescent="0.25">
      <c r="W31" s="27"/>
      <c r="AA31" s="176" t="str">
        <f>IFERROR(IF(INDEX(Data_Omakoodi!H:H,MATCH($AK$3&amp;$AL31,Data_Omakoodi!A:A,0))="P","",$AK$3&amp;$AL31),$AK$3&amp;$AL31)</f>
        <v>ComboBox_EtKuntakoodi_00000024</v>
      </c>
      <c r="AB31" s="44" t="str">
        <f>IFERROR(INDEX(Data_Omakoodi!E:E,MATCH(AA31,Data_Omakoodi!A:A,0)),"")</f>
        <v/>
      </c>
      <c r="AC31" t="str">
        <f>IFERROR(IF(INDEX(Data_Omakoodi!H:H,MATCH($AH$3&amp;$AL31,Data_Omakoodi!A:A,0))="P","",$AH$3&amp;$AL31),$AH$3&amp;$AL31)</f>
        <v>ComboBox_TyHlo_yksikko_00000024</v>
      </c>
      <c r="AD31" s="44" t="str">
        <f>IFERROR(INDEX(Data_Omakoodi!E:E,MATCH(AC31,Data_Omakoodi!A:A,0)),"")</f>
        <v/>
      </c>
      <c r="AE31" t="str">
        <f>IFERROR(IF(INDEX(Data_Omakoodi!H:H,MATCH($AH$3&amp;$AL31,Data_Omakoodi!A:A,0))="P","",$AH$3&amp;$AL31),$AH$3&amp;$AL31)</f>
        <v>ComboBox_TyHlo_yksikko_00000024</v>
      </c>
      <c r="AF31" t="s">
        <v>1550</v>
      </c>
      <c r="AG31" s="739" t="str">
        <f t="shared" si="0"/>
        <v/>
      </c>
      <c r="AH31" s="739" t="str">
        <f t="shared" si="1"/>
        <v/>
      </c>
      <c r="AJ31" s="739" t="str">
        <f t="shared" si="2"/>
        <v/>
      </c>
      <c r="AK31" s="739" t="str">
        <f t="shared" si="3"/>
        <v/>
      </c>
      <c r="AL31">
        <v>24</v>
      </c>
    </row>
    <row r="32" spans="23:38" hidden="1" x14ac:dyDescent="0.25">
      <c r="W32" s="27"/>
      <c r="AA32" s="176" t="str">
        <f>IFERROR(IF(INDEX(Data_Omakoodi!H:H,MATCH($AK$3&amp;$AL32,Data_Omakoodi!A:A,0))="P","",$AK$3&amp;$AL32),$AK$3&amp;$AL32)</f>
        <v>ComboBox_EtKuntakoodi_00000025</v>
      </c>
      <c r="AB32" s="44" t="str">
        <f>IFERROR(INDEX(Data_Omakoodi!E:E,MATCH(AA32,Data_Omakoodi!A:A,0)),"")</f>
        <v/>
      </c>
      <c r="AC32" t="str">
        <f>IFERROR(IF(INDEX(Data_Omakoodi!H:H,MATCH($AH$3&amp;$AL32,Data_Omakoodi!A:A,0))="P","",$AH$3&amp;$AL32),$AH$3&amp;$AL32)</f>
        <v>ComboBox_TyHlo_yksikko_00000025</v>
      </c>
      <c r="AD32" s="44" t="str">
        <f>IFERROR(INDEX(Data_Omakoodi!E:E,MATCH(AC32,Data_Omakoodi!A:A,0)),"")</f>
        <v/>
      </c>
      <c r="AE32" t="str">
        <f>IFERROR(IF(INDEX(Data_Omakoodi!H:H,MATCH($AH$3&amp;$AL32,Data_Omakoodi!A:A,0))="P","",$AH$3&amp;$AL32),$AH$3&amp;$AL32)</f>
        <v>ComboBox_TyHlo_yksikko_00000025</v>
      </c>
      <c r="AF32" t="s">
        <v>1551</v>
      </c>
      <c r="AG32" s="739" t="str">
        <f t="shared" si="0"/>
        <v/>
      </c>
      <c r="AH32" s="739" t="str">
        <f t="shared" si="1"/>
        <v/>
      </c>
      <c r="AJ32" s="739" t="str">
        <f t="shared" si="2"/>
        <v/>
      </c>
      <c r="AK32" s="739" t="str">
        <f t="shared" si="3"/>
        <v/>
      </c>
      <c r="AL32">
        <v>25</v>
      </c>
    </row>
    <row r="33" spans="23:38" hidden="1" x14ac:dyDescent="0.25">
      <c r="W33" s="27"/>
      <c r="AA33" s="176" t="str">
        <f>IFERROR(IF(INDEX(Data_Omakoodi!H:H,MATCH($AK$3&amp;$AL33,Data_Omakoodi!A:A,0))="P","",$AK$3&amp;$AL33),$AK$3&amp;$AL33)</f>
        <v>ComboBox_EtKuntakoodi_00000026</v>
      </c>
      <c r="AB33" s="44" t="str">
        <f>IFERROR(INDEX(Data_Omakoodi!E:E,MATCH(AA33,Data_Omakoodi!A:A,0)),"")</f>
        <v/>
      </c>
      <c r="AC33" t="str">
        <f>IFERROR(IF(INDEX(Data_Omakoodi!H:H,MATCH($AH$3&amp;$AL33,Data_Omakoodi!A:A,0))="P","",$AH$3&amp;$AL33),$AH$3&amp;$AL33)</f>
        <v>ComboBox_TyHlo_yksikko_00000026</v>
      </c>
      <c r="AD33" s="44" t="str">
        <f>IFERROR(INDEX(Data_Omakoodi!E:E,MATCH(AC33,Data_Omakoodi!A:A,0)),"")</f>
        <v/>
      </c>
      <c r="AE33" t="str">
        <f>IFERROR(IF(INDEX(Data_Omakoodi!H:H,MATCH($AH$3&amp;$AL33,Data_Omakoodi!A:A,0))="P","",$AH$3&amp;$AL33),$AH$3&amp;$AL33)</f>
        <v>ComboBox_TyHlo_yksikko_00000026</v>
      </c>
      <c r="AF33" t="s">
        <v>1552</v>
      </c>
      <c r="AG33" s="739" t="str">
        <f t="shared" si="0"/>
        <v/>
      </c>
      <c r="AH33" s="739" t="str">
        <f t="shared" si="1"/>
        <v/>
      </c>
      <c r="AJ33" s="739" t="str">
        <f t="shared" si="2"/>
        <v/>
      </c>
      <c r="AK33" s="739" t="str">
        <f t="shared" si="3"/>
        <v/>
      </c>
      <c r="AL33">
        <v>26</v>
      </c>
    </row>
    <row r="34" spans="23:38" hidden="1" x14ac:dyDescent="0.25">
      <c r="W34" s="27"/>
      <c r="AA34" s="176" t="str">
        <f>IFERROR(IF(INDEX(Data_Omakoodi!H:H,MATCH($AK$3&amp;$AL34,Data_Omakoodi!A:A,0))="P","",$AK$3&amp;$AL34),$AK$3&amp;$AL34)</f>
        <v>ComboBox_EtKuntakoodi_00000027</v>
      </c>
      <c r="AB34" s="44" t="str">
        <f>IFERROR(INDEX(Data_Omakoodi!E:E,MATCH(AA34,Data_Omakoodi!A:A,0)),"")</f>
        <v/>
      </c>
      <c r="AC34" t="str">
        <f>IFERROR(IF(INDEX(Data_Omakoodi!H:H,MATCH($AH$3&amp;$AL34,Data_Omakoodi!A:A,0))="P","",$AH$3&amp;$AL34),$AH$3&amp;$AL34)</f>
        <v>ComboBox_TyHlo_yksikko_00000027</v>
      </c>
      <c r="AD34" s="44" t="str">
        <f>IFERROR(INDEX(Data_Omakoodi!E:E,MATCH(AC34,Data_Omakoodi!A:A,0)),"")</f>
        <v/>
      </c>
      <c r="AE34" t="str">
        <f>IFERROR(IF(INDEX(Data_Omakoodi!H:H,MATCH($AH$3&amp;$AL34,Data_Omakoodi!A:A,0))="P","",$AH$3&amp;$AL34),$AH$3&amp;$AL34)</f>
        <v>ComboBox_TyHlo_yksikko_00000027</v>
      </c>
      <c r="AF34" t="s">
        <v>1553</v>
      </c>
      <c r="AG34" s="739" t="str">
        <f t="shared" si="0"/>
        <v/>
      </c>
      <c r="AH34" s="739" t="str">
        <f t="shared" si="1"/>
        <v/>
      </c>
      <c r="AJ34" s="739" t="str">
        <f t="shared" si="2"/>
        <v/>
      </c>
      <c r="AK34" s="739" t="str">
        <f t="shared" si="3"/>
        <v/>
      </c>
      <c r="AL34">
        <v>27</v>
      </c>
    </row>
    <row r="35" spans="23:38" hidden="1" x14ac:dyDescent="0.25">
      <c r="W35" s="27"/>
      <c r="AA35" s="176" t="str">
        <f>IFERROR(IF(INDEX(Data_Omakoodi!H:H,MATCH($AK$3&amp;$AL35,Data_Omakoodi!A:A,0))="P","",$AK$3&amp;$AL35),$AK$3&amp;$AL35)</f>
        <v>ComboBox_EtKuntakoodi_00000028</v>
      </c>
      <c r="AB35" s="44" t="str">
        <f>IFERROR(INDEX(Data_Omakoodi!E:E,MATCH(AA35,Data_Omakoodi!A:A,0)),"")</f>
        <v/>
      </c>
      <c r="AC35" t="str">
        <f>IFERROR(IF(INDEX(Data_Omakoodi!H:H,MATCH($AH$3&amp;$AL35,Data_Omakoodi!A:A,0))="P","",$AH$3&amp;$AL35),$AH$3&amp;$AL35)</f>
        <v>ComboBox_TyHlo_yksikko_00000028</v>
      </c>
      <c r="AD35" s="44" t="str">
        <f>IFERROR(INDEX(Data_Omakoodi!E:E,MATCH(AC35,Data_Omakoodi!A:A,0)),"")</f>
        <v/>
      </c>
      <c r="AE35" t="str">
        <f>IFERROR(IF(INDEX(Data_Omakoodi!H:H,MATCH($AH$3&amp;$AL35,Data_Omakoodi!A:A,0))="P","",$AH$3&amp;$AL35),$AH$3&amp;$AL35)</f>
        <v>ComboBox_TyHlo_yksikko_00000028</v>
      </c>
      <c r="AF35" t="s">
        <v>1554</v>
      </c>
      <c r="AG35" s="739" t="str">
        <f t="shared" si="0"/>
        <v/>
      </c>
      <c r="AH35" s="739" t="str">
        <f t="shared" si="1"/>
        <v/>
      </c>
      <c r="AJ35" s="739" t="str">
        <f t="shared" si="2"/>
        <v/>
      </c>
      <c r="AK35" s="739" t="str">
        <f t="shared" si="3"/>
        <v/>
      </c>
      <c r="AL35">
        <v>28</v>
      </c>
    </row>
    <row r="36" spans="23:38" hidden="1" x14ac:dyDescent="0.25">
      <c r="W36" s="27"/>
      <c r="AA36" s="176" t="str">
        <f>IFERROR(IF(INDEX(Data_Omakoodi!H:H,MATCH($AK$3&amp;$AL36,Data_Omakoodi!A:A,0))="P","",$AK$3&amp;$AL36),$AK$3&amp;$AL36)</f>
        <v>ComboBox_EtKuntakoodi_00000029</v>
      </c>
      <c r="AB36" s="44" t="str">
        <f>IFERROR(INDEX(Data_Omakoodi!E:E,MATCH(AA36,Data_Omakoodi!A:A,0)),"")</f>
        <v/>
      </c>
      <c r="AC36" t="str">
        <f>IFERROR(IF(INDEX(Data_Omakoodi!H:H,MATCH($AH$3&amp;$AL36,Data_Omakoodi!A:A,0))="P","",$AH$3&amp;$AL36),$AH$3&amp;$AL36)</f>
        <v>ComboBox_TyHlo_yksikko_00000029</v>
      </c>
      <c r="AD36" s="44" t="str">
        <f>IFERROR(INDEX(Data_Omakoodi!E:E,MATCH(AC36,Data_Omakoodi!A:A,0)),"")</f>
        <v/>
      </c>
      <c r="AE36" t="str">
        <f>IFERROR(IF(INDEX(Data_Omakoodi!H:H,MATCH($AH$3&amp;$AL36,Data_Omakoodi!A:A,0))="P","",$AH$3&amp;$AL36),$AH$3&amp;$AL36)</f>
        <v>ComboBox_TyHlo_yksikko_00000029</v>
      </c>
      <c r="AF36" t="s">
        <v>1555</v>
      </c>
      <c r="AG36" s="739" t="str">
        <f t="shared" si="0"/>
        <v/>
      </c>
      <c r="AH36" s="739" t="str">
        <f t="shared" si="1"/>
        <v/>
      </c>
      <c r="AJ36" s="739" t="str">
        <f t="shared" si="2"/>
        <v/>
      </c>
      <c r="AK36" s="739" t="str">
        <f t="shared" si="3"/>
        <v/>
      </c>
      <c r="AL36">
        <v>29</v>
      </c>
    </row>
    <row r="37" spans="23:38" hidden="1" x14ac:dyDescent="0.25">
      <c r="W37" s="27"/>
      <c r="AA37" s="176" t="str">
        <f>IFERROR(IF(INDEX(Data_Omakoodi!H:H,MATCH($AK$3&amp;$AL37,Data_Omakoodi!A:A,0))="P","",$AK$3&amp;$AL37),$AK$3&amp;$AL37)</f>
        <v>ComboBox_EtKuntakoodi_00000030</v>
      </c>
      <c r="AB37" s="44" t="str">
        <f>IFERROR(INDEX(Data_Omakoodi!E:E,MATCH(AA37,Data_Omakoodi!A:A,0)),"")</f>
        <v/>
      </c>
      <c r="AC37" t="str">
        <f>IFERROR(IF(INDEX(Data_Omakoodi!H:H,MATCH($AH$3&amp;$AL37,Data_Omakoodi!A:A,0))="P","",$AH$3&amp;$AL37),$AH$3&amp;$AL37)</f>
        <v>ComboBox_TyHlo_yksikko_00000030</v>
      </c>
      <c r="AD37" s="44" t="str">
        <f>IFERROR(INDEX(Data_Omakoodi!E:E,MATCH(AC37,Data_Omakoodi!A:A,0)),"")</f>
        <v/>
      </c>
      <c r="AE37" t="str">
        <f>IFERROR(IF(INDEX(Data_Omakoodi!H:H,MATCH($AH$3&amp;$AL37,Data_Omakoodi!A:A,0))="P","",$AH$3&amp;$AL37),$AH$3&amp;$AL37)</f>
        <v>ComboBox_TyHlo_yksikko_00000030</v>
      </c>
      <c r="AF37" t="s">
        <v>1556</v>
      </c>
      <c r="AG37" s="739" t="str">
        <f t="shared" si="0"/>
        <v/>
      </c>
      <c r="AH37" s="739" t="str">
        <f t="shared" si="1"/>
        <v/>
      </c>
      <c r="AJ37" s="739" t="str">
        <f t="shared" si="2"/>
        <v/>
      </c>
      <c r="AK37" s="739" t="str">
        <f t="shared" si="3"/>
        <v/>
      </c>
      <c r="AL37">
        <v>30</v>
      </c>
    </row>
    <row r="38" spans="23:38" hidden="1" x14ac:dyDescent="0.25">
      <c r="W38" s="27"/>
      <c r="AA38" s="176" t="str">
        <f>IFERROR(IF(INDEX(Data_Omakoodi!H:H,MATCH($AK$3&amp;$AL38,Data_Omakoodi!A:A,0))="P","",$AK$3&amp;$AL38),$AK$3&amp;$AL38)</f>
        <v>ComboBox_EtKuntakoodi_00000031</v>
      </c>
      <c r="AB38" s="44" t="str">
        <f>IFERROR(INDEX(Data_Omakoodi!E:E,MATCH(AA38,Data_Omakoodi!A:A,0)),"")</f>
        <v/>
      </c>
      <c r="AC38" t="str">
        <f>IFERROR(IF(INDEX(Data_Omakoodi!H:H,MATCH($AH$3&amp;$AL38,Data_Omakoodi!A:A,0))="P","",$AH$3&amp;$AL38),$AH$3&amp;$AL38)</f>
        <v>ComboBox_TyHlo_yksikko_00000031</v>
      </c>
      <c r="AD38" s="44" t="str">
        <f>IFERROR(INDEX(Data_Omakoodi!E:E,MATCH(AC38,Data_Omakoodi!A:A,0)),"")</f>
        <v/>
      </c>
      <c r="AE38" t="str">
        <f>IFERROR(IF(INDEX(Data_Omakoodi!H:H,MATCH($AH$3&amp;$AL38,Data_Omakoodi!A:A,0))="P","",$AH$3&amp;$AL38),$AH$3&amp;$AL38)</f>
        <v>ComboBox_TyHlo_yksikko_00000031</v>
      </c>
      <c r="AF38" t="s">
        <v>1621</v>
      </c>
      <c r="AG38" s="739" t="str">
        <f t="shared" si="0"/>
        <v/>
      </c>
      <c r="AH38" s="739" t="str">
        <f t="shared" si="1"/>
        <v/>
      </c>
      <c r="AJ38" s="739" t="str">
        <f t="shared" si="2"/>
        <v/>
      </c>
      <c r="AK38" s="739" t="str">
        <f t="shared" si="3"/>
        <v/>
      </c>
      <c r="AL38">
        <v>31</v>
      </c>
    </row>
    <row r="39" spans="23:38" hidden="1" x14ac:dyDescent="0.25">
      <c r="W39" s="27"/>
      <c r="AA39" s="176" t="str">
        <f>IFERROR(IF(INDEX(Data_Omakoodi!H:H,MATCH($AK$3&amp;$AL39,Data_Omakoodi!A:A,0))="P","",$AK$3&amp;$AL39),$AK$3&amp;$AL39)</f>
        <v>ComboBox_EtKuntakoodi_00000032</v>
      </c>
      <c r="AB39" s="44" t="str">
        <f>IFERROR(INDEX(Data_Omakoodi!E:E,MATCH(AA39,Data_Omakoodi!A:A,0)),"")</f>
        <v/>
      </c>
      <c r="AC39" t="str">
        <f>IFERROR(IF(INDEX(Data_Omakoodi!H:H,MATCH($AH$3&amp;$AL39,Data_Omakoodi!A:A,0))="P","",$AH$3&amp;$AL39),$AH$3&amp;$AL39)</f>
        <v>ComboBox_TyHlo_yksikko_00000032</v>
      </c>
      <c r="AD39" s="44" t="str">
        <f>IFERROR(INDEX(Data_Omakoodi!E:E,MATCH(AC39,Data_Omakoodi!A:A,0)),"")</f>
        <v/>
      </c>
      <c r="AE39" t="str">
        <f>IFERROR(IF(INDEX(Data_Omakoodi!H:H,MATCH($AH$3&amp;$AL39,Data_Omakoodi!A:A,0))="P","",$AH$3&amp;$AL39),$AH$3&amp;$AL39)</f>
        <v>ComboBox_TyHlo_yksikko_00000032</v>
      </c>
      <c r="AF39" t="s">
        <v>1622</v>
      </c>
      <c r="AG39" s="739" t="str">
        <f t="shared" si="0"/>
        <v/>
      </c>
      <c r="AH39" s="739" t="str">
        <f t="shared" si="1"/>
        <v/>
      </c>
      <c r="AJ39" s="739" t="str">
        <f t="shared" si="2"/>
        <v/>
      </c>
      <c r="AK39" s="739" t="str">
        <f t="shared" si="3"/>
        <v/>
      </c>
      <c r="AL39">
        <v>32</v>
      </c>
    </row>
    <row r="40" spans="23:38" hidden="1" x14ac:dyDescent="0.25">
      <c r="W40" s="27"/>
      <c r="AA40" s="176" t="str">
        <f>IFERROR(IF(INDEX(Data_Omakoodi!H:H,MATCH($AK$3&amp;$AL40,Data_Omakoodi!A:A,0))="P","",$AK$3&amp;$AL40),$AK$3&amp;$AL40)</f>
        <v>ComboBox_EtKuntakoodi_00000033</v>
      </c>
      <c r="AB40" s="44" t="str">
        <f>IFERROR(INDEX(Data_Omakoodi!E:E,MATCH(AA40,Data_Omakoodi!A:A,0)),"")</f>
        <v/>
      </c>
      <c r="AC40" t="str">
        <f>IFERROR(IF(INDEX(Data_Omakoodi!H:H,MATCH($AH$3&amp;$AL40,Data_Omakoodi!A:A,0))="P","",$AH$3&amp;$AL40),$AH$3&amp;$AL40)</f>
        <v>ComboBox_TyHlo_yksikko_00000033</v>
      </c>
      <c r="AD40" s="44" t="str">
        <f>IFERROR(INDEX(Data_Omakoodi!E:E,MATCH(AC40,Data_Omakoodi!A:A,0)),"")</f>
        <v/>
      </c>
      <c r="AE40" t="str">
        <f>IFERROR(IF(INDEX(Data_Omakoodi!H:H,MATCH($AH$3&amp;$AL40,Data_Omakoodi!A:A,0))="P","",$AH$3&amp;$AL40),$AH$3&amp;$AL40)</f>
        <v>ComboBox_TyHlo_yksikko_00000033</v>
      </c>
      <c r="AF40" t="s">
        <v>1623</v>
      </c>
      <c r="AG40" s="739" t="str">
        <f t="shared" si="0"/>
        <v/>
      </c>
      <c r="AH40" s="739" t="str">
        <f t="shared" si="1"/>
        <v/>
      </c>
      <c r="AJ40" s="739" t="str">
        <f t="shared" si="2"/>
        <v/>
      </c>
      <c r="AK40" s="739" t="str">
        <f t="shared" si="3"/>
        <v/>
      </c>
      <c r="AL40">
        <v>33</v>
      </c>
    </row>
    <row r="41" spans="23:38" hidden="1" x14ac:dyDescent="0.25">
      <c r="W41" s="27"/>
      <c r="AA41" s="176" t="str">
        <f>IFERROR(IF(INDEX(Data_Omakoodi!H:H,MATCH($AK$3&amp;$AL41,Data_Omakoodi!A:A,0))="P","",$AK$3&amp;$AL41),$AK$3&amp;$AL41)</f>
        <v>ComboBox_EtKuntakoodi_00000034</v>
      </c>
      <c r="AB41" s="44" t="str">
        <f>IFERROR(INDEX(Data_Omakoodi!E:E,MATCH(AA41,Data_Omakoodi!A:A,0)),"")</f>
        <v/>
      </c>
      <c r="AC41" t="str">
        <f>IFERROR(IF(INDEX(Data_Omakoodi!H:H,MATCH($AH$3&amp;$AL41,Data_Omakoodi!A:A,0))="P","",$AH$3&amp;$AL41),$AH$3&amp;$AL41)</f>
        <v>ComboBox_TyHlo_yksikko_00000034</v>
      </c>
      <c r="AD41" s="44" t="str">
        <f>IFERROR(INDEX(Data_Omakoodi!E:E,MATCH(AC41,Data_Omakoodi!A:A,0)),"")</f>
        <v/>
      </c>
      <c r="AE41" t="str">
        <f>IFERROR(IF(INDEX(Data_Omakoodi!H:H,MATCH($AH$3&amp;$AL41,Data_Omakoodi!A:A,0))="P","",$AH$3&amp;$AL41),$AH$3&amp;$AL41)</f>
        <v>ComboBox_TyHlo_yksikko_00000034</v>
      </c>
      <c r="AF41" t="s">
        <v>1624</v>
      </c>
      <c r="AG41" s="739" t="str">
        <f t="shared" si="0"/>
        <v/>
      </c>
      <c r="AH41" s="739" t="str">
        <f t="shared" si="1"/>
        <v/>
      </c>
      <c r="AJ41" s="739" t="str">
        <f t="shared" si="2"/>
        <v/>
      </c>
      <c r="AK41" s="739" t="str">
        <f t="shared" si="3"/>
        <v/>
      </c>
      <c r="AL41">
        <v>34</v>
      </c>
    </row>
    <row r="42" spans="23:38" hidden="1" x14ac:dyDescent="0.25">
      <c r="W42" s="27"/>
      <c r="AA42" s="176" t="str">
        <f>IFERROR(IF(INDEX(Data_Omakoodi!H:H,MATCH($AK$3&amp;$AL42,Data_Omakoodi!A:A,0))="P","",$AK$3&amp;$AL42),$AK$3&amp;$AL42)</f>
        <v>ComboBox_EtKuntakoodi_00000035</v>
      </c>
      <c r="AB42" s="44" t="str">
        <f>IFERROR(INDEX(Data_Omakoodi!E:E,MATCH(AA42,Data_Omakoodi!A:A,0)),"")</f>
        <v/>
      </c>
      <c r="AC42" t="str">
        <f>IFERROR(IF(INDEX(Data_Omakoodi!H:H,MATCH($AH$3&amp;$AL42,Data_Omakoodi!A:A,0))="P","",$AH$3&amp;$AL42),$AH$3&amp;$AL42)</f>
        <v>ComboBox_TyHlo_yksikko_00000035</v>
      </c>
      <c r="AD42" s="44" t="str">
        <f>IFERROR(INDEX(Data_Omakoodi!E:E,MATCH(AC42,Data_Omakoodi!A:A,0)),"")</f>
        <v/>
      </c>
      <c r="AE42" t="str">
        <f>IFERROR(IF(INDEX(Data_Omakoodi!H:H,MATCH($AH$3&amp;$AL42,Data_Omakoodi!A:A,0))="P","",$AH$3&amp;$AL42),$AH$3&amp;$AL42)</f>
        <v>ComboBox_TyHlo_yksikko_00000035</v>
      </c>
      <c r="AF42" t="s">
        <v>1625</v>
      </c>
      <c r="AG42" s="739" t="str">
        <f t="shared" si="0"/>
        <v/>
      </c>
      <c r="AH42" s="739" t="str">
        <f t="shared" si="1"/>
        <v/>
      </c>
      <c r="AJ42" s="739" t="str">
        <f t="shared" si="2"/>
        <v/>
      </c>
      <c r="AK42" s="739" t="str">
        <f t="shared" si="3"/>
        <v/>
      </c>
      <c r="AL42">
        <v>35</v>
      </c>
    </row>
    <row r="43" spans="23:38" hidden="1" x14ac:dyDescent="0.25">
      <c r="W43" s="27"/>
      <c r="AA43" s="176" t="str">
        <f>IFERROR(IF(INDEX(Data_Omakoodi!H:H,MATCH($AK$3&amp;$AL43,Data_Omakoodi!A:A,0))="P","",$AK$3&amp;$AL43),$AK$3&amp;$AL43)</f>
        <v>ComboBox_EtKuntakoodi_00000036</v>
      </c>
      <c r="AB43" s="44" t="str">
        <f>IFERROR(INDEX(Data_Omakoodi!E:E,MATCH(AA43,Data_Omakoodi!A:A,0)),"")</f>
        <v/>
      </c>
      <c r="AC43" t="str">
        <f>IFERROR(IF(INDEX(Data_Omakoodi!H:H,MATCH($AH$3&amp;$AL43,Data_Omakoodi!A:A,0))="P","",$AH$3&amp;$AL43),$AH$3&amp;$AL43)</f>
        <v>ComboBox_TyHlo_yksikko_00000036</v>
      </c>
      <c r="AD43" s="44" t="str">
        <f>IFERROR(INDEX(Data_Omakoodi!E:E,MATCH(AC43,Data_Omakoodi!A:A,0)),"")</f>
        <v/>
      </c>
      <c r="AE43" t="str">
        <f>IFERROR(IF(INDEX(Data_Omakoodi!H:H,MATCH($AH$3&amp;$AL43,Data_Omakoodi!A:A,0))="P","",$AH$3&amp;$AL43),$AH$3&amp;$AL43)</f>
        <v>ComboBox_TyHlo_yksikko_00000036</v>
      </c>
      <c r="AF43" t="s">
        <v>1626</v>
      </c>
      <c r="AG43" s="739" t="str">
        <f t="shared" si="0"/>
        <v/>
      </c>
      <c r="AH43" s="739" t="str">
        <f t="shared" si="1"/>
        <v/>
      </c>
      <c r="AJ43" s="739" t="str">
        <f t="shared" si="2"/>
        <v/>
      </c>
      <c r="AK43" s="739" t="str">
        <f t="shared" si="3"/>
        <v/>
      </c>
      <c r="AL43">
        <v>36</v>
      </c>
    </row>
    <row r="44" spans="23:38" hidden="1" x14ac:dyDescent="0.25">
      <c r="W44" s="27"/>
      <c r="AA44" s="176" t="str">
        <f>IFERROR(IF(INDEX(Data_Omakoodi!H:H,MATCH($AK$3&amp;$AL44,Data_Omakoodi!A:A,0))="P","",$AK$3&amp;$AL44),$AK$3&amp;$AL44)</f>
        <v>ComboBox_EtKuntakoodi_00000037</v>
      </c>
      <c r="AB44" s="44" t="str">
        <f>IFERROR(INDEX(Data_Omakoodi!E:E,MATCH(AA44,Data_Omakoodi!A:A,0)),"")</f>
        <v/>
      </c>
      <c r="AC44" t="str">
        <f>IFERROR(IF(INDEX(Data_Omakoodi!H:H,MATCH($AH$3&amp;$AL44,Data_Omakoodi!A:A,0))="P","",$AH$3&amp;$AL44),$AH$3&amp;$AL44)</f>
        <v>ComboBox_TyHlo_yksikko_00000037</v>
      </c>
      <c r="AD44" s="44" t="str">
        <f>IFERROR(INDEX(Data_Omakoodi!E:E,MATCH(AC44,Data_Omakoodi!A:A,0)),"")</f>
        <v/>
      </c>
      <c r="AE44" t="str">
        <f>IFERROR(IF(INDEX(Data_Omakoodi!H:H,MATCH($AH$3&amp;$AL44,Data_Omakoodi!A:A,0))="P","",$AH$3&amp;$AL44),$AH$3&amp;$AL44)</f>
        <v>ComboBox_TyHlo_yksikko_00000037</v>
      </c>
      <c r="AF44" t="s">
        <v>1627</v>
      </c>
      <c r="AG44" s="739" t="str">
        <f t="shared" si="0"/>
        <v/>
      </c>
      <c r="AH44" s="739" t="str">
        <f t="shared" si="1"/>
        <v/>
      </c>
      <c r="AJ44" s="739" t="str">
        <f t="shared" si="2"/>
        <v/>
      </c>
      <c r="AK44" s="739" t="str">
        <f t="shared" si="3"/>
        <v/>
      </c>
      <c r="AL44">
        <v>37</v>
      </c>
    </row>
    <row r="45" spans="23:38" hidden="1" x14ac:dyDescent="0.25">
      <c r="W45" s="27"/>
      <c r="AA45" s="176" t="str">
        <f>IFERROR(IF(INDEX(Data_Omakoodi!H:H,MATCH($AK$3&amp;$AL45,Data_Omakoodi!A:A,0))="P","",$AK$3&amp;$AL45),$AK$3&amp;$AL45)</f>
        <v>ComboBox_EtKuntakoodi_00000038</v>
      </c>
      <c r="AB45" s="44" t="str">
        <f>IFERROR(INDEX(Data_Omakoodi!E:E,MATCH(AA45,Data_Omakoodi!A:A,0)),"")</f>
        <v/>
      </c>
      <c r="AC45" t="str">
        <f>IFERROR(IF(INDEX(Data_Omakoodi!H:H,MATCH($AH$3&amp;$AL45,Data_Omakoodi!A:A,0))="P","",$AH$3&amp;$AL45),$AH$3&amp;$AL45)</f>
        <v>ComboBox_TyHlo_yksikko_00000038</v>
      </c>
      <c r="AD45" s="44" t="str">
        <f>IFERROR(INDEX(Data_Omakoodi!E:E,MATCH(AC45,Data_Omakoodi!A:A,0)),"")</f>
        <v/>
      </c>
      <c r="AE45" t="str">
        <f>IFERROR(IF(INDEX(Data_Omakoodi!H:H,MATCH($AH$3&amp;$AL45,Data_Omakoodi!A:A,0))="P","",$AH$3&amp;$AL45),$AH$3&amp;$AL45)</f>
        <v>ComboBox_TyHlo_yksikko_00000038</v>
      </c>
      <c r="AF45" t="s">
        <v>1628</v>
      </c>
      <c r="AG45" s="739" t="str">
        <f t="shared" si="0"/>
        <v/>
      </c>
      <c r="AH45" s="739" t="str">
        <f t="shared" si="1"/>
        <v/>
      </c>
      <c r="AJ45" s="739" t="str">
        <f t="shared" si="2"/>
        <v/>
      </c>
      <c r="AK45" s="739" t="str">
        <f t="shared" si="3"/>
        <v/>
      </c>
      <c r="AL45">
        <v>38</v>
      </c>
    </row>
    <row r="46" spans="23:38" hidden="1" x14ac:dyDescent="0.25">
      <c r="W46" s="27"/>
      <c r="AA46" s="176" t="str">
        <f>IFERROR(IF(INDEX(Data_Omakoodi!H:H,MATCH($AK$3&amp;$AL46,Data_Omakoodi!A:A,0))="P","",$AK$3&amp;$AL46),$AK$3&amp;$AL46)</f>
        <v>ComboBox_EtKuntakoodi_00000039</v>
      </c>
      <c r="AB46" s="44" t="str">
        <f>IFERROR(INDEX(Data_Omakoodi!E:E,MATCH(AA46,Data_Omakoodi!A:A,0)),"")</f>
        <v/>
      </c>
      <c r="AC46" t="str">
        <f>IFERROR(IF(INDEX(Data_Omakoodi!H:H,MATCH($AH$3&amp;$AL46,Data_Omakoodi!A:A,0))="P","",$AH$3&amp;$AL46),$AH$3&amp;$AL46)</f>
        <v>ComboBox_TyHlo_yksikko_00000039</v>
      </c>
      <c r="AD46" s="44" t="str">
        <f>IFERROR(INDEX(Data_Omakoodi!E:E,MATCH(AC46,Data_Omakoodi!A:A,0)),"")</f>
        <v/>
      </c>
      <c r="AE46" t="str">
        <f>IFERROR(IF(INDEX(Data_Omakoodi!H:H,MATCH($AH$3&amp;$AL46,Data_Omakoodi!A:A,0))="P","",$AH$3&amp;$AL46),$AH$3&amp;$AL46)</f>
        <v>ComboBox_TyHlo_yksikko_00000039</v>
      </c>
      <c r="AF46" t="s">
        <v>1629</v>
      </c>
      <c r="AG46" s="739" t="str">
        <f t="shared" si="0"/>
        <v/>
      </c>
      <c r="AH46" s="739" t="str">
        <f t="shared" si="1"/>
        <v/>
      </c>
      <c r="AJ46" s="739" t="str">
        <f t="shared" si="2"/>
        <v/>
      </c>
      <c r="AK46" s="739" t="str">
        <f t="shared" si="3"/>
        <v/>
      </c>
      <c r="AL46">
        <v>39</v>
      </c>
    </row>
    <row r="47" spans="23:38" hidden="1" x14ac:dyDescent="0.25">
      <c r="W47" s="27"/>
      <c r="AA47" s="176" t="str">
        <f>IFERROR(IF(INDEX(Data_Omakoodi!H:H,MATCH($AK$3&amp;$AL47,Data_Omakoodi!A:A,0))="P","",$AK$3&amp;$AL47),$AK$3&amp;$AL47)</f>
        <v>ComboBox_EtKuntakoodi_00000040</v>
      </c>
      <c r="AB47" s="44" t="str">
        <f>IFERROR(INDEX(Data_Omakoodi!E:E,MATCH(AA47,Data_Omakoodi!A:A,0)),"")</f>
        <v/>
      </c>
      <c r="AC47" t="str">
        <f>IFERROR(IF(INDEX(Data_Omakoodi!H:H,MATCH($AH$3&amp;$AL47,Data_Omakoodi!A:A,0))="P","",$AH$3&amp;$AL47),$AH$3&amp;$AL47)</f>
        <v>ComboBox_TyHlo_yksikko_00000040</v>
      </c>
      <c r="AD47" s="44" t="str">
        <f>IFERROR(INDEX(Data_Omakoodi!E:E,MATCH(AC47,Data_Omakoodi!A:A,0)),"")</f>
        <v/>
      </c>
      <c r="AE47" t="str">
        <f>IFERROR(IF(INDEX(Data_Omakoodi!H:H,MATCH($AH$3&amp;$AL47,Data_Omakoodi!A:A,0))="P","",$AH$3&amp;$AL47),$AH$3&amp;$AL47)</f>
        <v>ComboBox_TyHlo_yksikko_00000040</v>
      </c>
      <c r="AF47" t="s">
        <v>1630</v>
      </c>
      <c r="AG47" s="739" t="str">
        <f t="shared" si="0"/>
        <v/>
      </c>
      <c r="AH47" s="739" t="str">
        <f t="shared" si="1"/>
        <v/>
      </c>
      <c r="AJ47" s="739" t="str">
        <f t="shared" si="2"/>
        <v/>
      </c>
      <c r="AK47" s="739" t="str">
        <f t="shared" si="3"/>
        <v/>
      </c>
      <c r="AL47">
        <v>40</v>
      </c>
    </row>
    <row r="48" spans="23:38" hidden="1" x14ac:dyDescent="0.25">
      <c r="W48" s="27"/>
      <c r="AA48" s="176" t="str">
        <f>IFERROR(IF(INDEX(Data_Omakoodi!H:H,MATCH($AK$3&amp;$AL48,Data_Omakoodi!A:A,0))="P","",$AK$3&amp;$AL48),$AK$3&amp;$AL48)</f>
        <v>ComboBox_EtKuntakoodi_00000041</v>
      </c>
      <c r="AB48" s="44" t="str">
        <f>IFERROR(INDEX(Data_Omakoodi!E:E,MATCH(AA48,Data_Omakoodi!A:A,0)),"")</f>
        <v/>
      </c>
      <c r="AC48" t="str">
        <f>IFERROR(IF(INDEX(Data_Omakoodi!H:H,MATCH($AH$3&amp;$AL48,Data_Omakoodi!A:A,0))="P","",$AH$3&amp;$AL48),$AH$3&amp;$AL48)</f>
        <v>ComboBox_TyHlo_yksikko_00000041</v>
      </c>
      <c r="AD48" s="44" t="str">
        <f>IFERROR(INDEX(Data_Omakoodi!E:E,MATCH(AC48,Data_Omakoodi!A:A,0)),"")</f>
        <v/>
      </c>
      <c r="AE48" t="str">
        <f>IFERROR(IF(INDEX(Data_Omakoodi!H:H,MATCH($AH$3&amp;$AL48,Data_Omakoodi!A:A,0))="P","",$AH$3&amp;$AL48),$AH$3&amp;$AL48)</f>
        <v>ComboBox_TyHlo_yksikko_00000041</v>
      </c>
      <c r="AF48" t="s">
        <v>1631</v>
      </c>
      <c r="AG48" s="739" t="str">
        <f t="shared" si="0"/>
        <v/>
      </c>
      <c r="AH48" s="739" t="str">
        <f t="shared" si="1"/>
        <v/>
      </c>
      <c r="AJ48" s="739" t="str">
        <f t="shared" si="2"/>
        <v/>
      </c>
      <c r="AK48" s="739" t="str">
        <f t="shared" si="3"/>
        <v/>
      </c>
      <c r="AL48">
        <v>41</v>
      </c>
    </row>
    <row r="49" spans="1:45" hidden="1" x14ac:dyDescent="0.25">
      <c r="W49" s="27"/>
      <c r="AA49" s="176" t="str">
        <f>IFERROR(IF(INDEX(Data_Omakoodi!H:H,MATCH($AK$3&amp;$AL49,Data_Omakoodi!A:A,0))="P","",$AK$3&amp;$AL49),$AK$3&amp;$AL49)</f>
        <v>ComboBox_EtKuntakoodi_00000042</v>
      </c>
      <c r="AB49" s="44" t="str">
        <f>IFERROR(INDEX(Data_Omakoodi!E:E,MATCH(AA49,Data_Omakoodi!A:A,0)),"")</f>
        <v/>
      </c>
      <c r="AC49" t="str">
        <f>IFERROR(IF(INDEX(Data_Omakoodi!H:H,MATCH($AH$3&amp;$AL49,Data_Omakoodi!A:A,0))="P","",$AH$3&amp;$AL49),$AH$3&amp;$AL49)</f>
        <v>ComboBox_TyHlo_yksikko_00000042</v>
      </c>
      <c r="AD49" s="44" t="str">
        <f>IFERROR(INDEX(Data_Omakoodi!E:E,MATCH(AC49,Data_Omakoodi!A:A,0)),"")</f>
        <v/>
      </c>
      <c r="AE49" t="str">
        <f>IFERROR(IF(INDEX(Data_Omakoodi!H:H,MATCH($AH$3&amp;$AL49,Data_Omakoodi!A:A,0))="P","",$AH$3&amp;$AL49),$AH$3&amp;$AL49)</f>
        <v>ComboBox_TyHlo_yksikko_00000042</v>
      </c>
      <c r="AF49" t="s">
        <v>1632</v>
      </c>
      <c r="AG49" s="739" t="str">
        <f t="shared" si="0"/>
        <v/>
      </c>
      <c r="AH49" s="739" t="str">
        <f t="shared" si="1"/>
        <v/>
      </c>
      <c r="AJ49" s="739" t="str">
        <f t="shared" si="2"/>
        <v/>
      </c>
      <c r="AK49" s="739" t="str">
        <f t="shared" si="3"/>
        <v/>
      </c>
      <c r="AL49">
        <v>42</v>
      </c>
    </row>
    <row r="50" spans="1:45" hidden="1" x14ac:dyDescent="0.25">
      <c r="W50" s="27"/>
      <c r="AA50" s="176" t="str">
        <f>IFERROR(IF(INDEX(Data_Omakoodi!H:H,MATCH($AK$3&amp;$AL50,Data_Omakoodi!A:A,0))="P","",$AK$3&amp;$AL50),$AK$3&amp;$AL50)</f>
        <v>ComboBox_EtKuntakoodi_00000043</v>
      </c>
      <c r="AB50" s="44" t="str">
        <f>IFERROR(INDEX(Data_Omakoodi!E:E,MATCH(AA50,Data_Omakoodi!A:A,0)),"")</f>
        <v/>
      </c>
      <c r="AC50" t="str">
        <f>IFERROR(IF(INDEX(Data_Omakoodi!H:H,MATCH($AH$3&amp;$AL50,Data_Omakoodi!A:A,0))="P","",$AH$3&amp;$AL50),$AH$3&amp;$AL50)</f>
        <v>ComboBox_TyHlo_yksikko_00000043</v>
      </c>
      <c r="AD50" s="44" t="str">
        <f>IFERROR(INDEX(Data_Omakoodi!E:E,MATCH(AC50,Data_Omakoodi!A:A,0)),"")</f>
        <v/>
      </c>
      <c r="AE50" t="str">
        <f>IFERROR(IF(INDEX(Data_Omakoodi!H:H,MATCH($AH$3&amp;$AL50,Data_Omakoodi!A:A,0))="P","",$AH$3&amp;$AL50),$AH$3&amp;$AL50)</f>
        <v>ComboBox_TyHlo_yksikko_00000043</v>
      </c>
      <c r="AF50" t="s">
        <v>1633</v>
      </c>
      <c r="AG50" s="739" t="str">
        <f t="shared" si="0"/>
        <v/>
      </c>
      <c r="AH50" s="739" t="str">
        <f t="shared" si="1"/>
        <v/>
      </c>
      <c r="AJ50" s="739" t="str">
        <f t="shared" si="2"/>
        <v/>
      </c>
      <c r="AK50" s="739" t="str">
        <f t="shared" si="3"/>
        <v/>
      </c>
      <c r="AL50">
        <v>43</v>
      </c>
    </row>
    <row r="51" spans="1:45" x14ac:dyDescent="0.25">
      <c r="W51" s="27"/>
      <c r="AA51" s="176" t="str">
        <f>IFERROR(IF(INDEX(Data_Omakoodi!H:H,MATCH($AK$3&amp;$AL51,Data_Omakoodi!A:A,0))="P","",$AK$3&amp;$AL51),$AK$3&amp;$AL51)</f>
        <v>ComboBox_EtKuntakoodi_00000044</v>
      </c>
      <c r="AB51" s="44" t="str">
        <f>IFERROR(INDEX(Data_Omakoodi!E:E,MATCH(AA51,Data_Omakoodi!A:A,0)),"")</f>
        <v/>
      </c>
      <c r="AC51" t="str">
        <f>IFERROR(IF(INDEX(Data_Omakoodi!H:H,MATCH($AH$3&amp;$AL51,Data_Omakoodi!A:A,0))="P","",$AH$3&amp;$AL51),$AH$3&amp;$AL51)</f>
        <v>ComboBox_TyHlo_yksikko_00000044</v>
      </c>
      <c r="AD51" s="44" t="str">
        <f>IFERROR(INDEX(Data_Omakoodi!E:E,MATCH(AC51,Data_Omakoodi!A:A,0)),"")</f>
        <v/>
      </c>
      <c r="AE51" t="str">
        <f>IFERROR(IF(INDEX(Data_Omakoodi!H:H,MATCH($AH$3&amp;$AL51,Data_Omakoodi!A:A,0))="P","",$AH$3&amp;$AL51),$AH$3&amp;$AL51)</f>
        <v>ComboBox_TyHlo_yksikko_00000044</v>
      </c>
      <c r="AF51" t="s">
        <v>1634</v>
      </c>
      <c r="AG51" s="739" t="str">
        <f t="shared" si="0"/>
        <v/>
      </c>
      <c r="AH51" s="739" t="str">
        <f t="shared" si="1"/>
        <v/>
      </c>
      <c r="AJ51" s="739" t="str">
        <f t="shared" si="2"/>
        <v/>
      </c>
      <c r="AK51" s="739" t="str">
        <f t="shared" si="3"/>
        <v/>
      </c>
      <c r="AL51">
        <v>44</v>
      </c>
    </row>
    <row r="52" spans="1:45" x14ac:dyDescent="0.25">
      <c r="A52" s="52" t="str">
        <f>Y12&amp;T58&amp;X10&amp;X12</f>
        <v xml:space="preserve">KAIKKI: Mihin erilaisiin palveluihin / toimenpiteisiin / toimintoihin tavoitettuja nuoria on ohjattu prosessin aikana? - 01.01.2025-30.04.2025 (Yksi esiintymä) </v>
      </c>
      <c r="B52" s="51"/>
      <c r="C52" s="51"/>
      <c r="D52" s="99"/>
      <c r="E52" s="51"/>
      <c r="F52" s="51"/>
      <c r="N52" s="100"/>
      <c r="W52" s="27"/>
      <c r="AA52" s="176" t="str">
        <f>IFERROR(IF(INDEX(Data_Omakoodi!H:H,MATCH($AK$3&amp;$AL52,Data_Omakoodi!A:A,0))="P","",$AK$3&amp;$AL52),$AK$3&amp;$AL52)</f>
        <v>ComboBox_EtKuntakoodi_00000045</v>
      </c>
      <c r="AB52" s="44" t="str">
        <f>IFERROR(INDEX(Data_Omakoodi!E:E,MATCH(AA52,Data_Omakoodi!A:A,0)),"")</f>
        <v/>
      </c>
      <c r="AC52" t="str">
        <f>IFERROR(IF(INDEX(Data_Omakoodi!H:H,MATCH($AH$3&amp;$AL52,Data_Omakoodi!A:A,0))="P","",$AH$3&amp;$AL52),$AH$3&amp;$AL52)</f>
        <v>ComboBox_TyHlo_yksikko_00000045</v>
      </c>
      <c r="AD52" s="44" t="str">
        <f>IFERROR(INDEX(Data_Omakoodi!E:E,MATCH(AC52,Data_Omakoodi!A:A,0)),"")</f>
        <v/>
      </c>
      <c r="AE52" t="str">
        <f>IFERROR(IF(INDEX(Data_Omakoodi!H:H,MATCH($AH$3&amp;$AL52,Data_Omakoodi!A:A,0))="P","",$AH$3&amp;$AL52),$AH$3&amp;$AL52)</f>
        <v>ComboBox_TyHlo_yksikko_00000045</v>
      </c>
      <c r="AF52" t="s">
        <v>1635</v>
      </c>
      <c r="AG52" s="739" t="str">
        <f t="shared" si="0"/>
        <v/>
      </c>
      <c r="AH52" s="739" t="str">
        <f t="shared" si="1"/>
        <v/>
      </c>
      <c r="AJ52" s="739" t="str">
        <f t="shared" si="2"/>
        <v/>
      </c>
      <c r="AK52" s="739" t="str">
        <f t="shared" si="3"/>
        <v/>
      </c>
      <c r="AL52">
        <v>45</v>
      </c>
    </row>
    <row r="53" spans="1:45" ht="36" customHeight="1" x14ac:dyDescent="0.25">
      <c r="A53" s="914" t="s">
        <v>942</v>
      </c>
      <c r="B53" s="437"/>
      <c r="C53" s="905" t="s">
        <v>114</v>
      </c>
      <c r="D53" s="906"/>
      <c r="E53" s="439" t="s">
        <v>132</v>
      </c>
      <c r="F53" s="440" t="s">
        <v>133</v>
      </c>
      <c r="G53" s="441" t="s">
        <v>134</v>
      </c>
      <c r="H53" s="895" t="str">
        <f>"Kuva: "&amp;A52&amp;" - (N:"&amp;C54&amp;")"</f>
        <v>Kuva: KAIKKI: Mihin erilaisiin palveluihin / toimenpiteisiin / toimintoihin tavoitettuja nuoria on ohjattu prosessin aikana? - 01.01.2025-30.04.2025 (Yksi esiintymä)  - (N:0)</v>
      </c>
      <c r="I53" s="896"/>
      <c r="J53" s="889" t="s">
        <v>595</v>
      </c>
      <c r="K53" s="889" t="s">
        <v>620</v>
      </c>
      <c r="L53" s="889" t="s">
        <v>596</v>
      </c>
      <c r="M53" s="889" t="s">
        <v>99</v>
      </c>
      <c r="N53" s="889" t="s">
        <v>100</v>
      </c>
      <c r="O53" s="892" t="s">
        <v>607</v>
      </c>
      <c r="AA53" s="176" t="str">
        <f>IFERROR(IF(INDEX(Data_Omakoodi!H:H,MATCH($AK$3&amp;$AL53,Data_Omakoodi!A:A,0))="P","",$AK$3&amp;$AL53),$AK$3&amp;$AL53)</f>
        <v>ComboBox_EtKuntakoodi_00000046</v>
      </c>
      <c r="AB53" s="44" t="str">
        <f>IFERROR(INDEX(Data_Omakoodi!E:E,MATCH(AA53,Data_Omakoodi!A:A,0)),"")</f>
        <v/>
      </c>
      <c r="AC53" t="str">
        <f>IFERROR(IF(INDEX(Data_Omakoodi!H:H,MATCH($AH$3&amp;$AL53,Data_Omakoodi!A:A,0))="P","",$AH$3&amp;$AL53),$AH$3&amp;$AL53)</f>
        <v>ComboBox_TyHlo_yksikko_00000046</v>
      </c>
      <c r="AD53" s="44" t="str">
        <f>IFERROR(INDEX(Data_Omakoodi!E:E,MATCH(AC53,Data_Omakoodi!A:A,0)),"")</f>
        <v/>
      </c>
      <c r="AE53" t="str">
        <f>IFERROR(IF(INDEX(Data_Omakoodi!H:H,MATCH($AH$3&amp;$AL53,Data_Omakoodi!A:A,0))="P","",$AH$3&amp;$AL53),$AH$3&amp;$AL53)</f>
        <v>ComboBox_TyHlo_yksikko_00000046</v>
      </c>
      <c r="AF53" t="s">
        <v>1636</v>
      </c>
      <c r="AG53" s="739" t="str">
        <f t="shared" si="0"/>
        <v/>
      </c>
      <c r="AH53" s="739" t="str">
        <f t="shared" si="1"/>
        <v/>
      </c>
      <c r="AJ53" s="739" t="str">
        <f t="shared" si="2"/>
        <v/>
      </c>
      <c r="AK53" s="739" t="str">
        <f t="shared" si="3"/>
        <v/>
      </c>
      <c r="AL53">
        <v>46</v>
      </c>
    </row>
    <row r="54" spans="1:45" x14ac:dyDescent="0.25">
      <c r="A54" s="915"/>
      <c r="B54" s="110" t="s">
        <v>934</v>
      </c>
      <c r="C54" s="910">
        <f>SUMIFS(AS!$W:$W,AS!$BO:$BO,$W$7,AS!$AB:$AB,AS!$AA$1,AS!$AV:$AV,Toimenpiteet!$W6,AS!$AH:$AH,$X$8,AS!$AW:$AW,Toimenpiteet!$Y$6,AS!$X:$X,Toimenpiteet!$Y$5,AS!$K:$K,Toimenpiteet!$V$2)</f>
        <v>0</v>
      </c>
      <c r="D54" s="911"/>
      <c r="E54" s="438">
        <f>SUMIFS(AS!$W:$W,AS!$BO:$BO,$W$7,AS!$AB:$AB,AS!$AA$1,AS!$AV:$AV,Toimenpiteet!$W6,AS!$I:$I,Toimenpiteet!$X$7,AS!AH:AH,$X$8,AS!$AW:$AW,$Y$6,AS!$X:$X,Toimenpiteet!$Y$5,AS!$K:$K,Toimenpiteet!$V$2)</f>
        <v>0</v>
      </c>
      <c r="F54" s="431">
        <f>SUMIFS(AS!$W:$W,AS!$BO:$BO,$W$7,AS!$AB:$AB,AS!$AA$1,AS!$AV:$AV,Toimenpiteet!$W6,AS!$I:$I,Toimenpiteet!$Y$7,AS!AH:AH,$X$8,AS!$AW:$AW,$Y$6,AS!$X:$X,Toimenpiteet!$Y$5,AS!$K:$K,Toimenpiteet!$V$2)</f>
        <v>0</v>
      </c>
      <c r="G54" s="432">
        <f>SUMIFS(AS!$W:$W,AS!$BO:$BO,$W$7,AS!$AB:$AB,AS!$AA$1,AS!$AV:$AV,Toimenpiteet!$W6,AS!AH:AH,$Y$8,AS!$AW:$AW,$Y$6,AS!$X:$X,Toimenpiteet!$Y$5,AS!$K:$K,Toimenpiteet!$V$2)</f>
        <v>0</v>
      </c>
      <c r="H54" s="897"/>
      <c r="I54" s="898"/>
      <c r="J54" s="890"/>
      <c r="K54" s="890"/>
      <c r="L54" s="890"/>
      <c r="M54" s="890"/>
      <c r="N54" s="890"/>
      <c r="O54" s="893"/>
      <c r="AA54" s="176" t="str">
        <f>IFERROR(IF(INDEX(Data_Omakoodi!H:H,MATCH($AK$3&amp;$AL54,Data_Omakoodi!A:A,0))="P","",$AK$3&amp;$AL54),$AK$3&amp;$AL54)</f>
        <v>ComboBox_EtKuntakoodi_00000047</v>
      </c>
      <c r="AB54" s="44" t="str">
        <f>IFERROR(INDEX(Data_Omakoodi!E:E,MATCH(AA54,Data_Omakoodi!A:A,0)),"")</f>
        <v/>
      </c>
      <c r="AC54" t="str">
        <f>IFERROR(IF(INDEX(Data_Omakoodi!H:H,MATCH($AH$3&amp;$AL54,Data_Omakoodi!A:A,0))="P","",$AH$3&amp;$AL54),$AH$3&amp;$AL54)</f>
        <v>ComboBox_TyHlo_yksikko_00000047</v>
      </c>
      <c r="AD54" s="44" t="str">
        <f>IFERROR(INDEX(Data_Omakoodi!E:E,MATCH(AC54,Data_Omakoodi!A:A,0)),"")</f>
        <v/>
      </c>
      <c r="AE54" t="str">
        <f>IFERROR(IF(INDEX(Data_Omakoodi!H:H,MATCH($AH$3&amp;$AL54,Data_Omakoodi!A:A,0))="P","",$AH$3&amp;$AL54),$AH$3&amp;$AL54)</f>
        <v>ComboBox_TyHlo_yksikko_00000047</v>
      </c>
      <c r="AF54" t="s">
        <v>1637</v>
      </c>
      <c r="AG54" s="739" t="str">
        <f t="shared" si="0"/>
        <v/>
      </c>
      <c r="AH54" s="739" t="str">
        <f t="shared" si="1"/>
        <v/>
      </c>
      <c r="AJ54" s="739" t="str">
        <f t="shared" si="2"/>
        <v/>
      </c>
      <c r="AK54" s="739" t="str">
        <f t="shared" si="3"/>
        <v/>
      </c>
      <c r="AL54">
        <v>47</v>
      </c>
    </row>
    <row r="55" spans="1:45" x14ac:dyDescent="0.25">
      <c r="A55" s="915"/>
      <c r="B55" s="110" t="s">
        <v>935</v>
      </c>
      <c r="C55" s="912">
        <f>C54-C56</f>
        <v>0</v>
      </c>
      <c r="D55" s="913"/>
      <c r="E55" s="430">
        <f>E54-E56</f>
        <v>0</v>
      </c>
      <c r="F55" s="430">
        <f>F54-F56</f>
        <v>0</v>
      </c>
      <c r="G55" s="430">
        <f>G54-G56</f>
        <v>0</v>
      </c>
      <c r="H55" s="897"/>
      <c r="I55" s="898"/>
      <c r="J55" s="890"/>
      <c r="K55" s="890"/>
      <c r="L55" s="890"/>
      <c r="M55" s="890"/>
      <c r="N55" s="890"/>
      <c r="O55" s="893"/>
      <c r="AA55" s="176" t="str">
        <f>IFERROR(IF(INDEX(Data_Omakoodi!H:H,MATCH($AK$3&amp;$AL55,Data_Omakoodi!A:A,0))="P","",$AK$3&amp;$AL55),$AK$3&amp;$AL55)</f>
        <v>ComboBox_EtKuntakoodi_00000048</v>
      </c>
      <c r="AB55" s="44" t="str">
        <f>IFERROR(INDEX(Data_Omakoodi!E:E,MATCH(AA55,Data_Omakoodi!A:A,0)),"")</f>
        <v/>
      </c>
      <c r="AC55" t="str">
        <f>IFERROR(IF(INDEX(Data_Omakoodi!H:H,MATCH($AH$3&amp;$AL55,Data_Omakoodi!A:A,0))="P","",$AH$3&amp;$AL55),$AH$3&amp;$AL55)</f>
        <v>ComboBox_TyHlo_yksikko_00000048</v>
      </c>
      <c r="AD55" s="44" t="str">
        <f>IFERROR(INDEX(Data_Omakoodi!E:E,MATCH(AC55,Data_Omakoodi!A:A,0)),"")</f>
        <v/>
      </c>
      <c r="AE55" t="str">
        <f>IFERROR(IF(INDEX(Data_Omakoodi!H:H,MATCH($AH$3&amp;$AL55,Data_Omakoodi!A:A,0))="P","",$AH$3&amp;$AL55),$AH$3&amp;$AL55)</f>
        <v>ComboBox_TyHlo_yksikko_00000048</v>
      </c>
      <c r="AF55" t="s">
        <v>1638</v>
      </c>
      <c r="AG55" s="739" t="str">
        <f t="shared" si="0"/>
        <v/>
      </c>
      <c r="AH55" s="739" t="str">
        <f t="shared" si="1"/>
        <v/>
      </c>
      <c r="AJ55" s="739" t="str">
        <f t="shared" si="2"/>
        <v/>
      </c>
      <c r="AK55" s="739" t="str">
        <f t="shared" si="3"/>
        <v/>
      </c>
      <c r="AL55">
        <v>48</v>
      </c>
    </row>
    <row r="56" spans="1:45" x14ac:dyDescent="0.25">
      <c r="A56" s="915"/>
      <c r="B56" s="110" t="s">
        <v>937</v>
      </c>
      <c r="C56" s="912">
        <f>SUMIFS(AS!$W:$W,AS!$BO:$BO,$W$7,AS!$AB:$AB,AS!$AA$1,AS!$AV:$AV,Toimenpiteet!$W6,AS!$AH:$AH,$X$8,AS!$AW:$AW,Toimenpiteet!$Y$6,AS!$X:$X,Toimenpiteet!$Y$5,AS!$K:$K,Toimenpiteet!$V$2,AS!$BE:$BE,"1")</f>
        <v>0</v>
      </c>
      <c r="D56" s="913"/>
      <c r="E56" s="431">
        <f>SUMIFS(AS!$W:$W,AS!$BO:$BO,$W$7,AS!$AB:$AB,AS!$AA$1,AS!$AV:$AV,Toimenpiteet!$W6,AS!$AH:$AH,$X$8,AS!$AW:$AW,Toimenpiteet!$Y$6,AS!$X:$X,Toimenpiteet!$Y$5,AS!$K:$K,Toimenpiteet!$V$2,AS!$BE:$BE,1,AS!$I:$I,Toimenpiteet!$X$7)</f>
        <v>0</v>
      </c>
      <c r="F56" s="431">
        <f>SUMIFS(AS!$W:$W,AS!$BO:$BO,$W$7,AS!$AB:$AB,AS!$AA$1,AS!$AV:$AV,Toimenpiteet!$W6,AS!$AH:$AH,$X$8,AS!$AW:$AW,Toimenpiteet!$Y$6,AS!$X:$X,Toimenpiteet!$Y$5,AS!$K:$K,Toimenpiteet!$V$2,AS!$BE:$BE,1,AS!$I:$I,Toimenpiteet!$Y$7)</f>
        <v>0</v>
      </c>
      <c r="G56" s="432">
        <f>SUMIFS(AS!$W:$W,AS!$BO:$BO,$W$7,AS!$AB:$AB,AS!$AA$1,AS!$AV:$AV,Toimenpiteet!$W6,AS!$AH:$AH,"vanha",AS!$AW:$AW,Toimenpiteet!$Y$6,AS!$X:$X,Toimenpiteet!$Y$5,AS!$K:$K,Toimenpiteet!$V$2,AS!$BE:$BE,1)</f>
        <v>0</v>
      </c>
      <c r="H56" s="897"/>
      <c r="I56" s="898"/>
      <c r="J56" s="890"/>
      <c r="K56" s="890"/>
      <c r="L56" s="890"/>
      <c r="M56" s="890"/>
      <c r="N56" s="890"/>
      <c r="O56" s="893"/>
    </row>
    <row r="57" spans="1:45" x14ac:dyDescent="0.25">
      <c r="A57" s="436"/>
      <c r="B57" s="434"/>
      <c r="C57" s="231"/>
      <c r="D57" s="231"/>
      <c r="E57" s="231"/>
      <c r="F57" s="231"/>
      <c r="G57" s="435"/>
      <c r="H57" s="428"/>
      <c r="I57" s="429"/>
      <c r="J57" s="890"/>
      <c r="K57" s="890"/>
      <c r="L57" s="890"/>
      <c r="M57" s="890"/>
      <c r="N57" s="890"/>
      <c r="O57" s="893"/>
      <c r="AO57" t="s">
        <v>964</v>
      </c>
    </row>
    <row r="58" spans="1:45" ht="15" customHeight="1" x14ac:dyDescent="0.25">
      <c r="A58" s="101" t="s">
        <v>588</v>
      </c>
      <c r="B58" s="102"/>
      <c r="C58" s="907" t="s">
        <v>936</v>
      </c>
      <c r="D58" s="908"/>
      <c r="E58" s="908"/>
      <c r="F58" s="908"/>
      <c r="G58" s="909"/>
      <c r="H58" s="428"/>
      <c r="I58" s="429"/>
      <c r="J58" s="891"/>
      <c r="K58" s="891"/>
      <c r="L58" s="891"/>
      <c r="M58" s="891"/>
      <c r="N58" s="891"/>
      <c r="O58" s="894"/>
      <c r="T58" s="650" t="s">
        <v>619</v>
      </c>
    </row>
    <row r="59" spans="1:45" ht="15" customHeight="1" x14ac:dyDescent="0.25">
      <c r="A59" s="103"/>
      <c r="B59" s="104" t="str">
        <f>A60</f>
        <v>Etsivän nuorisotyön asiakkuuteen liittyvät toimenpiteet</v>
      </c>
      <c r="C59" s="443">
        <f>SUM(C60:C72)</f>
        <v>0</v>
      </c>
      <c r="D59" s="443"/>
      <c r="E59" s="443"/>
      <c r="F59" s="443"/>
      <c r="G59" s="442"/>
      <c r="H59" s="107"/>
      <c r="I59" s="108"/>
      <c r="J59" s="107">
        <f t="shared" ref="J59:O59" si="4">SUM(J60:J72)</f>
        <v>0</v>
      </c>
      <c r="K59" s="105">
        <f t="shared" si="4"/>
        <v>0</v>
      </c>
      <c r="L59" s="105">
        <f t="shared" si="4"/>
        <v>0</v>
      </c>
      <c r="M59" s="105">
        <f t="shared" si="4"/>
        <v>0</v>
      </c>
      <c r="N59" s="105">
        <f t="shared" si="4"/>
        <v>0</v>
      </c>
      <c r="O59" s="108">
        <f t="shared" si="4"/>
        <v>0</v>
      </c>
      <c r="T59" s="651"/>
      <c r="V59" s="439" t="s">
        <v>625</v>
      </c>
      <c r="W59" s="439" t="s">
        <v>132</v>
      </c>
      <c r="X59" s="440" t="s">
        <v>133</v>
      </c>
      <c r="Y59" s="441" t="s">
        <v>134</v>
      </c>
      <c r="AL59" s="639"/>
      <c r="AM59" s="644" t="s">
        <v>1396</v>
      </c>
      <c r="AN59" s="644" t="s">
        <v>1396</v>
      </c>
    </row>
    <row r="60" spans="1:45" ht="15" customHeight="1" x14ac:dyDescent="0.25">
      <c r="A60" s="920" t="s">
        <v>588</v>
      </c>
      <c r="B60" s="672" t="s">
        <v>1437</v>
      </c>
      <c r="C60" s="670">
        <f>SUMIFS(TP!$P:$P,TP!$AI:$AI,$W$7,TP!$R:$R,$X$9,TP!$U:$U,Toimenpiteet!$T60,TP!$W:$W,Toimenpiteet!$X$8,TP!$X:$X,Toimenpiteet!$X$6,TP!$AD:$AD,$X$9,TP!$AF:$AF,Toimenpiteet!$Y$6,TP!$Q:$Q,Toimenpiteet!$Y$4,TP!$AG:$AG,Toimenpiteet!$Y$5,TP!$L:$L,Toimenpiteet!$V$2,TP!AL:AL,$AC$4)+V60+AD60</f>
        <v>0</v>
      </c>
      <c r="D60" s="112">
        <f>IFERROR(C60/$C$54,0)</f>
        <v>0</v>
      </c>
      <c r="E60" s="111">
        <f>SUMIFS(TP!$P:$P,TP!$AI:$AI,$W$7,TP!$R:$R,$X$9,TP!$U:$U,Toimenpiteet!$T60,TP!$W:$W,Toimenpiteet!$X$8,TP!$X:$X,Toimenpiteet!$X$6,TP!$V:$V,Toimenpiteet!$X$7,TP!$AD:$AD,$X$9,TP!$AF:$AF,Toimenpiteet!$Y$6,TP!$Q:$Q,Toimenpiteet!$Y$4,TP!$AG:$AG,Toimenpiteet!$Y$5,TP!$L:$L,Toimenpiteet!$V$2,TP!AL:AL,$AC$4)+W60+AE60</f>
        <v>0</v>
      </c>
      <c r="F60" s="111">
        <f>SUMIFS(TP!$P:$P,TP!$AI:$AI,$W$7,TP!$R:$R,$X$9,TP!$U:$U,Toimenpiteet!$T60,TP!$W:$W,Toimenpiteet!$X$8,TP!$X:$X,Toimenpiteet!$X$6,TP!$V:$V,Toimenpiteet!$Y$7,TP!$AD:$AD,$X$9,TP!$AF:$AF,Toimenpiteet!$Y$6,TP!$Q:$Q,Toimenpiteet!$Y$4,TP!$AG:$AG,Toimenpiteet!$Y$5,TP!$L:$L,Toimenpiteet!$V$2,TP!AL:AL,$AC$4)+X60+AF60</f>
        <v>0</v>
      </c>
      <c r="G60" s="111">
        <f>SUMIFS(TP!$P:$P,TP!$AI:$AI,$W$7,TP!$R:$R,$X$9,TP!$U:$U,Toimenpiteet!$T60,TP!$W:$W,Toimenpiteet!$Y$8,TP!$X:$X,Toimenpiteet!$X$6,TP!$AD:$AD,$X$9,TP!$AF:$AF,Toimenpiteet!$Y$6,TP!$Q:$Q,Toimenpiteet!$Y$4,TP!$AG:$AG,Toimenpiteet!$Y$5,TP!$L:$L,Toimenpiteet!$V$2,TP!AL:AL,$AC$4)+Y60+AG60</f>
        <v>0</v>
      </c>
      <c r="H60" s="113"/>
      <c r="I60" s="114"/>
      <c r="J60" s="115">
        <f>SUMIFS(TP!$P:$P,TP!$AI:$AI,$W$7,TP!$R:$R,$X$9,TP!$U:$U,Toimenpiteet!$T60,TP!$W:$W,Toimenpiteet!$X$8,TP!$X:$X,Toimenpiteet!$X$6,TP!$Z:$Z,1,TP!$AD:$AD,$X$9,TP!$AF:$AF,Toimenpiteet!$Y$6,TP!$Q:$Q,Toimenpiteet!$Y$4,TP!$AG:$AG,Toimenpiteet!$Y$5,TP!$L:$L,Toimenpiteet!$V$2,TP!AL:AL,$AC$4)</f>
        <v>0</v>
      </c>
      <c r="K60" s="111">
        <f>SUMIFS(TP!$P:$P,TP!$AI:$AI,$W$7,TP!$R:$R,$X$9,TP!$U:$U,Toimenpiteet!$T60,TP!$W:$W,Toimenpiteet!$X$8,TP!$X:$X,Toimenpiteet!$X$6,TP!$O:$O,Toimenpiteet!$Z$3,TP!$AD:$AD,$X$9,TP!$AF:$AF,Toimenpiteet!$Y$6,TP!$Q:$Q,Toimenpiteet!$Y$4,TP!$AG:$AG,Toimenpiteet!$Y$5,TP!$L:$L,Toimenpiteet!$V$2,TP!AL:AL,$AC$4)</f>
        <v>0</v>
      </c>
      <c r="L60" s="111">
        <f>SUMIFS(TP!$P:$P,TP!$AI:$AI,$W$7,TP!$R:$R,$X$9,TP!$U:$U,Toimenpiteet!$T60,TP!$W:$W,Toimenpiteet!$X$8,TP!$X:$X,Toimenpiteet!$X$6,TP!$K:$K,Toimenpiteet!$Z$6,TP!$AD:$AD,$X$9,TP!$AF:$AF,Toimenpiteet!$Y$6,TP!$Q:$Q,Toimenpiteet!$Y$4,TP!$AG:$AG,Toimenpiteet!$Y$5,TP!$L:$L,Toimenpiteet!$V$2,TP!AL:AL,$AC$4)</f>
        <v>0</v>
      </c>
      <c r="M60" s="111">
        <f>SUMIFS(TP!$P:$P,TP!$AI:$AI,$W$7,TP!$R:$R,$X$9,TP!$U:$U,Toimenpiteet!$T60,TP!$W:$W,Toimenpiteet!$X$8,TP!$X:$X,Toimenpiteet!$X$6,TP!$K:$K,Toimenpiteet!$Z$7,TP!$AD:$AD,$X$9,TP!$AF:$AF,Toimenpiteet!$Y$6,TP!$Q:$Q,Toimenpiteet!$Y$4,TP!$AG:$AG,Toimenpiteet!$Y$5,TP!$L:$L,Toimenpiteet!$V$2,TP!AL:AL,$AC$4)</f>
        <v>0</v>
      </c>
      <c r="N60" s="111">
        <f>SUMIFS(TP!$P:$P,TP!$AI:$AI,$W$7,TP!$R:$R,$X$9,TP!$U:$U,Toimenpiteet!$T60,TP!$W:$W,Toimenpiteet!$X$8,TP!$X:$X,Toimenpiteet!$X$6,TP!$K:$K,Toimenpiteet!$Z$8,TP!$AD:$AD,$X$9,TP!$AF:$AF,Toimenpiteet!$Y$6,TP!$Q:$Q,Toimenpiteet!$Y$4,TP!$AG:$AG,Toimenpiteet!$Y$5,TP!$L:$L,Toimenpiteet!$V$2,TP!AL:AL,$AC$4)</f>
        <v>0</v>
      </c>
      <c r="O60" s="116">
        <f>SUMIFS(TP!$P:$P,TP!$AI:$AI,$W$7,TP!$R:$R,$X$9,TP!$U:$U,Toimenpiteet!$T60,TP!$W:$W,Toimenpiteet!$X$8,TP!$X:$X,Toimenpiteet!$X$6,TP!$K:$K,Toimenpiteet!$Z$5,TP!$AD:$AD,$X$9,TP!$AF:$AF,Toimenpiteet!$Y$6,TP!$Q:$Q,Toimenpiteet!$Y$4,TP!$AG:$AG,Toimenpiteet!$Y$5,TP!$L:$L,Toimenpiteet!$V$2,TP!AL:AL,$AC$4)</f>
        <v>0</v>
      </c>
      <c r="T60" s="558" t="s">
        <v>1236</v>
      </c>
      <c r="U60" s="652" t="s">
        <v>295</v>
      </c>
      <c r="V60" s="111">
        <f>SUMIFS(TP!$P:$P,TP!$AI:$AI,$W$7,TP!$R:$R,$X$9,TP!$U:$U,Toimenpiteet!$U60,TP!$W:$W,Toimenpiteet!$X$8,TP!$X:$X,Toimenpiteet!$X$6,TP!$AD:$AD,$X$9,TP!$AF:$AF,Toimenpiteet!$Y$6,TP!$Q:$Q,Toimenpiteet!$Y$4,TP!$AG:$AG,Toimenpiteet!$Y$5,TP!$L:$L,Toimenpiteet!$V$2,TP!AL:AL,$AC$4)</f>
        <v>0</v>
      </c>
      <c r="W60" s="111">
        <f>SUMIFS(TP!$P:$P,TP!$AI:$AI,$W$7,TP!$R:$R,$X$9,TP!$U:$U,Toimenpiteet!$U60,TP!$W:$W,Toimenpiteet!$X$8,TP!$X:$X,Toimenpiteet!$X$6,TP!$V:$V,Toimenpiteet!$X$7,TP!$AD:$AD,$X$9,TP!$AF:$AF,Toimenpiteet!$Y$6,TP!$Q:$Q,Toimenpiteet!$Y$4,TP!$AG:$AG,Toimenpiteet!$Y$5,TP!$L:$L,Toimenpiteet!$V$2,TP!AL:AL,$AC$4)</f>
        <v>0</v>
      </c>
      <c r="X60" s="111">
        <f>SUMIFS(TP!$P:$P,TP!$AI:$AI,$W$7,TP!$R:$R,$X$9,TP!$U:$U,Toimenpiteet!$U60,TP!$W:$W,Toimenpiteet!$X$8,TP!$X:$X,Toimenpiteet!$X$6,TP!$V:$V,Toimenpiteet!$Y$7,TP!$AD:$AD,$X$9,TP!$AF:$AF,Toimenpiteet!$Y$6,TP!$Q:$Q,Toimenpiteet!$Y$4,TP!$AG:$AG,Toimenpiteet!$Y$5,TP!$L:$L,Toimenpiteet!$V$2,TP!AL:AL,$AC$4)</f>
        <v>0</v>
      </c>
      <c r="Y60" s="111">
        <f>SUMIFS(TP!$P:$P,TP!$AI:$AI,$W$7,TP!$R:$R,$X$9,TP!$U:$U,Toimenpiteet!$U60,TP!$W:$W,Toimenpiteet!$Y$8,TP!$X:$X,Toimenpiteet!$X$6,TP!$AD:$AD,$X$9,TP!$AF:$AF,Toimenpiteet!$Y$6,TP!$Q:$Q,Toimenpiteet!$Y$4,TP!$AG:$AG,Toimenpiteet!$Y$5,TP!$L:$L,Toimenpiteet!$V$2,TP!AL:AL,$AC$4)</f>
        <v>0</v>
      </c>
      <c r="AD60" s="111">
        <f>SUMIFS(TP!$P:$P,TP!$AI:$AI,$W$7,TP!$R:$R,$X$9,TP!$U:$U,Toimenpiteet!$AC60,TP!$W:$W,Toimenpiteet!$X$8,TP!$X:$X,Toimenpiteet!$X$6,TP!$AD:$AD,$X$9,TP!$AF:$AF,Toimenpiteet!$Y$6,TP!$Q:$Q,Toimenpiteet!$Y$4,TP!$AG:$AG,Toimenpiteet!$Y$5,TP!$L:$L,Toimenpiteet!$V$2,TP!AL:AL,$AC$4)</f>
        <v>0</v>
      </c>
      <c r="AE60" s="111">
        <f>SUMIFS(TP!$P:$P,TP!$AI:$AI,$W$7,TP!$R:$R,$X$9,TP!$U:$U,Toimenpiteet!$AC60,TP!$W:$W,Toimenpiteet!$X$8,TP!$X:$X,Toimenpiteet!$X$6,TP!$V:$V,Toimenpiteet!$X$7,TP!$AD:$AD,$X$9,TP!$AF:$AF,Toimenpiteet!$Y$6,TP!$Q:$Q,Toimenpiteet!$Y$4,TP!$AG:$AG,Toimenpiteet!$Y$5,TP!$L:$L,Toimenpiteet!$V$2,TP!AL:AL,$AC$4)</f>
        <v>0</v>
      </c>
      <c r="AF60" s="111">
        <f>SUMIFS(TP!$P:$P,TP!$AI:$AI,$W$7,TP!$R:$R,$X$9,TP!$U:$U,Toimenpiteet!$AC60,TP!$W:$W,Toimenpiteet!$X$8,TP!$X:$X,Toimenpiteet!$X$6,TP!$V:$V,Toimenpiteet!$Y$7,TP!$AD:$AD,$X$9,TP!$AF:$AF,Toimenpiteet!$Y$6,TP!$Q:$Q,Toimenpiteet!$Y$4,TP!$AG:$AG,Toimenpiteet!$Y$5,TP!$L:$L,Toimenpiteet!$V$2,TP!AL:AL,$AC$4)</f>
        <v>0</v>
      </c>
      <c r="AG60" s="111">
        <f>SUMIFS(TP!$P:$P,TP!$AI:$AI,$W$7,TP!$R:$R,$X$9,TP!$U:$U,Toimenpiteet!$AC60,TP!$W:$W,Toimenpiteet!$Y$8,TP!$X:$X,Toimenpiteet!$X$6,TP!$AD:$AD,$X$9,TP!$AF:$AF,Toimenpiteet!$Y$6,TP!$Q:$Q,Toimenpiteet!$Y$4,TP!$AG:$AG,Toimenpiteet!$Y$5,TP!$L:$L,Toimenpiteet!$V$2,TP!AL:AL,$AC$4)</f>
        <v>0</v>
      </c>
      <c r="AL60" s="643" t="s">
        <v>1397</v>
      </c>
      <c r="AM60" s="645" t="s">
        <v>1398</v>
      </c>
      <c r="AN60" s="645" t="s">
        <v>34</v>
      </c>
      <c r="AO60" t="s">
        <v>1236</v>
      </c>
    </row>
    <row r="61" spans="1:45" ht="15" customHeight="1" x14ac:dyDescent="0.25">
      <c r="A61" s="921"/>
      <c r="B61" s="672" t="s">
        <v>1141</v>
      </c>
      <c r="C61" s="670">
        <f>SUMIFS(TP!$P:$P,TP!$AI:$AI,$W$7,TP!$R:$R,$X$9,TP!$U:$U,Toimenpiteet!$T61,TP!$W:$W,Toimenpiteet!$X$8,TP!$X:$X,Toimenpiteet!$X$6,TP!$AD:$AD,$X$9,TP!$AF:$AF,Toimenpiteet!$Y$6,TP!$Q:$Q,Toimenpiteet!$Y$4,TP!$AG:$AG,Toimenpiteet!$Y$5,TP!$L:$L,Toimenpiteet!$V$2,TP!AL:AL,$AC$4)+V61+AD61</f>
        <v>0</v>
      </c>
      <c r="D61" s="112">
        <f t="shared" ref="D61:D72" si="5">IFERROR(C61/$C$54,0)</f>
        <v>0</v>
      </c>
      <c r="E61" s="111">
        <f>SUMIFS(TP!$P:$P,TP!$AI:$AI,$W$7,TP!$R:$R,$X$9,TP!$U:$U,Toimenpiteet!$T61,TP!$W:$W,Toimenpiteet!$X$8,TP!$X:$X,Toimenpiteet!$X$6,TP!$V:$V,Toimenpiteet!$X$7,TP!$AD:$AD,$X$9,TP!$AF:$AF,Toimenpiteet!$Y$6,TP!$Q:$Q,Toimenpiteet!$Y$4,TP!$AG:$AG,Toimenpiteet!$Y$5,TP!$L:$L,Toimenpiteet!$V$2,TP!AL:AL,$AC$4)+W61+AE61</f>
        <v>0</v>
      </c>
      <c r="F61" s="111">
        <f>SUMIFS(TP!$P:$P,TP!$AI:$AI,$W$7,TP!$R:$R,$X$9,TP!$U:$U,Toimenpiteet!$T61,TP!$W:$W,Toimenpiteet!$X$8,TP!$X:$X,Toimenpiteet!$X$6,TP!$V:$V,Toimenpiteet!$Y$7,TP!$AD:$AD,$X$9,TP!$AF:$AF,Toimenpiteet!$Y$6,TP!$Q:$Q,Toimenpiteet!$Y$4,TP!$AG:$AG,Toimenpiteet!$Y$5,TP!$L:$L,Toimenpiteet!$V$2,TP!AL:AL,$AC$4)+X61+AF61</f>
        <v>0</v>
      </c>
      <c r="G61" s="111">
        <f>SUMIFS(TP!$P:$P,TP!$AI:$AI,$W$7,TP!$R:$R,$X$9,TP!$U:$U,Toimenpiteet!$T61,TP!$W:$W,Toimenpiteet!$Y$8,TP!$X:$X,Toimenpiteet!$X$6,TP!$AD:$AD,$X$9,TP!$AF:$AF,Toimenpiteet!$Y$6,TP!$Q:$Q,Toimenpiteet!$Y$4,TP!$AG:$AG,Toimenpiteet!$Y$5,TP!$L:$L,Toimenpiteet!$V$2,TP!AL:AL,$AC$4)+Y61+AG61</f>
        <v>0</v>
      </c>
      <c r="H61" s="113"/>
      <c r="I61" s="114"/>
      <c r="J61" s="115">
        <f>SUMIFS(TP!$P:$P,TP!$AI:$AI,$W$7,TP!$R:$R,$X$9,TP!$U:$U,Toimenpiteet!$T61,TP!$W:$W,Toimenpiteet!$X$8,TP!$X:$X,Toimenpiteet!$X$6,TP!$Z:$Z,1,TP!$AD:$AD,$X$9,TP!$AF:$AF,Toimenpiteet!$Y$6,TP!$Q:$Q,Toimenpiteet!$Y$4,TP!$AG:$AG,Toimenpiteet!$Y$5,TP!$L:$L,Toimenpiteet!$V$2,TP!AL:AL,$AC$4)</f>
        <v>0</v>
      </c>
      <c r="K61" s="111">
        <f>SUMIFS(TP!$P:$P,TP!$AI:$AI,$W$7,TP!$R:$R,$X$9,TP!$U:$U,Toimenpiteet!$T61,TP!$W:$W,Toimenpiteet!$X$8,TP!$X:$X,Toimenpiteet!$X$6,TP!$O:$O,Toimenpiteet!$Z$3,TP!$AD:$AD,$X$9,TP!$AF:$AF,Toimenpiteet!$Y$6,TP!$Q:$Q,Toimenpiteet!$Y$4,TP!$AG:$AG,Toimenpiteet!$Y$5,TP!$L:$L,Toimenpiteet!$V$2,TP!AL:AL,$AC$4)</f>
        <v>0</v>
      </c>
      <c r="L61" s="111">
        <f>SUMIFS(TP!$P:$P,TP!$AI:$AI,$W$7,TP!$R:$R,$X$9,TP!$U:$U,Toimenpiteet!$T61,TP!$W:$W,Toimenpiteet!$X$8,TP!$X:$X,Toimenpiteet!$X$6,TP!$K:$K,Toimenpiteet!$Z$6,TP!$AD:$AD,$X$9,TP!$AF:$AF,Toimenpiteet!$Y$6,TP!$Q:$Q,Toimenpiteet!$Y$4,TP!$AG:$AG,Toimenpiteet!$Y$5,TP!$L:$L,Toimenpiteet!$V$2,TP!AL:AL,$AC$4)</f>
        <v>0</v>
      </c>
      <c r="M61" s="111">
        <f>SUMIFS(TP!$P:$P,TP!$AI:$AI,$W$7,TP!$R:$R,$X$9,TP!$U:$U,Toimenpiteet!$T61,TP!$W:$W,Toimenpiteet!$X$8,TP!$X:$X,Toimenpiteet!$X$6,TP!$K:$K,Toimenpiteet!$Z$7,TP!$AD:$AD,$X$9,TP!$AF:$AF,Toimenpiteet!$Y$6,TP!$Q:$Q,Toimenpiteet!$Y$4,TP!$AG:$AG,Toimenpiteet!$Y$5,TP!$L:$L,Toimenpiteet!$V$2,TP!AL:AL,$AC$4)</f>
        <v>0</v>
      </c>
      <c r="N61" s="111">
        <f>SUMIFS(TP!$P:$P,TP!$AI:$AI,$W$7,TP!$R:$R,$X$9,TP!$U:$U,Toimenpiteet!$T61,TP!$W:$W,Toimenpiteet!$X$8,TP!$X:$X,Toimenpiteet!$X$6,TP!$K:$K,Toimenpiteet!$Z$8,TP!$AD:$AD,$X$9,TP!$AF:$AF,Toimenpiteet!$Y$6,TP!$Q:$Q,Toimenpiteet!$Y$4,TP!$AG:$AG,Toimenpiteet!$Y$5,TP!$L:$L,Toimenpiteet!$V$2,TP!AL:AL,$AC$4)</f>
        <v>0</v>
      </c>
      <c r="O61" s="116">
        <f>SUMIFS(TP!$P:$P,TP!$AI:$AI,$W$7,TP!$R:$R,$X$9,TP!$U:$U,Toimenpiteet!$T61,TP!$W:$W,Toimenpiteet!$X$8,TP!$X:$X,Toimenpiteet!$X$6,TP!$K:$K,Toimenpiteet!$Z$5,TP!$AD:$AD,$X$9,TP!$AF:$AF,Toimenpiteet!$Y$6,TP!$Q:$Q,Toimenpiteet!$Y$4,TP!$AG:$AG,Toimenpiteet!$Y$5,TP!$L:$L,Toimenpiteet!$V$2,TP!AL:AL,$AC$4)</f>
        <v>0</v>
      </c>
      <c r="T61" s="653" t="s">
        <v>1123</v>
      </c>
      <c r="U61" s="652" t="s">
        <v>304</v>
      </c>
      <c r="V61" s="111">
        <f>SUMIFS(TP!$P:$P,TP!$AI:$AI,$W$7,TP!$R:$R,$X$9,TP!$U:$U,Toimenpiteet!$U61,TP!$W:$W,Toimenpiteet!$X$8,TP!$X:$X,Toimenpiteet!$X$6,TP!$AD:$AD,$X$9,TP!$AF:$AF,Toimenpiteet!$Y$6,TP!$Q:$Q,Toimenpiteet!$Y$4,TP!$AG:$AG,Toimenpiteet!$Y$5,TP!$L:$L,Toimenpiteet!$V$2,TP!AL:AL,$AC$4)</f>
        <v>0</v>
      </c>
      <c r="W61" s="111">
        <f>SUMIFS(TP!$P:$P,TP!$AI:$AI,$W$7,TP!$R:$R,$X$9,TP!$U:$U,Toimenpiteet!$U61,TP!$W:$W,Toimenpiteet!$X$8,TP!$X:$X,Toimenpiteet!$X$6,TP!$V:$V,Toimenpiteet!$X$7,TP!$AD:$AD,$X$9,TP!$AF:$AF,Toimenpiteet!$Y$6,TP!$Q:$Q,Toimenpiteet!$Y$4,TP!$AG:$AG,Toimenpiteet!$Y$5,TP!$L:$L,Toimenpiteet!$V$2,TP!AL:AL,$AC$4)</f>
        <v>0</v>
      </c>
      <c r="X61" s="111">
        <f>SUMIFS(TP!$P:$P,TP!$AI:$AI,$W$7,TP!$R:$R,$X$9,TP!$U:$U,Toimenpiteet!$U61,TP!$W:$W,Toimenpiteet!$X$8,TP!$X:$X,Toimenpiteet!$X$6,TP!$V:$V,Toimenpiteet!$Y$7,TP!$AD:$AD,$X$9,TP!$AF:$AF,Toimenpiteet!$Y$6,TP!$Q:$Q,Toimenpiteet!$Y$4,TP!$AG:$AG,Toimenpiteet!$Y$5,TP!$L:$L,Toimenpiteet!$V$2,TP!AL:AL,$AC$4)</f>
        <v>0</v>
      </c>
      <c r="Y61" s="111">
        <f>SUMIFS(TP!$P:$P,TP!$AI:$AI,$W$7,TP!$R:$R,$X$9,TP!$U:$U,Toimenpiteet!$U61,TP!$W:$W,Toimenpiteet!$Y$8,TP!$X:$X,Toimenpiteet!$X$6,TP!$AD:$AD,$X$9,TP!$AF:$AF,Toimenpiteet!$Y$6,TP!$Q:$Q,Toimenpiteet!$Y$4,TP!$AG:$AG,Toimenpiteet!$Y$5,TP!$L:$L,Toimenpiteet!$V$2,TP!AL:AL,$AC$4)</f>
        <v>0</v>
      </c>
      <c r="AD61" s="111">
        <f>SUMIFS(TP!$P:$P,TP!$AI:$AI,$W$7,TP!$R:$R,$X$9,TP!$U:$U,Toimenpiteet!$AC61,TP!$W:$W,Toimenpiteet!$X$8,TP!$X:$X,Toimenpiteet!$X$6,TP!$AD:$AD,$X$9,TP!$AF:$AF,Toimenpiteet!$Y$6,TP!$Q:$Q,Toimenpiteet!$Y$4,TP!$AG:$AG,Toimenpiteet!$Y$5,TP!$L:$L,Toimenpiteet!$V$2,TP!AL:AL,$AC$4)</f>
        <v>0</v>
      </c>
      <c r="AE61" s="111">
        <f>SUMIFS(TP!$P:$P,TP!$AI:$AI,$W$7,TP!$R:$R,$X$9,TP!$U:$U,Toimenpiteet!$AC61,TP!$W:$W,Toimenpiteet!$X$8,TP!$X:$X,Toimenpiteet!$X$6,TP!$V:$V,Toimenpiteet!$X$7,TP!$AD:$AD,$X$9,TP!$AF:$AF,Toimenpiteet!$Y$6,TP!$Q:$Q,Toimenpiteet!$Y$4,TP!$AG:$AG,Toimenpiteet!$Y$5,TP!$L:$L,Toimenpiteet!$V$2,TP!AL:AL,$AC$4)</f>
        <v>0</v>
      </c>
      <c r="AF61" s="111">
        <f>SUMIFS(TP!$P:$P,TP!$AI:$AI,$W$7,TP!$R:$R,$X$9,TP!$U:$U,Toimenpiteet!$AC61,TP!$W:$W,Toimenpiteet!$X$8,TP!$X:$X,Toimenpiteet!$X$6,TP!$V:$V,Toimenpiteet!$Y$7,TP!$AD:$AD,$X$9,TP!$AF:$AF,Toimenpiteet!$Y$6,TP!$Q:$Q,Toimenpiteet!$Y$4,TP!$AG:$AG,Toimenpiteet!$Y$5,TP!$L:$L,Toimenpiteet!$V$2,TP!AL:AL,$AC$4)</f>
        <v>0</v>
      </c>
      <c r="AG61" s="111">
        <f>SUMIFS(TP!$P:$P,TP!$AI:$AI,$W$7,TP!$R:$R,$X$9,TP!$U:$U,Toimenpiteet!$AC61,TP!$W:$W,Toimenpiteet!$Y$8,TP!$X:$X,Toimenpiteet!$X$6,TP!$AD:$AD,$X$9,TP!$AF:$AF,Toimenpiteet!$Y$6,TP!$Q:$Q,Toimenpiteet!$Y$4,TP!$AG:$AG,Toimenpiteet!$Y$5,TP!$L:$L,Toimenpiteet!$V$2,TP!AL:AL,$AC$4)</f>
        <v>0</v>
      </c>
      <c r="AL61" s="638"/>
      <c r="AM61" s="646" t="s">
        <v>1399</v>
      </c>
      <c r="AN61" s="646" t="s">
        <v>1399</v>
      </c>
      <c r="AO61" t="s">
        <v>1123</v>
      </c>
    </row>
    <row r="62" spans="1:45" ht="15" customHeight="1" x14ac:dyDescent="0.25">
      <c r="A62" s="921"/>
      <c r="B62" s="672" t="s">
        <v>1142</v>
      </c>
      <c r="C62" s="670">
        <f>SUMIFS(TP!$P:$P,TP!$AI:$AI,$W$7,TP!$R:$R,$X$9,TP!$U:$U,Toimenpiteet!$T62,TP!$W:$W,Toimenpiteet!$X$8,TP!$X:$X,Toimenpiteet!$X$6,TP!$AD:$AD,$X$9,TP!$AF:$AF,Toimenpiteet!$Y$6,TP!$Q:$Q,Toimenpiteet!$Y$4,TP!$AG:$AG,Toimenpiteet!$Y$5,TP!$L:$L,Toimenpiteet!$V$2,TP!AL:AL,$AC$4)+V62+AD62</f>
        <v>0</v>
      </c>
      <c r="D62" s="112">
        <f t="shared" si="5"/>
        <v>0</v>
      </c>
      <c r="E62" s="111">
        <f>SUMIFS(TP!$P:$P,TP!$AI:$AI,$W$7,TP!$R:$R,$X$9,TP!$U:$U,Toimenpiteet!$T62,TP!$W:$W,Toimenpiteet!$X$8,TP!$X:$X,Toimenpiteet!$X$6,TP!$V:$V,Toimenpiteet!$X$7,TP!$AD:$AD,$X$9,TP!$AF:$AF,Toimenpiteet!$Y$6,TP!$Q:$Q,Toimenpiteet!$Y$4,TP!$AG:$AG,Toimenpiteet!$Y$5,TP!$L:$L,Toimenpiteet!$V$2,TP!AL:AL,$AC$4)+W62+AE62</f>
        <v>0</v>
      </c>
      <c r="F62" s="111">
        <f>SUMIFS(TP!$P:$P,TP!$AI:$AI,$W$7,TP!$R:$R,$X$9,TP!$U:$U,Toimenpiteet!$T62,TP!$W:$W,Toimenpiteet!$X$8,TP!$X:$X,Toimenpiteet!$X$6,TP!$V:$V,Toimenpiteet!$Y$7,TP!$AD:$AD,$X$9,TP!$AF:$AF,Toimenpiteet!$Y$6,TP!$Q:$Q,Toimenpiteet!$Y$4,TP!$AG:$AG,Toimenpiteet!$Y$5,TP!$L:$L,Toimenpiteet!$V$2,TP!AL:AL,$AC$4)+X62+AF62</f>
        <v>0</v>
      </c>
      <c r="G62" s="111">
        <f>SUMIFS(TP!$P:$P,TP!$AI:$AI,$W$7,TP!$R:$R,$X$9,TP!$U:$U,Toimenpiteet!$T62,TP!$W:$W,Toimenpiteet!$Y$8,TP!$X:$X,Toimenpiteet!$X$6,TP!$AD:$AD,$X$9,TP!$AF:$AF,Toimenpiteet!$Y$6,TP!$Q:$Q,Toimenpiteet!$Y$4,TP!$AG:$AG,Toimenpiteet!$Y$5,TP!$L:$L,Toimenpiteet!$V$2,TP!AL:AL,$AC$4)+Y62+AG62</f>
        <v>0</v>
      </c>
      <c r="H62" s="113"/>
      <c r="I62" s="114"/>
      <c r="J62" s="115">
        <f>SUMIFS(TP!$P:$P,TP!$AI:$AI,$W$7,TP!$R:$R,$X$9,TP!$U:$U,Toimenpiteet!$T62,TP!$W:$W,Toimenpiteet!$X$8,TP!$X:$X,Toimenpiteet!$X$6,TP!$Z:$Z,1,TP!$AD:$AD,$X$9,TP!$AF:$AF,Toimenpiteet!$Y$6,TP!$Q:$Q,Toimenpiteet!$Y$4,TP!$AG:$AG,Toimenpiteet!$Y$5,TP!$L:$L,Toimenpiteet!$V$2,TP!AL:AL,$AC$4)</f>
        <v>0</v>
      </c>
      <c r="K62" s="111">
        <f>SUMIFS(TP!$P:$P,TP!$AI:$AI,$W$7,TP!$R:$R,$X$9,TP!$U:$U,Toimenpiteet!$T62,TP!$W:$W,Toimenpiteet!$X$8,TP!$X:$X,Toimenpiteet!$X$6,TP!$O:$O,Toimenpiteet!$Z$3,TP!$AD:$AD,$X$9,TP!$AF:$AF,Toimenpiteet!$Y$6,TP!$Q:$Q,Toimenpiteet!$Y$4,TP!$AG:$AG,Toimenpiteet!$Y$5,TP!$L:$L,Toimenpiteet!$V$2,TP!AL:AL,$AC$4)</f>
        <v>0</v>
      </c>
      <c r="L62" s="111">
        <f>SUMIFS(TP!$P:$P,TP!$AI:$AI,$W$7,TP!$R:$R,$X$9,TP!$U:$U,Toimenpiteet!$T62,TP!$W:$W,Toimenpiteet!$X$8,TP!$X:$X,Toimenpiteet!$X$6,TP!$K:$K,Toimenpiteet!$Z$6,TP!$AD:$AD,$X$9,TP!$AF:$AF,Toimenpiteet!$Y$6,TP!$Q:$Q,Toimenpiteet!$Y$4,TP!$AG:$AG,Toimenpiteet!$Y$5,TP!$L:$L,Toimenpiteet!$V$2,TP!AL:AL,$AC$4)</f>
        <v>0</v>
      </c>
      <c r="M62" s="111">
        <f>SUMIFS(TP!$P:$P,TP!$AI:$AI,$W$7,TP!$R:$R,$X$9,TP!$U:$U,Toimenpiteet!$T62,TP!$W:$W,Toimenpiteet!$X$8,TP!$X:$X,Toimenpiteet!$X$6,TP!$K:$K,Toimenpiteet!$Z$7,TP!$AD:$AD,$X$9,TP!$AF:$AF,Toimenpiteet!$Y$6,TP!$Q:$Q,Toimenpiteet!$Y$4,TP!$AG:$AG,Toimenpiteet!$Y$5,TP!$L:$L,Toimenpiteet!$V$2,TP!AL:AL,$AC$4)</f>
        <v>0</v>
      </c>
      <c r="N62" s="111">
        <f>SUMIFS(TP!$P:$P,TP!$AI:$AI,$W$7,TP!$R:$R,$X$9,TP!$U:$U,Toimenpiteet!$T62,TP!$W:$W,Toimenpiteet!$X$8,TP!$X:$X,Toimenpiteet!$X$6,TP!$K:$K,Toimenpiteet!$Z$8,TP!$AD:$AD,$X$9,TP!$AF:$AF,Toimenpiteet!$Y$6,TP!$Q:$Q,Toimenpiteet!$Y$4,TP!$AG:$AG,Toimenpiteet!$Y$5,TP!$L:$L,Toimenpiteet!$V$2,TP!AL:AL,$AC$4)</f>
        <v>0</v>
      </c>
      <c r="O62" s="116">
        <f>SUMIFS(TP!$P:$P,TP!$AI:$AI,$W$7,TP!$R:$R,$X$9,TP!$U:$U,Toimenpiteet!$T62,TP!$W:$W,Toimenpiteet!$X$8,TP!$X:$X,Toimenpiteet!$X$6,TP!$K:$K,Toimenpiteet!$Z$5,TP!$AD:$AD,$X$9,TP!$AF:$AF,Toimenpiteet!$Y$6,TP!$Q:$Q,Toimenpiteet!$Y$4,TP!$AG:$AG,Toimenpiteet!$Y$5,TP!$L:$L,Toimenpiteet!$V$2,TP!AL:AL,$AC$4)</f>
        <v>0</v>
      </c>
      <c r="T62" s="651" t="s">
        <v>308</v>
      </c>
      <c r="U62" s="549" t="s">
        <v>302</v>
      </c>
      <c r="V62" s="111">
        <f>SUMIFS(TP!$P:$P,TP!$AI:$AI,$W$7,TP!$R:$R,$X$9,TP!$U:$U,Toimenpiteet!#REF!,TP!$W:$W,Toimenpiteet!$X$8,TP!$X:$X,Toimenpiteet!$X$6,TP!$AD:$AD,$X$9,TP!$AF:$AF,Toimenpiteet!$Y$6,TP!$Q:$Q,Toimenpiteet!$Y$4,TP!$AG:$AG,Toimenpiteet!$Y$5,TP!$L:$L,Toimenpiteet!$V$2,TP!AL:AL,$AC$4)</f>
        <v>0</v>
      </c>
      <c r="W62" s="111">
        <f>SUMIFS(TP!$P:$P,TP!$AI:$AI,$W$7,TP!$R:$R,$X$9,TP!$U:$U,Toimenpiteet!#REF!,TP!$W:$W,Toimenpiteet!$X$8,TP!$X:$X,Toimenpiteet!$X$6,TP!$V:$V,Toimenpiteet!$X$7,TP!$AD:$AD,$X$9,TP!$AF:$AF,Toimenpiteet!$Y$6,TP!$Q:$Q,Toimenpiteet!$Y$4,TP!$AG:$AG,Toimenpiteet!$Y$5,TP!$L:$L,Toimenpiteet!$V$2,TP!AL:AL,$AC$4)</f>
        <v>0</v>
      </c>
      <c r="X62" s="111">
        <f>SUMIFS(TP!$P:$P,TP!$AI:$AI,$W$7,TP!$R:$R,$X$9,TP!$U:$U,Toimenpiteet!#REF!,TP!$W:$W,Toimenpiteet!$X$8,TP!$X:$X,Toimenpiteet!$X$6,TP!$V:$V,Toimenpiteet!$Y$7,TP!$AD:$AD,$X$9,TP!$AF:$AF,Toimenpiteet!$Y$6,TP!$Q:$Q,Toimenpiteet!$Y$4,TP!$AG:$AG,Toimenpiteet!$Y$5,TP!$L:$L,Toimenpiteet!$V$2,TP!AL:AL,$AC$4)</f>
        <v>0</v>
      </c>
      <c r="Y62" s="111">
        <f>SUMIFS(TP!$P:$P,TP!$AI:$AI,$W$7,TP!$R:$R,$X$9,TP!$U:$U,Toimenpiteet!#REF!,TP!$W:$W,Toimenpiteet!$Y$8,TP!$X:$X,Toimenpiteet!$X$6,TP!$AD:$AD,$X$9,TP!$AF:$AF,Toimenpiteet!$Y$6,TP!$Q:$Q,Toimenpiteet!$Y$4,TP!$AG:$AG,Toimenpiteet!$Y$5,TP!$L:$L,Toimenpiteet!$V$2,TP!AL:AL,$AC$4)</f>
        <v>0</v>
      </c>
      <c r="AD62" s="111">
        <f>SUMIFS(TP!$P:$P,TP!$AI:$AI,$W$7,TP!$R:$R,$X$9,TP!$U:$U,Toimenpiteet!$AC62,TP!$W:$W,Toimenpiteet!$X$8,TP!$X:$X,Toimenpiteet!$X$6,TP!$AD:$AD,$X$9,TP!$AF:$AF,Toimenpiteet!$Y$6,TP!$Q:$Q,Toimenpiteet!$Y$4,TP!$AG:$AG,Toimenpiteet!$Y$5,TP!$L:$L,Toimenpiteet!$V$2,TP!AL:AL,$AC$4)</f>
        <v>0</v>
      </c>
      <c r="AE62" s="111">
        <f>SUMIFS(TP!$P:$P,TP!$AI:$AI,$W$7,TP!$R:$R,$X$9,TP!$U:$U,Toimenpiteet!$AC62,TP!$W:$W,Toimenpiteet!$X$8,TP!$X:$X,Toimenpiteet!$X$6,TP!$V:$V,Toimenpiteet!$X$7,TP!$AD:$AD,$X$9,TP!$AF:$AF,Toimenpiteet!$Y$6,TP!$Q:$Q,Toimenpiteet!$Y$4,TP!$AG:$AG,Toimenpiteet!$Y$5,TP!$L:$L,Toimenpiteet!$V$2,TP!AL:AL,$AC$4)</f>
        <v>0</v>
      </c>
      <c r="AF62" s="111">
        <f>SUMIFS(TP!$P:$P,TP!$AI:$AI,$W$7,TP!$R:$R,$X$9,TP!$U:$U,Toimenpiteet!$AC62,TP!$W:$W,Toimenpiteet!$X$8,TP!$X:$X,Toimenpiteet!$X$6,TP!$V:$V,Toimenpiteet!$Y$7,TP!$AD:$AD,$X$9,TP!$AF:$AF,Toimenpiteet!$Y$6,TP!$Q:$Q,Toimenpiteet!$Y$4,TP!$AG:$AG,Toimenpiteet!$Y$5,TP!$L:$L,Toimenpiteet!$V$2,TP!AL:AL,$AC$4)</f>
        <v>0</v>
      </c>
      <c r="AG62" s="111">
        <f>SUMIFS(TP!$P:$P,TP!$AI:$AI,$W$7,TP!$R:$R,$X$9,TP!$U:$U,Toimenpiteet!$AC62,TP!$W:$W,Toimenpiteet!$Y$8,TP!$X:$X,Toimenpiteet!$X$6,TP!$AD:$AD,$X$9,TP!$AF:$AF,Toimenpiteet!$Y$6,TP!$Q:$Q,Toimenpiteet!$Y$4,TP!$AG:$AG,Toimenpiteet!$Y$5,TP!$L:$L,Toimenpiteet!$V$2,TP!AL:AL,$AC$4)</f>
        <v>0</v>
      </c>
      <c r="AL62" s="638"/>
      <c r="AM62" s="646" t="s">
        <v>13</v>
      </c>
      <c r="AN62" s="646" t="s">
        <v>13</v>
      </c>
      <c r="AO62" t="s">
        <v>308</v>
      </c>
      <c r="AP62" s="642" t="s">
        <v>1427</v>
      </c>
      <c r="AQ62" s="649" t="s">
        <v>57</v>
      </c>
      <c r="AR62" s="649" t="s">
        <v>57</v>
      </c>
      <c r="AS62" t="s">
        <v>302</v>
      </c>
    </row>
    <row r="63" spans="1:45" x14ac:dyDescent="0.25">
      <c r="A63" s="921"/>
      <c r="B63" s="672" t="s">
        <v>1442</v>
      </c>
      <c r="C63" s="670">
        <f>SUMIFS(TP!$P:$P,TP!$AI:$AI,$W$7,TP!$R:$R,$X$9,TP!$U:$U,Toimenpiteet!$T63,TP!$W:$W,Toimenpiteet!$X$8,TP!$X:$X,Toimenpiteet!$X$6,TP!$AD:$AD,$X$9,TP!$AF:$AF,Toimenpiteet!$Y$6,TP!$Q:$Q,Toimenpiteet!$Y$4,TP!$AG:$AG,Toimenpiteet!$Y$5,TP!$L:$L,Toimenpiteet!$V$2,TP!AL:AL,$AC$4)+V63+AD63</f>
        <v>0</v>
      </c>
      <c r="D63" s="112">
        <f t="shared" si="5"/>
        <v>0</v>
      </c>
      <c r="E63" s="111">
        <f>SUMIFS(TP!$P:$P,TP!$AI:$AI,$W$7,TP!$R:$R,$X$9,TP!$U:$U,Toimenpiteet!$T63,TP!$W:$W,Toimenpiteet!$X$8,TP!$X:$X,Toimenpiteet!$X$6,TP!$V:$V,Toimenpiteet!$X$7,TP!$AD:$AD,$X$9,TP!$AF:$AF,Toimenpiteet!$Y$6,TP!$Q:$Q,Toimenpiteet!$Y$4,TP!$AG:$AG,Toimenpiteet!$Y$5,TP!$L:$L,Toimenpiteet!$V$2,TP!AL:AL,$AC$4)+W63+AE63</f>
        <v>0</v>
      </c>
      <c r="F63" s="111">
        <f>SUMIFS(TP!$P:$P,TP!$AI:$AI,$W$7,TP!$R:$R,$X$9,TP!$U:$U,Toimenpiteet!$T63,TP!$W:$W,Toimenpiteet!$X$8,TP!$X:$X,Toimenpiteet!$X$6,TP!$V:$V,Toimenpiteet!$Y$7,TP!$AD:$AD,$X$9,TP!$AF:$AF,Toimenpiteet!$Y$6,TP!$Q:$Q,Toimenpiteet!$Y$4,TP!$AG:$AG,Toimenpiteet!$Y$5,TP!$L:$L,Toimenpiteet!$V$2,TP!AL:AL,$AC$4)+X63+AF63</f>
        <v>0</v>
      </c>
      <c r="G63" s="111">
        <f>SUMIFS(TP!$P:$P,TP!$AI:$AI,$W$7,TP!$R:$R,$X$9,TP!$U:$U,Toimenpiteet!$T63,TP!$W:$W,Toimenpiteet!$Y$8,TP!$X:$X,Toimenpiteet!$X$6,TP!$AD:$AD,$X$9,TP!$AF:$AF,Toimenpiteet!$Y$6,TP!$Q:$Q,Toimenpiteet!$Y$4,TP!$AG:$AG,Toimenpiteet!$Y$5,TP!$L:$L,Toimenpiteet!$V$2,TP!AL:AL,$AC$4)+Y63+AG63</f>
        <v>0</v>
      </c>
      <c r="H63" s="113"/>
      <c r="I63" s="114"/>
      <c r="J63" s="115">
        <f>SUMIFS(TP!$P:$P,TP!$AI:$AI,$W$7,TP!$R:$R,$X$9,TP!$U:$U,Toimenpiteet!$T63,TP!$W:$W,Toimenpiteet!$X$8,TP!$X:$X,Toimenpiteet!$X$6,TP!$Z:$Z,1,TP!$AD:$AD,$X$9,TP!$AF:$AF,Toimenpiteet!$Y$6,TP!$Q:$Q,Toimenpiteet!$Y$4,TP!$AG:$AG,Toimenpiteet!$Y$5,TP!$L:$L,Toimenpiteet!$V$2,TP!AL:AL,$AC$4)</f>
        <v>0</v>
      </c>
      <c r="K63" s="111">
        <f>SUMIFS(TP!$P:$P,TP!$AI:$AI,$W$7,TP!$R:$R,$X$9,TP!$U:$U,Toimenpiteet!$T63,TP!$W:$W,Toimenpiteet!$X$8,TP!$X:$X,Toimenpiteet!$X$6,TP!$O:$O,Toimenpiteet!$Z$3,TP!$AD:$AD,$X$9,TP!$AF:$AF,Toimenpiteet!$Y$6,TP!$Q:$Q,Toimenpiteet!$Y$4,TP!$AG:$AG,Toimenpiteet!$Y$5,TP!$L:$L,Toimenpiteet!$V$2,TP!AL:AL,$AC$4)</f>
        <v>0</v>
      </c>
      <c r="L63" s="111">
        <f>SUMIFS(TP!$P:$P,TP!$AI:$AI,$W$7,TP!$R:$R,$X$9,TP!$U:$U,Toimenpiteet!$T63,TP!$W:$W,Toimenpiteet!$X$8,TP!$X:$X,Toimenpiteet!$X$6,TP!$K:$K,Toimenpiteet!$Z$6,TP!$AD:$AD,$X$9,TP!$AF:$AF,Toimenpiteet!$Y$6,TP!$Q:$Q,Toimenpiteet!$Y$4,TP!$AG:$AG,Toimenpiteet!$Y$5,TP!$L:$L,Toimenpiteet!$V$2,TP!AL:AL,$AC$4)</f>
        <v>0</v>
      </c>
      <c r="M63" s="111">
        <f>SUMIFS(TP!$P:$P,TP!$AI:$AI,$W$7,TP!$R:$R,$X$9,TP!$U:$U,Toimenpiteet!$T63,TP!$W:$W,Toimenpiteet!$X$8,TP!$X:$X,Toimenpiteet!$X$6,TP!$K:$K,Toimenpiteet!$Z$7,TP!$AD:$AD,$X$9,TP!$AF:$AF,Toimenpiteet!$Y$6,TP!$Q:$Q,Toimenpiteet!$Y$4,TP!$AG:$AG,Toimenpiteet!$Y$5,TP!$L:$L,Toimenpiteet!$V$2,TP!AL:AL,$AC$4)</f>
        <v>0</v>
      </c>
      <c r="N63" s="111">
        <f>SUMIFS(TP!$P:$P,TP!$AI:$AI,$W$7,TP!$R:$R,$X$9,TP!$U:$U,Toimenpiteet!$T63,TP!$W:$W,Toimenpiteet!$X$8,TP!$X:$X,Toimenpiteet!$X$6,TP!$K:$K,Toimenpiteet!$Z$8,TP!$AD:$AD,$X$9,TP!$AF:$AF,Toimenpiteet!$Y$6,TP!$Q:$Q,Toimenpiteet!$Y$4,TP!$AG:$AG,Toimenpiteet!$Y$5,TP!$L:$L,Toimenpiteet!$V$2,TP!AL:AL,$AC$4)</f>
        <v>0</v>
      </c>
      <c r="O63" s="116">
        <f>SUMIFS(TP!$P:$P,TP!$AI:$AI,$W$7,TP!$R:$R,$X$9,TP!$U:$U,Toimenpiteet!$T63,TP!$W:$W,Toimenpiteet!$X$8,TP!$X:$X,Toimenpiteet!$X$6,TP!$K:$K,Toimenpiteet!$Z$5,TP!$AD:$AD,$X$9,TP!$AF:$AF,Toimenpiteet!$Y$6,TP!$Q:$Q,Toimenpiteet!$Y$4,TP!$AG:$AG,Toimenpiteet!$Y$5,TP!$L:$L,Toimenpiteet!$V$2,TP!AL:AL,$AC$4)</f>
        <v>0</v>
      </c>
      <c r="T63" s="558" t="s">
        <v>1244</v>
      </c>
      <c r="U63" s="652" t="s">
        <v>285</v>
      </c>
      <c r="V63" s="111">
        <f>SUMIFS(TP!$P:$P,TP!$AI:$AI,$W$7,TP!$R:$R,$X$9,TP!$U:$U,Toimenpiteet!$U63,TP!$W:$W,Toimenpiteet!$X$8,TP!$X:$X,Toimenpiteet!$X$6,TP!$AD:$AD,$X$9,TP!$AF:$AF,Toimenpiteet!$Y$6,TP!$Q:$Q,Toimenpiteet!$Y$4,TP!$AG:$AG,Toimenpiteet!$Y$5,TP!$L:$L,Toimenpiteet!$V$2,TP!AL:AL,$AC$4)</f>
        <v>0</v>
      </c>
      <c r="W63" s="111">
        <f>SUMIFS(TP!$P:$P,TP!$AI:$AI,$W$7,TP!$R:$R,$X$9,TP!$U:$U,Toimenpiteet!$U63,TP!$W:$W,Toimenpiteet!$X$8,TP!$X:$X,Toimenpiteet!$X$6,TP!$V:$V,Toimenpiteet!$X$7,TP!$AD:$AD,$X$9,TP!$AF:$AF,Toimenpiteet!$Y$6,TP!$Q:$Q,Toimenpiteet!$Y$4,TP!$AG:$AG,Toimenpiteet!$Y$5,TP!$L:$L,Toimenpiteet!$V$2,TP!AL:AL,$AC$4)</f>
        <v>0</v>
      </c>
      <c r="X63" s="111">
        <f>SUMIFS(TP!$P:$P,TP!$AI:$AI,$W$7,TP!$R:$R,$X$9,TP!$U:$U,Toimenpiteet!$U63,TP!$W:$W,Toimenpiteet!$X$8,TP!$X:$X,Toimenpiteet!$X$6,TP!$V:$V,Toimenpiteet!$Y$7,TP!$AD:$AD,$X$9,TP!$AF:$AF,Toimenpiteet!$Y$6,TP!$Q:$Q,Toimenpiteet!$Y$4,TP!$AG:$AG,Toimenpiteet!$Y$5,TP!$L:$L,Toimenpiteet!$V$2,TP!AL:AL,$AC$4)</f>
        <v>0</v>
      </c>
      <c r="Y63" s="111">
        <f>SUMIFS(TP!$P:$P,TP!$AI:$AI,$W$7,TP!$R:$R,$X$9,TP!$U:$U,Toimenpiteet!$U63,TP!$W:$W,Toimenpiteet!$Y$8,TP!$X:$X,Toimenpiteet!$X$6,TP!$AD:$AD,$X$9,TP!$AF:$AF,Toimenpiteet!$Y$6,TP!$Q:$Q,Toimenpiteet!$Y$4,TP!$AG:$AG,Toimenpiteet!$Y$5,TP!$L:$L,Toimenpiteet!$V$2,TP!AL:AL,$AC$4)</f>
        <v>0</v>
      </c>
      <c r="AD63" s="111">
        <f>SUMIFS(TP!$P:$P,TP!$AI:$AI,$W$7,TP!$R:$R,$X$9,TP!$U:$U,Toimenpiteet!$AC63,TP!$W:$W,Toimenpiteet!$X$8,TP!$X:$X,Toimenpiteet!$X$6,TP!$AD:$AD,$X$9,TP!$AF:$AF,Toimenpiteet!$Y$6,TP!$Q:$Q,Toimenpiteet!$Y$4,TP!$AG:$AG,Toimenpiteet!$Y$5,TP!$L:$L,Toimenpiteet!$V$2,TP!AL:AL,$AC$4)</f>
        <v>0</v>
      </c>
      <c r="AE63" s="111">
        <f>SUMIFS(TP!$P:$P,TP!$AI:$AI,$W$7,TP!$R:$R,$X$9,TP!$U:$U,Toimenpiteet!$AC63,TP!$W:$W,Toimenpiteet!$X$8,TP!$X:$X,Toimenpiteet!$X$6,TP!$V:$V,Toimenpiteet!$X$7,TP!$AD:$AD,$X$9,TP!$AF:$AF,Toimenpiteet!$Y$6,TP!$Q:$Q,Toimenpiteet!$Y$4,TP!$AG:$AG,Toimenpiteet!$Y$5,TP!$L:$L,Toimenpiteet!$V$2,TP!AL:AL,$AC$4)</f>
        <v>0</v>
      </c>
      <c r="AF63" s="111">
        <f>SUMIFS(TP!$P:$P,TP!$AI:$AI,$W$7,TP!$R:$R,$X$9,TP!$U:$U,Toimenpiteet!$AC63,TP!$W:$W,Toimenpiteet!$X$8,TP!$X:$X,Toimenpiteet!$X$6,TP!$V:$V,Toimenpiteet!$Y$7,TP!$AD:$AD,$X$9,TP!$AF:$AF,Toimenpiteet!$Y$6,TP!$Q:$Q,Toimenpiteet!$Y$4,TP!$AG:$AG,Toimenpiteet!$Y$5,TP!$L:$L,Toimenpiteet!$V$2,TP!AL:AL,$AC$4)</f>
        <v>0</v>
      </c>
      <c r="AG63" s="111">
        <f>SUMIFS(TP!$P:$P,TP!$AI:$AI,$W$7,TP!$R:$R,$X$9,TP!$U:$U,Toimenpiteet!$AC63,TP!$W:$W,Toimenpiteet!$Y$8,TP!$X:$X,Toimenpiteet!$X$6,TP!$AD:$AD,$X$9,TP!$AF:$AF,Toimenpiteet!$Y$6,TP!$Q:$Q,Toimenpiteet!$Y$4,TP!$AG:$AG,Toimenpiteet!$Y$5,TP!$L:$L,Toimenpiteet!$V$2,TP!AL:AL,$AC$4)</f>
        <v>0</v>
      </c>
      <c r="AL63" s="643" t="s">
        <v>1397</v>
      </c>
      <c r="AM63" s="645" t="s">
        <v>1400</v>
      </c>
      <c r="AN63" s="645" t="s">
        <v>38</v>
      </c>
      <c r="AO63" t="s">
        <v>1244</v>
      </c>
    </row>
    <row r="64" spans="1:45" x14ac:dyDescent="0.25">
      <c r="A64" s="921"/>
      <c r="B64" s="672" t="s">
        <v>1143</v>
      </c>
      <c r="C64" s="670">
        <f>SUMIFS(TP!$P:$P,TP!$AI:$AI,$W$7,TP!$R:$R,$X$9,TP!$U:$U,Toimenpiteet!$T64,TP!$W:$W,Toimenpiteet!$X$8,TP!$X:$X,Toimenpiteet!$X$6,TP!$AD:$AD,$X$9,TP!$AF:$AF,Toimenpiteet!$Y$6,TP!$Q:$Q,Toimenpiteet!$Y$4,TP!$AG:$AG,Toimenpiteet!$Y$5,TP!$L:$L,Toimenpiteet!$V$2,TP!AL:AL,$AC$4)+V64+AD64</f>
        <v>0</v>
      </c>
      <c r="D64" s="112">
        <f t="shared" si="5"/>
        <v>0</v>
      </c>
      <c r="E64" s="111">
        <f>SUMIFS(TP!$P:$P,TP!$AI:$AI,$W$7,TP!$R:$R,$X$9,TP!$U:$U,Toimenpiteet!$T64,TP!$W:$W,Toimenpiteet!$X$8,TP!$X:$X,Toimenpiteet!$X$6,TP!$V:$V,Toimenpiteet!$X$7,TP!$AD:$AD,$X$9,TP!$AF:$AF,Toimenpiteet!$Y$6,TP!$Q:$Q,Toimenpiteet!$Y$4,TP!$AG:$AG,Toimenpiteet!$Y$5,TP!$L:$L,Toimenpiteet!$V$2,TP!AL:AL,$AC$4)+W64+AE64</f>
        <v>0</v>
      </c>
      <c r="F64" s="111">
        <f>SUMIFS(TP!$P:$P,TP!$AI:$AI,$W$7,TP!$R:$R,$X$9,TP!$U:$U,Toimenpiteet!$T64,TP!$W:$W,Toimenpiteet!$X$8,TP!$X:$X,Toimenpiteet!$X$6,TP!$V:$V,Toimenpiteet!$Y$7,TP!$AD:$AD,$X$9,TP!$AF:$AF,Toimenpiteet!$Y$6,TP!$Q:$Q,Toimenpiteet!$Y$4,TP!$AG:$AG,Toimenpiteet!$Y$5,TP!$L:$L,Toimenpiteet!$V$2,TP!AL:AL,$AC$4)+X64+AF64</f>
        <v>0</v>
      </c>
      <c r="G64" s="111">
        <f>SUMIFS(TP!$P:$P,TP!$AI:$AI,$W$7,TP!$R:$R,$X$9,TP!$U:$U,Toimenpiteet!$T64,TP!$W:$W,Toimenpiteet!$Y$8,TP!$X:$X,Toimenpiteet!$X$6,TP!$AD:$AD,$X$9,TP!$AF:$AF,Toimenpiteet!$Y$6,TP!$Q:$Q,Toimenpiteet!$Y$4,TP!$AG:$AG,Toimenpiteet!$Y$5,TP!$L:$L,Toimenpiteet!$V$2,TP!AL:AL,$AC$4)+Y64+AG64</f>
        <v>0</v>
      </c>
      <c r="H64" s="113"/>
      <c r="I64" s="114"/>
      <c r="J64" s="115">
        <f>SUMIFS(TP!$P:$P,TP!$AI:$AI,$W$7,TP!$R:$R,$X$9,TP!$U:$U,Toimenpiteet!$T64,TP!$W:$W,Toimenpiteet!$X$8,TP!$X:$X,Toimenpiteet!$X$6,TP!$Z:$Z,1,TP!$AD:$AD,$X$9,TP!$AF:$AF,Toimenpiteet!$Y$6,TP!$Q:$Q,Toimenpiteet!$Y$4,TP!$AG:$AG,Toimenpiteet!$Y$5,TP!$L:$L,Toimenpiteet!$V$2,TP!AL:AL,$AC$4)</f>
        <v>0</v>
      </c>
      <c r="K64" s="111">
        <f>SUMIFS(TP!$P:$P,TP!$AI:$AI,$W$7,TP!$R:$R,$X$9,TP!$U:$U,Toimenpiteet!$T64,TP!$W:$W,Toimenpiteet!$X$8,TP!$X:$X,Toimenpiteet!$X$6,TP!$O:$O,Toimenpiteet!$Z$3,TP!$AD:$AD,$X$9,TP!$AF:$AF,Toimenpiteet!$Y$6,TP!$Q:$Q,Toimenpiteet!$Y$4,TP!$AG:$AG,Toimenpiteet!$Y$5,TP!$L:$L,Toimenpiteet!$V$2,TP!AL:AL,$AC$4)</f>
        <v>0</v>
      </c>
      <c r="L64" s="111">
        <f>SUMIFS(TP!$P:$P,TP!$AI:$AI,$W$7,TP!$R:$R,$X$9,TP!$U:$U,Toimenpiteet!$T64,TP!$W:$W,Toimenpiteet!$X$8,TP!$X:$X,Toimenpiteet!$X$6,TP!$K:$K,Toimenpiteet!$Z$6,TP!$AD:$AD,$X$9,TP!$AF:$AF,Toimenpiteet!$Y$6,TP!$Q:$Q,Toimenpiteet!$Y$4,TP!$AG:$AG,Toimenpiteet!$Y$5,TP!$L:$L,Toimenpiteet!$V$2,TP!AL:AL,$AC$4)</f>
        <v>0</v>
      </c>
      <c r="M64" s="111">
        <f>SUMIFS(TP!$P:$P,TP!$AI:$AI,$W$7,TP!$R:$R,$X$9,TP!$U:$U,Toimenpiteet!$T64,TP!$W:$W,Toimenpiteet!$X$8,TP!$X:$X,Toimenpiteet!$X$6,TP!$K:$K,Toimenpiteet!$Z$7,TP!$AD:$AD,$X$9,TP!$AF:$AF,Toimenpiteet!$Y$6,TP!$Q:$Q,Toimenpiteet!$Y$4,TP!$AG:$AG,Toimenpiteet!$Y$5,TP!$L:$L,Toimenpiteet!$V$2,TP!AL:AL,$AC$4)</f>
        <v>0</v>
      </c>
      <c r="N64" s="111">
        <f>SUMIFS(TP!$P:$P,TP!$AI:$AI,$W$7,TP!$R:$R,$X$9,TP!$U:$U,Toimenpiteet!$T64,TP!$W:$W,Toimenpiteet!$X$8,TP!$X:$X,Toimenpiteet!$X$6,TP!$K:$K,Toimenpiteet!$Z$8,TP!$AD:$AD,$X$9,TP!$AF:$AF,Toimenpiteet!$Y$6,TP!$Q:$Q,Toimenpiteet!$Y$4,TP!$AG:$AG,Toimenpiteet!$Y$5,TP!$L:$L,Toimenpiteet!$V$2,TP!AL:AL,$AC$4)</f>
        <v>0</v>
      </c>
      <c r="O64" s="116">
        <f>SUMIFS(TP!$P:$P,TP!$AI:$AI,$W$7,TP!$R:$R,$X$9,TP!$U:$U,Toimenpiteet!$T64,TP!$W:$W,Toimenpiteet!$X$8,TP!$X:$X,Toimenpiteet!$X$6,TP!$K:$K,Toimenpiteet!$Z$5,TP!$AD:$AD,$X$9,TP!$AF:$AF,Toimenpiteet!$Y$6,TP!$Q:$Q,Toimenpiteet!$Y$4,TP!$AG:$AG,Toimenpiteet!$Y$5,TP!$L:$L,Toimenpiteet!$V$2,TP!AL:AL,$AC$4)</f>
        <v>0</v>
      </c>
      <c r="T64" s="651" t="s">
        <v>306</v>
      </c>
      <c r="V64" s="111">
        <f>SUMIFS(TP!$P:$P,TP!$AI:$AI,$W$7,TP!$R:$R,$X$9,TP!$U:$U,Toimenpiteet!$U64,TP!$W:$W,Toimenpiteet!$X$8,TP!$X:$X,Toimenpiteet!$X$6,TP!$AD:$AD,$X$9,TP!$AF:$AF,Toimenpiteet!$Y$6,TP!$Q:$Q,Toimenpiteet!$Y$4,TP!$AG:$AG,Toimenpiteet!$Y$5,TP!$L:$L,Toimenpiteet!$V$2,TP!AL:AL,$AC$4)</f>
        <v>0</v>
      </c>
      <c r="W64" s="111">
        <f>SUMIFS(TP!$P:$P,TP!$AI:$AI,$W$7,TP!$R:$R,$X$9,TP!$U:$U,Toimenpiteet!$U64,TP!$W:$W,Toimenpiteet!$X$8,TP!$X:$X,Toimenpiteet!$X$6,TP!$V:$V,Toimenpiteet!$X$7,TP!$AD:$AD,$X$9,TP!$AF:$AF,Toimenpiteet!$Y$6,TP!$Q:$Q,Toimenpiteet!$Y$4,TP!$AG:$AG,Toimenpiteet!$Y$5,TP!$L:$L,Toimenpiteet!$V$2,TP!AL:AL,$AC$4)</f>
        <v>0</v>
      </c>
      <c r="X64" s="111">
        <f>SUMIFS(TP!$P:$P,TP!$AI:$AI,$W$7,TP!$R:$R,$X$9,TP!$U:$U,Toimenpiteet!$U64,TP!$W:$W,Toimenpiteet!$X$8,TP!$X:$X,Toimenpiteet!$X$6,TP!$V:$V,Toimenpiteet!$Y$7,TP!$AD:$AD,$X$9,TP!$AF:$AF,Toimenpiteet!$Y$6,TP!$Q:$Q,Toimenpiteet!$Y$4,TP!$AG:$AG,Toimenpiteet!$Y$5,TP!$L:$L,Toimenpiteet!$V$2,TP!AL:AL,$AC$4)</f>
        <v>0</v>
      </c>
      <c r="Y64" s="111">
        <f>SUMIFS(TP!$P:$P,TP!$AI:$AI,$W$7,TP!$R:$R,$X$9,TP!$U:$U,Toimenpiteet!$U64,TP!$W:$W,Toimenpiteet!$Y$8,TP!$X:$X,Toimenpiteet!$X$6,TP!$AD:$AD,$X$9,TP!$AF:$AF,Toimenpiteet!$Y$6,TP!$Q:$Q,Toimenpiteet!$Y$4,TP!$AG:$AG,Toimenpiteet!$Y$5,TP!$L:$L,Toimenpiteet!$V$2,TP!AL:AL,$AC$4)</f>
        <v>0</v>
      </c>
      <c r="AD64" s="111">
        <f>SUMIFS(TP!$P:$P,TP!$AI:$AI,$W$7,TP!$R:$R,$X$9,TP!$U:$U,Toimenpiteet!$AC64,TP!$W:$W,Toimenpiteet!$X$8,TP!$X:$X,Toimenpiteet!$X$6,TP!$AD:$AD,$X$9,TP!$AF:$AF,Toimenpiteet!$Y$6,TP!$Q:$Q,Toimenpiteet!$Y$4,TP!$AG:$AG,Toimenpiteet!$Y$5,TP!$L:$L,Toimenpiteet!$V$2,TP!AL:AL,$AC$4)</f>
        <v>0</v>
      </c>
      <c r="AE64" s="111">
        <f>SUMIFS(TP!$P:$P,TP!$AI:$AI,$W$7,TP!$R:$R,$X$9,TP!$U:$U,Toimenpiteet!$AC64,TP!$W:$W,Toimenpiteet!$X$8,TP!$X:$X,Toimenpiteet!$X$6,TP!$V:$V,Toimenpiteet!$X$7,TP!$AD:$AD,$X$9,TP!$AF:$AF,Toimenpiteet!$Y$6,TP!$Q:$Q,Toimenpiteet!$Y$4,TP!$AG:$AG,Toimenpiteet!$Y$5,TP!$L:$L,Toimenpiteet!$V$2,TP!AL:AL,$AC$4)</f>
        <v>0</v>
      </c>
      <c r="AF64" s="111">
        <f>SUMIFS(TP!$P:$P,TP!$AI:$AI,$W$7,TP!$R:$R,$X$9,TP!$U:$U,Toimenpiteet!$AC64,TP!$W:$W,Toimenpiteet!$X$8,TP!$X:$X,Toimenpiteet!$X$6,TP!$V:$V,Toimenpiteet!$Y$7,TP!$AD:$AD,$X$9,TP!$AF:$AF,Toimenpiteet!$Y$6,TP!$Q:$Q,Toimenpiteet!$Y$4,TP!$AG:$AG,Toimenpiteet!$Y$5,TP!$L:$L,Toimenpiteet!$V$2,TP!AL:AL,$AC$4)</f>
        <v>0</v>
      </c>
      <c r="AG64" s="111">
        <f>SUMIFS(TP!$P:$P,TP!$AI:$AI,$W$7,TP!$R:$R,$X$9,TP!$U:$U,Toimenpiteet!$AC64,TP!$W:$W,Toimenpiteet!$Y$8,TP!$X:$X,Toimenpiteet!$X$6,TP!$AD:$AD,$X$9,TP!$AF:$AF,Toimenpiteet!$Y$6,TP!$Q:$Q,Toimenpiteet!$Y$4,TP!$AG:$AG,Toimenpiteet!$Y$5,TP!$L:$L,Toimenpiteet!$V$2,TP!AL:AL,$AC$4)</f>
        <v>0</v>
      </c>
      <c r="AL64" s="638"/>
      <c r="AM64" s="646" t="s">
        <v>35</v>
      </c>
      <c r="AN64" s="646" t="s">
        <v>35</v>
      </c>
      <c r="AO64" t="s">
        <v>306</v>
      </c>
    </row>
    <row r="65" spans="1:41" ht="15" customHeight="1" x14ac:dyDescent="0.25">
      <c r="A65" s="921"/>
      <c r="B65" s="672" t="s">
        <v>1443</v>
      </c>
      <c r="C65" s="670">
        <f>SUMIFS(TP!$P:$P,TP!$AI:$AI,$W$7,TP!$R:$R,$X$9,TP!$U:$U,Toimenpiteet!$T65,TP!$W:$W,Toimenpiteet!$X$8,TP!$X:$X,Toimenpiteet!$X$6,TP!$AD:$AD,$X$9,TP!$AF:$AF,Toimenpiteet!$Y$6,TP!$Q:$Q,Toimenpiteet!$Y$4,TP!$AG:$AG,Toimenpiteet!$Y$5,TP!$L:$L,Toimenpiteet!$V$2,TP!AL:AL,$AC$4)+V65+AD65</f>
        <v>0</v>
      </c>
      <c r="D65" s="112">
        <f t="shared" si="5"/>
        <v>0</v>
      </c>
      <c r="E65" s="111">
        <f>SUMIFS(TP!$P:$P,TP!$AI:$AI,$W$7,TP!$R:$R,$X$9,TP!$U:$U,Toimenpiteet!$T65,TP!$W:$W,Toimenpiteet!$X$8,TP!$X:$X,Toimenpiteet!$X$6,TP!$V:$V,Toimenpiteet!$X$7,TP!$AD:$AD,$X$9,TP!$AF:$AF,Toimenpiteet!$Y$6,TP!$Q:$Q,Toimenpiteet!$Y$4,TP!$AG:$AG,Toimenpiteet!$Y$5,TP!$L:$L,Toimenpiteet!$V$2,TP!AL:AL,$AC$4)+W65+AE65</f>
        <v>0</v>
      </c>
      <c r="F65" s="111">
        <f>SUMIFS(TP!$P:$P,TP!$AI:$AI,$W$7,TP!$R:$R,$X$9,TP!$U:$U,Toimenpiteet!$T65,TP!$W:$W,Toimenpiteet!$X$8,TP!$X:$X,Toimenpiteet!$X$6,TP!$V:$V,Toimenpiteet!$Y$7,TP!$AD:$AD,$X$9,TP!$AF:$AF,Toimenpiteet!$Y$6,TP!$Q:$Q,Toimenpiteet!$Y$4,TP!$AG:$AG,Toimenpiteet!$Y$5,TP!$L:$L,Toimenpiteet!$V$2,TP!AL:AL,$AC$4)+X65+AF65</f>
        <v>0</v>
      </c>
      <c r="G65" s="111">
        <f>SUMIFS(TP!$P:$P,TP!$AI:$AI,$W$7,TP!$R:$R,$X$9,TP!$U:$U,Toimenpiteet!$T65,TP!$W:$W,Toimenpiteet!$Y$8,TP!$X:$X,Toimenpiteet!$X$6,TP!$AD:$AD,$X$9,TP!$AF:$AF,Toimenpiteet!$Y$6,TP!$Q:$Q,Toimenpiteet!$Y$4,TP!$AG:$AG,Toimenpiteet!$Y$5,TP!$L:$L,Toimenpiteet!$V$2,TP!AL:AL,$AC$4)+Y65+AG65</f>
        <v>0</v>
      </c>
      <c r="H65" s="113"/>
      <c r="I65" s="114"/>
      <c r="J65" s="115">
        <f>SUMIFS(TP!$P:$P,TP!$AI:$AI,$W$7,TP!$R:$R,$X$9,TP!$U:$U,Toimenpiteet!$T65,TP!$W:$W,Toimenpiteet!$X$8,TP!$X:$X,Toimenpiteet!$X$6,TP!$Z:$Z,1,TP!$AD:$AD,$X$9,TP!$AF:$AF,Toimenpiteet!$Y$6,TP!$Q:$Q,Toimenpiteet!$Y$4,TP!$AG:$AG,Toimenpiteet!$Y$5,TP!$L:$L,Toimenpiteet!$V$2,TP!AL:AL,$AC$4)</f>
        <v>0</v>
      </c>
      <c r="K65" s="111">
        <f>SUMIFS(TP!$P:$P,TP!$AI:$AI,$W$7,TP!$R:$R,$X$9,TP!$U:$U,Toimenpiteet!$T65,TP!$W:$W,Toimenpiteet!$X$8,TP!$X:$X,Toimenpiteet!$X$6,TP!$O:$O,Toimenpiteet!$Z$3,TP!$AD:$AD,$X$9,TP!$AF:$AF,Toimenpiteet!$Y$6,TP!$Q:$Q,Toimenpiteet!$Y$4,TP!$AG:$AG,Toimenpiteet!$Y$5,TP!$L:$L,Toimenpiteet!$V$2,TP!AL:AL,$AC$4)</f>
        <v>0</v>
      </c>
      <c r="L65" s="111">
        <f>SUMIFS(TP!$P:$P,TP!$AI:$AI,$W$7,TP!$R:$R,$X$9,TP!$U:$U,Toimenpiteet!$T65,TP!$W:$W,Toimenpiteet!$X$8,TP!$X:$X,Toimenpiteet!$X$6,TP!$K:$K,Toimenpiteet!$Z$6,TP!$AD:$AD,$X$9,TP!$AF:$AF,Toimenpiteet!$Y$6,TP!$Q:$Q,Toimenpiteet!$Y$4,TP!$AG:$AG,Toimenpiteet!$Y$5,TP!$L:$L,Toimenpiteet!$V$2,TP!AL:AL,$AC$4)</f>
        <v>0</v>
      </c>
      <c r="M65" s="111">
        <f>SUMIFS(TP!$P:$P,TP!$AI:$AI,$W$7,TP!$R:$R,$X$9,TP!$U:$U,Toimenpiteet!$T65,TP!$W:$W,Toimenpiteet!$X$8,TP!$X:$X,Toimenpiteet!$X$6,TP!$K:$K,Toimenpiteet!$Z$7,TP!$AD:$AD,$X$9,TP!$AF:$AF,Toimenpiteet!$Y$6,TP!$Q:$Q,Toimenpiteet!$Y$4,TP!$AG:$AG,Toimenpiteet!$Y$5,TP!$L:$L,Toimenpiteet!$V$2,TP!AL:AL,$AC$4)</f>
        <v>0</v>
      </c>
      <c r="N65" s="111">
        <f>SUMIFS(TP!$P:$P,TP!$AI:$AI,$W$7,TP!$R:$R,$X$9,TP!$U:$U,Toimenpiteet!$T65,TP!$W:$W,Toimenpiteet!$X$8,TP!$X:$X,Toimenpiteet!$X$6,TP!$K:$K,Toimenpiteet!$Z$8,TP!$AD:$AD,$X$9,TP!$AF:$AF,Toimenpiteet!$Y$6,TP!$Q:$Q,Toimenpiteet!$Y$4,TP!$AG:$AG,Toimenpiteet!$Y$5,TP!$L:$L,Toimenpiteet!$V$2,TP!AL:AL,$AC$4)</f>
        <v>0</v>
      </c>
      <c r="O65" s="116">
        <f>SUMIFS(TP!$P:$P,TP!$AI:$AI,$W$7,TP!$R:$R,$X$9,TP!$U:$U,Toimenpiteet!$T65,TP!$W:$W,Toimenpiteet!$X$8,TP!$X:$X,Toimenpiteet!$X$6,TP!$K:$K,Toimenpiteet!$Z$5,TP!$AD:$AD,$X$9,TP!$AF:$AF,Toimenpiteet!$Y$6,TP!$Q:$Q,Toimenpiteet!$Y$4,TP!$AG:$AG,Toimenpiteet!$Y$5,TP!$L:$L,Toimenpiteet!$V$2,TP!AL:AL,$AC$4)</f>
        <v>0</v>
      </c>
      <c r="T65" s="558" t="s">
        <v>1237</v>
      </c>
      <c r="U65" s="652" t="s">
        <v>296</v>
      </c>
      <c r="V65" s="111">
        <f>SUMIFS(TP!$P:$P,TP!$AI:$AI,$W$7,TP!$R:$R,$X$9,TP!$U:$U,Toimenpiteet!$U65,TP!$W:$W,Toimenpiteet!$X$8,TP!$X:$X,Toimenpiteet!$X$6,TP!$AD:$AD,$X$9,TP!$AF:$AF,Toimenpiteet!$Y$6,TP!$Q:$Q,Toimenpiteet!$Y$4,TP!$AG:$AG,Toimenpiteet!$Y$5,TP!$L:$L,Toimenpiteet!$V$2,TP!AL:AL,$AC$4)</f>
        <v>0</v>
      </c>
      <c r="W65" s="111">
        <f>SUMIFS(TP!$P:$P,TP!$AI:$AI,$W$7,TP!$R:$R,$X$9,TP!$U:$U,Toimenpiteet!$U65,TP!$W:$W,Toimenpiteet!$X$8,TP!$X:$X,Toimenpiteet!$X$6,TP!$V:$V,Toimenpiteet!$X$7,TP!$AD:$AD,$X$9,TP!$AF:$AF,Toimenpiteet!$Y$6,TP!$Q:$Q,Toimenpiteet!$Y$4,TP!$AG:$AG,Toimenpiteet!$Y$5,TP!$L:$L,Toimenpiteet!$V$2,TP!AL:AL,$AC$4)</f>
        <v>0</v>
      </c>
      <c r="X65" s="111">
        <f>SUMIFS(TP!$P:$P,TP!$AI:$AI,$W$7,TP!$R:$R,$X$9,TP!$U:$U,Toimenpiteet!$U65,TP!$W:$W,Toimenpiteet!$X$8,TP!$X:$X,Toimenpiteet!$X$6,TP!$V:$V,Toimenpiteet!$Y$7,TP!$AD:$AD,$X$9,TP!$AF:$AF,Toimenpiteet!$Y$6,TP!$Q:$Q,Toimenpiteet!$Y$4,TP!$AG:$AG,Toimenpiteet!$Y$5,TP!$L:$L,Toimenpiteet!$V$2,TP!AL:AL,$AC$4)</f>
        <v>0</v>
      </c>
      <c r="Y65" s="111">
        <f>SUMIFS(TP!$P:$P,TP!$AI:$AI,$W$7,TP!$R:$R,$X$9,TP!$U:$U,Toimenpiteet!$U65,TP!$W:$W,Toimenpiteet!$Y$8,TP!$X:$X,Toimenpiteet!$X$6,TP!$AD:$AD,$X$9,TP!$AF:$AF,Toimenpiteet!$Y$6,TP!$Q:$Q,Toimenpiteet!$Y$4,TP!$AG:$AG,Toimenpiteet!$Y$5,TP!$L:$L,Toimenpiteet!$V$2,TP!AL:AL,$AC$4)</f>
        <v>0</v>
      </c>
      <c r="AD65" s="111">
        <f>SUMIFS(TP!$P:$P,TP!$AI:$AI,$W$7,TP!$R:$R,$X$9,TP!$U:$U,Toimenpiteet!$AC65,TP!$W:$W,Toimenpiteet!$X$8,TP!$X:$X,Toimenpiteet!$X$6,TP!$AD:$AD,$X$9,TP!$AF:$AF,Toimenpiteet!$Y$6,TP!$Q:$Q,Toimenpiteet!$Y$4,TP!$AG:$AG,Toimenpiteet!$Y$5,TP!$L:$L,Toimenpiteet!$V$2,TP!AL:AL,$AC$4)</f>
        <v>0</v>
      </c>
      <c r="AE65" s="111">
        <f>SUMIFS(TP!$P:$P,TP!$AI:$AI,$W$7,TP!$R:$R,$X$9,TP!$U:$U,Toimenpiteet!$AC65,TP!$W:$W,Toimenpiteet!$X$8,TP!$X:$X,Toimenpiteet!$X$6,TP!$V:$V,Toimenpiteet!$X$7,TP!$AD:$AD,$X$9,TP!$AF:$AF,Toimenpiteet!$Y$6,TP!$Q:$Q,Toimenpiteet!$Y$4,TP!$AG:$AG,Toimenpiteet!$Y$5,TP!$L:$L,Toimenpiteet!$V$2,TP!AL:AL,$AC$4)</f>
        <v>0</v>
      </c>
      <c r="AF65" s="111">
        <f>SUMIFS(TP!$P:$P,TP!$AI:$AI,$W$7,TP!$R:$R,$X$9,TP!$U:$U,Toimenpiteet!$AC65,TP!$W:$W,Toimenpiteet!$X$8,TP!$X:$X,Toimenpiteet!$X$6,TP!$V:$V,Toimenpiteet!$Y$7,TP!$AD:$AD,$X$9,TP!$AF:$AF,Toimenpiteet!$Y$6,TP!$Q:$Q,Toimenpiteet!$Y$4,TP!$AG:$AG,Toimenpiteet!$Y$5,TP!$L:$L,Toimenpiteet!$V$2,TP!AL:AL,$AC$4)</f>
        <v>0</v>
      </c>
      <c r="AG65" s="111">
        <f>SUMIFS(TP!$P:$P,TP!$AI:$AI,$W$7,TP!$R:$R,$X$9,TP!$U:$U,Toimenpiteet!$AC65,TP!$W:$W,Toimenpiteet!$Y$8,TP!$X:$X,Toimenpiteet!$X$6,TP!$AD:$AD,$X$9,TP!$AF:$AF,Toimenpiteet!$Y$6,TP!$Q:$Q,Toimenpiteet!$Y$4,TP!$AG:$AG,Toimenpiteet!$Y$5,TP!$L:$L,Toimenpiteet!$V$2,TP!AL:AL,$AC$4)</f>
        <v>0</v>
      </c>
      <c r="AL65" s="643" t="s">
        <v>1397</v>
      </c>
      <c r="AM65" s="645" t="s">
        <v>1401</v>
      </c>
      <c r="AN65" s="645" t="s">
        <v>37</v>
      </c>
      <c r="AO65" t="s">
        <v>1237</v>
      </c>
    </row>
    <row r="66" spans="1:41" x14ac:dyDescent="0.25">
      <c r="A66" s="921"/>
      <c r="B66" s="672" t="s">
        <v>1444</v>
      </c>
      <c r="C66" s="670">
        <f>SUMIFS(TP!$P:$P,TP!$AI:$AI,$W$7,TP!$R:$R,$X$9,TP!$U:$U,Toimenpiteet!$T66,TP!$W:$W,Toimenpiteet!$X$8,TP!$X:$X,Toimenpiteet!$X$6,TP!$AD:$AD,$X$9,TP!$AF:$AF,Toimenpiteet!$Y$6,TP!$Q:$Q,Toimenpiteet!$Y$4,TP!$AG:$AG,Toimenpiteet!$Y$5,TP!$L:$L,Toimenpiteet!$V$2,TP!AL:AL,$AC$4)+V66+AD66</f>
        <v>0</v>
      </c>
      <c r="D66" s="112">
        <f t="shared" si="5"/>
        <v>0</v>
      </c>
      <c r="E66" s="111">
        <f>SUMIFS(TP!$P:$P,TP!$AI:$AI,$W$7,TP!$R:$R,$X$9,TP!$U:$U,Toimenpiteet!$T66,TP!$W:$W,Toimenpiteet!$X$8,TP!$X:$X,Toimenpiteet!$X$6,TP!$V:$V,Toimenpiteet!$X$7,TP!$AD:$AD,$X$9,TP!$AF:$AF,Toimenpiteet!$Y$6,TP!$Q:$Q,Toimenpiteet!$Y$4,TP!$AG:$AG,Toimenpiteet!$Y$5,TP!$L:$L,Toimenpiteet!$V$2,TP!AL:AL,$AC$4)+W66+AE66</f>
        <v>0</v>
      </c>
      <c r="F66" s="111">
        <f>SUMIFS(TP!$P:$P,TP!$AI:$AI,$W$7,TP!$R:$R,$X$9,TP!$U:$U,Toimenpiteet!$T66,TP!$W:$W,Toimenpiteet!$X$8,TP!$X:$X,Toimenpiteet!$X$6,TP!$V:$V,Toimenpiteet!$Y$7,TP!$AD:$AD,$X$9,TP!$AF:$AF,Toimenpiteet!$Y$6,TP!$Q:$Q,Toimenpiteet!$Y$4,TP!$AG:$AG,Toimenpiteet!$Y$5,TP!$L:$L,Toimenpiteet!$V$2,TP!AL:AL,$AC$4)+X66+AF66</f>
        <v>0</v>
      </c>
      <c r="G66" s="111">
        <f>SUMIFS(TP!$P:$P,TP!$AI:$AI,$W$7,TP!$R:$R,$X$9,TP!$U:$U,Toimenpiteet!$T66,TP!$W:$W,Toimenpiteet!$Y$8,TP!$X:$X,Toimenpiteet!$X$6,TP!$AD:$AD,$X$9,TP!$AF:$AF,Toimenpiteet!$Y$6,TP!$Q:$Q,Toimenpiteet!$Y$4,TP!$AG:$AG,Toimenpiteet!$Y$5,TP!$L:$L,Toimenpiteet!$V$2,TP!AL:AL,$AC$4)+Y66+AG66</f>
        <v>0</v>
      </c>
      <c r="H66" s="113"/>
      <c r="I66" s="114"/>
      <c r="J66" s="115">
        <f>SUMIFS(TP!$P:$P,TP!$AI:$AI,$W$7,TP!$R:$R,$X$9,TP!$U:$U,Toimenpiteet!$T66,TP!$W:$W,Toimenpiteet!$X$8,TP!$X:$X,Toimenpiteet!$X$6,TP!$Z:$Z,1,TP!$AD:$AD,$X$9,TP!$AF:$AF,Toimenpiteet!$Y$6,TP!$Q:$Q,Toimenpiteet!$Y$4,TP!$AG:$AG,Toimenpiteet!$Y$5,TP!$L:$L,Toimenpiteet!$V$2,TP!AL:AL,$AC$4)</f>
        <v>0</v>
      </c>
      <c r="K66" s="111">
        <f>SUMIFS(TP!$P:$P,TP!$AI:$AI,$W$7,TP!$R:$R,$X$9,TP!$U:$U,Toimenpiteet!$T66,TP!$W:$W,Toimenpiteet!$X$8,TP!$X:$X,Toimenpiteet!$X$6,TP!$O:$O,Toimenpiteet!$Z$3,TP!$AD:$AD,$X$9,TP!$AF:$AF,Toimenpiteet!$Y$6,TP!$Q:$Q,Toimenpiteet!$Y$4,TP!$AG:$AG,Toimenpiteet!$Y$5,TP!$L:$L,Toimenpiteet!$V$2,TP!AL:AL,$AC$4)</f>
        <v>0</v>
      </c>
      <c r="L66" s="111">
        <f>SUMIFS(TP!$P:$P,TP!$AI:$AI,$W$7,TP!$R:$R,$X$9,TP!$U:$U,Toimenpiteet!$T66,TP!$W:$W,Toimenpiteet!$X$8,TP!$X:$X,Toimenpiteet!$X$6,TP!$K:$K,Toimenpiteet!$Z$6,TP!$AD:$AD,$X$9,TP!$AF:$AF,Toimenpiteet!$Y$6,TP!$Q:$Q,Toimenpiteet!$Y$4,TP!$AG:$AG,Toimenpiteet!$Y$5,TP!$L:$L,Toimenpiteet!$V$2,TP!AL:AL,$AC$4)</f>
        <v>0</v>
      </c>
      <c r="M66" s="111">
        <f>SUMIFS(TP!$P:$P,TP!$AI:$AI,$W$7,TP!$R:$R,$X$9,TP!$U:$U,Toimenpiteet!$T66,TP!$W:$W,Toimenpiteet!$X$8,TP!$X:$X,Toimenpiteet!$X$6,TP!$K:$K,Toimenpiteet!$Z$7,TP!$AD:$AD,$X$9,TP!$AF:$AF,Toimenpiteet!$Y$6,TP!$Q:$Q,Toimenpiteet!$Y$4,TP!$AG:$AG,Toimenpiteet!$Y$5,TP!$L:$L,Toimenpiteet!$V$2,TP!AL:AL,$AC$4)</f>
        <v>0</v>
      </c>
      <c r="N66" s="111">
        <f>SUMIFS(TP!$P:$P,TP!$AI:$AI,$W$7,TP!$R:$R,$X$9,TP!$U:$U,Toimenpiteet!$T66,TP!$W:$W,Toimenpiteet!$X$8,TP!$X:$X,Toimenpiteet!$X$6,TP!$K:$K,Toimenpiteet!$Z$8,TP!$AD:$AD,$X$9,TP!$AF:$AF,Toimenpiteet!$Y$6,TP!$Q:$Q,Toimenpiteet!$Y$4,TP!$AG:$AG,Toimenpiteet!$Y$5,TP!$L:$L,Toimenpiteet!$V$2,TP!AL:AL,$AC$4)</f>
        <v>0</v>
      </c>
      <c r="O66" s="116">
        <f>SUMIFS(TP!$P:$P,TP!$AI:$AI,$W$7,TP!$R:$R,$X$9,TP!$U:$U,Toimenpiteet!$T66,TP!$W:$W,Toimenpiteet!$X$8,TP!$X:$X,Toimenpiteet!$X$6,TP!$K:$K,Toimenpiteet!$Z$5,TP!$AD:$AD,$X$9,TP!$AF:$AF,Toimenpiteet!$Y$6,TP!$Q:$Q,Toimenpiteet!$Y$4,TP!$AG:$AG,Toimenpiteet!$Y$5,TP!$L:$L,Toimenpiteet!$V$2,TP!AL:AL,$AC$4)</f>
        <v>0</v>
      </c>
      <c r="T66" s="651" t="s">
        <v>1124</v>
      </c>
      <c r="V66" s="111">
        <f>SUMIFS(TP!$P:$P,TP!$AI:$AI,$W$7,TP!$R:$R,$X$9,TP!$U:$U,Toimenpiteet!$U66,TP!$W:$W,Toimenpiteet!$X$8,TP!$X:$X,Toimenpiteet!$X$6,TP!$AD:$AD,$X$9,TP!$AF:$AF,Toimenpiteet!$Y$6,TP!$Q:$Q,Toimenpiteet!$Y$4,TP!$AG:$AG,Toimenpiteet!$Y$5,TP!$L:$L,Toimenpiteet!$V$2,TP!AL:AL,$AC$4)</f>
        <v>0</v>
      </c>
      <c r="W66" s="111">
        <f>SUMIFS(TP!$P:$P,TP!$AI:$AI,$W$7,TP!$R:$R,$X$9,TP!$U:$U,Toimenpiteet!$U66,TP!$W:$W,Toimenpiteet!$X$8,TP!$X:$X,Toimenpiteet!$X$6,TP!$V:$V,Toimenpiteet!$X$7,TP!$AD:$AD,$X$9,TP!$AF:$AF,Toimenpiteet!$Y$6,TP!$Q:$Q,Toimenpiteet!$Y$4,TP!$AG:$AG,Toimenpiteet!$Y$5,TP!$L:$L,Toimenpiteet!$V$2,TP!AL:AL,$AC$4)</f>
        <v>0</v>
      </c>
      <c r="X66" s="111">
        <f>SUMIFS(TP!$P:$P,TP!$AI:$AI,$W$7,TP!$R:$R,$X$9,TP!$U:$U,Toimenpiteet!$U66,TP!$W:$W,Toimenpiteet!$X$8,TP!$X:$X,Toimenpiteet!$X$6,TP!$V:$V,Toimenpiteet!$Y$7,TP!$AD:$AD,$X$9,TP!$AF:$AF,Toimenpiteet!$Y$6,TP!$Q:$Q,Toimenpiteet!$Y$4,TP!$AG:$AG,Toimenpiteet!$Y$5,TP!$L:$L,Toimenpiteet!$V$2,TP!AL:AL,$AC$4)</f>
        <v>0</v>
      </c>
      <c r="Y66" s="111">
        <f>SUMIFS(TP!$P:$P,TP!$AI:$AI,$W$7,TP!$R:$R,$X$9,TP!$U:$U,Toimenpiteet!$U66,TP!$W:$W,Toimenpiteet!$Y$8,TP!$X:$X,Toimenpiteet!$X$6,TP!$AD:$AD,$X$9,TP!$AF:$AF,Toimenpiteet!$Y$6,TP!$Q:$Q,Toimenpiteet!$Y$4,TP!$AG:$AG,Toimenpiteet!$Y$5,TP!$L:$L,Toimenpiteet!$V$2,TP!AL:AL,$AC$4)</f>
        <v>0</v>
      </c>
      <c r="AD66" s="111">
        <f>SUMIFS(TP!$P:$P,TP!$AI:$AI,$W$7,TP!$R:$R,$X$9,TP!$U:$U,Toimenpiteet!$AC66,TP!$W:$W,Toimenpiteet!$X$8,TP!$X:$X,Toimenpiteet!$X$6,TP!$AD:$AD,$X$9,TP!$AF:$AF,Toimenpiteet!$Y$6,TP!$Q:$Q,Toimenpiteet!$Y$4,TP!$AG:$AG,Toimenpiteet!$Y$5,TP!$L:$L,Toimenpiteet!$V$2,TP!AL:AL,$AC$4)</f>
        <v>0</v>
      </c>
      <c r="AE66" s="111">
        <f>SUMIFS(TP!$P:$P,TP!$AI:$AI,$W$7,TP!$R:$R,$X$9,TP!$U:$U,Toimenpiteet!$AC66,TP!$W:$W,Toimenpiteet!$X$8,TP!$X:$X,Toimenpiteet!$X$6,TP!$V:$V,Toimenpiteet!$X$7,TP!$AD:$AD,$X$9,TP!$AF:$AF,Toimenpiteet!$Y$6,TP!$Q:$Q,Toimenpiteet!$Y$4,TP!$AG:$AG,Toimenpiteet!$Y$5,TP!$L:$L,Toimenpiteet!$V$2,TP!AL:AL,$AC$4)</f>
        <v>0</v>
      </c>
      <c r="AF66" s="111">
        <f>SUMIFS(TP!$P:$P,TP!$AI:$AI,$W$7,TP!$R:$R,$X$9,TP!$U:$U,Toimenpiteet!$AC66,TP!$W:$W,Toimenpiteet!$X$8,TP!$X:$X,Toimenpiteet!$X$6,TP!$V:$V,Toimenpiteet!$Y$7,TP!$AD:$AD,$X$9,TP!$AF:$AF,Toimenpiteet!$Y$6,TP!$Q:$Q,Toimenpiteet!$Y$4,TP!$AG:$AG,Toimenpiteet!$Y$5,TP!$L:$L,Toimenpiteet!$V$2,TP!AL:AL,$AC$4)</f>
        <v>0</v>
      </c>
      <c r="AG66" s="111">
        <f>SUMIFS(TP!$P:$P,TP!$AI:$AI,$W$7,TP!$R:$R,$X$9,TP!$U:$U,Toimenpiteet!$AC66,TP!$W:$W,Toimenpiteet!$Y$8,TP!$X:$X,Toimenpiteet!$X$6,TP!$AD:$AD,$X$9,TP!$AF:$AF,Toimenpiteet!$Y$6,TP!$Q:$Q,Toimenpiteet!$Y$4,TP!$AG:$AG,Toimenpiteet!$Y$5,TP!$L:$L,Toimenpiteet!$V$2,TP!AL:AL,$AC$4)</f>
        <v>0</v>
      </c>
      <c r="AL66" s="638"/>
      <c r="AM66" s="646" t="s">
        <v>1402</v>
      </c>
      <c r="AN66" s="646" t="s">
        <v>1402</v>
      </c>
      <c r="AO66" t="s">
        <v>1124</v>
      </c>
    </row>
    <row r="67" spans="1:41" x14ac:dyDescent="0.25">
      <c r="A67" s="921"/>
      <c r="B67" s="672" t="s">
        <v>1445</v>
      </c>
      <c r="C67" s="670">
        <f>SUMIFS(TP!$P:$P,TP!$AI:$AI,$W$7,TP!$R:$R,$X$9,TP!$U:$U,Toimenpiteet!$T67,TP!$W:$W,Toimenpiteet!$X$8,TP!$X:$X,Toimenpiteet!$X$6,TP!$AD:$AD,$X$9,TP!$AF:$AF,Toimenpiteet!$Y$6,TP!$Q:$Q,Toimenpiteet!$Y$4,TP!$AG:$AG,Toimenpiteet!$Y$5,TP!$L:$L,Toimenpiteet!$V$2,TP!AL:AL,$AC$4)+V67+AD67</f>
        <v>0</v>
      </c>
      <c r="D67" s="112">
        <f t="shared" si="5"/>
        <v>0</v>
      </c>
      <c r="E67" s="111">
        <f>SUMIFS(TP!$P:$P,TP!$AI:$AI,$W$7,TP!$R:$R,$X$9,TP!$U:$U,Toimenpiteet!$T67,TP!$W:$W,Toimenpiteet!$X$8,TP!$X:$X,Toimenpiteet!$X$6,TP!$V:$V,Toimenpiteet!$X$7,TP!$AD:$AD,$X$9,TP!$AF:$AF,Toimenpiteet!$Y$6,TP!$Q:$Q,Toimenpiteet!$Y$4,TP!$AG:$AG,Toimenpiteet!$Y$5,TP!$L:$L,Toimenpiteet!$V$2,TP!AL:AL,$AC$4)+W67+AE67</f>
        <v>0</v>
      </c>
      <c r="F67" s="111">
        <f>SUMIFS(TP!$P:$P,TP!$AI:$AI,$W$7,TP!$R:$R,$X$9,TP!$U:$U,Toimenpiteet!$T67,TP!$W:$W,Toimenpiteet!$X$8,TP!$X:$X,Toimenpiteet!$X$6,TP!$V:$V,Toimenpiteet!$Y$7,TP!$AD:$AD,$X$9,TP!$AF:$AF,Toimenpiteet!$Y$6,TP!$Q:$Q,Toimenpiteet!$Y$4,TP!$AG:$AG,Toimenpiteet!$Y$5,TP!$L:$L,Toimenpiteet!$V$2,TP!AL:AL,$AC$4)+X67+AF67</f>
        <v>0</v>
      </c>
      <c r="G67" s="111">
        <f>SUMIFS(TP!$P:$P,TP!$AI:$AI,$W$7,TP!$R:$R,$X$9,TP!$U:$U,Toimenpiteet!$T67,TP!$W:$W,Toimenpiteet!$Y$8,TP!$X:$X,Toimenpiteet!$X$6,TP!$AD:$AD,$X$9,TP!$AF:$AF,Toimenpiteet!$Y$6,TP!$Q:$Q,Toimenpiteet!$Y$4,TP!$AG:$AG,Toimenpiteet!$Y$5,TP!$L:$L,Toimenpiteet!$V$2,TP!AL:AL,$AC$4)+Y67+AG67</f>
        <v>0</v>
      </c>
      <c r="H67" s="113"/>
      <c r="I67" s="114"/>
      <c r="J67" s="115">
        <f>SUMIFS(TP!$P:$P,TP!$AI:$AI,$W$7,TP!$R:$R,$X$9,TP!$U:$U,Toimenpiteet!$T67,TP!$W:$W,Toimenpiteet!$X$8,TP!$X:$X,Toimenpiteet!$X$6,TP!$Z:$Z,1,TP!$AD:$AD,$X$9,TP!$AF:$AF,Toimenpiteet!$Y$6,TP!$Q:$Q,Toimenpiteet!$Y$4,TP!$AG:$AG,Toimenpiteet!$Y$5,TP!$L:$L,Toimenpiteet!$V$2,TP!AL:AL,$AC$4)</f>
        <v>0</v>
      </c>
      <c r="K67" s="111">
        <f>SUMIFS(TP!$P:$P,TP!$AI:$AI,$W$7,TP!$R:$R,$X$9,TP!$U:$U,Toimenpiteet!$T67,TP!$W:$W,Toimenpiteet!$X$8,TP!$X:$X,Toimenpiteet!$X$6,TP!$O:$O,Toimenpiteet!$Z$3,TP!$AD:$AD,$X$9,TP!$AF:$AF,Toimenpiteet!$Y$6,TP!$Q:$Q,Toimenpiteet!$Y$4,TP!$AG:$AG,Toimenpiteet!$Y$5,TP!$L:$L,Toimenpiteet!$V$2,TP!AL:AL,$AC$4)</f>
        <v>0</v>
      </c>
      <c r="L67" s="111">
        <f>SUMIFS(TP!$P:$P,TP!$AI:$AI,$W$7,TP!$R:$R,$X$9,TP!$U:$U,Toimenpiteet!$T67,TP!$W:$W,Toimenpiteet!$X$8,TP!$X:$X,Toimenpiteet!$X$6,TP!$K:$K,Toimenpiteet!$Z$6,TP!$AD:$AD,$X$9,TP!$AF:$AF,Toimenpiteet!$Y$6,TP!$Q:$Q,Toimenpiteet!$Y$4,TP!$AG:$AG,Toimenpiteet!$Y$5,TP!$L:$L,Toimenpiteet!$V$2,TP!AL:AL,$AC$4)</f>
        <v>0</v>
      </c>
      <c r="M67" s="111">
        <f>SUMIFS(TP!$P:$P,TP!$AI:$AI,$W$7,TP!$R:$R,$X$9,TP!$U:$U,Toimenpiteet!$T67,TP!$W:$W,Toimenpiteet!$X$8,TP!$X:$X,Toimenpiteet!$X$6,TP!$K:$K,Toimenpiteet!$Z$7,TP!$AD:$AD,$X$9,TP!$AF:$AF,Toimenpiteet!$Y$6,TP!$Q:$Q,Toimenpiteet!$Y$4,TP!$AG:$AG,Toimenpiteet!$Y$5,TP!$L:$L,Toimenpiteet!$V$2,TP!AL:AL,$AC$4)</f>
        <v>0</v>
      </c>
      <c r="N67" s="111">
        <f>SUMIFS(TP!$P:$P,TP!$AI:$AI,$W$7,TP!$R:$R,$X$9,TP!$U:$U,Toimenpiteet!$T67,TP!$W:$W,Toimenpiteet!$X$8,TP!$X:$X,Toimenpiteet!$X$6,TP!$K:$K,Toimenpiteet!$Z$8,TP!$AD:$AD,$X$9,TP!$AF:$AF,Toimenpiteet!$Y$6,TP!$Q:$Q,Toimenpiteet!$Y$4,TP!$AG:$AG,Toimenpiteet!$Y$5,TP!$L:$L,Toimenpiteet!$V$2,TP!AL:AL,$AC$4)</f>
        <v>0</v>
      </c>
      <c r="O67" s="116">
        <f>SUMIFS(TP!$P:$P,TP!$AI:$AI,$W$7,TP!$R:$R,$X$9,TP!$U:$U,Toimenpiteet!$T67,TP!$W:$W,Toimenpiteet!$X$8,TP!$X:$X,Toimenpiteet!$X$6,TP!$K:$K,Toimenpiteet!$Z$5,TP!$AD:$AD,$X$9,TP!$AF:$AF,Toimenpiteet!$Y$6,TP!$Q:$Q,Toimenpiteet!$Y$4,TP!$AG:$AG,Toimenpiteet!$Y$5,TP!$L:$L,Toimenpiteet!$V$2,TP!AL:AL,$AC$4)</f>
        <v>0</v>
      </c>
      <c r="T67" s="558" t="s">
        <v>1238</v>
      </c>
      <c r="U67" s="654" t="s">
        <v>298</v>
      </c>
      <c r="V67" s="111">
        <f>SUMIFS(TP!$P:$P,TP!$AI:$AI,$W$7,TP!$R:$R,$X$9,TP!$U:$U,Toimenpiteet!$U67,TP!$W:$W,Toimenpiteet!$X$8,TP!$X:$X,Toimenpiteet!$X$6,TP!$AD:$AD,$X$9,TP!$AF:$AF,Toimenpiteet!$Y$6,TP!$Q:$Q,Toimenpiteet!$Y$4,TP!$AG:$AG,Toimenpiteet!$Y$5,TP!$L:$L,Toimenpiteet!$V$2,TP!AL:AL,$AC$4)</f>
        <v>0</v>
      </c>
      <c r="W67" s="111">
        <f>SUMIFS(TP!$P:$P,TP!$AI:$AI,$W$7,TP!$R:$R,$X$9,TP!$U:$U,Toimenpiteet!$U67,TP!$W:$W,Toimenpiteet!$X$8,TP!$X:$X,Toimenpiteet!$X$6,TP!$V:$V,Toimenpiteet!$X$7,TP!$AD:$AD,$X$9,TP!$AF:$AF,Toimenpiteet!$Y$6,TP!$Q:$Q,Toimenpiteet!$Y$4,TP!$AG:$AG,Toimenpiteet!$Y$5,TP!$L:$L,Toimenpiteet!$V$2,TP!AL:AL,$AC$4)</f>
        <v>0</v>
      </c>
      <c r="X67" s="111">
        <f>SUMIFS(TP!$P:$P,TP!$AI:$AI,$W$7,TP!$R:$R,$X$9,TP!$U:$U,Toimenpiteet!$U67,TP!$W:$W,Toimenpiteet!$X$8,TP!$X:$X,Toimenpiteet!$X$6,TP!$V:$V,Toimenpiteet!$Y$7,TP!$AD:$AD,$X$9,TP!$AF:$AF,Toimenpiteet!$Y$6,TP!$Q:$Q,Toimenpiteet!$Y$4,TP!$AG:$AG,Toimenpiteet!$Y$5,TP!$L:$L,Toimenpiteet!$V$2,TP!AL:AL,$AC$4)</f>
        <v>0</v>
      </c>
      <c r="Y67" s="111">
        <f>SUMIFS(TP!$P:$P,TP!$AI:$AI,$W$7,TP!$R:$R,$X$9,TP!$U:$U,Toimenpiteet!$U67,TP!$W:$W,Toimenpiteet!$Y$8,TP!$X:$X,Toimenpiteet!$X$6,TP!$AD:$AD,$X$9,TP!$AF:$AF,Toimenpiteet!$Y$6,TP!$Q:$Q,Toimenpiteet!$Y$4,TP!$AG:$AG,Toimenpiteet!$Y$5,TP!$L:$L,Toimenpiteet!$V$2,TP!AL:AL,$AC$4)</f>
        <v>0</v>
      </c>
      <c r="AD67" s="111">
        <f>SUMIFS(TP!$P:$P,TP!$AI:$AI,$W$7,TP!$R:$R,$X$9,TP!$U:$U,Toimenpiteet!$AC67,TP!$W:$W,Toimenpiteet!$X$8,TP!$X:$X,Toimenpiteet!$X$6,TP!$AD:$AD,$X$9,TP!$AF:$AF,Toimenpiteet!$Y$6,TP!$Q:$Q,Toimenpiteet!$Y$4,TP!$AG:$AG,Toimenpiteet!$Y$5,TP!$L:$L,Toimenpiteet!$V$2,TP!AL:AL,$AC$4)</f>
        <v>0</v>
      </c>
      <c r="AE67" s="111">
        <f>SUMIFS(TP!$P:$P,TP!$AI:$AI,$W$7,TP!$R:$R,$X$9,TP!$U:$U,Toimenpiteet!$AC67,TP!$W:$W,Toimenpiteet!$X$8,TP!$X:$X,Toimenpiteet!$X$6,TP!$V:$V,Toimenpiteet!$X$7,TP!$AD:$AD,$X$9,TP!$AF:$AF,Toimenpiteet!$Y$6,TP!$Q:$Q,Toimenpiteet!$Y$4,TP!$AG:$AG,Toimenpiteet!$Y$5,TP!$L:$L,Toimenpiteet!$V$2,TP!AL:AL,$AC$4)</f>
        <v>0</v>
      </c>
      <c r="AF67" s="111">
        <f>SUMIFS(TP!$P:$P,TP!$AI:$AI,$W$7,TP!$R:$R,$X$9,TP!$U:$U,Toimenpiteet!$AC67,TP!$W:$W,Toimenpiteet!$X$8,TP!$X:$X,Toimenpiteet!$X$6,TP!$V:$V,Toimenpiteet!$Y$7,TP!$AD:$AD,$X$9,TP!$AF:$AF,Toimenpiteet!$Y$6,TP!$Q:$Q,Toimenpiteet!$Y$4,TP!$AG:$AG,Toimenpiteet!$Y$5,TP!$L:$L,Toimenpiteet!$V$2,TP!AL:AL,$AC$4)</f>
        <v>0</v>
      </c>
      <c r="AG67" s="111">
        <f>SUMIFS(TP!$P:$P,TP!$AI:$AI,$W$7,TP!$R:$R,$X$9,TP!$U:$U,Toimenpiteet!$AC67,TP!$W:$W,Toimenpiteet!$Y$8,TP!$X:$X,Toimenpiteet!$X$6,TP!$AD:$AD,$X$9,TP!$AF:$AF,Toimenpiteet!$Y$6,TP!$Q:$Q,Toimenpiteet!$Y$4,TP!$AG:$AG,Toimenpiteet!$Y$5,TP!$L:$L,Toimenpiteet!$V$2,TP!AL:AL,$AC$4)</f>
        <v>0</v>
      </c>
      <c r="AL67" s="643" t="s">
        <v>1397</v>
      </c>
      <c r="AM67" s="645" t="s">
        <v>1403</v>
      </c>
      <c r="AN67" s="645" t="s">
        <v>53</v>
      </c>
      <c r="AO67" t="s">
        <v>1238</v>
      </c>
    </row>
    <row r="68" spans="1:41" x14ac:dyDescent="0.25">
      <c r="A68" s="921"/>
      <c r="B68" s="672" t="s">
        <v>1446</v>
      </c>
      <c r="C68" s="670">
        <f>SUMIFS(TP!$P:$P,TP!$AI:$AI,$W$7,TP!$R:$R,$X$9,TP!$U:$U,Toimenpiteet!$T68,TP!$W:$W,Toimenpiteet!$X$8,TP!$X:$X,Toimenpiteet!$X$6,TP!$AD:$AD,$X$9,TP!$AF:$AF,Toimenpiteet!$Y$6,TP!$Q:$Q,Toimenpiteet!$Y$4,TP!$AG:$AG,Toimenpiteet!$Y$5,TP!$L:$L,Toimenpiteet!$V$2,TP!AL:AL,$AC$4)+V68+AD68</f>
        <v>0</v>
      </c>
      <c r="D68" s="112">
        <f t="shared" si="5"/>
        <v>0</v>
      </c>
      <c r="E68" s="111">
        <f>SUMIFS(TP!$P:$P,TP!$AI:$AI,$W$7,TP!$R:$R,$X$9,TP!$U:$U,Toimenpiteet!$T68,TP!$W:$W,Toimenpiteet!$X$8,TP!$X:$X,Toimenpiteet!$X$6,TP!$V:$V,Toimenpiteet!$X$7,TP!$AD:$AD,$X$9,TP!$AF:$AF,Toimenpiteet!$Y$6,TP!$Q:$Q,Toimenpiteet!$Y$4,TP!$AG:$AG,Toimenpiteet!$Y$5,TP!$L:$L,Toimenpiteet!$V$2,TP!AL:AL,$AC$4)+W68+AE68</f>
        <v>0</v>
      </c>
      <c r="F68" s="111">
        <f>SUMIFS(TP!$P:$P,TP!$AI:$AI,$W$7,TP!$R:$R,$X$9,TP!$U:$U,Toimenpiteet!$T68,TP!$W:$W,Toimenpiteet!$X$8,TP!$X:$X,Toimenpiteet!$X$6,TP!$V:$V,Toimenpiteet!$Y$7,TP!$AD:$AD,$X$9,TP!$AF:$AF,Toimenpiteet!$Y$6,TP!$Q:$Q,Toimenpiteet!$Y$4,TP!$AG:$AG,Toimenpiteet!$Y$5,TP!$L:$L,Toimenpiteet!$V$2,TP!AL:AL,$AC$4)+X68+AF68</f>
        <v>0</v>
      </c>
      <c r="G68" s="111">
        <f>SUMIFS(TP!$P:$P,TP!$AI:$AI,$W$7,TP!$R:$R,$X$9,TP!$U:$U,Toimenpiteet!$T68,TP!$W:$W,Toimenpiteet!$Y$8,TP!$X:$X,Toimenpiteet!$X$6,TP!$AD:$AD,$X$9,TP!$AF:$AF,Toimenpiteet!$Y$6,TP!$Q:$Q,Toimenpiteet!$Y$4,TP!$AG:$AG,Toimenpiteet!$Y$5,TP!$L:$L,Toimenpiteet!$V$2,TP!AL:AL,$AC$4)+Y68+AG68</f>
        <v>0</v>
      </c>
      <c r="H68" s="113"/>
      <c r="I68" s="114"/>
      <c r="J68" s="115">
        <f>SUMIFS(TP!$P:$P,TP!$AI:$AI,$W$7,TP!$R:$R,$X$9,TP!$U:$U,Toimenpiteet!$T68,TP!$W:$W,Toimenpiteet!$X$8,TP!$X:$X,Toimenpiteet!$X$6,TP!$Z:$Z,1,TP!$AD:$AD,$X$9,TP!$AF:$AF,Toimenpiteet!$Y$6,TP!$Q:$Q,Toimenpiteet!$Y$4,TP!$AG:$AG,Toimenpiteet!$Y$5,TP!$L:$L,Toimenpiteet!$V$2,TP!AL:AL,$AC$4)</f>
        <v>0</v>
      </c>
      <c r="K68" s="111">
        <f>SUMIFS(TP!$P:$P,TP!$AI:$AI,$W$7,TP!$R:$R,$X$9,TP!$U:$U,Toimenpiteet!$T68,TP!$W:$W,Toimenpiteet!$X$8,TP!$X:$X,Toimenpiteet!$X$6,TP!$O:$O,Toimenpiteet!$Z$3,TP!$AD:$AD,$X$9,TP!$AF:$AF,Toimenpiteet!$Y$6,TP!$Q:$Q,Toimenpiteet!$Y$4,TP!$AG:$AG,Toimenpiteet!$Y$5,TP!$L:$L,Toimenpiteet!$V$2,TP!AL:AL,$AC$4)</f>
        <v>0</v>
      </c>
      <c r="L68" s="111">
        <f>SUMIFS(TP!$P:$P,TP!$AI:$AI,$W$7,TP!$R:$R,$X$9,TP!$U:$U,Toimenpiteet!$T68,TP!$W:$W,Toimenpiteet!$X$8,TP!$X:$X,Toimenpiteet!$X$6,TP!$K:$K,Toimenpiteet!$Z$6,TP!$AD:$AD,$X$9,TP!$AF:$AF,Toimenpiteet!$Y$6,TP!$Q:$Q,Toimenpiteet!$Y$4,TP!$AG:$AG,Toimenpiteet!$Y$5,TP!$L:$L,Toimenpiteet!$V$2,TP!AL:AL,$AC$4)</f>
        <v>0</v>
      </c>
      <c r="M68" s="111">
        <f>SUMIFS(TP!$P:$P,TP!$AI:$AI,$W$7,TP!$R:$R,$X$9,TP!$U:$U,Toimenpiteet!$T68,TP!$W:$W,Toimenpiteet!$X$8,TP!$X:$X,Toimenpiteet!$X$6,TP!$K:$K,Toimenpiteet!$Z$7,TP!$AD:$AD,$X$9,TP!$AF:$AF,Toimenpiteet!$Y$6,TP!$Q:$Q,Toimenpiteet!$Y$4,TP!$AG:$AG,Toimenpiteet!$Y$5,TP!$L:$L,Toimenpiteet!$V$2,TP!AL:AL,$AC$4)</f>
        <v>0</v>
      </c>
      <c r="N68" s="111">
        <f>SUMIFS(TP!$P:$P,TP!$AI:$AI,$W$7,TP!$R:$R,$X$9,TP!$U:$U,Toimenpiteet!$T68,TP!$W:$W,Toimenpiteet!$X$8,TP!$X:$X,Toimenpiteet!$X$6,TP!$K:$K,Toimenpiteet!$Z$8,TP!$AD:$AD,$X$9,TP!$AF:$AF,Toimenpiteet!$Y$6,TP!$Q:$Q,Toimenpiteet!$Y$4,TP!$AG:$AG,Toimenpiteet!$Y$5,TP!$L:$L,Toimenpiteet!$V$2,TP!AL:AL,$AC$4)</f>
        <v>0</v>
      </c>
      <c r="O68" s="116">
        <f>SUMIFS(TP!$P:$P,TP!$AI:$AI,$W$7,TP!$R:$R,$X$9,TP!$U:$U,Toimenpiteet!$T68,TP!$W:$W,Toimenpiteet!$X$8,TP!$X:$X,Toimenpiteet!$X$6,TP!$K:$K,Toimenpiteet!$Z$5,TP!$AD:$AD,$X$9,TP!$AF:$AF,Toimenpiteet!$Y$6,TP!$Q:$Q,Toimenpiteet!$Y$4,TP!$AG:$AG,Toimenpiteet!$Y$5,TP!$L:$L,Toimenpiteet!$V$2,TP!AL:AL,$AC$4)</f>
        <v>0</v>
      </c>
      <c r="T68" t="s">
        <v>1239</v>
      </c>
      <c r="U68" s="549" t="s">
        <v>282</v>
      </c>
      <c r="V68" s="111">
        <f>SUMIFS(TP!$P:$P,TP!$AI:$AI,$W$7,TP!$R:$R,$X$9,TP!$U:$U,Toimenpiteet!$U68,TP!$W:$W,Toimenpiteet!$X$8,TP!$X:$X,Toimenpiteet!$X$6,TP!$AD:$AD,$X$9,TP!$AF:$AF,Toimenpiteet!$Y$6,TP!$Q:$Q,Toimenpiteet!$Y$4,TP!$AG:$AG,Toimenpiteet!$Y$5,TP!$L:$L,Toimenpiteet!$V$2,TP!AL:AL,$AC$4)</f>
        <v>0</v>
      </c>
      <c r="W68" s="111">
        <f>SUMIFS(TP!$P:$P,TP!$AI:$AI,$W$7,TP!$R:$R,$X$9,TP!$U:$U,Toimenpiteet!$U68,TP!$W:$W,Toimenpiteet!$X$8,TP!$X:$X,Toimenpiteet!$X$6,TP!$V:$V,Toimenpiteet!$X$7,TP!$AD:$AD,$X$9,TP!$AF:$AF,Toimenpiteet!$Y$6,TP!$Q:$Q,Toimenpiteet!$Y$4,TP!$AG:$AG,Toimenpiteet!$Y$5,TP!$L:$L,Toimenpiteet!$V$2,TP!AL:AL,$AC$4)</f>
        <v>0</v>
      </c>
      <c r="X68" s="111">
        <f>SUMIFS(TP!$P:$P,TP!$AI:$AI,$W$7,TP!$R:$R,$X$9,TP!$U:$U,Toimenpiteet!$U68,TP!$W:$W,Toimenpiteet!$X$8,TP!$X:$X,Toimenpiteet!$X$6,TP!$V:$V,Toimenpiteet!$Y$7,TP!$AD:$AD,$X$9,TP!$AF:$AF,Toimenpiteet!$Y$6,TP!$Q:$Q,Toimenpiteet!$Y$4,TP!$AG:$AG,Toimenpiteet!$Y$5,TP!$L:$L,Toimenpiteet!$V$2,TP!AL:AL,$AC$4)</f>
        <v>0</v>
      </c>
      <c r="Y68" s="111">
        <f>SUMIFS(TP!$P:$P,TP!$AI:$AI,$W$7,TP!$R:$R,$X$9,TP!$U:$U,Toimenpiteet!$U68,TP!$W:$W,Toimenpiteet!$Y$8,TP!$X:$X,Toimenpiteet!$X$6,TP!$AD:$AD,$X$9,TP!$AF:$AF,Toimenpiteet!$Y$6,TP!$Q:$Q,Toimenpiteet!$Y$4,TP!$AG:$AG,Toimenpiteet!$Y$5,TP!$L:$L,Toimenpiteet!$V$2,TP!AL:AL,$AC$4)</f>
        <v>0</v>
      </c>
      <c r="AD68" s="111">
        <f>SUMIFS(TP!$P:$P,TP!$AI:$AI,$W$7,TP!$R:$R,$X$9,TP!$U:$U,Toimenpiteet!$AC68,TP!$W:$W,Toimenpiteet!$X$8,TP!$X:$X,Toimenpiteet!$X$6,TP!$AD:$AD,$X$9,TP!$AF:$AF,Toimenpiteet!$Y$6,TP!$Q:$Q,Toimenpiteet!$Y$4,TP!$AG:$AG,Toimenpiteet!$Y$5,TP!$L:$L,Toimenpiteet!$V$2,TP!AL:AL,$AC$4)</f>
        <v>0</v>
      </c>
      <c r="AE68" s="111">
        <f>SUMIFS(TP!$P:$P,TP!$AI:$AI,$W$7,TP!$R:$R,$X$9,TP!$U:$U,Toimenpiteet!$AC68,TP!$W:$W,Toimenpiteet!$X$8,TP!$X:$X,Toimenpiteet!$X$6,TP!$V:$V,Toimenpiteet!$X$7,TP!$AD:$AD,$X$9,TP!$AF:$AF,Toimenpiteet!$Y$6,TP!$Q:$Q,Toimenpiteet!$Y$4,TP!$AG:$AG,Toimenpiteet!$Y$5,TP!$L:$L,Toimenpiteet!$V$2,TP!AL:AL,$AC$4)</f>
        <v>0</v>
      </c>
      <c r="AF68" s="111">
        <f>SUMIFS(TP!$P:$P,TP!$AI:$AI,$W$7,TP!$R:$R,$X$9,TP!$U:$U,Toimenpiteet!$AC68,TP!$W:$W,Toimenpiteet!$X$8,TP!$X:$X,Toimenpiteet!$X$6,TP!$V:$V,Toimenpiteet!$Y$7,TP!$AD:$AD,$X$9,TP!$AF:$AF,Toimenpiteet!$Y$6,TP!$Q:$Q,Toimenpiteet!$Y$4,TP!$AG:$AG,Toimenpiteet!$Y$5,TP!$L:$L,Toimenpiteet!$V$2,TP!AL:AL,$AC$4)</f>
        <v>0</v>
      </c>
      <c r="AG68" s="111">
        <f>SUMIFS(TP!$P:$P,TP!$AI:$AI,$W$7,TP!$R:$R,$X$9,TP!$U:$U,Toimenpiteet!$AC68,TP!$W:$W,Toimenpiteet!$Y$8,TP!$X:$X,Toimenpiteet!$X$6,TP!$AD:$AD,$X$9,TP!$AF:$AF,Toimenpiteet!$Y$6,TP!$Q:$Q,Toimenpiteet!$Y$4,TP!$AG:$AG,Toimenpiteet!$Y$5,TP!$L:$L,Toimenpiteet!$V$2,TP!AL:AL,$AC$4)</f>
        <v>0</v>
      </c>
      <c r="AL68" s="643" t="s">
        <v>1397</v>
      </c>
      <c r="AM68" s="645" t="s">
        <v>1404</v>
      </c>
      <c r="AN68" s="645" t="s">
        <v>39</v>
      </c>
      <c r="AO68" t="s">
        <v>1239</v>
      </c>
    </row>
    <row r="69" spans="1:41" x14ac:dyDescent="0.25">
      <c r="A69" s="921"/>
      <c r="B69" s="672" t="s">
        <v>1159</v>
      </c>
      <c r="C69" s="670">
        <f>SUMIFS(TP!$P:$P,TP!$AI:$AI,$W$7,TP!$R:$R,$X$9,TP!$U:$U,Toimenpiteet!$T69,TP!$W:$W,Toimenpiteet!$X$8,TP!$X:$X,Toimenpiteet!$X$6,TP!$AD:$AD,$X$9,TP!$AF:$AF,Toimenpiteet!$Y$6,TP!$Q:$Q,Toimenpiteet!$Y$4,TP!$AG:$AG,Toimenpiteet!$Y$5,TP!$L:$L,Toimenpiteet!$V$2,TP!AL:AL,$AC$4)+V69+AD69</f>
        <v>0</v>
      </c>
      <c r="D69" s="112">
        <f t="shared" si="5"/>
        <v>0</v>
      </c>
      <c r="E69" s="111">
        <f>SUMIFS(TP!$P:$P,TP!$AI:$AI,$W$7,TP!$R:$R,$X$9,TP!$U:$U,Toimenpiteet!$T69,TP!$W:$W,Toimenpiteet!$X$8,TP!$X:$X,Toimenpiteet!$X$6,TP!$V:$V,Toimenpiteet!$X$7,TP!$AD:$AD,$X$9,TP!$AF:$AF,Toimenpiteet!$Y$6,TP!$Q:$Q,Toimenpiteet!$Y$4,TP!$AG:$AG,Toimenpiteet!$Y$5,TP!$L:$L,Toimenpiteet!$V$2,TP!AL:AL,$AC$4)+W69+AE69</f>
        <v>0</v>
      </c>
      <c r="F69" s="111">
        <f>SUMIFS(TP!$P:$P,TP!$AI:$AI,$W$7,TP!$R:$R,$X$9,TP!$U:$U,Toimenpiteet!$T69,TP!$W:$W,Toimenpiteet!$X$8,TP!$X:$X,Toimenpiteet!$X$6,TP!$V:$V,Toimenpiteet!$Y$7,TP!$AD:$AD,$X$9,TP!$AF:$AF,Toimenpiteet!$Y$6,TP!$Q:$Q,Toimenpiteet!$Y$4,TP!$AG:$AG,Toimenpiteet!$Y$5,TP!$L:$L,Toimenpiteet!$V$2,TP!AL:AL,$AC$4)+X69+AF69</f>
        <v>0</v>
      </c>
      <c r="G69" s="111">
        <f>SUMIFS(TP!$P:$P,TP!$AI:$AI,$W$7,TP!$R:$R,$X$9,TP!$U:$U,Toimenpiteet!$T69,TP!$W:$W,Toimenpiteet!$Y$8,TP!$X:$X,Toimenpiteet!$X$6,TP!$AD:$AD,$X$9,TP!$AF:$AF,Toimenpiteet!$Y$6,TP!$Q:$Q,Toimenpiteet!$Y$4,TP!$AG:$AG,Toimenpiteet!$Y$5,TP!$L:$L,Toimenpiteet!$V$2,TP!AL:AL,$AC$4)+Y69+AG69</f>
        <v>0</v>
      </c>
      <c r="H69" s="113"/>
      <c r="I69" s="114"/>
      <c r="J69" s="115">
        <f>SUMIFS(TP!$P:$P,TP!$AI:$AI,$W$7,TP!$R:$R,$X$9,TP!$U:$U,Toimenpiteet!$T69,TP!$W:$W,Toimenpiteet!$X$8,TP!$X:$X,Toimenpiteet!$X$6,TP!$Z:$Z,1,TP!$AD:$AD,$X$9,TP!$AF:$AF,Toimenpiteet!$Y$6,TP!$Q:$Q,Toimenpiteet!$Y$4,TP!$AG:$AG,Toimenpiteet!$Y$5,TP!$L:$L,Toimenpiteet!$V$2,TP!AL:AL,$AC$4)</f>
        <v>0</v>
      </c>
      <c r="K69" s="111">
        <f>SUMIFS(TP!$P:$P,TP!$AI:$AI,$W$7,TP!$R:$R,$X$9,TP!$U:$U,Toimenpiteet!$T69,TP!$W:$W,Toimenpiteet!$X$8,TP!$X:$X,Toimenpiteet!$X$6,TP!$O:$O,Toimenpiteet!$Z$3,TP!$AD:$AD,$X$9,TP!$AF:$AF,Toimenpiteet!$Y$6,TP!$Q:$Q,Toimenpiteet!$Y$4,TP!$AG:$AG,Toimenpiteet!$Y$5,TP!$L:$L,Toimenpiteet!$V$2,TP!AL:AL,$AC$4)</f>
        <v>0</v>
      </c>
      <c r="L69" s="111">
        <f>SUMIFS(TP!$P:$P,TP!$AI:$AI,$W$7,TP!$R:$R,$X$9,TP!$U:$U,Toimenpiteet!$T69,TP!$W:$W,Toimenpiteet!$X$8,TP!$X:$X,Toimenpiteet!$X$6,TP!$K:$K,Toimenpiteet!$Z$6,TP!$AD:$AD,$X$9,TP!$AF:$AF,Toimenpiteet!$Y$6,TP!$Q:$Q,Toimenpiteet!$Y$4,TP!$AG:$AG,Toimenpiteet!$Y$5,TP!$L:$L,Toimenpiteet!$V$2,TP!AL:AL,$AC$4)</f>
        <v>0</v>
      </c>
      <c r="M69" s="111">
        <f>SUMIFS(TP!$P:$P,TP!$AI:$AI,$W$7,TP!$R:$R,$X$9,TP!$U:$U,Toimenpiteet!$T69,TP!$W:$W,Toimenpiteet!$X$8,TP!$X:$X,Toimenpiteet!$X$6,TP!$K:$K,Toimenpiteet!$Z$7,TP!$AD:$AD,$X$9,TP!$AF:$AF,Toimenpiteet!$Y$6,TP!$Q:$Q,Toimenpiteet!$Y$4,TP!$AG:$AG,Toimenpiteet!$Y$5,TP!$L:$L,Toimenpiteet!$V$2,TP!AL:AL,$AC$4)</f>
        <v>0</v>
      </c>
      <c r="N69" s="111">
        <f>SUMIFS(TP!$P:$P,TP!$AI:$AI,$W$7,TP!$R:$R,$X$9,TP!$U:$U,Toimenpiteet!$T69,TP!$W:$W,Toimenpiteet!$X$8,TP!$X:$X,Toimenpiteet!$X$6,TP!$K:$K,Toimenpiteet!$Z$8,TP!$AD:$AD,$X$9,TP!$AF:$AF,Toimenpiteet!$Y$6,TP!$Q:$Q,Toimenpiteet!$Y$4,TP!$AG:$AG,Toimenpiteet!$Y$5,TP!$L:$L,Toimenpiteet!$V$2,TP!AL:AL,$AC$4)</f>
        <v>0</v>
      </c>
      <c r="O69" s="116">
        <f>SUMIFS(TP!$P:$P,TP!$AI:$AI,$W$7,TP!$R:$R,$X$9,TP!$U:$U,Toimenpiteet!$T69,TP!$W:$W,Toimenpiteet!$X$8,TP!$X:$X,Toimenpiteet!$X$6,TP!$K:$K,Toimenpiteet!$Z$5,TP!$AD:$AD,$X$9,TP!$AF:$AF,Toimenpiteet!$Y$6,TP!$Q:$Q,Toimenpiteet!$Y$4,TP!$AG:$AG,Toimenpiteet!$Y$5,TP!$L:$L,Toimenpiteet!$V$2,TP!AL:AL,$AC$4)</f>
        <v>0</v>
      </c>
      <c r="T69" s="653" t="s">
        <v>1126</v>
      </c>
      <c r="V69" s="111">
        <f>SUMIFS(TP!$P:$P,TP!$AI:$AI,$W$7,TP!$R:$R,$X$9,TP!$U:$U,Toimenpiteet!$U69,TP!$W:$W,Toimenpiteet!$X$8,TP!$X:$X,Toimenpiteet!$X$6,TP!$AD:$AD,$X$9,TP!$AF:$AF,Toimenpiteet!$Y$6,TP!$Q:$Q,Toimenpiteet!$Y$4,TP!$AG:$AG,Toimenpiteet!$Y$5,TP!$L:$L,Toimenpiteet!$V$2,TP!AL:AL,$AC$4)</f>
        <v>0</v>
      </c>
      <c r="W69" s="111">
        <f>SUMIFS(TP!$P:$P,TP!$AI:$AI,$W$7,TP!$R:$R,$X$9,TP!$U:$U,Toimenpiteet!$U69,TP!$W:$W,Toimenpiteet!$X$8,TP!$X:$X,Toimenpiteet!$X$6,TP!$V:$V,Toimenpiteet!$X$7,TP!$AD:$AD,$X$9,TP!$AF:$AF,Toimenpiteet!$Y$6,TP!$Q:$Q,Toimenpiteet!$Y$4,TP!$AG:$AG,Toimenpiteet!$Y$5,TP!$L:$L,Toimenpiteet!$V$2,TP!AL:AL,$AC$4)</f>
        <v>0</v>
      </c>
      <c r="X69" s="111">
        <f>SUMIFS(TP!$P:$P,TP!$AI:$AI,$W$7,TP!$R:$R,$X$9,TP!$U:$U,Toimenpiteet!$U69,TP!$W:$W,Toimenpiteet!$X$8,TP!$X:$X,Toimenpiteet!$X$6,TP!$V:$V,Toimenpiteet!$Y$7,TP!$AD:$AD,$X$9,TP!$AF:$AF,Toimenpiteet!$Y$6,TP!$Q:$Q,Toimenpiteet!$Y$4,TP!$AG:$AG,Toimenpiteet!$Y$5,TP!$L:$L,Toimenpiteet!$V$2,TP!AL:AL,$AC$4)</f>
        <v>0</v>
      </c>
      <c r="Y69" s="111">
        <f>SUMIFS(TP!$P:$P,TP!$AI:$AI,$W$7,TP!$R:$R,$X$9,TP!$U:$U,Toimenpiteet!$U69,TP!$W:$W,Toimenpiteet!$Y$8,TP!$X:$X,Toimenpiteet!$X$6,TP!$AD:$AD,$X$9,TP!$AF:$AF,Toimenpiteet!$Y$6,TP!$Q:$Q,Toimenpiteet!$Y$4,TP!$AG:$AG,Toimenpiteet!$Y$5,TP!$L:$L,Toimenpiteet!$V$2,TP!AL:AL,$AC$4)</f>
        <v>0</v>
      </c>
      <c r="AD69" s="111">
        <f>SUMIFS(TP!$P:$P,TP!$AI:$AI,$W$7,TP!$R:$R,$X$9,TP!$U:$U,Toimenpiteet!$AC69,TP!$W:$W,Toimenpiteet!$X$8,TP!$X:$X,Toimenpiteet!$X$6,TP!$AD:$AD,$X$9,TP!$AF:$AF,Toimenpiteet!$Y$6,TP!$Q:$Q,Toimenpiteet!$Y$4,TP!$AG:$AG,Toimenpiteet!$Y$5,TP!$L:$L,Toimenpiteet!$V$2,TP!AL:AL,$AC$4)</f>
        <v>0</v>
      </c>
      <c r="AE69" s="111">
        <f>SUMIFS(TP!$P:$P,TP!$AI:$AI,$W$7,TP!$R:$R,$X$9,TP!$U:$U,Toimenpiteet!$AC69,TP!$W:$W,Toimenpiteet!$X$8,TP!$X:$X,Toimenpiteet!$X$6,TP!$V:$V,Toimenpiteet!$X$7,TP!$AD:$AD,$X$9,TP!$AF:$AF,Toimenpiteet!$Y$6,TP!$Q:$Q,Toimenpiteet!$Y$4,TP!$AG:$AG,Toimenpiteet!$Y$5,TP!$L:$L,Toimenpiteet!$V$2,TP!AL:AL,$AC$4)</f>
        <v>0</v>
      </c>
      <c r="AF69" s="111">
        <f>SUMIFS(TP!$P:$P,TP!$AI:$AI,$W$7,TP!$R:$R,$X$9,TP!$U:$U,Toimenpiteet!$AC69,TP!$W:$W,Toimenpiteet!$X$8,TP!$X:$X,Toimenpiteet!$X$6,TP!$V:$V,Toimenpiteet!$Y$7,TP!$AD:$AD,$X$9,TP!$AF:$AF,Toimenpiteet!$Y$6,TP!$Q:$Q,Toimenpiteet!$Y$4,TP!$AG:$AG,Toimenpiteet!$Y$5,TP!$L:$L,Toimenpiteet!$V$2,TP!AL:AL,$AC$4)</f>
        <v>0</v>
      </c>
      <c r="AG69" s="111">
        <f>SUMIFS(TP!$P:$P,TP!$AI:$AI,$W$7,TP!$R:$R,$X$9,TP!$U:$U,Toimenpiteet!$AC69,TP!$W:$W,Toimenpiteet!$Y$8,TP!$X:$X,Toimenpiteet!$X$6,TP!$AD:$AD,$X$9,TP!$AF:$AF,Toimenpiteet!$Y$6,TP!$Q:$Q,Toimenpiteet!$Y$4,TP!$AG:$AG,Toimenpiteet!$Y$5,TP!$L:$L,Toimenpiteet!$V$2,TP!AL:AL,$AC$4)</f>
        <v>0</v>
      </c>
      <c r="AL69" s="638"/>
      <c r="AM69" s="646" t="s">
        <v>1405</v>
      </c>
      <c r="AN69" s="646" t="s">
        <v>1405</v>
      </c>
      <c r="AO69" t="s">
        <v>1126</v>
      </c>
    </row>
    <row r="70" spans="1:41" x14ac:dyDescent="0.25">
      <c r="A70" s="921"/>
      <c r="B70" s="672" t="s">
        <v>1447</v>
      </c>
      <c r="C70" s="670">
        <f>SUMIFS(TP!$P:$P,TP!$AI:$AI,$W$7,TP!$R:$R,$X$9,TP!$U:$U,Toimenpiteet!$T70,TP!$W:$W,Toimenpiteet!$X$8,TP!$X:$X,Toimenpiteet!$X$6,TP!$AD:$AD,$X$9,TP!$AF:$AF,Toimenpiteet!$Y$6,TP!$Q:$Q,Toimenpiteet!$Y$4,TP!$AG:$AG,Toimenpiteet!$Y$5,TP!$L:$L,Toimenpiteet!$V$2,TP!AL:AL,$AC$4)+V70+AD70</f>
        <v>0</v>
      </c>
      <c r="D70" s="112">
        <f t="shared" si="5"/>
        <v>0</v>
      </c>
      <c r="E70" s="111">
        <f>SUMIFS(TP!$P:$P,TP!$AI:$AI,$W$7,TP!$R:$R,$X$9,TP!$U:$U,Toimenpiteet!$T70,TP!$W:$W,Toimenpiteet!$X$8,TP!$X:$X,Toimenpiteet!$X$6,TP!$V:$V,Toimenpiteet!$X$7,TP!$AD:$AD,$X$9,TP!$AF:$AF,Toimenpiteet!$Y$6,TP!$Q:$Q,Toimenpiteet!$Y$4,TP!$AG:$AG,Toimenpiteet!$Y$5,TP!$L:$L,Toimenpiteet!$V$2,TP!AL:AL,$AC$4)+W70+AE70</f>
        <v>0</v>
      </c>
      <c r="F70" s="111">
        <f>SUMIFS(TP!$P:$P,TP!$AI:$AI,$W$7,TP!$R:$R,$X$9,TP!$U:$U,Toimenpiteet!$T70,TP!$W:$W,Toimenpiteet!$X$8,TP!$X:$X,Toimenpiteet!$X$6,TP!$V:$V,Toimenpiteet!$Y$7,TP!$AD:$AD,$X$9,TP!$AF:$AF,Toimenpiteet!$Y$6,TP!$Q:$Q,Toimenpiteet!$Y$4,TP!$AG:$AG,Toimenpiteet!$Y$5,TP!$L:$L,Toimenpiteet!$V$2,TP!AL:AL,$AC$4)+X70+AF70</f>
        <v>0</v>
      </c>
      <c r="G70" s="111">
        <f>SUMIFS(TP!$P:$P,TP!$AI:$AI,$W$7,TP!$R:$R,$X$9,TP!$U:$U,Toimenpiteet!$T70,TP!$W:$W,Toimenpiteet!$Y$8,TP!$X:$X,Toimenpiteet!$X$6,TP!$AD:$AD,$X$9,TP!$AF:$AF,Toimenpiteet!$Y$6,TP!$Q:$Q,Toimenpiteet!$Y$4,TP!$AG:$AG,Toimenpiteet!$Y$5,TP!$L:$L,Toimenpiteet!$V$2,TP!AL:AL,$AC$4)+Y70+AG70</f>
        <v>0</v>
      </c>
      <c r="H70" s="113"/>
      <c r="I70" s="114"/>
      <c r="J70" s="115">
        <f>SUMIFS(TP!$P:$P,TP!$AI:$AI,$W$7,TP!$R:$R,$X$9,TP!$U:$U,Toimenpiteet!$T70,TP!$W:$W,Toimenpiteet!$X$8,TP!$X:$X,Toimenpiteet!$X$6,TP!$Z:$Z,1,TP!$AD:$AD,$X$9,TP!$AF:$AF,Toimenpiteet!$Y$6,TP!$Q:$Q,Toimenpiteet!$Y$4,TP!$AG:$AG,Toimenpiteet!$Y$5,TP!$L:$L,Toimenpiteet!$V$2,TP!AL:AL,$AC$4)</f>
        <v>0</v>
      </c>
      <c r="K70" s="111">
        <f>SUMIFS(TP!$P:$P,TP!$AI:$AI,$W$7,TP!$R:$R,$X$9,TP!$U:$U,Toimenpiteet!$T70,TP!$W:$W,Toimenpiteet!$X$8,TP!$X:$X,Toimenpiteet!$X$6,TP!$O:$O,Toimenpiteet!$Z$3,TP!$AD:$AD,$X$9,TP!$AF:$AF,Toimenpiteet!$Y$6,TP!$Q:$Q,Toimenpiteet!$Y$4,TP!$AG:$AG,Toimenpiteet!$Y$5,TP!$L:$L,Toimenpiteet!$V$2,TP!AL:AL,$AC$4)</f>
        <v>0</v>
      </c>
      <c r="L70" s="111">
        <f>SUMIFS(TP!$P:$P,TP!$AI:$AI,$W$7,TP!$R:$R,$X$9,TP!$U:$U,Toimenpiteet!$T70,TP!$W:$W,Toimenpiteet!$X$8,TP!$X:$X,Toimenpiteet!$X$6,TP!$K:$K,Toimenpiteet!$Z$6,TP!$AD:$AD,$X$9,TP!$AF:$AF,Toimenpiteet!$Y$6,TP!$Q:$Q,Toimenpiteet!$Y$4,TP!$AG:$AG,Toimenpiteet!$Y$5,TP!$L:$L,Toimenpiteet!$V$2,TP!AL:AL,$AC$4)</f>
        <v>0</v>
      </c>
      <c r="M70" s="111">
        <f>SUMIFS(TP!$P:$P,TP!$AI:$AI,$W$7,TP!$R:$R,$X$9,TP!$U:$U,Toimenpiteet!$T70,TP!$W:$W,Toimenpiteet!$X$8,TP!$X:$X,Toimenpiteet!$X$6,TP!$K:$K,Toimenpiteet!$Z$7,TP!$AD:$AD,$X$9,TP!$AF:$AF,Toimenpiteet!$Y$6,TP!$Q:$Q,Toimenpiteet!$Y$4,TP!$AG:$AG,Toimenpiteet!$Y$5,TP!$L:$L,Toimenpiteet!$V$2,TP!AL:AL,$AC$4)</f>
        <v>0</v>
      </c>
      <c r="N70" s="111">
        <f>SUMIFS(TP!$P:$P,TP!$AI:$AI,$W$7,TP!$R:$R,$X$9,TP!$U:$U,Toimenpiteet!$T70,TP!$W:$W,Toimenpiteet!$X$8,TP!$X:$X,Toimenpiteet!$X$6,TP!$K:$K,Toimenpiteet!$Z$8,TP!$AD:$AD,$X$9,TP!$AF:$AF,Toimenpiteet!$Y$6,TP!$Q:$Q,Toimenpiteet!$Y$4,TP!$AG:$AG,Toimenpiteet!$Y$5,TP!$L:$L,Toimenpiteet!$V$2,TP!AL:AL,$AC$4)</f>
        <v>0</v>
      </c>
      <c r="O70" s="116">
        <f>SUMIFS(TP!$P:$P,TP!$AI:$AI,$W$7,TP!$R:$R,$X$9,TP!$U:$U,Toimenpiteet!$T70,TP!$W:$W,Toimenpiteet!$X$8,TP!$X:$X,Toimenpiteet!$X$6,TP!$K:$K,Toimenpiteet!$Z$5,TP!$AD:$AD,$X$9,TP!$AF:$AF,Toimenpiteet!$Y$6,TP!$Q:$Q,Toimenpiteet!$Y$4,TP!$AG:$AG,Toimenpiteet!$Y$5,TP!$L:$L,Toimenpiteet!$V$2,TP!AL:AL,$AC$4)</f>
        <v>0</v>
      </c>
      <c r="T70" t="s">
        <v>1235</v>
      </c>
      <c r="U70" s="549" t="s">
        <v>1125</v>
      </c>
      <c r="V70" s="111">
        <f>SUMIFS(TP!$P:$P,TP!$AI:$AI,$W$7,TP!$R:$R,$X$9,TP!$U:$U,Toimenpiteet!$U70,TP!$W:$W,Toimenpiteet!$X$8,TP!$X:$X,Toimenpiteet!$X$6,TP!$AD:$AD,$X$9,TP!$AF:$AF,Toimenpiteet!$Y$6,TP!$Q:$Q,Toimenpiteet!$Y$4,TP!$AG:$AG,Toimenpiteet!$Y$5,TP!$L:$L,Toimenpiteet!$V$2,TP!AL:AL,$AC$4)</f>
        <v>0</v>
      </c>
      <c r="W70" s="111">
        <f>SUMIFS(TP!$P:$P,TP!$AI:$AI,$W$7,TP!$R:$R,$X$9,TP!$U:$U,Toimenpiteet!$U70,TP!$W:$W,Toimenpiteet!$X$8,TP!$X:$X,Toimenpiteet!$X$6,TP!$V:$V,Toimenpiteet!$X$7,TP!$AD:$AD,$X$9,TP!$AF:$AF,Toimenpiteet!$Y$6,TP!$Q:$Q,Toimenpiteet!$Y$4,TP!$AG:$AG,Toimenpiteet!$Y$5,TP!$L:$L,Toimenpiteet!$V$2,TP!AL:AL,$AC$4)</f>
        <v>0</v>
      </c>
      <c r="X70" s="111">
        <f>SUMIFS(TP!$P:$P,TP!$AI:$AI,$W$7,TP!$R:$R,$X$9,TP!$U:$U,Toimenpiteet!$U70,TP!$W:$W,Toimenpiteet!$X$8,TP!$X:$X,Toimenpiteet!$X$6,TP!$V:$V,Toimenpiteet!$Y$7,TP!$AD:$AD,$X$9,TP!$AF:$AF,Toimenpiteet!$Y$6,TP!$Q:$Q,Toimenpiteet!$Y$4,TP!$AG:$AG,Toimenpiteet!$Y$5,TP!$L:$L,Toimenpiteet!$V$2,TP!AL:AL,$AC$4)</f>
        <v>0</v>
      </c>
      <c r="Y70" s="111">
        <f>SUMIFS(TP!$P:$P,TP!$AI:$AI,$W$7,TP!$R:$R,$X$9,TP!$U:$U,Toimenpiteet!$U70,TP!$W:$W,Toimenpiteet!$Y$8,TP!$X:$X,Toimenpiteet!$X$6,TP!$AD:$AD,$X$9,TP!$AF:$AF,Toimenpiteet!$Y$6,TP!$Q:$Q,Toimenpiteet!$Y$4,TP!$AG:$AG,Toimenpiteet!$Y$5,TP!$L:$L,Toimenpiteet!$V$2,TP!AL:AL,$AC$4)</f>
        <v>0</v>
      </c>
      <c r="AD70" s="111">
        <f>SUMIFS(TP!$P:$P,TP!$AI:$AI,$W$7,TP!$R:$R,$X$9,TP!$U:$U,Toimenpiteet!$AC70,TP!$W:$W,Toimenpiteet!$X$8,TP!$X:$X,Toimenpiteet!$X$6,TP!$AD:$AD,$X$9,TP!$AF:$AF,Toimenpiteet!$Y$6,TP!$Q:$Q,Toimenpiteet!$Y$4,TP!$AG:$AG,Toimenpiteet!$Y$5,TP!$L:$L,Toimenpiteet!$V$2,TP!AL:AL,$AC$4)</f>
        <v>0</v>
      </c>
      <c r="AE70" s="111">
        <f>SUMIFS(TP!$P:$P,TP!$AI:$AI,$W$7,TP!$R:$R,$X$9,TP!$U:$U,Toimenpiteet!$AC70,TP!$W:$W,Toimenpiteet!$X$8,TP!$X:$X,Toimenpiteet!$X$6,TP!$V:$V,Toimenpiteet!$X$7,TP!$AD:$AD,$X$9,TP!$AF:$AF,Toimenpiteet!$Y$6,TP!$Q:$Q,Toimenpiteet!$Y$4,TP!$AG:$AG,Toimenpiteet!$Y$5,TP!$L:$L,Toimenpiteet!$V$2,TP!AL:AL,$AC$4)</f>
        <v>0</v>
      </c>
      <c r="AF70" s="111">
        <f>SUMIFS(TP!$P:$P,TP!$AI:$AI,$W$7,TP!$R:$R,$X$9,TP!$U:$U,Toimenpiteet!$AC70,TP!$W:$W,Toimenpiteet!$X$8,TP!$X:$X,Toimenpiteet!$X$6,TP!$V:$V,Toimenpiteet!$Y$7,TP!$AD:$AD,$X$9,TP!$AF:$AF,Toimenpiteet!$Y$6,TP!$Q:$Q,Toimenpiteet!$Y$4,TP!$AG:$AG,Toimenpiteet!$Y$5,TP!$L:$L,Toimenpiteet!$V$2,TP!AL:AL,$AC$4)</f>
        <v>0</v>
      </c>
      <c r="AG70" s="111">
        <f>SUMIFS(TP!$P:$P,TP!$AI:$AI,$W$7,TP!$R:$R,$X$9,TP!$U:$U,Toimenpiteet!$AC70,TP!$W:$W,Toimenpiteet!$Y$8,TP!$X:$X,Toimenpiteet!$X$6,TP!$AD:$AD,$X$9,TP!$AF:$AF,Toimenpiteet!$Y$6,TP!$Q:$Q,Toimenpiteet!$Y$4,TP!$AG:$AG,Toimenpiteet!$Y$5,TP!$L:$L,Toimenpiteet!$V$2,TP!AL:AL,$AC$4)</f>
        <v>0</v>
      </c>
      <c r="AL70" s="643" t="s">
        <v>1397</v>
      </c>
      <c r="AM70" s="645" t="s">
        <v>1407</v>
      </c>
      <c r="AN70" s="645" t="s">
        <v>1406</v>
      </c>
      <c r="AO70" t="s">
        <v>1235</v>
      </c>
    </row>
    <row r="71" spans="1:41" x14ac:dyDescent="0.25">
      <c r="A71" s="921"/>
      <c r="B71" s="672" t="s">
        <v>86</v>
      </c>
      <c r="C71" s="670">
        <f>SUMIFS(TP!$P:$P,TP!$AI:$AI,$W$7,TP!$R:$R,$X$9,TP!$U:$U,Toimenpiteet!$T71,TP!$W:$W,Toimenpiteet!$X$8,TP!$X:$X,Toimenpiteet!$X$6,TP!$AD:$AD,$X$9,TP!$AF:$AF,Toimenpiteet!$Y$6,TP!$Q:$Q,Toimenpiteet!$Y$4,TP!$AG:$AG,Toimenpiteet!$Y$5,TP!$L:$L,Toimenpiteet!$V$2,TP!AL:AL,$AC$4)+V71+AD71</f>
        <v>0</v>
      </c>
      <c r="D71" s="112">
        <f t="shared" si="5"/>
        <v>0</v>
      </c>
      <c r="E71" s="111">
        <f>SUMIFS(TP!$P:$P,TP!$AI:$AI,$W$7,TP!$R:$R,$X$9,TP!$U:$U,Toimenpiteet!$T71,TP!$W:$W,Toimenpiteet!$X$8,TP!$X:$X,Toimenpiteet!$X$6,TP!$V:$V,Toimenpiteet!$X$7,TP!$AD:$AD,$X$9,TP!$AF:$AF,Toimenpiteet!$Y$6,TP!$Q:$Q,Toimenpiteet!$Y$4,TP!$AG:$AG,Toimenpiteet!$Y$5,TP!$L:$L,Toimenpiteet!$V$2,TP!AL:AL,$AC$4)+W71+AE71</f>
        <v>0</v>
      </c>
      <c r="F71" s="111">
        <f>SUMIFS(TP!$P:$P,TP!$AI:$AI,$W$7,TP!$R:$R,$X$9,TP!$U:$U,Toimenpiteet!$T71,TP!$W:$W,Toimenpiteet!$X$8,TP!$X:$X,Toimenpiteet!$X$6,TP!$V:$V,Toimenpiteet!$Y$7,TP!$AD:$AD,$X$9,TP!$AF:$AF,Toimenpiteet!$Y$6,TP!$Q:$Q,Toimenpiteet!$Y$4,TP!$AG:$AG,Toimenpiteet!$Y$5,TP!$L:$L,Toimenpiteet!$V$2,TP!AL:AL,$AC$4)+X71+AF71</f>
        <v>0</v>
      </c>
      <c r="G71" s="111">
        <f>SUMIFS(TP!$P:$P,TP!$AI:$AI,$W$7,TP!$R:$R,$X$9,TP!$U:$U,Toimenpiteet!$T71,TP!$W:$W,Toimenpiteet!$Y$8,TP!$X:$X,Toimenpiteet!$X$6,TP!$AD:$AD,$X$9,TP!$AF:$AF,Toimenpiteet!$Y$6,TP!$Q:$Q,Toimenpiteet!$Y$4,TP!$AG:$AG,Toimenpiteet!$Y$5,TP!$L:$L,Toimenpiteet!$V$2,TP!AL:AL,$AC$4)+Y71+AG71</f>
        <v>0</v>
      </c>
      <c r="H71" s="113"/>
      <c r="I71" s="114"/>
      <c r="J71" s="115">
        <f>SUMIFS(TP!$P:$P,TP!$AI:$AI,$W$7,TP!$R:$R,$X$9,TP!$U:$U,Toimenpiteet!$T71,TP!$W:$W,Toimenpiteet!$X$8,TP!$X:$X,Toimenpiteet!$X$6,TP!$Z:$Z,1,TP!$AD:$AD,$X$9,TP!$AF:$AF,Toimenpiteet!$Y$6,TP!$Q:$Q,Toimenpiteet!$Y$4,TP!$AG:$AG,Toimenpiteet!$Y$5,TP!$L:$L,Toimenpiteet!$V$2,TP!AL:AL,$AC$4)</f>
        <v>0</v>
      </c>
      <c r="K71" s="111">
        <f>SUMIFS(TP!$P:$P,TP!$AI:$AI,$W$7,TP!$R:$R,$X$9,TP!$U:$U,Toimenpiteet!$T71,TP!$W:$W,Toimenpiteet!$X$8,TP!$X:$X,Toimenpiteet!$X$6,TP!$O:$O,Toimenpiteet!$Z$3,TP!$AD:$AD,$X$9,TP!$AF:$AF,Toimenpiteet!$Y$6,TP!$Q:$Q,Toimenpiteet!$Y$4,TP!$AG:$AG,Toimenpiteet!$Y$5,TP!$L:$L,Toimenpiteet!$V$2,TP!AL:AL,$AC$4)</f>
        <v>0</v>
      </c>
      <c r="L71" s="111">
        <f>SUMIFS(TP!$P:$P,TP!$AI:$AI,$W$7,TP!$R:$R,$X$9,TP!$U:$U,Toimenpiteet!$T71,TP!$W:$W,Toimenpiteet!$X$8,TP!$X:$X,Toimenpiteet!$X$6,TP!$K:$K,Toimenpiteet!$Z$6,TP!$AD:$AD,$X$9,TP!$AF:$AF,Toimenpiteet!$Y$6,TP!$Q:$Q,Toimenpiteet!$Y$4,TP!$AG:$AG,Toimenpiteet!$Y$5,TP!$L:$L,Toimenpiteet!$V$2,TP!AL:AL,$AC$4)</f>
        <v>0</v>
      </c>
      <c r="M71" s="111">
        <f>SUMIFS(TP!$P:$P,TP!$AI:$AI,$W$7,TP!$R:$R,$X$9,TP!$U:$U,Toimenpiteet!$T71,TP!$W:$W,Toimenpiteet!$X$8,TP!$X:$X,Toimenpiteet!$X$6,TP!$K:$K,Toimenpiteet!$Z$7,TP!$AD:$AD,$X$9,TP!$AF:$AF,Toimenpiteet!$Y$6,TP!$Q:$Q,Toimenpiteet!$Y$4,TP!$AG:$AG,Toimenpiteet!$Y$5,TP!$L:$L,Toimenpiteet!$V$2,TP!AL:AL,$AC$4)</f>
        <v>0</v>
      </c>
      <c r="N71" s="111">
        <f>SUMIFS(TP!$P:$P,TP!$AI:$AI,$W$7,TP!$R:$R,$X$9,TP!$U:$U,Toimenpiteet!$T71,TP!$W:$W,Toimenpiteet!$X$8,TP!$X:$X,Toimenpiteet!$X$6,TP!$K:$K,Toimenpiteet!$Z$8,TP!$AD:$AD,$X$9,TP!$AF:$AF,Toimenpiteet!$Y$6,TP!$Q:$Q,Toimenpiteet!$Y$4,TP!$AG:$AG,Toimenpiteet!$Y$5,TP!$L:$L,Toimenpiteet!$V$2,TP!AL:AL,$AC$4)</f>
        <v>0</v>
      </c>
      <c r="O71" s="116">
        <f>SUMIFS(TP!$P:$P,TP!$AI:$AI,$W$7,TP!$R:$R,$X$9,TP!$U:$U,Toimenpiteet!$T71,TP!$W:$W,Toimenpiteet!$X$8,TP!$X:$X,Toimenpiteet!$X$6,TP!$K:$K,Toimenpiteet!$Z$5,TP!$AD:$AD,$X$9,TP!$AF:$AF,Toimenpiteet!$Y$6,TP!$Q:$Q,Toimenpiteet!$Y$4,TP!$AG:$AG,Toimenpiteet!$Y$5,TP!$L:$L,Toimenpiteet!$V$2,TP!AL:AL,$AC$4)</f>
        <v>0</v>
      </c>
      <c r="T71" s="651" t="s">
        <v>300</v>
      </c>
      <c r="V71" s="111">
        <f>SUMIFS(TP!$P:$P,TP!$AI:$AI,$W$7,TP!$R:$R,$X$9,TP!$U:$U,Toimenpiteet!$U71,TP!$W:$W,Toimenpiteet!$X$8,TP!$X:$X,Toimenpiteet!$X$6,TP!$AD:$AD,$X$9,TP!$AF:$AF,Toimenpiteet!$Y$6,TP!$Q:$Q,Toimenpiteet!$Y$4,TP!$AG:$AG,Toimenpiteet!$Y$5,TP!$L:$L,Toimenpiteet!$V$2,TP!AL:AL,$AC$4)</f>
        <v>0</v>
      </c>
      <c r="W71" s="111">
        <f>SUMIFS(TP!$P:$P,TP!$AI:$AI,$W$7,TP!$R:$R,$X$9,TP!$U:$U,Toimenpiteet!$U71,TP!$W:$W,Toimenpiteet!$X$8,TP!$X:$X,Toimenpiteet!$X$6,TP!$V:$V,Toimenpiteet!$X$7,TP!$AD:$AD,$X$9,TP!$AF:$AF,Toimenpiteet!$Y$6,TP!$Q:$Q,Toimenpiteet!$Y$4,TP!$AG:$AG,Toimenpiteet!$Y$5,TP!$L:$L,Toimenpiteet!$V$2,TP!AL:AL,$AC$4)</f>
        <v>0</v>
      </c>
      <c r="X71" s="111">
        <f>SUMIFS(TP!$P:$P,TP!$AI:$AI,$W$7,TP!$R:$R,$X$9,TP!$U:$U,Toimenpiteet!$U71,TP!$W:$W,Toimenpiteet!$X$8,TP!$X:$X,Toimenpiteet!$X$6,TP!$V:$V,Toimenpiteet!$Y$7,TP!$AD:$AD,$X$9,TP!$AF:$AF,Toimenpiteet!$Y$6,TP!$Q:$Q,Toimenpiteet!$Y$4,TP!$AG:$AG,Toimenpiteet!$Y$5,TP!$L:$L,Toimenpiteet!$V$2,TP!AL:AL,$AC$4)</f>
        <v>0</v>
      </c>
      <c r="Y71" s="111">
        <f>SUMIFS(TP!$P:$P,TP!$AI:$AI,$W$7,TP!$R:$R,$X$9,TP!$U:$U,Toimenpiteet!$U71,TP!$W:$W,Toimenpiteet!$Y$8,TP!$X:$X,Toimenpiteet!$X$6,TP!$AD:$AD,$X$9,TP!$AF:$AF,Toimenpiteet!$Y$6,TP!$Q:$Q,Toimenpiteet!$Y$4,TP!$AG:$AG,Toimenpiteet!$Y$5,TP!$L:$L,Toimenpiteet!$V$2,TP!AL:AL,$AC$4)</f>
        <v>0</v>
      </c>
      <c r="AD71" s="111">
        <f>SUMIFS(TP!$P:$P,TP!$AI:$AI,$W$7,TP!$R:$R,$X$9,TP!$U:$U,Toimenpiteet!$AC71,TP!$W:$W,Toimenpiteet!$X$8,TP!$X:$X,Toimenpiteet!$X$6,TP!$AD:$AD,$X$9,TP!$AF:$AF,Toimenpiteet!$Y$6,TP!$Q:$Q,Toimenpiteet!$Y$4,TP!$AG:$AG,Toimenpiteet!$Y$5,TP!$L:$L,Toimenpiteet!$V$2,TP!AL:AL,$AC$4)</f>
        <v>0</v>
      </c>
      <c r="AE71" s="111">
        <f>SUMIFS(TP!$P:$P,TP!$AI:$AI,$W$7,TP!$R:$R,$X$9,TP!$U:$U,Toimenpiteet!$AC71,TP!$W:$W,Toimenpiteet!$X$8,TP!$X:$X,Toimenpiteet!$X$6,TP!$V:$V,Toimenpiteet!$X$7,TP!$AD:$AD,$X$9,TP!$AF:$AF,Toimenpiteet!$Y$6,TP!$Q:$Q,Toimenpiteet!$Y$4,TP!$AG:$AG,Toimenpiteet!$Y$5,TP!$L:$L,Toimenpiteet!$V$2,TP!AL:AL,$AC$4)</f>
        <v>0</v>
      </c>
      <c r="AF71" s="111">
        <f>SUMIFS(TP!$P:$P,TP!$AI:$AI,$W$7,TP!$R:$R,$X$9,TP!$U:$U,Toimenpiteet!$AC71,TP!$W:$W,Toimenpiteet!$X$8,TP!$X:$X,Toimenpiteet!$X$6,TP!$V:$V,Toimenpiteet!$Y$7,TP!$AD:$AD,$X$9,TP!$AF:$AF,Toimenpiteet!$Y$6,TP!$Q:$Q,Toimenpiteet!$Y$4,TP!$AG:$AG,Toimenpiteet!$Y$5,TP!$L:$L,Toimenpiteet!$V$2,TP!AL:AL,$AC$4)</f>
        <v>0</v>
      </c>
      <c r="AG71" s="111">
        <f>SUMIFS(TP!$P:$P,TP!$AI:$AI,$W$7,TP!$R:$R,$X$9,TP!$U:$U,Toimenpiteet!$AC71,TP!$W:$W,Toimenpiteet!$Y$8,TP!$X:$X,Toimenpiteet!$X$6,TP!$AD:$AD,$X$9,TP!$AF:$AF,Toimenpiteet!$Y$6,TP!$Q:$Q,Toimenpiteet!$Y$4,TP!$AG:$AG,Toimenpiteet!$Y$5,TP!$L:$L,Toimenpiteet!$V$2,TP!AL:AL,$AC$4)</f>
        <v>0</v>
      </c>
      <c r="AL71" s="638"/>
      <c r="AM71" s="646" t="s">
        <v>40</v>
      </c>
      <c r="AN71" s="646" t="s">
        <v>40</v>
      </c>
      <c r="AO71" t="s">
        <v>300</v>
      </c>
    </row>
    <row r="72" spans="1:41" x14ac:dyDescent="0.25">
      <c r="A72" s="922"/>
      <c r="B72" s="672" t="s">
        <v>1161</v>
      </c>
      <c r="C72" s="670">
        <f>SUMIFS(TP!$P:$P,TP!$AI:$AI,$W$7,TP!$R:$R,$X$9,TP!$U:$U,Toimenpiteet!$T72,TP!$W:$W,Toimenpiteet!$X$8,TP!$X:$X,Toimenpiteet!$X$6,TP!$AD:$AD,$X$9,TP!$AF:$AF,Toimenpiteet!$Y$6,TP!$Q:$Q,Toimenpiteet!$Y$4,TP!$AG:$AG,Toimenpiteet!$Y$5,TP!$L:$L,Toimenpiteet!$V$2,TP!AL:AL,$AC$4)+V72+AD72</f>
        <v>0</v>
      </c>
      <c r="D72" s="112">
        <f t="shared" si="5"/>
        <v>0</v>
      </c>
      <c r="E72" s="111">
        <f>SUMIFS(TP!$P:$P,TP!$AI:$AI,$W$7,TP!$R:$R,$X$9,TP!$U:$U,Toimenpiteet!$T72,TP!$W:$W,Toimenpiteet!$X$8,TP!$X:$X,Toimenpiteet!$X$6,TP!$V:$V,Toimenpiteet!$X$7,TP!$AD:$AD,$X$9,TP!$AF:$AF,Toimenpiteet!$Y$6,TP!$Q:$Q,Toimenpiteet!$Y$4,TP!$AG:$AG,Toimenpiteet!$Y$5,TP!$L:$L,Toimenpiteet!$V$2,TP!AL:AL,$AC$4)+W72+AE72</f>
        <v>0</v>
      </c>
      <c r="F72" s="111">
        <f>SUMIFS(TP!$P:$P,TP!$AI:$AI,$W$7,TP!$R:$R,$X$9,TP!$U:$U,Toimenpiteet!$T72,TP!$W:$W,Toimenpiteet!$X$8,TP!$X:$X,Toimenpiteet!$X$6,TP!$V:$V,Toimenpiteet!$Y$7,TP!$AD:$AD,$X$9,TP!$AF:$AF,Toimenpiteet!$Y$6,TP!$Q:$Q,Toimenpiteet!$Y$4,TP!$AG:$AG,Toimenpiteet!$Y$5,TP!$L:$L,Toimenpiteet!$V$2,TP!AL:AL,$AC$4)+X72+AF72</f>
        <v>0</v>
      </c>
      <c r="G72" s="111">
        <f>SUMIFS(TP!$P:$P,TP!$AI:$AI,$W$7,TP!$R:$R,$X$9,TP!$U:$U,Toimenpiteet!$T72,TP!$W:$W,Toimenpiteet!$Y$8,TP!$X:$X,Toimenpiteet!$X$6,TP!$AD:$AD,$X$9,TP!$AF:$AF,Toimenpiteet!$Y$6,TP!$Q:$Q,Toimenpiteet!$Y$4,TP!$AG:$AG,Toimenpiteet!$Y$5,TP!$L:$L,Toimenpiteet!$V$2,TP!AL:AL,$AC$4)+Y72+AG72</f>
        <v>0</v>
      </c>
      <c r="H72" s="113"/>
      <c r="I72" s="114"/>
      <c r="J72" s="115">
        <f>SUMIFS(TP!$P:$P,TP!$AI:$AI,$W$7,TP!$R:$R,$X$9,TP!$U:$U,Toimenpiteet!$T72,TP!$W:$W,Toimenpiteet!$X$8,TP!$X:$X,Toimenpiteet!$X$6,TP!$Z:$Z,1,TP!$AD:$AD,$X$9,TP!$AF:$AF,Toimenpiteet!$Y$6,TP!$Q:$Q,Toimenpiteet!$Y$4,TP!$AG:$AG,Toimenpiteet!$Y$5,TP!$L:$L,Toimenpiteet!$V$2,TP!AL:AL,$AC$4)</f>
        <v>0</v>
      </c>
      <c r="K72" s="111">
        <f>SUMIFS(TP!$P:$P,TP!$AI:$AI,$W$7,TP!$R:$R,$X$9,TP!$U:$U,Toimenpiteet!$T72,TP!$W:$W,Toimenpiteet!$X$8,TP!$X:$X,Toimenpiteet!$X$6,TP!$O:$O,Toimenpiteet!$Z$3,TP!$AD:$AD,$X$9,TP!$AF:$AF,Toimenpiteet!$Y$6,TP!$Q:$Q,Toimenpiteet!$Y$4,TP!$AG:$AG,Toimenpiteet!$Y$5,TP!$L:$L,Toimenpiteet!$V$2,TP!AL:AL,$AC$4)</f>
        <v>0</v>
      </c>
      <c r="L72" s="111">
        <f>SUMIFS(TP!$P:$P,TP!$AI:$AI,$W$7,TP!$R:$R,$X$9,TP!$U:$U,Toimenpiteet!$T72,TP!$W:$W,Toimenpiteet!$X$8,TP!$X:$X,Toimenpiteet!$X$6,TP!$K:$K,Toimenpiteet!$Z$6,TP!$AD:$AD,$X$9,TP!$AF:$AF,Toimenpiteet!$Y$6,TP!$Q:$Q,Toimenpiteet!$Y$4,TP!$AG:$AG,Toimenpiteet!$Y$5,TP!$L:$L,Toimenpiteet!$V$2,TP!AL:AL,$AC$4)</f>
        <v>0</v>
      </c>
      <c r="M72" s="111">
        <f>SUMIFS(TP!$P:$P,TP!$AI:$AI,$W$7,TP!$R:$R,$X$9,TP!$U:$U,Toimenpiteet!$T72,TP!$W:$W,Toimenpiteet!$X$8,TP!$X:$X,Toimenpiteet!$X$6,TP!$K:$K,Toimenpiteet!$Z$7,TP!$AD:$AD,$X$9,TP!$AF:$AF,Toimenpiteet!$Y$6,TP!$Q:$Q,Toimenpiteet!$Y$4,TP!$AG:$AG,Toimenpiteet!$Y$5,TP!$L:$L,Toimenpiteet!$V$2,TP!AL:AL,$AC$4)</f>
        <v>0</v>
      </c>
      <c r="N72" s="111">
        <f>SUMIFS(TP!$P:$P,TP!$AI:$AI,$W$7,TP!$R:$R,$X$9,TP!$U:$U,Toimenpiteet!$T72,TP!$W:$W,Toimenpiteet!$X$8,TP!$X:$X,Toimenpiteet!$X$6,TP!$K:$K,Toimenpiteet!$Z$8,TP!$AD:$AD,$X$9,TP!$AF:$AF,Toimenpiteet!$Y$6,TP!$Q:$Q,Toimenpiteet!$Y$4,TP!$AG:$AG,Toimenpiteet!$Y$5,TP!$L:$L,Toimenpiteet!$V$2,TP!AL:AL,$AC$4)</f>
        <v>0</v>
      </c>
      <c r="O72" s="116">
        <f>SUMIFS(TP!$P:$P,TP!$AI:$AI,$W$7,TP!$R:$R,$X$9,TP!$U:$U,Toimenpiteet!$T72,TP!$W:$W,Toimenpiteet!$X$8,TP!$X:$X,Toimenpiteet!$X$6,TP!$K:$K,Toimenpiteet!$Z$5,TP!$AD:$AD,$X$9,TP!$AF:$AF,Toimenpiteet!$Y$6,TP!$Q:$Q,Toimenpiteet!$Y$4,TP!$AG:$AG,Toimenpiteet!$Y$5,TP!$L:$L,Toimenpiteet!$V$2,TP!AL:AL,$AC$4)</f>
        <v>0</v>
      </c>
      <c r="T72" s="653" t="s">
        <v>1160</v>
      </c>
      <c r="U72" s="652" t="s">
        <v>516</v>
      </c>
      <c r="V72" s="111">
        <f>SUMIFS(TP!$P:$P,TP!$AI:$AI,$W$7,TP!$R:$R,$X$9,TP!$U:$U,Toimenpiteet!$U72,TP!$W:$W,Toimenpiteet!$X$8,TP!$X:$X,Toimenpiteet!$X$6,TP!$AD:$AD,$X$9,TP!$AF:$AF,Toimenpiteet!$Y$6,TP!$Q:$Q,Toimenpiteet!$Y$4,TP!$AG:$AG,Toimenpiteet!$Y$5,TP!$L:$L,Toimenpiteet!$V$2,TP!AL:AL,$AC$4)</f>
        <v>0</v>
      </c>
      <c r="W72" s="111">
        <f>SUMIFS(TP!$P:$P,TP!$AI:$AI,$W$7,TP!$R:$R,$X$9,TP!$U:$U,Toimenpiteet!$U72,TP!$W:$W,Toimenpiteet!$X$8,TP!$X:$X,Toimenpiteet!$X$6,TP!$V:$V,Toimenpiteet!$X$7,TP!$AD:$AD,$X$9,TP!$AF:$AF,Toimenpiteet!$Y$6,TP!$Q:$Q,Toimenpiteet!$Y$4,TP!$AG:$AG,Toimenpiteet!$Y$5,TP!$L:$L,Toimenpiteet!$V$2,TP!AL:AL,$AC$4)</f>
        <v>0</v>
      </c>
      <c r="X72" s="111">
        <f>SUMIFS(TP!$P:$P,TP!$AI:$AI,$W$7,TP!$R:$R,$X$9,TP!$U:$U,Toimenpiteet!$U72,TP!$W:$W,Toimenpiteet!$X$8,TP!$X:$X,Toimenpiteet!$X$6,TP!$V:$V,Toimenpiteet!$Y$7,TP!$AD:$AD,$X$9,TP!$AF:$AF,Toimenpiteet!$Y$6,TP!$Q:$Q,Toimenpiteet!$Y$4,TP!$AG:$AG,Toimenpiteet!$Y$5,TP!$L:$L,Toimenpiteet!$V$2,TP!AL:AL,$AC$4)</f>
        <v>0</v>
      </c>
      <c r="Y72" s="111">
        <f>SUMIFS(TP!$P:$P,TP!$AI:$AI,$W$7,TP!$R:$R,$X$9,TP!$U:$U,Toimenpiteet!$U72,TP!$W:$W,Toimenpiteet!$Y$8,TP!$X:$X,Toimenpiteet!$X$6,TP!$AD:$AD,$X$9,TP!$AF:$AF,Toimenpiteet!$Y$6,TP!$Q:$Q,Toimenpiteet!$Y$4,TP!$AG:$AG,Toimenpiteet!$Y$5,TP!$L:$L,Toimenpiteet!$V$2,TP!AL:AL,$AC$4)</f>
        <v>0</v>
      </c>
      <c r="AD72" s="111">
        <f>SUMIFS(TP!$P:$P,TP!$AI:$AI,$W$7,TP!$R:$R,$X$9,TP!$U:$U,Toimenpiteet!$AC72,TP!$W:$W,Toimenpiteet!$X$8,TP!$X:$X,Toimenpiteet!$X$6,TP!$AD:$AD,$X$9,TP!$AF:$AF,Toimenpiteet!$Y$6,TP!$Q:$Q,Toimenpiteet!$Y$4,TP!$AG:$AG,Toimenpiteet!$Y$5,TP!$L:$L,Toimenpiteet!$V$2,TP!AL:AL,$AC$4)</f>
        <v>0</v>
      </c>
      <c r="AE72" s="111">
        <f>SUMIFS(TP!$P:$P,TP!$AI:$AI,$W$7,TP!$R:$R,$X$9,TP!$U:$U,Toimenpiteet!$AC72,TP!$W:$W,Toimenpiteet!$X$8,TP!$X:$X,Toimenpiteet!$X$6,TP!$V:$V,Toimenpiteet!$X$7,TP!$AD:$AD,$X$9,TP!$AF:$AF,Toimenpiteet!$Y$6,TP!$Q:$Q,Toimenpiteet!$Y$4,TP!$AG:$AG,Toimenpiteet!$Y$5,TP!$L:$L,Toimenpiteet!$V$2,TP!AL:AL,$AC$4)</f>
        <v>0</v>
      </c>
      <c r="AF72" s="111">
        <f>SUMIFS(TP!$P:$P,TP!$AI:$AI,$W$7,TP!$R:$R,$X$9,TP!$U:$U,Toimenpiteet!$AC72,TP!$W:$W,Toimenpiteet!$X$8,TP!$X:$X,Toimenpiteet!$X$6,TP!$V:$V,Toimenpiteet!$Y$7,TP!$AD:$AD,$X$9,TP!$AF:$AF,Toimenpiteet!$Y$6,TP!$Q:$Q,Toimenpiteet!$Y$4,TP!$AG:$AG,Toimenpiteet!$Y$5,TP!$L:$L,Toimenpiteet!$V$2,TP!AL:AL,$AC$4)</f>
        <v>0</v>
      </c>
      <c r="AG72" s="111">
        <f>SUMIFS(TP!$P:$P,TP!$AI:$AI,$W$7,TP!$R:$R,$X$9,TP!$U:$U,Toimenpiteet!$AC72,TP!$W:$W,Toimenpiteet!$Y$8,TP!$X:$X,Toimenpiteet!$X$6,TP!$AD:$AD,$X$9,TP!$AF:$AF,Toimenpiteet!$Y$6,TP!$Q:$Q,Toimenpiteet!$Y$4,TP!$AG:$AG,Toimenpiteet!$Y$5,TP!$L:$L,Toimenpiteet!$V$2,TP!AL:AL,$AC$4)</f>
        <v>0</v>
      </c>
      <c r="AL72" s="638"/>
      <c r="AM72" s="646" t="s">
        <v>1408</v>
      </c>
      <c r="AN72" s="646" t="s">
        <v>1408</v>
      </c>
      <c r="AO72" t="s">
        <v>1160</v>
      </c>
    </row>
    <row r="73" spans="1:41" x14ac:dyDescent="0.25">
      <c r="A73" s="101" t="s">
        <v>587</v>
      </c>
      <c r="B73" s="671"/>
      <c r="C73" s="118"/>
      <c r="D73" s="119"/>
      <c r="E73" s="118"/>
      <c r="F73" s="118"/>
      <c r="G73" s="118"/>
      <c r="H73" s="120"/>
      <c r="I73" s="117"/>
      <c r="J73" s="121"/>
      <c r="K73" s="30"/>
      <c r="L73" s="30"/>
      <c r="M73" s="30"/>
      <c r="N73" s="122"/>
      <c r="O73" s="31"/>
      <c r="V73" s="558"/>
      <c r="W73" s="558"/>
      <c r="X73" s="558"/>
      <c r="Y73" s="558"/>
    </row>
    <row r="74" spans="1:41" x14ac:dyDescent="0.25">
      <c r="A74" s="103"/>
      <c r="B74" s="104" t="str">
        <f>A73</f>
        <v>Ohjattu muihin palveluihin / toimenpiteisiin</v>
      </c>
      <c r="C74" s="105">
        <f>C75+C86+C92+C102+C112</f>
        <v>0</v>
      </c>
      <c r="D74" s="105"/>
      <c r="E74" s="105"/>
      <c r="F74" s="105"/>
      <c r="G74" s="105"/>
      <c r="H74" s="107"/>
      <c r="I74" s="108"/>
      <c r="J74" s="107">
        <f t="shared" ref="J74:O74" si="6">J75+J86+J92+J102+J112</f>
        <v>0</v>
      </c>
      <c r="K74" s="105">
        <f t="shared" si="6"/>
        <v>0</v>
      </c>
      <c r="L74" s="105">
        <f t="shared" si="6"/>
        <v>0</v>
      </c>
      <c r="M74" s="105">
        <f t="shared" si="6"/>
        <v>0</v>
      </c>
      <c r="N74" s="105">
        <f t="shared" si="6"/>
        <v>0</v>
      </c>
      <c r="O74" s="108">
        <f t="shared" si="6"/>
        <v>0</v>
      </c>
      <c r="V74" s="558"/>
      <c r="W74" s="558"/>
      <c r="X74" s="558"/>
      <c r="Y74" s="558"/>
    </row>
    <row r="75" spans="1:41" ht="15" customHeight="1" x14ac:dyDescent="0.25">
      <c r="A75" s="103"/>
      <c r="B75" s="104" t="str">
        <f>A76</f>
        <v>Sosiaalityö ja terveydenhuolto</v>
      </c>
      <c r="C75" s="105">
        <f>SUM(C76:C85)</f>
        <v>0</v>
      </c>
      <c r="D75" s="105"/>
      <c r="E75" s="105"/>
      <c r="F75" s="105"/>
      <c r="G75" s="105"/>
      <c r="H75" s="107"/>
      <c r="I75" s="108"/>
      <c r="J75" s="107">
        <f t="shared" ref="J75:O75" si="7">SUM(J76:J85)</f>
        <v>0</v>
      </c>
      <c r="K75" s="105">
        <f t="shared" si="7"/>
        <v>0</v>
      </c>
      <c r="L75" s="105">
        <f t="shared" si="7"/>
        <v>0</v>
      </c>
      <c r="M75" s="105">
        <f t="shared" si="7"/>
        <v>0</v>
      </c>
      <c r="N75" s="105">
        <f t="shared" si="7"/>
        <v>0</v>
      </c>
      <c r="O75" s="108">
        <f t="shared" si="7"/>
        <v>0</v>
      </c>
      <c r="T75" s="655"/>
      <c r="V75" s="558"/>
      <c r="W75" s="558"/>
      <c r="X75" s="558"/>
      <c r="Y75" s="558"/>
      <c r="AD75" s="439" t="s">
        <v>625</v>
      </c>
      <c r="AE75" s="439" t="s">
        <v>132</v>
      </c>
      <c r="AF75" s="440" t="s">
        <v>133</v>
      </c>
      <c r="AG75" s="441" t="s">
        <v>134</v>
      </c>
      <c r="AL75" s="641" t="s">
        <v>1397</v>
      </c>
      <c r="AM75" s="647" t="s">
        <v>1263</v>
      </c>
      <c r="AN75" s="647" t="s">
        <v>1409</v>
      </c>
    </row>
    <row r="76" spans="1:41" ht="15" customHeight="1" x14ac:dyDescent="0.25">
      <c r="A76" s="914" t="s">
        <v>1263</v>
      </c>
      <c r="B76" s="672" t="s">
        <v>1355</v>
      </c>
      <c r="C76" s="111">
        <f>SUMIFS(TP!$P:$P,TP!$AI:$AI,$W$7,TP!$R:$R,$X$9,TP!$U:$U,Toimenpiteet!$T76,TP!$W:$W,Toimenpiteet!$X$8,TP!$X:$X,Toimenpiteet!$X$6,TP!$AD:$AD,$X$9,TP!$AF:$AF,Toimenpiteet!$Y$6,TP!$Q:$Q,Toimenpiteet!$Y$4,TP!$AG:$AG,Toimenpiteet!$Y$5,TP!$L:$L,Toimenpiteet!$V$2,TP!AL:AL,$AC$4)+V76+AD76</f>
        <v>0</v>
      </c>
      <c r="D76" s="112">
        <f t="shared" ref="D76:D85" si="8">IFERROR(C76/$C$54,0)</f>
        <v>0</v>
      </c>
      <c r="E76" s="111">
        <f>SUMIFS(TP!$P:$P,TP!$AI:$AI,$W$7,TP!$R:$R,$X$9,TP!$U:$U,Toimenpiteet!$T76,TP!$W:$W,Toimenpiteet!$X$8,TP!$X:$X,Toimenpiteet!$X$6,TP!$V:$V,Toimenpiteet!$X$7,TP!$AD:$AD,$X$9,TP!$AF:$AF,Toimenpiteet!$Y$6,TP!$Q:$Q,Toimenpiteet!$Y$4,TP!$AG:$AG,Toimenpiteet!$Y$5,TP!$L:$L,Toimenpiteet!$V$2,TP!AL:AL,$AC$4)+W76+AE76</f>
        <v>0</v>
      </c>
      <c r="F76" s="111">
        <f>SUMIFS(TP!$P:$P,TP!$AI:$AI,$W$7,TP!$R:$R,$X$9,TP!$U:$U,Toimenpiteet!$T76,TP!$W:$W,Toimenpiteet!$X$8,TP!$X:$X,Toimenpiteet!$X$6,TP!$V:$V,Toimenpiteet!$Y$7,TP!$AD:$AD,$X$9,TP!$AF:$AF,Toimenpiteet!$Y$6,TP!$Q:$Q,Toimenpiteet!$Y$4,TP!$AG:$AG,Toimenpiteet!$Y$5,TP!$L:$L,Toimenpiteet!$V$2,TP!AL:AL,$AC$4)+X76+AF76</f>
        <v>0</v>
      </c>
      <c r="G76" s="111">
        <f>SUMIFS(TP!$P:$P,TP!$AI:$AI,$W$7,TP!$R:$R,$X$9,TP!$U:$U,Toimenpiteet!$T76,TP!$W:$W,Toimenpiteet!$Y$8,TP!$X:$X,Toimenpiteet!$X$6,TP!$AD:$AD,$X$9,TP!$AF:$AF,Toimenpiteet!$Y$6,TP!$Q:$Q,Toimenpiteet!$Y$4,TP!$AG:$AG,Toimenpiteet!$Y$5,TP!$L:$L,Toimenpiteet!$V$2,TP!AL:AL,$AC$4)+Y76+AG76</f>
        <v>0</v>
      </c>
      <c r="H76" s="123"/>
      <c r="I76" s="124"/>
      <c r="J76" s="115">
        <f>SUMIFS(TP!$P:$P,TP!$AI:$AI,$W$7,TP!$R:$R,$X$9,TP!$U:$U,Toimenpiteet!$T76,TP!$W:$W,Toimenpiteet!$X$8,TP!$X:$X,Toimenpiteet!$X$6,TP!$Z:$Z,1,TP!$AD:$AD,$X$9,TP!$AF:$AF,Toimenpiteet!$Y$6,TP!$Q:$Q,Toimenpiteet!$Y$4,TP!$AG:$AG,Toimenpiteet!$Y$5,TP!$L:$L,Toimenpiteet!$V$2,TP!AL:AL,$AC$4)</f>
        <v>0</v>
      </c>
      <c r="K76" s="111">
        <f>SUMIFS(TP!$P:$P,TP!$AI:$AI,$W$7,TP!$R:$R,$X$9,TP!$U:$U,Toimenpiteet!$T76,TP!$W:$W,Toimenpiteet!$X$8,TP!$X:$X,Toimenpiteet!$X$6,TP!$O:$O,Toimenpiteet!$Z$3,TP!$AD:$AD,$X$9,TP!$AF:$AF,Toimenpiteet!$Y$6,TP!$Q:$Q,Toimenpiteet!$Y$4,TP!$AG:$AG,Toimenpiteet!$Y$5,TP!$L:$L,Toimenpiteet!$V$2,TP!AL:AL,$AC$4)</f>
        <v>0</v>
      </c>
      <c r="L76" s="111">
        <f>SUMIFS(TP!$P:$P,TP!$AI:$AI,$W$7,TP!$R:$R,$X$9,TP!$U:$U,Toimenpiteet!$T76,TP!$W:$W,Toimenpiteet!$X$8,TP!$X:$X,Toimenpiteet!$X$6,TP!$K:$K,Toimenpiteet!$Z$6,TP!$AD:$AD,$X$9,TP!$AF:$AF,Toimenpiteet!$Y$6,TP!$Q:$Q,Toimenpiteet!$Y$4,TP!$AG:$AG,Toimenpiteet!$Y$5,TP!$L:$L,Toimenpiteet!$V$2,TP!AL:AL,$AC$4)</f>
        <v>0</v>
      </c>
      <c r="M76" s="111">
        <f>SUMIFS(TP!$P:$P,TP!$AI:$AI,$W$7,TP!$R:$R,$X$9,TP!$U:$U,Toimenpiteet!$T76,TP!$W:$W,Toimenpiteet!$X$8,TP!$X:$X,Toimenpiteet!$X$6,TP!$K:$K,Toimenpiteet!$Z$7,TP!$AD:$AD,$X$9,TP!$AF:$AF,Toimenpiteet!$Y$6,TP!$Q:$Q,Toimenpiteet!$Y$4,TP!$AG:$AG,Toimenpiteet!$Y$5,TP!$L:$L,Toimenpiteet!$V$2,TP!AL:AL,$AC$4)</f>
        <v>0</v>
      </c>
      <c r="N76" s="111">
        <f>SUMIFS(TP!$P:$P,TP!$AI:$AI,$W$7,TP!$R:$R,$X$9,TP!$U:$U,Toimenpiteet!$T76,TP!$W:$W,Toimenpiteet!$X$8,TP!$X:$X,Toimenpiteet!$X$6,TP!$K:$K,Toimenpiteet!$Z$8,TP!$AD:$AD,$X$9,TP!$AF:$AF,Toimenpiteet!$Y$6,TP!$Q:$Q,Toimenpiteet!$Y$4,TP!$AG:$AG,Toimenpiteet!$Y$5,TP!$L:$L,Toimenpiteet!$V$2,TP!AL:AL,$AC$4)</f>
        <v>0</v>
      </c>
      <c r="O76" s="116">
        <f>SUMIFS(TP!$P:$P,TP!$AI:$AI,$W$7,TP!$R:$R,$X$9,TP!$U:$U,Toimenpiteet!$T76,TP!$W:$W,Toimenpiteet!$X$8,TP!$X:$X,Toimenpiteet!$X$6,TP!$K:$K,Toimenpiteet!$Z$5,TP!$AD:$AD,$X$9,TP!$AF:$AF,Toimenpiteet!$Y$6,TP!$Q:$Q,Toimenpiteet!$Y$4,TP!$AG:$AG,Toimenpiteet!$Y$5,TP!$L:$L,Toimenpiteet!$V$2,TP!AL:AL,$AC$4)</f>
        <v>0</v>
      </c>
      <c r="T76" t="s">
        <v>1229</v>
      </c>
      <c r="U76" s="549" t="s">
        <v>1127</v>
      </c>
      <c r="V76" s="111">
        <f>SUMIFS(TP!$P:$P,TP!$AI:$AI,$W$7,TP!$R:$R,$X$9,TP!$U:$U,Toimenpiteet!$U76,TP!$W:$W,Toimenpiteet!$X$8,TP!$X:$X,Toimenpiteet!$X$6,TP!$AD:$AD,$X$9,TP!$AF:$AF,Toimenpiteet!$Y$6,TP!$Q:$Q,Toimenpiteet!$Y$4,TP!$AG:$AG,Toimenpiteet!$Y$5,TP!$L:$L,Toimenpiteet!$V$2,TP!AL:AL,$AC$4)</f>
        <v>0</v>
      </c>
      <c r="W76" s="111">
        <f>SUMIFS(TP!$P:$P,TP!$AI:$AI,$W$7,TP!$R:$R,$X$9,TP!$U:$U,Toimenpiteet!$U76,TP!$W:$W,Toimenpiteet!$X$8,TP!$X:$X,Toimenpiteet!$X$6,TP!$V:$V,Toimenpiteet!$X$7,TP!$AD:$AD,$X$9,TP!$AF:$AF,Toimenpiteet!$Y$6,TP!$Q:$Q,Toimenpiteet!$Y$4,TP!$AG:$AG,Toimenpiteet!$Y$5,TP!$L:$L,Toimenpiteet!$V$2,TP!AL:AL,$AC$4)</f>
        <v>0</v>
      </c>
      <c r="X76" s="111">
        <f>SUMIFS(TP!$P:$P,TP!$AI:$AI,$W$7,TP!$R:$R,$X$9,TP!$U:$U,Toimenpiteet!$U76,TP!$W:$W,Toimenpiteet!$X$8,TP!$X:$X,Toimenpiteet!$X$6,TP!$V:$V,Toimenpiteet!$Y$7,TP!$AD:$AD,$X$9,TP!$AF:$AF,Toimenpiteet!$Y$6,TP!$Q:$Q,Toimenpiteet!$Y$4,TP!$AG:$AG,Toimenpiteet!$Y$5,TP!$L:$L,Toimenpiteet!$V$2,TP!AL:AL,$AC$4)</f>
        <v>0</v>
      </c>
      <c r="Y76" s="111">
        <f>SUMIFS(TP!$P:$P,TP!$AI:$AI,$W$7,TP!$R:$R,$X$9,TP!$U:$U,Toimenpiteet!$U76,TP!$W:$W,Toimenpiteet!$Y$8,TP!$X:$X,Toimenpiteet!$X$6,TP!$AD:$AD,$X$9,TP!$AF:$AF,Toimenpiteet!$Y$6,TP!$Q:$Q,Toimenpiteet!$Y$4,TP!$AG:$AG,Toimenpiteet!$Y$5,TP!$L:$L,Toimenpiteet!$V$2,TP!AL:AL,$AC$4)</f>
        <v>0</v>
      </c>
      <c r="AC76" s="652" t="s">
        <v>272</v>
      </c>
      <c r="AD76" s="111">
        <f>SUMIFS(TP!$P:$P,TP!$AI:$AI,$W$7,TP!$R:$R,$X$9,TP!$U:$U,Toimenpiteet!$AC76,TP!$W:$W,Toimenpiteet!$X$8,TP!$X:$X,Toimenpiteet!$X$6,TP!$AD:$AD,$X$9,TP!$AF:$AF,Toimenpiteet!$Y$6,TP!$Q:$Q,Toimenpiteet!$Y$4,TP!$AG:$AG,Toimenpiteet!$Y$5,TP!$L:$L,Toimenpiteet!$V$2,TP!AL:AL,$AC$4)</f>
        <v>0</v>
      </c>
      <c r="AE76" s="111">
        <f>SUMIFS(TP!$P:$P,TP!$AI:$AI,$W$7,TP!$R:$R,$X$9,TP!$U:$U,Toimenpiteet!$AC76,TP!$W:$W,Toimenpiteet!$X$8,TP!$X:$X,Toimenpiteet!$X$6,TP!$V:$V,Toimenpiteet!$X$7,TP!$AD:$AD,$X$9,TP!$AF:$AF,Toimenpiteet!$Y$6,TP!$Q:$Q,Toimenpiteet!$Y$4,TP!$AG:$AG,Toimenpiteet!$Y$5,TP!$L:$L,Toimenpiteet!$V$2,TP!AL:AL,$AC$4)</f>
        <v>0</v>
      </c>
      <c r="AF76" s="111">
        <f>SUMIFS(TP!$P:$P,TP!$AI:$AI,$W$7,TP!$R:$R,$X$9,TP!$U:$U,Toimenpiteet!$AC76,TP!$W:$W,Toimenpiteet!$X$8,TP!$X:$X,Toimenpiteet!$X$6,TP!$V:$V,Toimenpiteet!$Y$7,TP!$AD:$AD,$X$9,TP!$AF:$AF,Toimenpiteet!$Y$6,TP!$Q:$Q,Toimenpiteet!$Y$4,TP!$AG:$AG,Toimenpiteet!$Y$5,TP!$L:$L,Toimenpiteet!$V$2,TP!AL:AL,$AC$4)</f>
        <v>0</v>
      </c>
      <c r="AG76" s="111">
        <f>SUMIFS(TP!$P:$P,TP!$AI:$AI,$W$7,TP!$R:$R,$X$9,TP!$U:$U,Toimenpiteet!$AC76,TP!$W:$W,Toimenpiteet!$Y$8,TP!$X:$X,Toimenpiteet!$X$6,TP!$AD:$AD,$X$9,TP!$AF:$AF,Toimenpiteet!$Y$6,TP!$Q:$Q,Toimenpiteet!$Y$4,TP!$AG:$AG,Toimenpiteet!$Y$5,TP!$L:$L,Toimenpiteet!$V$2,TP!AL:AL,$AC$4)</f>
        <v>0</v>
      </c>
      <c r="AL76" s="643" t="s">
        <v>1397</v>
      </c>
      <c r="AM76" s="645" t="s">
        <v>1342</v>
      </c>
      <c r="AN76" s="645" t="s">
        <v>1410</v>
      </c>
      <c r="AO76" t="s">
        <v>1229</v>
      </c>
    </row>
    <row r="77" spans="1:41" ht="15" customHeight="1" x14ac:dyDescent="0.25">
      <c r="A77" s="915"/>
      <c r="B77" s="672" t="s">
        <v>1356</v>
      </c>
      <c r="C77" s="111">
        <f>SUMIFS(TP!$P:$P,TP!$AI:$AI,$W$7,TP!$R:$R,$X$9,TP!$U:$U,Toimenpiteet!$T77,TP!$W:$W,Toimenpiteet!$X$8,TP!$X:$X,Toimenpiteet!$X$6,TP!$AD:$AD,$X$9,TP!$AF:$AF,Toimenpiteet!$Y$6,TP!$Q:$Q,Toimenpiteet!$Y$4,TP!$AG:$AG,Toimenpiteet!$Y$5,TP!$L:$L,Toimenpiteet!$V$2,TP!AL:AL,$AC$4)+V77+AD77</f>
        <v>0</v>
      </c>
      <c r="D77" s="112">
        <f t="shared" si="8"/>
        <v>0</v>
      </c>
      <c r="E77" s="111">
        <f>SUMIFS(TP!$P:$P,TP!$AI:$AI,$W$7,TP!$R:$R,$X$9,TP!$U:$U,Toimenpiteet!$T77,TP!$W:$W,Toimenpiteet!$X$8,TP!$X:$X,Toimenpiteet!$X$6,TP!$V:$V,Toimenpiteet!$X$7,TP!$AD:$AD,$X$9,TP!$AF:$AF,Toimenpiteet!$Y$6,TP!$Q:$Q,Toimenpiteet!$Y$4,TP!$AG:$AG,Toimenpiteet!$Y$5,TP!$L:$L,Toimenpiteet!$V$2,TP!AL:AL,$AC$4)+W77+AE77</f>
        <v>0</v>
      </c>
      <c r="F77" s="111">
        <f>SUMIFS(TP!$P:$P,TP!$AI:$AI,$W$7,TP!$R:$R,$X$9,TP!$U:$U,Toimenpiteet!$T77,TP!$W:$W,Toimenpiteet!$X$8,TP!$X:$X,Toimenpiteet!$X$6,TP!$V:$V,Toimenpiteet!$Y$7,TP!$AD:$AD,$X$9,TP!$AF:$AF,Toimenpiteet!$Y$6,TP!$Q:$Q,Toimenpiteet!$Y$4,TP!$AG:$AG,Toimenpiteet!$Y$5,TP!$L:$L,Toimenpiteet!$V$2,TP!AL:AL,$AC$4)+X77+AF77</f>
        <v>0</v>
      </c>
      <c r="G77" s="111">
        <f>SUMIFS(TP!$P:$P,TP!$AI:$AI,$W$7,TP!$R:$R,$X$9,TP!$U:$U,Toimenpiteet!$T77,TP!$W:$W,Toimenpiteet!$Y$8,TP!$X:$X,Toimenpiteet!$X$6,TP!$AD:$AD,$X$9,TP!$AF:$AF,Toimenpiteet!$Y$6,TP!$Q:$Q,Toimenpiteet!$Y$4,TP!$AG:$AG,Toimenpiteet!$Y$5,TP!$L:$L,Toimenpiteet!$V$2,TP!AL:AL,$AC$4)+Y77+AG77</f>
        <v>0</v>
      </c>
      <c r="H77" s="123"/>
      <c r="I77" s="124"/>
      <c r="J77" s="115">
        <f>SUMIFS(TP!$P:$P,TP!$AI:$AI,$W$7,TP!$R:$R,$X$9,TP!$U:$U,Toimenpiteet!$T77,TP!$W:$W,Toimenpiteet!$X$8,TP!$X:$X,Toimenpiteet!$X$6,TP!$Z:$Z,1,TP!$AD:$AD,$X$9,TP!$AF:$AF,Toimenpiteet!$Y$6,TP!$Q:$Q,Toimenpiteet!$Y$4,TP!$AG:$AG,Toimenpiteet!$Y$5,TP!$L:$L,Toimenpiteet!$V$2,TP!AL:AL,$AC$4)</f>
        <v>0</v>
      </c>
      <c r="K77" s="111">
        <f>SUMIFS(TP!$P:$P,TP!$AI:$AI,$W$7,TP!$R:$R,$X$9,TP!$U:$U,Toimenpiteet!$T77,TP!$W:$W,Toimenpiteet!$X$8,TP!$X:$X,Toimenpiteet!$X$6,TP!$O:$O,Toimenpiteet!$Z$3,TP!$AD:$AD,$X$9,TP!$AF:$AF,Toimenpiteet!$Y$6,TP!$Q:$Q,Toimenpiteet!$Y$4,TP!$AG:$AG,Toimenpiteet!$Y$5,TP!$L:$L,Toimenpiteet!$V$2,TP!AL:AL,$AC$4)</f>
        <v>0</v>
      </c>
      <c r="L77" s="111">
        <f>SUMIFS(TP!$P:$P,TP!$AI:$AI,$W$7,TP!$R:$R,$X$9,TP!$U:$U,Toimenpiteet!$T77,TP!$W:$W,Toimenpiteet!$X$8,TP!$X:$X,Toimenpiteet!$X$6,TP!$K:$K,Toimenpiteet!$Z$6,TP!$AD:$AD,$X$9,TP!$AF:$AF,Toimenpiteet!$Y$6,TP!$Q:$Q,Toimenpiteet!$Y$4,TP!$AG:$AG,Toimenpiteet!$Y$5,TP!$L:$L,Toimenpiteet!$V$2,TP!AL:AL,$AC$4)</f>
        <v>0</v>
      </c>
      <c r="M77" s="111">
        <f>SUMIFS(TP!$P:$P,TP!$AI:$AI,$W$7,TP!$R:$R,$X$9,TP!$U:$U,Toimenpiteet!$T77,TP!$W:$W,Toimenpiteet!$X$8,TP!$X:$X,Toimenpiteet!$X$6,TP!$K:$K,Toimenpiteet!$Z$7,TP!$AD:$AD,$X$9,TP!$AF:$AF,Toimenpiteet!$Y$6,TP!$Q:$Q,Toimenpiteet!$Y$4,TP!$AG:$AG,Toimenpiteet!$Y$5,TP!$L:$L,Toimenpiteet!$V$2,TP!AL:AL,$AC$4)</f>
        <v>0</v>
      </c>
      <c r="N77" s="111">
        <f>SUMIFS(TP!$P:$P,TP!$AI:$AI,$W$7,TP!$R:$R,$X$9,TP!$U:$U,Toimenpiteet!$T77,TP!$W:$W,Toimenpiteet!$X$8,TP!$X:$X,Toimenpiteet!$X$6,TP!$K:$K,Toimenpiteet!$Z$8,TP!$AD:$AD,$X$9,TP!$AF:$AF,Toimenpiteet!$Y$6,TP!$Q:$Q,Toimenpiteet!$Y$4,TP!$AG:$AG,Toimenpiteet!$Y$5,TP!$L:$L,Toimenpiteet!$V$2,TP!AL:AL,$AC$4)</f>
        <v>0</v>
      </c>
      <c r="O77" s="116">
        <f>SUMIFS(TP!$P:$P,TP!$AI:$AI,$W$7,TP!$R:$R,$X$9,TP!$U:$U,Toimenpiteet!$T77,TP!$W:$W,Toimenpiteet!$X$8,TP!$X:$X,Toimenpiteet!$X$6,TP!$K:$K,Toimenpiteet!$Z$5,TP!$AD:$AD,$X$9,TP!$AF:$AF,Toimenpiteet!$Y$6,TP!$Q:$Q,Toimenpiteet!$Y$4,TP!$AG:$AG,Toimenpiteet!$Y$5,TP!$L:$L,Toimenpiteet!$V$2,TP!AL:AL,$AC$4)</f>
        <v>0</v>
      </c>
      <c r="T77" t="s">
        <v>1228</v>
      </c>
      <c r="U77" s="549" t="s">
        <v>1128</v>
      </c>
      <c r="V77" s="111">
        <f>SUMIFS(TP!$P:$P,TP!$AI:$AI,$W$7,TP!$R:$R,$X$9,TP!$U:$U,Toimenpiteet!$U77,TP!$W:$W,Toimenpiteet!$X$8,TP!$X:$X,Toimenpiteet!$X$6,TP!$AD:$AD,$X$9,TP!$AF:$AF,Toimenpiteet!$Y$6,TP!$Q:$Q,Toimenpiteet!$Y$4,TP!$AG:$AG,Toimenpiteet!$Y$5,TP!$L:$L,Toimenpiteet!$V$2,TP!AL:AL,$AC$4)</f>
        <v>0</v>
      </c>
      <c r="W77" s="111">
        <f>SUMIFS(TP!$P:$P,TP!$AI:$AI,$W$7,TP!$R:$R,$X$9,TP!$U:$U,Toimenpiteet!$U77,TP!$W:$W,Toimenpiteet!$X$8,TP!$X:$X,Toimenpiteet!$X$6,TP!$V:$V,Toimenpiteet!$X$7,TP!$AD:$AD,$X$9,TP!$AF:$AF,Toimenpiteet!$Y$6,TP!$Q:$Q,Toimenpiteet!$Y$4,TP!$AG:$AG,Toimenpiteet!$Y$5,TP!$L:$L,Toimenpiteet!$V$2,TP!AL:AL,$AC$4)</f>
        <v>0</v>
      </c>
      <c r="X77" s="111">
        <f>SUMIFS(TP!$P:$P,TP!$AI:$AI,$W$7,TP!$R:$R,$X$9,TP!$U:$U,Toimenpiteet!$U77,TP!$W:$W,Toimenpiteet!$X$8,TP!$X:$X,Toimenpiteet!$X$6,TP!$V:$V,Toimenpiteet!$Y$7,TP!$AD:$AD,$X$9,TP!$AF:$AF,Toimenpiteet!$Y$6,TP!$Q:$Q,Toimenpiteet!$Y$4,TP!$AG:$AG,Toimenpiteet!$Y$5,TP!$L:$L,Toimenpiteet!$V$2,TP!AL:AL,$AC$4)</f>
        <v>0</v>
      </c>
      <c r="Y77" s="111">
        <f>SUMIFS(TP!$P:$P,TP!$AI:$AI,$W$7,TP!$R:$R,$X$9,TP!$U:$U,Toimenpiteet!$U77,TP!$W:$W,Toimenpiteet!$Y$8,TP!$X:$X,Toimenpiteet!$X$6,TP!$AD:$AD,$X$9,TP!$AF:$AF,Toimenpiteet!$Y$6,TP!$Q:$Q,Toimenpiteet!$Y$4,TP!$AG:$AG,Toimenpiteet!$Y$5,TP!$L:$L,Toimenpiteet!$V$2,TP!AL:AL,$AC$4)</f>
        <v>0</v>
      </c>
      <c r="AC77" s="652" t="s">
        <v>273</v>
      </c>
      <c r="AD77" s="111">
        <f>SUMIFS(TP!$P:$P,TP!$AI:$AI,$W$7,TP!$R:$R,$X$9,TP!$U:$U,Toimenpiteet!$AC77,TP!$W:$W,Toimenpiteet!$X$8,TP!$X:$X,Toimenpiteet!$X$6,TP!$AD:$AD,$X$9,TP!$AF:$AF,Toimenpiteet!$Y$6,TP!$Q:$Q,Toimenpiteet!$Y$4,TP!$AG:$AG,Toimenpiteet!$Y$5,TP!$L:$L,Toimenpiteet!$V$2,TP!AL:AL,$AC$4)</f>
        <v>0</v>
      </c>
      <c r="AE77" s="111">
        <f>SUMIFS(TP!$P:$P,TP!$AI:$AI,$W$7,TP!$R:$R,$X$9,TP!$U:$U,Toimenpiteet!$AC77,TP!$W:$W,Toimenpiteet!$X$8,TP!$X:$X,Toimenpiteet!$X$6,TP!$V:$V,Toimenpiteet!$X$7,TP!$AD:$AD,$X$9,TP!$AF:$AF,Toimenpiteet!$Y$6,TP!$Q:$Q,Toimenpiteet!$Y$4,TP!$AG:$AG,Toimenpiteet!$Y$5,TP!$L:$L,Toimenpiteet!$V$2,TP!AL:AL,$AC$4)</f>
        <v>0</v>
      </c>
      <c r="AF77" s="111">
        <f>SUMIFS(TP!$P:$P,TP!$AI:$AI,$W$7,TP!$R:$R,$X$9,TP!$U:$U,Toimenpiteet!$AC77,TP!$W:$W,Toimenpiteet!$X$8,TP!$X:$X,Toimenpiteet!$X$6,TP!$V:$V,Toimenpiteet!$Y$7,TP!$AD:$AD,$X$9,TP!$AF:$AF,Toimenpiteet!$Y$6,TP!$Q:$Q,Toimenpiteet!$Y$4,TP!$AG:$AG,Toimenpiteet!$Y$5,TP!$L:$L,Toimenpiteet!$V$2,TP!AL:AL,$AC$4)</f>
        <v>0</v>
      </c>
      <c r="AG77" s="111">
        <f>SUMIFS(TP!$P:$P,TP!$AI:$AI,$W$7,TP!$R:$R,$X$9,TP!$U:$U,Toimenpiteet!$AC77,TP!$W:$W,Toimenpiteet!$Y$8,TP!$X:$X,Toimenpiteet!$X$6,TP!$AD:$AD,$X$9,TP!$AF:$AF,Toimenpiteet!$Y$6,TP!$Q:$Q,Toimenpiteet!$Y$4,TP!$AG:$AG,Toimenpiteet!$Y$5,TP!$L:$L,Toimenpiteet!$V$2,TP!AL:AL,$AC$4)</f>
        <v>0</v>
      </c>
      <c r="AL77" s="643" t="s">
        <v>1397</v>
      </c>
      <c r="AM77" s="645" t="s">
        <v>1279</v>
      </c>
      <c r="AN77" s="645" t="s">
        <v>1411</v>
      </c>
      <c r="AO77" t="s">
        <v>1228</v>
      </c>
    </row>
    <row r="78" spans="1:41" x14ac:dyDescent="0.25">
      <c r="A78" s="915"/>
      <c r="B78" s="672" t="s">
        <v>1389</v>
      </c>
      <c r="C78" s="111">
        <f>SUMIFS(TP!$P:$P,TP!$AI:$AI,$W$7,TP!$R:$R,$X$9,TP!$U:$U,Toimenpiteet!$T78,TP!$W:$W,Toimenpiteet!$X$8,TP!$X:$X,Toimenpiteet!$X$6,TP!$AD:$AD,$X$9,TP!$AF:$AF,Toimenpiteet!$Y$6,TP!$Q:$Q,Toimenpiteet!$Y$4,TP!$AG:$AG,Toimenpiteet!$Y$5,TP!$L:$L,Toimenpiteet!$V$2,TP!AL:AL,$AC$4)+V78+AD78</f>
        <v>0</v>
      </c>
      <c r="D78" s="112">
        <f t="shared" si="8"/>
        <v>0</v>
      </c>
      <c r="E78" s="111">
        <f>SUMIFS(TP!$P:$P,TP!$AI:$AI,$W$7,TP!$R:$R,$X$9,TP!$U:$U,Toimenpiteet!$T78,TP!$W:$W,Toimenpiteet!$X$8,TP!$X:$X,Toimenpiteet!$X$6,TP!$V:$V,Toimenpiteet!$X$7,TP!$AD:$AD,$X$9,TP!$AF:$AF,Toimenpiteet!$Y$6,TP!$Q:$Q,Toimenpiteet!$Y$4,TP!$AG:$AG,Toimenpiteet!$Y$5,TP!$L:$L,Toimenpiteet!$V$2,TP!AL:AL,$AC$4)+W78+AE78</f>
        <v>0</v>
      </c>
      <c r="F78" s="111">
        <f>SUMIFS(TP!$P:$P,TP!$AI:$AI,$W$7,TP!$R:$R,$X$9,TP!$U:$U,Toimenpiteet!$T78,TP!$W:$W,Toimenpiteet!$X$8,TP!$X:$X,Toimenpiteet!$X$6,TP!$V:$V,Toimenpiteet!$Y$7,TP!$AD:$AD,$X$9,TP!$AF:$AF,Toimenpiteet!$Y$6,TP!$Q:$Q,Toimenpiteet!$Y$4,TP!$AG:$AG,Toimenpiteet!$Y$5,TP!$L:$L,Toimenpiteet!$V$2,TP!AL:AL,$AC$4)+X78+AF78</f>
        <v>0</v>
      </c>
      <c r="G78" s="111">
        <f>SUMIFS(TP!$P:$P,TP!$AI:$AI,$W$7,TP!$R:$R,$X$9,TP!$U:$U,Toimenpiteet!$T78,TP!$W:$W,Toimenpiteet!$Y$8,TP!$X:$X,Toimenpiteet!$X$6,TP!$AD:$AD,$X$9,TP!$AF:$AF,Toimenpiteet!$Y$6,TP!$Q:$Q,Toimenpiteet!$Y$4,TP!$AG:$AG,Toimenpiteet!$Y$5,TP!$L:$L,Toimenpiteet!$V$2,TP!AL:AL,$AC$4)+Y78+AG78</f>
        <v>0</v>
      </c>
      <c r="H78" s="123"/>
      <c r="I78" s="124"/>
      <c r="J78" s="115">
        <f>SUMIFS(TP!$P:$P,TP!$AI:$AI,$W$7,TP!$R:$R,$X$9,TP!$U:$U,Toimenpiteet!$T78,TP!$W:$W,Toimenpiteet!$X$8,TP!$X:$X,Toimenpiteet!$X$6,TP!$Z:$Z,1,TP!$AD:$AD,$X$9,TP!$AF:$AF,Toimenpiteet!$Y$6,TP!$Q:$Q,Toimenpiteet!$Y$4,TP!$AG:$AG,Toimenpiteet!$Y$5,TP!$L:$L,Toimenpiteet!$V$2,TP!AL:AL,$AC$4)</f>
        <v>0</v>
      </c>
      <c r="K78" s="111">
        <f>SUMIFS(TP!$P:$P,TP!$AI:$AI,$W$7,TP!$R:$R,$X$9,TP!$U:$U,Toimenpiteet!$T78,TP!$W:$W,Toimenpiteet!$X$8,TP!$X:$X,Toimenpiteet!$X$6,TP!$O:$O,Toimenpiteet!$Z$3,TP!$AD:$AD,$X$9,TP!$AF:$AF,Toimenpiteet!$Y$6,TP!$Q:$Q,Toimenpiteet!$Y$4,TP!$AG:$AG,Toimenpiteet!$Y$5,TP!$L:$L,Toimenpiteet!$V$2,TP!AL:AL,$AC$4)</f>
        <v>0</v>
      </c>
      <c r="L78" s="111">
        <f>SUMIFS(TP!$P:$P,TP!$AI:$AI,$W$7,TP!$R:$R,$X$9,TP!$U:$U,Toimenpiteet!$T78,TP!$W:$W,Toimenpiteet!$X$8,TP!$X:$X,Toimenpiteet!$X$6,TP!$K:$K,Toimenpiteet!$Z$6,TP!$AD:$AD,$X$9,TP!$AF:$AF,Toimenpiteet!$Y$6,TP!$Q:$Q,Toimenpiteet!$Y$4,TP!$AG:$AG,Toimenpiteet!$Y$5,TP!$L:$L,Toimenpiteet!$V$2,TP!AL:AL,$AC$4)</f>
        <v>0</v>
      </c>
      <c r="M78" s="111">
        <f>SUMIFS(TP!$P:$P,TP!$AI:$AI,$W$7,TP!$R:$R,$X$9,TP!$U:$U,Toimenpiteet!$T78,TP!$W:$W,Toimenpiteet!$X$8,TP!$X:$X,Toimenpiteet!$X$6,TP!$K:$K,Toimenpiteet!$Z$7,TP!$AD:$AD,$X$9,TP!$AF:$AF,Toimenpiteet!$Y$6,TP!$Q:$Q,Toimenpiteet!$Y$4,TP!$AG:$AG,Toimenpiteet!$Y$5,TP!$L:$L,Toimenpiteet!$V$2,TP!AL:AL,$AC$4)</f>
        <v>0</v>
      </c>
      <c r="N78" s="111">
        <f>SUMIFS(TP!$P:$P,TP!$AI:$AI,$W$7,TP!$R:$R,$X$9,TP!$U:$U,Toimenpiteet!$T78,TP!$W:$W,Toimenpiteet!$X$8,TP!$X:$X,Toimenpiteet!$X$6,TP!$K:$K,Toimenpiteet!$Z$8,TP!$AD:$AD,$X$9,TP!$AF:$AF,Toimenpiteet!$Y$6,TP!$Q:$Q,Toimenpiteet!$Y$4,TP!$AG:$AG,Toimenpiteet!$Y$5,TP!$L:$L,Toimenpiteet!$V$2,TP!AL:AL,$AC$4)</f>
        <v>0</v>
      </c>
      <c r="O78" s="116">
        <f>SUMIFS(TP!$P:$P,TP!$AI:$AI,$W$7,TP!$R:$R,$X$9,TP!$U:$U,Toimenpiteet!$T78,TP!$W:$W,Toimenpiteet!$X$8,TP!$X:$X,Toimenpiteet!$X$6,TP!$K:$K,Toimenpiteet!$Z$5,TP!$AD:$AD,$X$9,TP!$AF:$AF,Toimenpiteet!$Y$6,TP!$Q:$Q,Toimenpiteet!$Y$4,TP!$AG:$AG,Toimenpiteet!$Y$5,TP!$L:$L,Toimenpiteet!$V$2,TP!AL:AL,$AC$4)</f>
        <v>0</v>
      </c>
      <c r="T78" t="s">
        <v>1231</v>
      </c>
      <c r="U78"/>
      <c r="V78" s="111">
        <f>SUMIFS(TP!$P:$P,TP!$AI:$AI,$W$7,TP!$R:$R,$X$9,TP!$U:$U,Toimenpiteet!$U78,TP!$W:$W,Toimenpiteet!$X$8,TP!$X:$X,Toimenpiteet!$X$6,TP!$AD:$AD,$X$9,TP!$AF:$AF,Toimenpiteet!$Y$6,TP!$Q:$Q,Toimenpiteet!$Y$4,TP!$AG:$AG,Toimenpiteet!$Y$5,TP!$L:$L,Toimenpiteet!$V$2,TP!AL:AL,$AC$4)</f>
        <v>0</v>
      </c>
      <c r="W78" s="111">
        <f>SUMIFS(TP!$P:$P,TP!$AI:$AI,$W$7,TP!$R:$R,$X$9,TP!$U:$U,Toimenpiteet!$U78,TP!$W:$W,Toimenpiteet!$X$8,TP!$X:$X,Toimenpiteet!$X$6,TP!$V:$V,Toimenpiteet!$X$7,TP!$AD:$AD,$X$9,TP!$AF:$AF,Toimenpiteet!$Y$6,TP!$Q:$Q,Toimenpiteet!$Y$4,TP!$AG:$AG,Toimenpiteet!$Y$5,TP!$L:$L,Toimenpiteet!$V$2,TP!AL:AL,$AC$4)</f>
        <v>0</v>
      </c>
      <c r="X78" s="111">
        <f>SUMIFS(TP!$P:$P,TP!$AI:$AI,$W$7,TP!$R:$R,$X$9,TP!$U:$U,Toimenpiteet!$U78,TP!$W:$W,Toimenpiteet!$X$8,TP!$X:$X,Toimenpiteet!$X$6,TP!$V:$V,Toimenpiteet!$Y$7,TP!$AD:$AD,$X$9,TP!$AF:$AF,Toimenpiteet!$Y$6,TP!$Q:$Q,Toimenpiteet!$Y$4,TP!$AG:$AG,Toimenpiteet!$Y$5,TP!$L:$L,Toimenpiteet!$V$2,TP!AL:AL,$AC$4)</f>
        <v>0</v>
      </c>
      <c r="Y78" s="111">
        <f>SUMIFS(TP!$P:$P,TP!$AI:$AI,$W$7,TP!$R:$R,$X$9,TP!$U:$U,Toimenpiteet!$U78,TP!$W:$W,Toimenpiteet!$Y$8,TP!$X:$X,Toimenpiteet!$X$6,TP!$AD:$AD,$X$9,TP!$AF:$AF,Toimenpiteet!$Y$6,TP!$Q:$Q,Toimenpiteet!$Y$4,TP!$AG:$AG,Toimenpiteet!$Y$5,TP!$L:$L,Toimenpiteet!$V$2,TP!AL:AL,$AC$4)</f>
        <v>0</v>
      </c>
      <c r="AD78" s="111">
        <f>SUMIFS(TP!$P:$P,TP!$AI:$AI,$W$7,TP!$R:$R,$X$9,TP!$U:$U,Toimenpiteet!$AC78,TP!$W:$W,Toimenpiteet!$X$8,TP!$X:$X,Toimenpiteet!$X$6,TP!$AD:$AD,$X$9,TP!$AF:$AF,Toimenpiteet!$Y$6,TP!$Q:$Q,Toimenpiteet!$Y$4,TP!$AG:$AG,Toimenpiteet!$Y$5,TP!$L:$L,Toimenpiteet!$V$2,TP!AL:AL,$AC$4)</f>
        <v>0</v>
      </c>
      <c r="AE78" s="111">
        <f>SUMIFS(TP!$P:$P,TP!$AI:$AI,$W$7,TP!$R:$R,$X$9,TP!$U:$U,Toimenpiteet!$AC78,TP!$W:$W,Toimenpiteet!$X$8,TP!$X:$X,Toimenpiteet!$X$6,TP!$V:$V,Toimenpiteet!$X$7,TP!$AD:$AD,$X$9,TP!$AF:$AF,Toimenpiteet!$Y$6,TP!$Q:$Q,Toimenpiteet!$Y$4,TP!$AG:$AG,Toimenpiteet!$Y$5,TP!$L:$L,Toimenpiteet!$V$2,TP!AL:AL,$AC$4)</f>
        <v>0</v>
      </c>
      <c r="AF78" s="111">
        <f>SUMIFS(TP!$P:$P,TP!$AI:$AI,$W$7,TP!$R:$R,$X$9,TP!$U:$U,Toimenpiteet!$AC78,TP!$W:$W,Toimenpiteet!$X$8,TP!$X:$X,Toimenpiteet!$X$6,TP!$V:$V,Toimenpiteet!$Y$7,TP!$AD:$AD,$X$9,TP!$AF:$AF,Toimenpiteet!$Y$6,TP!$Q:$Q,Toimenpiteet!$Y$4,TP!$AG:$AG,Toimenpiteet!$Y$5,TP!$L:$L,Toimenpiteet!$V$2,TP!AL:AL,$AC$4)</f>
        <v>0</v>
      </c>
      <c r="AG78" s="111">
        <f>SUMIFS(TP!$P:$P,TP!$AI:$AI,$W$7,TP!$R:$R,$X$9,TP!$U:$U,Toimenpiteet!$AC78,TP!$W:$W,Toimenpiteet!$Y$8,TP!$X:$X,Toimenpiteet!$X$6,TP!$AD:$AD,$X$9,TP!$AF:$AF,Toimenpiteet!$Y$6,TP!$Q:$Q,Toimenpiteet!$Y$4,TP!$AG:$AG,Toimenpiteet!$Y$5,TP!$L:$L,Toimenpiteet!$V$2,TP!AL:AL,$AC$4)</f>
        <v>0</v>
      </c>
      <c r="AL78" s="640" t="s">
        <v>1412</v>
      </c>
      <c r="AM78" s="648" t="s">
        <v>1373</v>
      </c>
      <c r="AN78" s="648"/>
      <c r="AO78" t="s">
        <v>1231</v>
      </c>
    </row>
    <row r="79" spans="1:41" x14ac:dyDescent="0.25">
      <c r="A79" s="915"/>
      <c r="B79" s="672" t="s">
        <v>1144</v>
      </c>
      <c r="C79" s="111">
        <f>SUMIFS(TP!$P:$P,TP!$AI:$AI,$W$7,TP!$R:$R,$X$9,TP!$U:$U,Toimenpiteet!$T79,TP!$W:$W,Toimenpiteet!$X$8,TP!$X:$X,Toimenpiteet!$X$6,TP!$AD:$AD,$X$9,TP!$AF:$AF,Toimenpiteet!$Y$6,TP!$Q:$Q,Toimenpiteet!$Y$4,TP!$AG:$AG,Toimenpiteet!$Y$5,TP!$L:$L,Toimenpiteet!$V$2,TP!AL:AL,$AC$4)+V79+AD79</f>
        <v>0</v>
      </c>
      <c r="D79" s="112">
        <f t="shared" si="8"/>
        <v>0</v>
      </c>
      <c r="E79" s="111">
        <f>SUMIFS(TP!$P:$P,TP!$AI:$AI,$W$7,TP!$R:$R,$X$9,TP!$U:$U,Toimenpiteet!$T79,TP!$W:$W,Toimenpiteet!$X$8,TP!$X:$X,Toimenpiteet!$X$6,TP!$V:$V,Toimenpiteet!$X$7,TP!$AD:$AD,$X$9,TP!$AF:$AF,Toimenpiteet!$Y$6,TP!$Q:$Q,Toimenpiteet!$Y$4,TP!$AG:$AG,Toimenpiteet!$Y$5,TP!$L:$L,Toimenpiteet!$V$2,TP!AL:AL,$AC$4)+W79+AE79</f>
        <v>0</v>
      </c>
      <c r="F79" s="111">
        <f>SUMIFS(TP!$P:$P,TP!$AI:$AI,$W$7,TP!$R:$R,$X$9,TP!$U:$U,Toimenpiteet!$T79,TP!$W:$W,Toimenpiteet!$X$8,TP!$X:$X,Toimenpiteet!$X$6,TP!$V:$V,Toimenpiteet!$Y$7,TP!$AD:$AD,$X$9,TP!$AF:$AF,Toimenpiteet!$Y$6,TP!$Q:$Q,Toimenpiteet!$Y$4,TP!$AG:$AG,Toimenpiteet!$Y$5,TP!$L:$L,Toimenpiteet!$V$2,TP!AL:AL,$AC$4)+X79+AF79</f>
        <v>0</v>
      </c>
      <c r="G79" s="111">
        <f>SUMIFS(TP!$P:$P,TP!$AI:$AI,$W$7,TP!$R:$R,$X$9,TP!$U:$U,Toimenpiteet!$T79,TP!$W:$W,Toimenpiteet!$Y$8,TP!$X:$X,Toimenpiteet!$X$6,TP!$AD:$AD,$X$9,TP!$AF:$AF,Toimenpiteet!$Y$6,TP!$Q:$Q,Toimenpiteet!$Y$4,TP!$AG:$AG,Toimenpiteet!$Y$5,TP!$L:$L,Toimenpiteet!$V$2,TP!AL:AL,$AC$4)+Y79+AG79</f>
        <v>0</v>
      </c>
      <c r="H79" s="123"/>
      <c r="I79" s="124"/>
      <c r="J79" s="115">
        <f>SUMIFS(TP!$P:$P,TP!$AI:$AI,$W$7,TP!$R:$R,$X$9,TP!$U:$U,Toimenpiteet!$T79,TP!$W:$W,Toimenpiteet!$X$8,TP!$X:$X,Toimenpiteet!$X$6,TP!$Z:$Z,1,TP!$AD:$AD,$X$9,TP!$AF:$AF,Toimenpiteet!$Y$6,TP!$Q:$Q,Toimenpiteet!$Y$4,TP!$AG:$AG,Toimenpiteet!$Y$5,TP!$L:$L,Toimenpiteet!$V$2,TP!AL:AL,$AC$4)</f>
        <v>0</v>
      </c>
      <c r="K79" s="111">
        <f>SUMIFS(TP!$P:$P,TP!$AI:$AI,$W$7,TP!$R:$R,$X$9,TP!$U:$U,Toimenpiteet!$T79,TP!$W:$W,Toimenpiteet!$X$8,TP!$X:$X,Toimenpiteet!$X$6,TP!$O:$O,Toimenpiteet!$Z$3,TP!$AD:$AD,$X$9,TP!$AF:$AF,Toimenpiteet!$Y$6,TP!$Q:$Q,Toimenpiteet!$Y$4,TP!$AG:$AG,Toimenpiteet!$Y$5,TP!$L:$L,Toimenpiteet!$V$2,TP!AL:AL,$AC$4)</f>
        <v>0</v>
      </c>
      <c r="L79" s="111">
        <f>SUMIFS(TP!$P:$P,TP!$AI:$AI,$W$7,TP!$R:$R,$X$9,TP!$U:$U,Toimenpiteet!$T79,TP!$W:$W,Toimenpiteet!$X$8,TP!$X:$X,Toimenpiteet!$X$6,TP!$K:$K,Toimenpiteet!$Z$6,TP!$AD:$AD,$X$9,TP!$AF:$AF,Toimenpiteet!$Y$6,TP!$Q:$Q,Toimenpiteet!$Y$4,TP!$AG:$AG,Toimenpiteet!$Y$5,TP!$L:$L,Toimenpiteet!$V$2,TP!AL:AL,$AC$4)</f>
        <v>0</v>
      </c>
      <c r="M79" s="111">
        <f>SUMIFS(TP!$P:$P,TP!$AI:$AI,$W$7,TP!$R:$R,$X$9,TP!$U:$U,Toimenpiteet!$T79,TP!$W:$W,Toimenpiteet!$X$8,TP!$X:$X,Toimenpiteet!$X$6,TP!$K:$K,Toimenpiteet!$Z$7,TP!$AD:$AD,$X$9,TP!$AF:$AF,Toimenpiteet!$Y$6,TP!$Q:$Q,Toimenpiteet!$Y$4,TP!$AG:$AG,Toimenpiteet!$Y$5,TP!$L:$L,Toimenpiteet!$V$2,TP!AL:AL,$AC$4)</f>
        <v>0</v>
      </c>
      <c r="N79" s="111">
        <f>SUMIFS(TP!$P:$P,TP!$AI:$AI,$W$7,TP!$R:$R,$X$9,TP!$U:$U,Toimenpiteet!$T79,TP!$W:$W,Toimenpiteet!$X$8,TP!$X:$X,Toimenpiteet!$X$6,TP!$K:$K,Toimenpiteet!$Z$8,TP!$AD:$AD,$X$9,TP!$AF:$AF,Toimenpiteet!$Y$6,TP!$Q:$Q,Toimenpiteet!$Y$4,TP!$AG:$AG,Toimenpiteet!$Y$5,TP!$L:$L,Toimenpiteet!$V$2,TP!AL:AL,$AC$4)</f>
        <v>0</v>
      </c>
      <c r="O79" s="116">
        <f>SUMIFS(TP!$P:$P,TP!$AI:$AI,$W$7,TP!$R:$R,$X$9,TP!$U:$U,Toimenpiteet!$T79,TP!$W:$W,Toimenpiteet!$X$8,TP!$X:$X,Toimenpiteet!$X$6,TP!$K:$K,Toimenpiteet!$Z$5,TP!$AD:$AD,$X$9,TP!$AF:$AF,Toimenpiteet!$Y$6,TP!$Q:$Q,Toimenpiteet!$Y$4,TP!$AG:$AG,Toimenpiteet!$Y$5,TP!$L:$L,Toimenpiteet!$V$2,TP!AL:AL,$AC$4)</f>
        <v>0</v>
      </c>
      <c r="T79" s="653" t="s">
        <v>1129</v>
      </c>
      <c r="U79" s="652" t="s">
        <v>274</v>
      </c>
      <c r="V79" s="111">
        <f>SUMIFS(TP!$P:$P,TP!$AI:$AI,$W$7,TP!$R:$R,$X$9,TP!$U:$U,Toimenpiteet!$U79,TP!$W:$W,Toimenpiteet!$X$8,TP!$X:$X,Toimenpiteet!$X$6,TP!$AD:$AD,$X$9,TP!$AF:$AF,Toimenpiteet!$Y$6,TP!$Q:$Q,Toimenpiteet!$Y$4,TP!$AG:$AG,Toimenpiteet!$Y$5,TP!$L:$L,Toimenpiteet!$V$2,TP!AL:AL,$AC$4)</f>
        <v>0</v>
      </c>
      <c r="W79" s="111">
        <f>SUMIFS(TP!$P:$P,TP!$AI:$AI,$W$7,TP!$R:$R,$X$9,TP!$U:$U,Toimenpiteet!$U79,TP!$W:$W,Toimenpiteet!$X$8,TP!$X:$X,Toimenpiteet!$X$6,TP!$V:$V,Toimenpiteet!$X$7,TP!$AD:$AD,$X$9,TP!$AF:$AF,Toimenpiteet!$Y$6,TP!$Q:$Q,Toimenpiteet!$Y$4,TP!$AG:$AG,Toimenpiteet!$Y$5,TP!$L:$L,Toimenpiteet!$V$2,TP!AL:AL,$AC$4)</f>
        <v>0</v>
      </c>
      <c r="X79" s="111">
        <f>SUMIFS(TP!$P:$P,TP!$AI:$AI,$W$7,TP!$R:$R,$X$9,TP!$U:$U,Toimenpiteet!$U79,TP!$W:$W,Toimenpiteet!$X$8,TP!$X:$X,Toimenpiteet!$X$6,TP!$V:$V,Toimenpiteet!$Y$7,TP!$AD:$AD,$X$9,TP!$AF:$AF,Toimenpiteet!$Y$6,TP!$Q:$Q,Toimenpiteet!$Y$4,TP!$AG:$AG,Toimenpiteet!$Y$5,TP!$L:$L,Toimenpiteet!$V$2,TP!AL:AL,$AC$4)</f>
        <v>0</v>
      </c>
      <c r="Y79" s="111">
        <f>SUMIFS(TP!$P:$P,TP!$AI:$AI,$W$7,TP!$R:$R,$X$9,TP!$U:$U,Toimenpiteet!$U79,TP!$W:$W,Toimenpiteet!$Y$8,TP!$X:$X,Toimenpiteet!$X$6,TP!$AD:$AD,$X$9,TP!$AF:$AF,Toimenpiteet!$Y$6,TP!$Q:$Q,Toimenpiteet!$Y$4,TP!$AG:$AG,Toimenpiteet!$Y$5,TP!$L:$L,Toimenpiteet!$V$2,TP!AL:AL,$AC$4)</f>
        <v>0</v>
      </c>
      <c r="AD79" s="111">
        <f>SUMIFS(TP!$P:$P,TP!$AI:$AI,$W$7,TP!$R:$R,$X$9,TP!$U:$U,Toimenpiteet!$AC79,TP!$W:$W,Toimenpiteet!$X$8,TP!$X:$X,Toimenpiteet!$X$6,TP!$AD:$AD,$X$9,TP!$AF:$AF,Toimenpiteet!$Y$6,TP!$Q:$Q,Toimenpiteet!$Y$4,TP!$AG:$AG,Toimenpiteet!$Y$5,TP!$L:$L,Toimenpiteet!$V$2,TP!AL:AL,$AC$4)</f>
        <v>0</v>
      </c>
      <c r="AE79" s="111">
        <f>SUMIFS(TP!$P:$P,TP!$AI:$AI,$W$7,TP!$R:$R,$X$9,TP!$U:$U,Toimenpiteet!$AC79,TP!$W:$W,Toimenpiteet!$X$8,TP!$X:$X,Toimenpiteet!$X$6,TP!$V:$V,Toimenpiteet!$X$7,TP!$AD:$AD,$X$9,TP!$AF:$AF,Toimenpiteet!$Y$6,TP!$Q:$Q,Toimenpiteet!$Y$4,TP!$AG:$AG,Toimenpiteet!$Y$5,TP!$L:$L,Toimenpiteet!$V$2,TP!AL:AL,$AC$4)</f>
        <v>0</v>
      </c>
      <c r="AF79" s="111">
        <f>SUMIFS(TP!$P:$P,TP!$AI:$AI,$W$7,TP!$R:$R,$X$9,TP!$U:$U,Toimenpiteet!$AC79,TP!$W:$W,Toimenpiteet!$X$8,TP!$X:$X,Toimenpiteet!$X$6,TP!$V:$V,Toimenpiteet!$Y$7,TP!$AD:$AD,$X$9,TP!$AF:$AF,Toimenpiteet!$Y$6,TP!$Q:$Q,Toimenpiteet!$Y$4,TP!$AG:$AG,Toimenpiteet!$Y$5,TP!$L:$L,Toimenpiteet!$V$2,TP!AL:AL,$AC$4)</f>
        <v>0</v>
      </c>
      <c r="AG79" s="111">
        <f>SUMIFS(TP!$P:$P,TP!$AI:$AI,$W$7,TP!$R:$R,$X$9,TP!$U:$U,Toimenpiteet!$AC79,TP!$W:$W,Toimenpiteet!$Y$8,TP!$X:$X,Toimenpiteet!$X$6,TP!$AD:$AD,$X$9,TP!$AF:$AF,Toimenpiteet!$Y$6,TP!$Q:$Q,Toimenpiteet!$Y$4,TP!$AG:$AG,Toimenpiteet!$Y$5,TP!$L:$L,Toimenpiteet!$V$2,TP!AL:AL,$AC$4)</f>
        <v>0</v>
      </c>
      <c r="AL79" s="638"/>
      <c r="AM79" s="646" t="s">
        <v>1413</v>
      </c>
      <c r="AN79" s="646" t="s">
        <v>1413</v>
      </c>
      <c r="AO79" t="s">
        <v>1129</v>
      </c>
    </row>
    <row r="80" spans="1:41" ht="15" customHeight="1" x14ac:dyDescent="0.25">
      <c r="A80" s="915"/>
      <c r="B80" s="672" t="s">
        <v>1145</v>
      </c>
      <c r="C80" s="111">
        <f>SUMIFS(TP!$P:$P,TP!$AI:$AI,$W$7,TP!$R:$R,$X$9,TP!$U:$U,Toimenpiteet!$T80,TP!$W:$W,Toimenpiteet!$X$8,TP!$X:$X,Toimenpiteet!$X$6,TP!$AD:$AD,$X$9,TP!$AF:$AF,Toimenpiteet!$Y$6,TP!$Q:$Q,Toimenpiteet!$Y$4,TP!$AG:$AG,Toimenpiteet!$Y$5,TP!$L:$L,Toimenpiteet!$V$2,TP!AL:AL,$AC$4)+V80+AD80</f>
        <v>0</v>
      </c>
      <c r="D80" s="112">
        <f t="shared" si="8"/>
        <v>0</v>
      </c>
      <c r="E80" s="111">
        <f>SUMIFS(TP!$P:$P,TP!$AI:$AI,$W$7,TP!$R:$R,$X$9,TP!$U:$U,Toimenpiteet!$T80,TP!$W:$W,Toimenpiteet!$X$8,TP!$X:$X,Toimenpiteet!$X$6,TP!$V:$V,Toimenpiteet!$X$7,TP!$AD:$AD,$X$9,TP!$AF:$AF,Toimenpiteet!$Y$6,TP!$Q:$Q,Toimenpiteet!$Y$4,TP!$AG:$AG,Toimenpiteet!$Y$5,TP!$L:$L,Toimenpiteet!$V$2,TP!AL:AL,$AC$4)+W80+AE80</f>
        <v>0</v>
      </c>
      <c r="F80" s="111">
        <f>SUMIFS(TP!$P:$P,TP!$AI:$AI,$W$7,TP!$R:$R,$X$9,TP!$U:$U,Toimenpiteet!$T80,TP!$W:$W,Toimenpiteet!$X$8,TP!$X:$X,Toimenpiteet!$X$6,TP!$V:$V,Toimenpiteet!$Y$7,TP!$AD:$AD,$X$9,TP!$AF:$AF,Toimenpiteet!$Y$6,TP!$Q:$Q,Toimenpiteet!$Y$4,TP!$AG:$AG,Toimenpiteet!$Y$5,TP!$L:$L,Toimenpiteet!$V$2,TP!AL:AL,$AC$4)+X80+AF80</f>
        <v>0</v>
      </c>
      <c r="G80" s="111">
        <f>SUMIFS(TP!$P:$P,TP!$AI:$AI,$W$7,TP!$R:$R,$X$9,TP!$U:$U,Toimenpiteet!$T80,TP!$W:$W,Toimenpiteet!$Y$8,TP!$X:$X,Toimenpiteet!$X$6,TP!$AD:$AD,$X$9,TP!$AF:$AF,Toimenpiteet!$Y$6,TP!$Q:$Q,Toimenpiteet!$Y$4,TP!$AG:$AG,Toimenpiteet!$Y$5,TP!$L:$L,Toimenpiteet!$V$2,TP!AL:AL,$AC$4)+Y80+AG80</f>
        <v>0</v>
      </c>
      <c r="H80" s="113"/>
      <c r="I80" s="114"/>
      <c r="J80" s="115">
        <f>SUMIFS(TP!$P:$P,TP!$AI:$AI,$W$7,TP!$R:$R,$X$9,TP!$U:$U,Toimenpiteet!$T80,TP!$W:$W,Toimenpiteet!$X$8,TP!$X:$X,Toimenpiteet!$X$6,TP!$Z:$Z,1,TP!$AD:$AD,$X$9,TP!$AF:$AF,Toimenpiteet!$Y$6,TP!$Q:$Q,Toimenpiteet!$Y$4,TP!$AG:$AG,Toimenpiteet!$Y$5,TP!$L:$L,Toimenpiteet!$V$2,TP!AL:AL,$AC$4)</f>
        <v>0</v>
      </c>
      <c r="K80" s="111">
        <f>SUMIFS(TP!$P:$P,TP!$AI:$AI,$W$7,TP!$R:$R,$X$9,TP!$U:$U,Toimenpiteet!$T80,TP!$W:$W,Toimenpiteet!$X$8,TP!$X:$X,Toimenpiteet!$X$6,TP!$O:$O,Toimenpiteet!$Z$3,TP!$AD:$AD,$X$9,TP!$AF:$AF,Toimenpiteet!$Y$6,TP!$Q:$Q,Toimenpiteet!$Y$4,TP!$AG:$AG,Toimenpiteet!$Y$5,TP!$L:$L,Toimenpiteet!$V$2,TP!AL:AL,$AC$4)</f>
        <v>0</v>
      </c>
      <c r="L80" s="111">
        <f>SUMIFS(TP!$P:$P,TP!$AI:$AI,$W$7,TP!$R:$R,$X$9,TP!$U:$U,Toimenpiteet!$T80,TP!$W:$W,Toimenpiteet!$X$8,TP!$X:$X,Toimenpiteet!$X$6,TP!$K:$K,Toimenpiteet!$Z$6,TP!$AD:$AD,$X$9,TP!$AF:$AF,Toimenpiteet!$Y$6,TP!$Q:$Q,Toimenpiteet!$Y$4,TP!$AG:$AG,Toimenpiteet!$Y$5,TP!$L:$L,Toimenpiteet!$V$2,TP!AL:AL,$AC$4)</f>
        <v>0</v>
      </c>
      <c r="M80" s="111">
        <f>SUMIFS(TP!$P:$P,TP!$AI:$AI,$W$7,TP!$R:$R,$X$9,TP!$U:$U,Toimenpiteet!$T80,TP!$W:$W,Toimenpiteet!$X$8,TP!$X:$X,Toimenpiteet!$X$6,TP!$K:$K,Toimenpiteet!$Z$7,TP!$AD:$AD,$X$9,TP!$AF:$AF,Toimenpiteet!$Y$6,TP!$Q:$Q,Toimenpiteet!$Y$4,TP!$AG:$AG,Toimenpiteet!$Y$5,TP!$L:$L,Toimenpiteet!$V$2,TP!AL:AL,$AC$4)</f>
        <v>0</v>
      </c>
      <c r="N80" s="111">
        <f>SUMIFS(TP!$P:$P,TP!$AI:$AI,$W$7,TP!$R:$R,$X$9,TP!$U:$U,Toimenpiteet!$T80,TP!$W:$W,Toimenpiteet!$X$8,TP!$X:$X,Toimenpiteet!$X$6,TP!$K:$K,Toimenpiteet!$Z$8,TP!$AD:$AD,$X$9,TP!$AF:$AF,Toimenpiteet!$Y$6,TP!$Q:$Q,Toimenpiteet!$Y$4,TP!$AG:$AG,Toimenpiteet!$Y$5,TP!$L:$L,Toimenpiteet!$V$2,TP!AL:AL,$AC$4)</f>
        <v>0</v>
      </c>
      <c r="O80" s="116">
        <f>SUMIFS(TP!$P:$P,TP!$AI:$AI,$W$7,TP!$R:$R,$X$9,TP!$U:$U,Toimenpiteet!$T80,TP!$W:$W,Toimenpiteet!$X$8,TP!$X:$X,Toimenpiteet!$X$6,TP!$K:$K,Toimenpiteet!$Z$5,TP!$AD:$AD,$X$9,TP!$AF:$AF,Toimenpiteet!$Y$6,TP!$Q:$Q,Toimenpiteet!$Y$4,TP!$AG:$AG,Toimenpiteet!$Y$5,TP!$L:$L,Toimenpiteet!$V$2,TP!AL:AL,$AC$4)</f>
        <v>0</v>
      </c>
      <c r="T80" s="651" t="s">
        <v>276</v>
      </c>
      <c r="V80" s="111">
        <f>SUMIFS(TP!$P:$P,TP!$AI:$AI,$W$7,TP!$R:$R,$X$9,TP!$U:$U,Toimenpiteet!$U80,TP!$W:$W,Toimenpiteet!$X$8,TP!$X:$X,Toimenpiteet!$X$6,TP!$AD:$AD,$X$9,TP!$AF:$AF,Toimenpiteet!$Y$6,TP!$Q:$Q,Toimenpiteet!$Y$4,TP!$AG:$AG,Toimenpiteet!$Y$5,TP!$L:$L,Toimenpiteet!$V$2,TP!AL:AL,$AC$4)</f>
        <v>0</v>
      </c>
      <c r="W80" s="111">
        <f>SUMIFS(TP!$P:$P,TP!$AI:$AI,$W$7,TP!$R:$R,$X$9,TP!$U:$U,Toimenpiteet!$U80,TP!$W:$W,Toimenpiteet!$X$8,TP!$X:$X,Toimenpiteet!$X$6,TP!$V:$V,Toimenpiteet!$X$7,TP!$AD:$AD,$X$9,TP!$AF:$AF,Toimenpiteet!$Y$6,TP!$Q:$Q,Toimenpiteet!$Y$4,TP!$AG:$AG,Toimenpiteet!$Y$5,TP!$L:$L,Toimenpiteet!$V$2,TP!AL:AL,$AC$4)</f>
        <v>0</v>
      </c>
      <c r="X80" s="111">
        <f>SUMIFS(TP!$P:$P,TP!$AI:$AI,$W$7,TP!$R:$R,$X$9,TP!$U:$U,Toimenpiteet!$U80,TP!$W:$W,Toimenpiteet!$X$8,TP!$X:$X,Toimenpiteet!$X$6,TP!$V:$V,Toimenpiteet!$Y$7,TP!$AD:$AD,$X$9,TP!$AF:$AF,Toimenpiteet!$Y$6,TP!$Q:$Q,Toimenpiteet!$Y$4,TP!$AG:$AG,Toimenpiteet!$Y$5,TP!$L:$L,Toimenpiteet!$V$2,TP!AL:AL,$AC$4)</f>
        <v>0</v>
      </c>
      <c r="Y80" s="111">
        <f>SUMIFS(TP!$P:$P,TP!$AI:$AI,$W$7,TP!$R:$R,$X$9,TP!$U:$U,Toimenpiteet!$U80,TP!$W:$W,Toimenpiteet!$Y$8,TP!$X:$X,Toimenpiteet!$X$6,TP!$AD:$AD,$X$9,TP!$AF:$AF,Toimenpiteet!$Y$6,TP!$Q:$Q,Toimenpiteet!$Y$4,TP!$AG:$AG,Toimenpiteet!$Y$5,TP!$L:$L,Toimenpiteet!$V$2,TP!AL:AL,$AC$4)</f>
        <v>0</v>
      </c>
      <c r="AD80" s="111">
        <f>SUMIFS(TP!$P:$P,TP!$AI:$AI,$W$7,TP!$R:$R,$X$9,TP!$U:$U,Toimenpiteet!$AC80,TP!$W:$W,Toimenpiteet!$X$8,TP!$X:$X,Toimenpiteet!$X$6,TP!$AD:$AD,$X$9,TP!$AF:$AF,Toimenpiteet!$Y$6,TP!$Q:$Q,Toimenpiteet!$Y$4,TP!$AG:$AG,Toimenpiteet!$Y$5,TP!$L:$L,Toimenpiteet!$V$2,TP!AL:AL,$AC$4)</f>
        <v>0</v>
      </c>
      <c r="AE80" s="111">
        <f>SUMIFS(TP!$P:$P,TP!$AI:$AI,$W$7,TP!$R:$R,$X$9,TP!$U:$U,Toimenpiteet!$AC80,TP!$W:$W,Toimenpiteet!$X$8,TP!$X:$X,Toimenpiteet!$X$6,TP!$V:$V,Toimenpiteet!$X$7,TP!$AD:$AD,$X$9,TP!$AF:$AF,Toimenpiteet!$Y$6,TP!$Q:$Q,Toimenpiteet!$Y$4,TP!$AG:$AG,Toimenpiteet!$Y$5,TP!$L:$L,Toimenpiteet!$V$2,TP!AL:AL,$AC$4)</f>
        <v>0</v>
      </c>
      <c r="AF80" s="111">
        <f>SUMIFS(TP!$P:$P,TP!$AI:$AI,$W$7,TP!$R:$R,$X$9,TP!$U:$U,Toimenpiteet!$AC80,TP!$W:$W,Toimenpiteet!$X$8,TP!$X:$X,Toimenpiteet!$X$6,TP!$V:$V,Toimenpiteet!$Y$7,TP!$AD:$AD,$X$9,TP!$AF:$AF,Toimenpiteet!$Y$6,TP!$Q:$Q,Toimenpiteet!$Y$4,TP!$AG:$AG,Toimenpiteet!$Y$5,TP!$L:$L,Toimenpiteet!$V$2,TP!AL:AL,$AC$4)</f>
        <v>0</v>
      </c>
      <c r="AG80" s="111">
        <f>SUMIFS(TP!$P:$P,TP!$AI:$AI,$W$7,TP!$R:$R,$X$9,TP!$U:$U,Toimenpiteet!$AC80,TP!$W:$W,Toimenpiteet!$Y$8,TP!$X:$X,Toimenpiteet!$X$6,TP!$AD:$AD,$X$9,TP!$AF:$AF,Toimenpiteet!$Y$6,TP!$Q:$Q,Toimenpiteet!$Y$4,TP!$AG:$AG,Toimenpiteet!$Y$5,TP!$L:$L,Toimenpiteet!$V$2,TP!AL:AL,$AC$4)</f>
        <v>0</v>
      </c>
      <c r="AL80" s="638"/>
      <c r="AM80" s="646" t="s">
        <v>41</v>
      </c>
      <c r="AN80" s="646" t="s">
        <v>41</v>
      </c>
      <c r="AO80" t="s">
        <v>276</v>
      </c>
    </row>
    <row r="81" spans="1:46" x14ac:dyDescent="0.25">
      <c r="A81" s="915"/>
      <c r="B81" s="672" t="s">
        <v>1146</v>
      </c>
      <c r="C81" s="111">
        <f>SUMIFS(TP!$P:$P,TP!$AI:$AI,$W$7,TP!$R:$R,$X$9,TP!$U:$U,Toimenpiteet!$T81,TP!$W:$W,Toimenpiteet!$X$8,TP!$X:$X,Toimenpiteet!$X$6,TP!$AD:$AD,$X$9,TP!$AF:$AF,Toimenpiteet!$Y$6,TP!$Q:$Q,Toimenpiteet!$Y$4,TP!$AG:$AG,Toimenpiteet!$Y$5,TP!$L:$L,Toimenpiteet!$V$2,TP!AL:AL,$AC$4)+V81+AD81</f>
        <v>0</v>
      </c>
      <c r="D81" s="112">
        <f t="shared" si="8"/>
        <v>0</v>
      </c>
      <c r="E81" s="111">
        <f>SUMIFS(TP!$P:$P,TP!$AI:$AI,$W$7,TP!$R:$R,$X$9,TP!$U:$U,Toimenpiteet!$T81,TP!$W:$W,Toimenpiteet!$X$8,TP!$X:$X,Toimenpiteet!$X$6,TP!$V:$V,Toimenpiteet!$X$7,TP!$AD:$AD,$X$9,TP!$AF:$AF,Toimenpiteet!$Y$6,TP!$Q:$Q,Toimenpiteet!$Y$4,TP!$AG:$AG,Toimenpiteet!$Y$5,TP!$L:$L,Toimenpiteet!$V$2,TP!AL:AL,$AC$4)+W81+AE81</f>
        <v>0</v>
      </c>
      <c r="F81" s="111">
        <f>SUMIFS(TP!$P:$P,TP!$AI:$AI,$W$7,TP!$R:$R,$X$9,TP!$U:$U,Toimenpiteet!$T81,TP!$W:$W,Toimenpiteet!$X$8,TP!$X:$X,Toimenpiteet!$X$6,TP!$V:$V,Toimenpiteet!$Y$7,TP!$AD:$AD,$X$9,TP!$AF:$AF,Toimenpiteet!$Y$6,TP!$Q:$Q,Toimenpiteet!$Y$4,TP!$AG:$AG,Toimenpiteet!$Y$5,TP!$L:$L,Toimenpiteet!$V$2,TP!AL:AL,$AC$4)+X81+AF81</f>
        <v>0</v>
      </c>
      <c r="G81" s="111">
        <f>SUMIFS(TP!$P:$P,TP!$AI:$AI,$W$7,TP!$R:$R,$X$9,TP!$U:$U,Toimenpiteet!$T81,TP!$W:$W,Toimenpiteet!$Y$8,TP!$X:$X,Toimenpiteet!$X$6,TP!$AD:$AD,$X$9,TP!$AF:$AF,Toimenpiteet!$Y$6,TP!$Q:$Q,Toimenpiteet!$Y$4,TP!$AG:$AG,Toimenpiteet!$Y$5,TP!$L:$L,Toimenpiteet!$V$2,TP!AL:AL,$AC$4)+Y81+AG81</f>
        <v>0</v>
      </c>
      <c r="H81" s="113"/>
      <c r="I81" s="114"/>
      <c r="J81" s="115">
        <f>SUMIFS(TP!$P:$P,TP!$AI:$AI,$W$7,TP!$R:$R,$X$9,TP!$U:$U,Toimenpiteet!$T81,TP!$W:$W,Toimenpiteet!$X$8,TP!$X:$X,Toimenpiteet!$X$6,TP!$Z:$Z,1,TP!$AD:$AD,$X$9,TP!$AF:$AF,Toimenpiteet!$Y$6,TP!$Q:$Q,Toimenpiteet!$Y$4,TP!$AG:$AG,Toimenpiteet!$Y$5,TP!$L:$L,Toimenpiteet!$V$2,TP!AL:AL,$AC$4)</f>
        <v>0</v>
      </c>
      <c r="K81" s="111">
        <f>SUMIFS(TP!$P:$P,TP!$AI:$AI,$W$7,TP!$R:$R,$X$9,TP!$U:$U,Toimenpiteet!$T81,TP!$W:$W,Toimenpiteet!$X$8,TP!$X:$X,Toimenpiteet!$X$6,TP!$O:$O,Toimenpiteet!$Z$3,TP!$AD:$AD,$X$9,TP!$AF:$AF,Toimenpiteet!$Y$6,TP!$Q:$Q,Toimenpiteet!$Y$4,TP!$AG:$AG,Toimenpiteet!$Y$5,TP!$L:$L,Toimenpiteet!$V$2,TP!AL:AL,$AC$4)</f>
        <v>0</v>
      </c>
      <c r="L81" s="111">
        <f>SUMIFS(TP!$P:$P,TP!$AI:$AI,$W$7,TP!$R:$R,$X$9,TP!$U:$U,Toimenpiteet!$T81,TP!$W:$W,Toimenpiteet!$X$8,TP!$X:$X,Toimenpiteet!$X$6,TP!$K:$K,Toimenpiteet!$Z$6,TP!$AD:$AD,$X$9,TP!$AF:$AF,Toimenpiteet!$Y$6,TP!$Q:$Q,Toimenpiteet!$Y$4,TP!$AG:$AG,Toimenpiteet!$Y$5,TP!$L:$L,Toimenpiteet!$V$2,TP!AL:AL,$AC$4)</f>
        <v>0</v>
      </c>
      <c r="M81" s="111">
        <f>SUMIFS(TP!$P:$P,TP!$AI:$AI,$W$7,TP!$R:$R,$X$9,TP!$U:$U,Toimenpiteet!$T81,TP!$W:$W,Toimenpiteet!$X$8,TP!$X:$X,Toimenpiteet!$X$6,TP!$K:$K,Toimenpiteet!$Z$7,TP!$AD:$AD,$X$9,TP!$AF:$AF,Toimenpiteet!$Y$6,TP!$Q:$Q,Toimenpiteet!$Y$4,TP!$AG:$AG,Toimenpiteet!$Y$5,TP!$L:$L,Toimenpiteet!$V$2,TP!AL:AL,$AC$4)</f>
        <v>0</v>
      </c>
      <c r="N81" s="111">
        <f>SUMIFS(TP!$P:$P,TP!$AI:$AI,$W$7,TP!$R:$R,$X$9,TP!$U:$U,Toimenpiteet!$T81,TP!$W:$W,Toimenpiteet!$X$8,TP!$X:$X,Toimenpiteet!$X$6,TP!$K:$K,Toimenpiteet!$Z$8,TP!$AD:$AD,$X$9,TP!$AF:$AF,Toimenpiteet!$Y$6,TP!$Q:$Q,Toimenpiteet!$Y$4,TP!$AG:$AG,Toimenpiteet!$Y$5,TP!$L:$L,Toimenpiteet!$V$2,TP!AL:AL,$AC$4)</f>
        <v>0</v>
      </c>
      <c r="O81" s="116">
        <f>SUMIFS(TP!$P:$P,TP!$AI:$AI,$W$7,TP!$R:$R,$X$9,TP!$U:$U,Toimenpiteet!$T81,TP!$W:$W,Toimenpiteet!$X$8,TP!$X:$X,Toimenpiteet!$X$6,TP!$K:$K,Toimenpiteet!$Z$5,TP!$AD:$AD,$X$9,TP!$AF:$AF,Toimenpiteet!$Y$6,TP!$Q:$Q,Toimenpiteet!$Y$4,TP!$AG:$AG,Toimenpiteet!$Y$5,TP!$L:$L,Toimenpiteet!$V$2,TP!AL:AL,$AC$4)</f>
        <v>0</v>
      </c>
      <c r="T81" s="653" t="s">
        <v>1130</v>
      </c>
      <c r="U81" s="652" t="s">
        <v>286</v>
      </c>
      <c r="V81" s="111">
        <f>SUMIFS(TP!$P:$P,TP!$AI:$AI,$W$7,TP!$R:$R,$X$9,TP!$U:$U,Toimenpiteet!$U81,TP!$W:$W,Toimenpiteet!$X$8,TP!$X:$X,Toimenpiteet!$X$6,TP!$AD:$AD,$X$9,TP!$AF:$AF,Toimenpiteet!$Y$6,TP!$Q:$Q,Toimenpiteet!$Y$4,TP!$AG:$AG,Toimenpiteet!$Y$5,TP!$L:$L,Toimenpiteet!$V$2,TP!AL:AL,$AC$4)</f>
        <v>0</v>
      </c>
      <c r="W81" s="111">
        <f>SUMIFS(TP!$P:$P,TP!$AI:$AI,$W$7,TP!$R:$R,$X$9,TP!$U:$U,Toimenpiteet!$U81,TP!$W:$W,Toimenpiteet!$X$8,TP!$X:$X,Toimenpiteet!$X$6,TP!$V:$V,Toimenpiteet!$X$7,TP!$AD:$AD,$X$9,TP!$AF:$AF,Toimenpiteet!$Y$6,TP!$Q:$Q,Toimenpiteet!$Y$4,TP!$AG:$AG,Toimenpiteet!$Y$5,TP!$L:$L,Toimenpiteet!$V$2,TP!AL:AL,$AC$4)</f>
        <v>0</v>
      </c>
      <c r="X81" s="111">
        <f>SUMIFS(TP!$P:$P,TP!$AI:$AI,$W$7,TP!$R:$R,$X$9,TP!$U:$U,Toimenpiteet!$U81,TP!$W:$W,Toimenpiteet!$X$8,TP!$X:$X,Toimenpiteet!$X$6,TP!$V:$V,Toimenpiteet!$Y$7,TP!$AD:$AD,$X$9,TP!$AF:$AF,Toimenpiteet!$Y$6,TP!$Q:$Q,Toimenpiteet!$Y$4,TP!$AG:$AG,Toimenpiteet!$Y$5,TP!$L:$L,Toimenpiteet!$V$2,TP!AL:AL,$AC$4)</f>
        <v>0</v>
      </c>
      <c r="Y81" s="111">
        <f>SUMIFS(TP!$P:$P,TP!$AI:$AI,$W$7,TP!$R:$R,$X$9,TP!$U:$U,Toimenpiteet!$U81,TP!$W:$W,Toimenpiteet!$Y$8,TP!$X:$X,Toimenpiteet!$X$6,TP!$AD:$AD,$X$9,TP!$AF:$AF,Toimenpiteet!$Y$6,TP!$Q:$Q,Toimenpiteet!$Y$4,TP!$AG:$AG,Toimenpiteet!$Y$5,TP!$L:$L,Toimenpiteet!$V$2,TP!AL:AL,$AC$4)</f>
        <v>0</v>
      </c>
      <c r="AD81" s="111">
        <f>SUMIFS(TP!$P:$P,TP!$AI:$AI,$W$7,TP!$R:$R,$X$9,TP!$U:$U,Toimenpiteet!$AC81,TP!$W:$W,Toimenpiteet!$X$8,TP!$X:$X,Toimenpiteet!$X$6,TP!$AD:$AD,$X$9,TP!$AF:$AF,Toimenpiteet!$Y$6,TP!$Q:$Q,Toimenpiteet!$Y$4,TP!$AG:$AG,Toimenpiteet!$Y$5,TP!$L:$L,Toimenpiteet!$V$2,TP!AL:AL,$AC$4)</f>
        <v>0</v>
      </c>
      <c r="AE81" s="111">
        <f>SUMIFS(TP!$P:$P,TP!$AI:$AI,$W$7,TP!$R:$R,$X$9,TP!$U:$U,Toimenpiteet!$AC81,TP!$W:$W,Toimenpiteet!$X$8,TP!$X:$X,Toimenpiteet!$X$6,TP!$V:$V,Toimenpiteet!$X$7,TP!$AD:$AD,$X$9,TP!$AF:$AF,Toimenpiteet!$Y$6,TP!$Q:$Q,Toimenpiteet!$Y$4,TP!$AG:$AG,Toimenpiteet!$Y$5,TP!$L:$L,Toimenpiteet!$V$2,TP!AL:AL,$AC$4)</f>
        <v>0</v>
      </c>
      <c r="AF81" s="111">
        <f>SUMIFS(TP!$P:$P,TP!$AI:$AI,$W$7,TP!$R:$R,$X$9,TP!$U:$U,Toimenpiteet!$AC81,TP!$W:$W,Toimenpiteet!$X$8,TP!$X:$X,Toimenpiteet!$X$6,TP!$V:$V,Toimenpiteet!$Y$7,TP!$AD:$AD,$X$9,TP!$AF:$AF,Toimenpiteet!$Y$6,TP!$Q:$Q,Toimenpiteet!$Y$4,TP!$AG:$AG,Toimenpiteet!$Y$5,TP!$L:$L,Toimenpiteet!$V$2,TP!AL:AL,$AC$4)</f>
        <v>0</v>
      </c>
      <c r="AG81" s="111">
        <f>SUMIFS(TP!$P:$P,TP!$AI:$AI,$W$7,TP!$R:$R,$X$9,TP!$U:$U,Toimenpiteet!$AC81,TP!$W:$W,Toimenpiteet!$Y$8,TP!$X:$X,Toimenpiteet!$X$6,TP!$AD:$AD,$X$9,TP!$AF:$AF,Toimenpiteet!$Y$6,TP!$Q:$Q,Toimenpiteet!$Y$4,TP!$AG:$AG,Toimenpiteet!$Y$5,TP!$L:$L,Toimenpiteet!$V$2,TP!AL:AL,$AC$4)</f>
        <v>0</v>
      </c>
      <c r="AL81" s="638"/>
      <c r="AM81" s="646" t="s">
        <v>1414</v>
      </c>
      <c r="AN81" s="646" t="s">
        <v>1414</v>
      </c>
      <c r="AO81" t="s">
        <v>1130</v>
      </c>
    </row>
    <row r="82" spans="1:46" x14ac:dyDescent="0.25">
      <c r="A82" s="915"/>
      <c r="B82" s="672" t="s">
        <v>1448</v>
      </c>
      <c r="C82" s="111">
        <f>SUMIFS(TP!$P:$P,TP!$AI:$AI,$W$7,TP!$R:$R,$X$9,TP!$U:$U,Toimenpiteet!$T82,TP!$W:$W,Toimenpiteet!$X$8,TP!$X:$X,Toimenpiteet!$X$6,TP!$AD:$AD,$X$9,TP!$AF:$AF,Toimenpiteet!$Y$6,TP!$Q:$Q,Toimenpiteet!$Y$4,TP!$AG:$AG,Toimenpiteet!$Y$5,TP!$L:$L,Toimenpiteet!$V$2,TP!AL:AL,$AC$4)+V82+AD82</f>
        <v>0</v>
      </c>
      <c r="D82" s="112">
        <f t="shared" si="8"/>
        <v>0</v>
      </c>
      <c r="E82" s="111">
        <f>SUMIFS(TP!$P:$P,TP!$AI:$AI,$W$7,TP!$R:$R,$X$9,TP!$U:$U,Toimenpiteet!$T82,TP!$W:$W,Toimenpiteet!$X$8,TP!$X:$X,Toimenpiteet!$X$6,TP!$V:$V,Toimenpiteet!$X$7,TP!$AD:$AD,$X$9,TP!$AF:$AF,Toimenpiteet!$Y$6,TP!$Q:$Q,Toimenpiteet!$Y$4,TP!$AG:$AG,Toimenpiteet!$Y$5,TP!$L:$L,Toimenpiteet!$V$2,TP!AL:AL,$AC$4)+W82+AE82</f>
        <v>0</v>
      </c>
      <c r="F82" s="111">
        <f>SUMIFS(TP!$P:$P,TP!$AI:$AI,$W$7,TP!$R:$R,$X$9,TP!$U:$U,Toimenpiteet!$T82,TP!$W:$W,Toimenpiteet!$X$8,TP!$X:$X,Toimenpiteet!$X$6,TP!$V:$V,Toimenpiteet!$Y$7,TP!$AD:$AD,$X$9,TP!$AF:$AF,Toimenpiteet!$Y$6,TP!$Q:$Q,Toimenpiteet!$Y$4,TP!$AG:$AG,Toimenpiteet!$Y$5,TP!$L:$L,Toimenpiteet!$V$2,TP!AL:AL,$AC$4)+X82+AF82</f>
        <v>0</v>
      </c>
      <c r="G82" s="111">
        <f>SUMIFS(TP!$P:$P,TP!$AI:$AI,$W$7,TP!$R:$R,$X$9,TP!$U:$U,Toimenpiteet!$T82,TP!$W:$W,Toimenpiteet!$Y$8,TP!$X:$X,Toimenpiteet!$X$6,TP!$AD:$AD,$X$9,TP!$AF:$AF,Toimenpiteet!$Y$6,TP!$Q:$Q,Toimenpiteet!$Y$4,TP!$AG:$AG,Toimenpiteet!$Y$5,TP!$L:$L,Toimenpiteet!$V$2,TP!AL:AL,$AC$4)+Y82+AG82</f>
        <v>0</v>
      </c>
      <c r="H82" s="113"/>
      <c r="I82" s="114"/>
      <c r="J82" s="115">
        <f>SUMIFS(TP!$P:$P,TP!$AI:$AI,$W$7,TP!$R:$R,$X$9,TP!$U:$U,Toimenpiteet!$T82,TP!$W:$W,Toimenpiteet!$X$8,TP!$X:$X,Toimenpiteet!$X$6,TP!$Z:$Z,1,TP!$AD:$AD,$X$9,TP!$AF:$AF,Toimenpiteet!$Y$6,TP!$Q:$Q,Toimenpiteet!$Y$4,TP!$AG:$AG,Toimenpiteet!$Y$5,TP!$L:$L,Toimenpiteet!$V$2,TP!AL:AL,$AC$4)</f>
        <v>0</v>
      </c>
      <c r="K82" s="111">
        <f>SUMIFS(TP!$P:$P,TP!$AI:$AI,$W$7,TP!$R:$R,$X$9,TP!$U:$U,Toimenpiteet!$T82,TP!$W:$W,Toimenpiteet!$X$8,TP!$X:$X,Toimenpiteet!$X$6,TP!$O:$O,Toimenpiteet!$Z$3,TP!$AD:$AD,$X$9,TP!$AF:$AF,Toimenpiteet!$Y$6,TP!$Q:$Q,Toimenpiteet!$Y$4,TP!$AG:$AG,Toimenpiteet!$Y$5,TP!$L:$L,Toimenpiteet!$V$2,TP!AL:AL,$AC$4)</f>
        <v>0</v>
      </c>
      <c r="L82" s="111">
        <f>SUMIFS(TP!$P:$P,TP!$AI:$AI,$W$7,TP!$R:$R,$X$9,TP!$U:$U,Toimenpiteet!$T82,TP!$W:$W,Toimenpiteet!$X$8,TP!$X:$X,Toimenpiteet!$X$6,TP!$K:$K,Toimenpiteet!$Z$6,TP!$AD:$AD,$X$9,TP!$AF:$AF,Toimenpiteet!$Y$6,TP!$Q:$Q,Toimenpiteet!$Y$4,TP!$AG:$AG,Toimenpiteet!$Y$5,TP!$L:$L,Toimenpiteet!$V$2,TP!AL:AL,$AC$4)</f>
        <v>0</v>
      </c>
      <c r="M82" s="111">
        <f>SUMIFS(TP!$P:$P,TP!$AI:$AI,$W$7,TP!$R:$R,$X$9,TP!$U:$U,Toimenpiteet!$T82,TP!$W:$W,Toimenpiteet!$X$8,TP!$X:$X,Toimenpiteet!$X$6,TP!$K:$K,Toimenpiteet!$Z$7,TP!$AD:$AD,$X$9,TP!$AF:$AF,Toimenpiteet!$Y$6,TP!$Q:$Q,Toimenpiteet!$Y$4,TP!$AG:$AG,Toimenpiteet!$Y$5,TP!$L:$L,Toimenpiteet!$V$2,TP!AL:AL,$AC$4)</f>
        <v>0</v>
      </c>
      <c r="N82" s="111">
        <f>SUMIFS(TP!$P:$P,TP!$AI:$AI,$W$7,TP!$R:$R,$X$9,TP!$U:$U,Toimenpiteet!$T82,TP!$W:$W,Toimenpiteet!$X$8,TP!$X:$X,Toimenpiteet!$X$6,TP!$K:$K,Toimenpiteet!$Z$8,TP!$AD:$AD,$X$9,TP!$AF:$AF,Toimenpiteet!$Y$6,TP!$Q:$Q,Toimenpiteet!$Y$4,TP!$AG:$AG,Toimenpiteet!$Y$5,TP!$L:$L,Toimenpiteet!$V$2,TP!AL:AL,$AC$4)</f>
        <v>0</v>
      </c>
      <c r="O82" s="116">
        <f>SUMIFS(TP!$P:$P,TP!$AI:$AI,$W$7,TP!$R:$R,$X$9,TP!$U:$U,Toimenpiteet!$T82,TP!$W:$W,Toimenpiteet!$X$8,TP!$X:$X,Toimenpiteet!$X$6,TP!$K:$K,Toimenpiteet!$Z$5,TP!$AD:$AD,$X$9,TP!$AF:$AF,Toimenpiteet!$Y$6,TP!$Q:$Q,Toimenpiteet!$Y$4,TP!$AG:$AG,Toimenpiteet!$Y$5,TP!$L:$L,Toimenpiteet!$V$2,TP!AL:AL,$AC$4)</f>
        <v>0</v>
      </c>
      <c r="T82" t="s">
        <v>1232</v>
      </c>
      <c r="U82" s="549" t="s">
        <v>293</v>
      </c>
      <c r="V82" s="111">
        <f>SUMIFS(TP!$P:$P,TP!$AI:$AI,$W$7,TP!$R:$R,$X$9,TP!$U:$U,Toimenpiteet!$U82,TP!$W:$W,Toimenpiteet!$X$8,TP!$X:$X,Toimenpiteet!$X$6,TP!$AD:$AD,$X$9,TP!$AF:$AF,Toimenpiteet!$Y$6,TP!$Q:$Q,Toimenpiteet!$Y$4,TP!$AG:$AG,Toimenpiteet!$Y$5,TP!$L:$L,Toimenpiteet!$V$2,TP!AL:AL,$AC$4)</f>
        <v>0</v>
      </c>
      <c r="W82" s="111">
        <f>SUMIFS(TP!$P:$P,TP!$AI:$AI,$W$7,TP!$R:$R,$X$9,TP!$U:$U,Toimenpiteet!$U82,TP!$W:$W,Toimenpiteet!$X$8,TP!$X:$X,Toimenpiteet!$X$6,TP!$V:$V,Toimenpiteet!$X$7,TP!$AD:$AD,$X$9,TP!$AF:$AF,Toimenpiteet!$Y$6,TP!$Q:$Q,Toimenpiteet!$Y$4,TP!$AG:$AG,Toimenpiteet!$Y$5,TP!$L:$L,Toimenpiteet!$V$2,TP!AL:AL,$AC$4)</f>
        <v>0</v>
      </c>
      <c r="X82" s="111">
        <f>SUMIFS(TP!$P:$P,TP!$AI:$AI,$W$7,TP!$R:$R,$X$9,TP!$U:$U,Toimenpiteet!$U82,TP!$W:$W,Toimenpiteet!$X$8,TP!$X:$X,Toimenpiteet!$X$6,TP!$V:$V,Toimenpiteet!$Y$7,TP!$AD:$AD,$X$9,TP!$AF:$AF,Toimenpiteet!$Y$6,TP!$Q:$Q,Toimenpiteet!$Y$4,TP!$AG:$AG,Toimenpiteet!$Y$5,TP!$L:$L,Toimenpiteet!$V$2,TP!AL:AL,$AC$4)</f>
        <v>0</v>
      </c>
      <c r="Y82" s="111">
        <f>SUMIFS(TP!$P:$P,TP!$AI:$AI,$W$7,TP!$R:$R,$X$9,TP!$U:$U,Toimenpiteet!$U82,TP!$W:$W,Toimenpiteet!$Y$8,TP!$X:$X,Toimenpiteet!$X$6,TP!$AD:$AD,$X$9,TP!$AF:$AF,Toimenpiteet!$Y$6,TP!$Q:$Q,Toimenpiteet!$Y$4,TP!$AG:$AG,Toimenpiteet!$Y$5,TP!$L:$L,Toimenpiteet!$V$2,TP!AL:AL,$AC$4)</f>
        <v>0</v>
      </c>
      <c r="AD82" s="111">
        <f>SUMIFS(TP!$P:$P,TP!$AI:$AI,$W$7,TP!$R:$R,$X$9,TP!$U:$U,Toimenpiteet!$AC82,TP!$W:$W,Toimenpiteet!$X$8,TP!$X:$X,Toimenpiteet!$X$6,TP!$AD:$AD,$X$9,TP!$AF:$AF,Toimenpiteet!$Y$6,TP!$Q:$Q,Toimenpiteet!$Y$4,TP!$AG:$AG,Toimenpiteet!$Y$5,TP!$L:$L,Toimenpiteet!$V$2,TP!AL:AL,$AC$4)</f>
        <v>0</v>
      </c>
      <c r="AE82" s="111">
        <f>SUMIFS(TP!$P:$P,TP!$AI:$AI,$W$7,TP!$R:$R,$X$9,TP!$U:$U,Toimenpiteet!$AC82,TP!$W:$W,Toimenpiteet!$X$8,TP!$X:$X,Toimenpiteet!$X$6,TP!$V:$V,Toimenpiteet!$X$7,TP!$AD:$AD,$X$9,TP!$AF:$AF,Toimenpiteet!$Y$6,TP!$Q:$Q,Toimenpiteet!$Y$4,TP!$AG:$AG,Toimenpiteet!$Y$5,TP!$L:$L,Toimenpiteet!$V$2,TP!AL:AL,$AC$4)</f>
        <v>0</v>
      </c>
      <c r="AF82" s="111">
        <f>SUMIFS(TP!$P:$P,TP!$AI:$AI,$W$7,TP!$R:$R,$X$9,TP!$U:$U,Toimenpiteet!$AC82,TP!$W:$W,Toimenpiteet!$X$8,TP!$X:$X,Toimenpiteet!$X$6,TP!$V:$V,Toimenpiteet!$Y$7,TP!$AD:$AD,$X$9,TP!$AF:$AF,Toimenpiteet!$Y$6,TP!$Q:$Q,Toimenpiteet!$Y$4,TP!$AG:$AG,Toimenpiteet!$Y$5,TP!$L:$L,Toimenpiteet!$V$2,TP!AL:AL,$AC$4)</f>
        <v>0</v>
      </c>
      <c r="AG82" s="111">
        <f>SUMIFS(TP!$P:$P,TP!$AI:$AI,$W$7,TP!$R:$R,$X$9,TP!$U:$U,Toimenpiteet!$AC82,TP!$W:$W,Toimenpiteet!$Y$8,TP!$X:$X,Toimenpiteet!$X$6,TP!$AD:$AD,$X$9,TP!$AF:$AF,Toimenpiteet!$Y$6,TP!$Q:$Q,Toimenpiteet!$Y$4,TP!$AG:$AG,Toimenpiteet!$Y$5,TP!$L:$L,Toimenpiteet!$V$2,TP!AL:AL,$AC$4)</f>
        <v>0</v>
      </c>
      <c r="AL82" s="643" t="s">
        <v>1397</v>
      </c>
      <c r="AM82" s="645" t="s">
        <v>1415</v>
      </c>
      <c r="AN82" s="645" t="s">
        <v>42</v>
      </c>
      <c r="AO82" t="s">
        <v>1232</v>
      </c>
    </row>
    <row r="83" spans="1:46" x14ac:dyDescent="0.25">
      <c r="A83" s="915"/>
      <c r="B83" s="672" t="s">
        <v>1449</v>
      </c>
      <c r="C83" s="111">
        <f>SUMIFS(TP!$P:$P,TP!$AI:$AI,$W$7,TP!$R:$R,$X$9,TP!$U:$U,Toimenpiteet!$T83,TP!$W:$W,Toimenpiteet!$X$8,TP!$X:$X,Toimenpiteet!$X$6,TP!$AD:$AD,$X$9,TP!$AF:$AF,Toimenpiteet!$Y$6,TP!$Q:$Q,Toimenpiteet!$Y$4,TP!$AG:$AG,Toimenpiteet!$Y$5,TP!$L:$L,Toimenpiteet!$V$2,TP!AL:AL,$AC$4)+V83+AD83</f>
        <v>0</v>
      </c>
      <c r="D83" s="112">
        <f t="shared" si="8"/>
        <v>0</v>
      </c>
      <c r="E83" s="111">
        <f>SUMIFS(TP!$P:$P,TP!$AI:$AI,$W$7,TP!$R:$R,$X$9,TP!$U:$U,Toimenpiteet!$T83,TP!$W:$W,Toimenpiteet!$X$8,TP!$X:$X,Toimenpiteet!$X$6,TP!$V:$V,Toimenpiteet!$X$7,TP!$AD:$AD,$X$9,TP!$AF:$AF,Toimenpiteet!$Y$6,TP!$Q:$Q,Toimenpiteet!$Y$4,TP!$AG:$AG,Toimenpiteet!$Y$5,TP!$L:$L,Toimenpiteet!$V$2,TP!AL:AL,$AC$4)+W83+AE83</f>
        <v>0</v>
      </c>
      <c r="F83" s="111">
        <f>SUMIFS(TP!$P:$P,TP!$AI:$AI,$W$7,TP!$R:$R,$X$9,TP!$U:$U,Toimenpiteet!$T83,TP!$W:$W,Toimenpiteet!$X$8,TP!$X:$X,Toimenpiteet!$X$6,TP!$V:$V,Toimenpiteet!$Y$7,TP!$AD:$AD,$X$9,TP!$AF:$AF,Toimenpiteet!$Y$6,TP!$Q:$Q,Toimenpiteet!$Y$4,TP!$AG:$AG,Toimenpiteet!$Y$5,TP!$L:$L,Toimenpiteet!$V$2,TP!AL:AL,$AC$4)+X83+AF83</f>
        <v>0</v>
      </c>
      <c r="G83" s="111">
        <f>SUMIFS(TP!$P:$P,TP!$AI:$AI,$W$7,TP!$R:$R,$X$9,TP!$U:$U,Toimenpiteet!$T83,TP!$W:$W,Toimenpiteet!$Y$8,TP!$X:$X,Toimenpiteet!$X$6,TP!$AD:$AD,$X$9,TP!$AF:$AF,Toimenpiteet!$Y$6,TP!$Q:$Q,Toimenpiteet!$Y$4,TP!$AG:$AG,Toimenpiteet!$Y$5,TP!$L:$L,Toimenpiteet!$V$2,TP!AL:AL,$AC$4)+Y83+AG83</f>
        <v>0</v>
      </c>
      <c r="H83" s="113"/>
      <c r="I83" s="114"/>
      <c r="J83" s="115">
        <f>SUMIFS(TP!$P:$P,TP!$AI:$AI,$W$7,TP!$R:$R,$X$9,TP!$U:$U,Toimenpiteet!$T83,TP!$W:$W,Toimenpiteet!$X$8,TP!$X:$X,Toimenpiteet!$X$6,TP!$Z:$Z,1,TP!$AD:$AD,$X$9,TP!$AF:$AF,Toimenpiteet!$Y$6,TP!$Q:$Q,Toimenpiteet!$Y$4,TP!$AG:$AG,Toimenpiteet!$Y$5,TP!$L:$L,Toimenpiteet!$V$2,TP!AL:AL,$AC$4)</f>
        <v>0</v>
      </c>
      <c r="K83" s="111">
        <f>SUMIFS(TP!$P:$P,TP!$AI:$AI,$W$7,TP!$R:$R,$X$9,TP!$U:$U,Toimenpiteet!$T83,TP!$W:$W,Toimenpiteet!$X$8,TP!$X:$X,Toimenpiteet!$X$6,TP!$O:$O,Toimenpiteet!$Z$3,TP!$AD:$AD,$X$9,TP!$AF:$AF,Toimenpiteet!$Y$6,TP!$Q:$Q,Toimenpiteet!$Y$4,TP!$AG:$AG,Toimenpiteet!$Y$5,TP!$L:$L,Toimenpiteet!$V$2,TP!AL:AL,$AC$4)</f>
        <v>0</v>
      </c>
      <c r="L83" s="111">
        <f>SUMIFS(TP!$P:$P,TP!$AI:$AI,$W$7,TP!$R:$R,$X$9,TP!$U:$U,Toimenpiteet!$T83,TP!$W:$W,Toimenpiteet!$X$8,TP!$X:$X,Toimenpiteet!$X$6,TP!$K:$K,Toimenpiteet!$Z$6,TP!$AD:$AD,$X$9,TP!$AF:$AF,Toimenpiteet!$Y$6,TP!$Q:$Q,Toimenpiteet!$Y$4,TP!$AG:$AG,Toimenpiteet!$Y$5,TP!$L:$L,Toimenpiteet!$V$2,TP!AL:AL,$AC$4)</f>
        <v>0</v>
      </c>
      <c r="M83" s="111">
        <f>SUMIFS(TP!$P:$P,TP!$AI:$AI,$W$7,TP!$R:$R,$X$9,TP!$U:$U,Toimenpiteet!$T83,TP!$W:$W,Toimenpiteet!$X$8,TP!$X:$X,Toimenpiteet!$X$6,TP!$K:$K,Toimenpiteet!$Z$7,TP!$AD:$AD,$X$9,TP!$AF:$AF,Toimenpiteet!$Y$6,TP!$Q:$Q,Toimenpiteet!$Y$4,TP!$AG:$AG,Toimenpiteet!$Y$5,TP!$L:$L,Toimenpiteet!$V$2,TP!AL:AL,$AC$4)</f>
        <v>0</v>
      </c>
      <c r="N83" s="111">
        <f>SUMIFS(TP!$P:$P,TP!$AI:$AI,$W$7,TP!$R:$R,$X$9,TP!$U:$U,Toimenpiteet!$T83,TP!$W:$W,Toimenpiteet!$X$8,TP!$X:$X,Toimenpiteet!$X$6,TP!$K:$K,Toimenpiteet!$Z$8,TP!$AD:$AD,$X$9,TP!$AF:$AF,Toimenpiteet!$Y$6,TP!$Q:$Q,Toimenpiteet!$Y$4,TP!$AG:$AG,Toimenpiteet!$Y$5,TP!$L:$L,Toimenpiteet!$V$2,TP!AL:AL,$AC$4)</f>
        <v>0</v>
      </c>
      <c r="O83" s="116">
        <f>SUMIFS(TP!$P:$P,TP!$AI:$AI,$W$7,TP!$R:$R,$X$9,TP!$U:$U,Toimenpiteet!$T83,TP!$W:$W,Toimenpiteet!$X$8,TP!$X:$X,Toimenpiteet!$X$6,TP!$K:$K,Toimenpiteet!$Z$5,TP!$AD:$AD,$X$9,TP!$AF:$AF,Toimenpiteet!$Y$6,TP!$Q:$Q,Toimenpiteet!$Y$4,TP!$AG:$AG,Toimenpiteet!$Y$5,TP!$L:$L,Toimenpiteet!$V$2,TP!AL:AL,$AC$4)</f>
        <v>0</v>
      </c>
      <c r="T83" t="s">
        <v>1438</v>
      </c>
      <c r="U83" s="549" t="s">
        <v>278</v>
      </c>
      <c r="V83" s="111">
        <f>SUMIFS(TP!$P:$P,TP!$AI:$AI,$W$7,TP!$R:$R,$X$9,TP!$U:$U,Toimenpiteet!$U83,TP!$W:$W,Toimenpiteet!$X$8,TP!$X:$X,Toimenpiteet!$X$6,TP!$AD:$AD,$X$9,TP!$AF:$AF,Toimenpiteet!$Y$6,TP!$Q:$Q,Toimenpiteet!$Y$4,TP!$AG:$AG,Toimenpiteet!$Y$5,TP!$L:$L,Toimenpiteet!$V$2,TP!AL:AL,$AC$4)</f>
        <v>0</v>
      </c>
      <c r="W83" s="111">
        <f>SUMIFS(TP!$P:$P,TP!$AI:$AI,$W$7,TP!$R:$R,$X$9,TP!$U:$U,Toimenpiteet!$U83,TP!$W:$W,Toimenpiteet!$X$8,TP!$X:$X,Toimenpiteet!$X$6,TP!$V:$V,Toimenpiteet!$X$7,TP!$AD:$AD,$X$9,TP!$AF:$AF,Toimenpiteet!$Y$6,TP!$Q:$Q,Toimenpiteet!$Y$4,TP!$AG:$AG,Toimenpiteet!$Y$5,TP!$L:$L,Toimenpiteet!$V$2,TP!AL:AL,$AC$4)</f>
        <v>0</v>
      </c>
      <c r="X83" s="111">
        <f>SUMIFS(TP!$P:$P,TP!$AI:$AI,$W$7,TP!$R:$R,$X$9,TP!$U:$U,Toimenpiteet!$U83,TP!$W:$W,Toimenpiteet!$X$8,TP!$X:$X,Toimenpiteet!$X$6,TP!$V:$V,Toimenpiteet!$Y$7,TP!$AD:$AD,$X$9,TP!$AF:$AF,Toimenpiteet!$Y$6,TP!$Q:$Q,Toimenpiteet!$Y$4,TP!$AG:$AG,Toimenpiteet!$Y$5,TP!$L:$L,Toimenpiteet!$V$2,TP!AL:AL,$AC$4)</f>
        <v>0</v>
      </c>
      <c r="Y83" s="111">
        <f>SUMIFS(TP!$P:$P,TP!$AI:$AI,$W$7,TP!$R:$R,$X$9,TP!$U:$U,Toimenpiteet!$U83,TP!$W:$W,Toimenpiteet!$Y$8,TP!$X:$X,Toimenpiteet!$X$6,TP!$AD:$AD,$X$9,TP!$AF:$AF,Toimenpiteet!$Y$6,TP!$Q:$Q,Toimenpiteet!$Y$4,TP!$AG:$AG,Toimenpiteet!$Y$5,TP!$L:$L,Toimenpiteet!$V$2,TP!AL:AL,$AC$4)</f>
        <v>0</v>
      </c>
      <c r="AD83" s="111">
        <f>SUMIFS(TP!$P:$P,TP!$AI:$AI,$W$7,TP!$R:$R,$X$9,TP!$U:$U,Toimenpiteet!$AC83,TP!$W:$W,Toimenpiteet!$X$8,TP!$X:$X,Toimenpiteet!$X$6,TP!$AD:$AD,$X$9,TP!$AF:$AF,Toimenpiteet!$Y$6,TP!$Q:$Q,Toimenpiteet!$Y$4,TP!$AG:$AG,Toimenpiteet!$Y$5,TP!$L:$L,Toimenpiteet!$V$2,TP!AL:AL,$AC$4)</f>
        <v>0</v>
      </c>
      <c r="AE83" s="111">
        <f>SUMIFS(TP!$P:$P,TP!$AI:$AI,$W$7,TP!$R:$R,$X$9,TP!$U:$U,Toimenpiteet!$AC83,TP!$W:$W,Toimenpiteet!$X$8,TP!$X:$X,Toimenpiteet!$X$6,TP!$V:$V,Toimenpiteet!$X$7,TP!$AD:$AD,$X$9,TP!$AF:$AF,Toimenpiteet!$Y$6,TP!$Q:$Q,Toimenpiteet!$Y$4,TP!$AG:$AG,Toimenpiteet!$Y$5,TP!$L:$L,Toimenpiteet!$V$2,TP!AL:AL,$AC$4)</f>
        <v>0</v>
      </c>
      <c r="AF83" s="111">
        <f>SUMIFS(TP!$P:$P,TP!$AI:$AI,$W$7,TP!$R:$R,$X$9,TP!$U:$U,Toimenpiteet!$AC83,TP!$W:$W,Toimenpiteet!$X$8,TP!$X:$X,Toimenpiteet!$X$6,TP!$V:$V,Toimenpiteet!$Y$7,TP!$AD:$AD,$X$9,TP!$AF:$AF,Toimenpiteet!$Y$6,TP!$Q:$Q,Toimenpiteet!$Y$4,TP!$AG:$AG,Toimenpiteet!$Y$5,TP!$L:$L,Toimenpiteet!$V$2,TP!AL:AL,$AC$4)</f>
        <v>0</v>
      </c>
      <c r="AG83" s="111">
        <f>SUMIFS(TP!$P:$P,TP!$AI:$AI,$W$7,TP!$R:$R,$X$9,TP!$U:$U,Toimenpiteet!$AC83,TP!$W:$W,Toimenpiteet!$Y$8,TP!$X:$X,Toimenpiteet!$X$6,TP!$AD:$AD,$X$9,TP!$AF:$AF,Toimenpiteet!$Y$6,TP!$Q:$Q,Toimenpiteet!$Y$4,TP!$AG:$AG,Toimenpiteet!$Y$5,TP!$L:$L,Toimenpiteet!$V$2,TP!AL:AL,$AC$4)</f>
        <v>0</v>
      </c>
      <c r="AL83" s="643" t="s">
        <v>1397</v>
      </c>
      <c r="AM83" s="645" t="s">
        <v>1416</v>
      </c>
      <c r="AN83" s="645" t="s">
        <v>43</v>
      </c>
      <c r="AO83" t="s">
        <v>1438</v>
      </c>
    </row>
    <row r="84" spans="1:46" x14ac:dyDescent="0.25">
      <c r="A84" s="915"/>
      <c r="B84" s="672" t="s">
        <v>1419</v>
      </c>
      <c r="C84" s="111">
        <f>SUMIFS(TP!$P:$P,TP!$AI:$AI,$W$7,TP!$R:$R,$X$9,TP!$U:$U,Toimenpiteet!$T84,TP!$W:$W,Toimenpiteet!$X$8,TP!$X:$X,Toimenpiteet!$X$6,TP!$AD:$AD,$X$9,TP!$AF:$AF,Toimenpiteet!$Y$6,TP!$Q:$Q,Toimenpiteet!$Y$4,TP!$AG:$AG,Toimenpiteet!$Y$5,TP!$L:$L,Toimenpiteet!$V$2,TP!AL:AL,$AC$4)+V84+AD84</f>
        <v>0</v>
      </c>
      <c r="D84" s="112">
        <f t="shared" si="8"/>
        <v>0</v>
      </c>
      <c r="E84" s="111">
        <f>SUMIFS(TP!$P:$P,TP!$AI:$AI,$W$7,TP!$R:$R,$X$9,TP!$U:$U,Toimenpiteet!$T84,TP!$W:$W,Toimenpiteet!$X$8,TP!$X:$X,Toimenpiteet!$X$6,TP!$V:$V,Toimenpiteet!$X$7,TP!$AD:$AD,$X$9,TP!$AF:$AF,Toimenpiteet!$Y$6,TP!$Q:$Q,Toimenpiteet!$Y$4,TP!$AG:$AG,Toimenpiteet!$Y$5,TP!$L:$L,Toimenpiteet!$V$2,TP!AL:AL,$AC$4)+W84+AE84</f>
        <v>0</v>
      </c>
      <c r="F84" s="111">
        <f>SUMIFS(TP!$P:$P,TP!$AI:$AI,$W$7,TP!$R:$R,$X$9,TP!$U:$U,Toimenpiteet!$T84,TP!$W:$W,Toimenpiteet!$X$8,TP!$X:$X,Toimenpiteet!$X$6,TP!$V:$V,Toimenpiteet!$Y$7,TP!$AD:$AD,$X$9,TP!$AF:$AF,Toimenpiteet!$Y$6,TP!$Q:$Q,Toimenpiteet!$Y$4,TP!$AG:$AG,Toimenpiteet!$Y$5,TP!$L:$L,Toimenpiteet!$V$2,TP!AL:AL,$AC$4)+X84+AF84</f>
        <v>0</v>
      </c>
      <c r="G84" s="111">
        <f>SUMIFS(TP!$P:$P,TP!$AI:$AI,$W$7,TP!$R:$R,$X$9,TP!$U:$U,Toimenpiteet!$T84,TP!$W:$W,Toimenpiteet!$Y$8,TP!$X:$X,Toimenpiteet!$X$6,TP!$AD:$AD,$X$9,TP!$AF:$AF,Toimenpiteet!$Y$6,TP!$Q:$Q,Toimenpiteet!$Y$4,TP!$AG:$AG,Toimenpiteet!$Y$5,TP!$L:$L,Toimenpiteet!$V$2,TP!AL:AL,$AC$4)+Y84+AG84</f>
        <v>0</v>
      </c>
      <c r="H84" s="113"/>
      <c r="I84" s="114"/>
      <c r="J84" s="115">
        <f>SUMIFS(TP!$P:$P,TP!$AI:$AI,$W$7,TP!$R:$R,$X$9,TP!$U:$U,Toimenpiteet!$T84,TP!$W:$W,Toimenpiteet!$X$8,TP!$X:$X,Toimenpiteet!$X$6,TP!$Z:$Z,1,TP!$AD:$AD,$X$9,TP!$AF:$AF,Toimenpiteet!$Y$6,TP!$Q:$Q,Toimenpiteet!$Y$4,TP!$AG:$AG,Toimenpiteet!$Y$5,TP!$L:$L,Toimenpiteet!$V$2,TP!AL:AL,$AC$4)</f>
        <v>0</v>
      </c>
      <c r="K84" s="111">
        <f>SUMIFS(TP!$P:$P,TP!$AI:$AI,$W$7,TP!$R:$R,$X$9,TP!$U:$U,Toimenpiteet!$T84,TP!$W:$W,Toimenpiteet!$X$8,TP!$X:$X,Toimenpiteet!$X$6,TP!$O:$O,Toimenpiteet!$Z$3,TP!$AD:$AD,$X$9,TP!$AF:$AF,Toimenpiteet!$Y$6,TP!$Q:$Q,Toimenpiteet!$Y$4,TP!$AG:$AG,Toimenpiteet!$Y$5,TP!$L:$L,Toimenpiteet!$V$2,TP!AL:AL,$AC$4)</f>
        <v>0</v>
      </c>
      <c r="L84" s="111">
        <f>SUMIFS(TP!$P:$P,TP!$AI:$AI,$W$7,TP!$R:$R,$X$9,TP!$U:$U,Toimenpiteet!$T84,TP!$W:$W,Toimenpiteet!$X$8,TP!$X:$X,Toimenpiteet!$X$6,TP!$K:$K,Toimenpiteet!$Z$6,TP!$AD:$AD,$X$9,TP!$AF:$AF,Toimenpiteet!$Y$6,TP!$Q:$Q,Toimenpiteet!$Y$4,TP!$AG:$AG,Toimenpiteet!$Y$5,TP!$L:$L,Toimenpiteet!$V$2,TP!AL:AL,$AC$4)</f>
        <v>0</v>
      </c>
      <c r="M84" s="111">
        <f>SUMIFS(TP!$P:$P,TP!$AI:$AI,$W$7,TP!$R:$R,$X$9,TP!$U:$U,Toimenpiteet!$T84,TP!$W:$W,Toimenpiteet!$X$8,TP!$X:$X,Toimenpiteet!$X$6,TP!$K:$K,Toimenpiteet!$Z$7,TP!$AD:$AD,$X$9,TP!$AF:$AF,Toimenpiteet!$Y$6,TP!$Q:$Q,Toimenpiteet!$Y$4,TP!$AG:$AG,Toimenpiteet!$Y$5,TP!$L:$L,Toimenpiteet!$V$2,TP!AL:AL,$AC$4)</f>
        <v>0</v>
      </c>
      <c r="N84" s="111">
        <f>SUMIFS(TP!$P:$P,TP!$AI:$AI,$W$7,TP!$R:$R,$X$9,TP!$U:$U,Toimenpiteet!$T84,TP!$W:$W,Toimenpiteet!$X$8,TP!$X:$X,Toimenpiteet!$X$6,TP!$K:$K,Toimenpiteet!$Z$8,TP!$AD:$AD,$X$9,TP!$AF:$AF,Toimenpiteet!$Y$6,TP!$Q:$Q,Toimenpiteet!$Y$4,TP!$AG:$AG,Toimenpiteet!$Y$5,TP!$L:$L,Toimenpiteet!$V$2,TP!AL:AL,$AC$4)</f>
        <v>0</v>
      </c>
      <c r="O84" s="116">
        <f>SUMIFS(TP!$P:$P,TP!$AI:$AI,$W$7,TP!$R:$R,$X$9,TP!$U:$U,Toimenpiteet!$T84,TP!$W:$W,Toimenpiteet!$X$8,TP!$X:$X,Toimenpiteet!$X$6,TP!$K:$K,Toimenpiteet!$Z$5,TP!$AD:$AD,$X$9,TP!$AF:$AF,Toimenpiteet!$Y$6,TP!$Q:$Q,Toimenpiteet!$Y$4,TP!$AG:$AG,Toimenpiteet!$Y$5,TP!$L:$L,Toimenpiteet!$V$2,TP!AL:AL,$AC$4)</f>
        <v>0</v>
      </c>
      <c r="T84" s="653" t="s">
        <v>1132</v>
      </c>
      <c r="U84" s="549" t="s">
        <v>1131</v>
      </c>
      <c r="V84" s="111">
        <f>SUMIFS(TP!$P:$P,TP!$AI:$AI,$W$7,TP!$R:$R,$X$9,TP!$U:$U,Toimenpiteet!$U84,TP!$W:$W,Toimenpiteet!$X$8,TP!$X:$X,Toimenpiteet!$X$6,TP!$AD:$AD,$X$9,TP!$AF:$AF,Toimenpiteet!$Y$6,TP!$Q:$Q,Toimenpiteet!$Y$4,TP!$AG:$AG,Toimenpiteet!$Y$5,TP!$L:$L,Toimenpiteet!$V$2,TP!AL:AL,$AC$4)</f>
        <v>0</v>
      </c>
      <c r="W84" s="111">
        <f>SUMIFS(TP!$P:$P,TP!$AI:$AI,$W$7,TP!$R:$R,$X$9,TP!$U:$U,Toimenpiteet!$U84,TP!$W:$W,Toimenpiteet!$X$8,TP!$X:$X,Toimenpiteet!$X$6,TP!$V:$V,Toimenpiteet!$X$7,TP!$AD:$AD,$X$9,TP!$AF:$AF,Toimenpiteet!$Y$6,TP!$Q:$Q,Toimenpiteet!$Y$4,TP!$AG:$AG,Toimenpiteet!$Y$5,TP!$L:$L,Toimenpiteet!$V$2,TP!AL:AL,$AC$4)</f>
        <v>0</v>
      </c>
      <c r="X84" s="111">
        <f>SUMIFS(TP!$P:$P,TP!$AI:$AI,$W$7,TP!$R:$R,$X$9,TP!$U:$U,Toimenpiteet!$U84,TP!$W:$W,Toimenpiteet!$X$8,TP!$X:$X,Toimenpiteet!$X$6,TP!$V:$V,Toimenpiteet!$Y$7,TP!$AD:$AD,$X$9,TP!$AF:$AF,Toimenpiteet!$Y$6,TP!$Q:$Q,Toimenpiteet!$Y$4,TP!$AG:$AG,Toimenpiteet!$Y$5,TP!$L:$L,Toimenpiteet!$V$2,TP!AL:AL,$AC$4)</f>
        <v>0</v>
      </c>
      <c r="Y84" s="111">
        <f>SUMIFS(TP!$P:$P,TP!$AI:$AI,$W$7,TP!$R:$R,$X$9,TP!$U:$U,Toimenpiteet!$U84,TP!$W:$W,Toimenpiteet!$Y$8,TP!$X:$X,Toimenpiteet!$X$6,TP!$AD:$AD,$X$9,TP!$AF:$AF,Toimenpiteet!$Y$6,TP!$Q:$Q,Toimenpiteet!$Y$4,TP!$AG:$AG,Toimenpiteet!$Y$5,TP!$L:$L,Toimenpiteet!$V$2,TP!AL:AL,$AC$4)</f>
        <v>0</v>
      </c>
      <c r="AC84" s="549" t="s">
        <v>1133</v>
      </c>
      <c r="AD84" s="111">
        <f>SUMIFS(TP!$P:$P,TP!$AI:$AI,$W$7,TP!$R:$R,$X$9,TP!$U:$U,Toimenpiteet!$AC84,TP!$W:$W,Toimenpiteet!$X$8,TP!$X:$X,Toimenpiteet!$X$6,TP!$AD:$AD,$X$9,TP!$AF:$AF,Toimenpiteet!$Y$6,TP!$Q:$Q,Toimenpiteet!$Y$4,TP!$AG:$AG,Toimenpiteet!$Y$5,TP!$L:$L,Toimenpiteet!$V$2,TP!AL:AL,$AC$4)</f>
        <v>0</v>
      </c>
      <c r="AE84" s="111">
        <f>SUMIFS(TP!$P:$P,TP!$AI:$AI,$W$7,TP!$R:$R,$X$9,TP!$U:$U,Toimenpiteet!$AC84,TP!$W:$W,Toimenpiteet!$X$8,TP!$X:$X,Toimenpiteet!$X$6,TP!$V:$V,Toimenpiteet!$X$7,TP!$AD:$AD,$X$9,TP!$AF:$AF,Toimenpiteet!$Y$6,TP!$Q:$Q,Toimenpiteet!$Y$4,TP!$AG:$AG,Toimenpiteet!$Y$5,TP!$L:$L,Toimenpiteet!$V$2,TP!AL:AL,$AC$4)</f>
        <v>0</v>
      </c>
      <c r="AF84" s="111">
        <f>SUMIFS(TP!$P:$P,TP!$AI:$AI,$W$7,TP!$R:$R,$X$9,TP!$U:$U,Toimenpiteet!$AC84,TP!$W:$W,Toimenpiteet!$X$8,TP!$X:$X,Toimenpiteet!$X$6,TP!$V:$V,Toimenpiteet!$Y$7,TP!$AD:$AD,$X$9,TP!$AF:$AF,Toimenpiteet!$Y$6,TP!$Q:$Q,Toimenpiteet!$Y$4,TP!$AG:$AG,Toimenpiteet!$Y$5,TP!$L:$L,Toimenpiteet!$V$2,TP!AL:AL,$AC$4)</f>
        <v>0</v>
      </c>
      <c r="AG84" s="111">
        <f>SUMIFS(TP!$P:$P,TP!$AI:$AI,$W$7,TP!$R:$R,$X$9,TP!$U:$U,Toimenpiteet!$AC84,TP!$W:$W,Toimenpiteet!$Y$8,TP!$X:$X,Toimenpiteet!$X$6,TP!$AD:$AD,$X$9,TP!$AF:$AF,Toimenpiteet!$Y$6,TP!$Q:$Q,Toimenpiteet!$Y$4,TP!$AG:$AG,Toimenpiteet!$Y$5,TP!$L:$L,Toimenpiteet!$V$2,TP!AL:AL,$AC$4)</f>
        <v>0</v>
      </c>
      <c r="AL84" s="638"/>
      <c r="AM84" s="646" t="s">
        <v>1419</v>
      </c>
      <c r="AN84" s="646" t="s">
        <v>1419</v>
      </c>
      <c r="AO84" t="s">
        <v>1132</v>
      </c>
      <c r="AP84" s="642" t="s">
        <v>1417</v>
      </c>
      <c r="AQ84" s="649" t="s">
        <v>1418</v>
      </c>
      <c r="AR84" s="649" t="s">
        <v>1418</v>
      </c>
      <c r="AS84" s="642" t="s">
        <v>1417</v>
      </c>
      <c r="AT84" s="649" t="s">
        <v>1420</v>
      </c>
    </row>
    <row r="85" spans="1:46" x14ac:dyDescent="0.25">
      <c r="A85" s="919"/>
      <c r="B85" s="672" t="s">
        <v>1450</v>
      </c>
      <c r="C85" s="111">
        <f>SUMIFS(TP!$P:$P,TP!$AI:$AI,$W$7,TP!$R:$R,$X$9,TP!$U:$U,Toimenpiteet!$T85,TP!$W:$W,Toimenpiteet!$X$8,TP!$X:$X,Toimenpiteet!$X$6,TP!$AD:$AD,$X$9,TP!$AF:$AF,Toimenpiteet!$Y$6,TP!$Q:$Q,Toimenpiteet!$Y$4,TP!$AG:$AG,Toimenpiteet!$Y$5,TP!$L:$L,Toimenpiteet!$V$2,TP!AL:AL,$AC$4)+V85+AD85</f>
        <v>0</v>
      </c>
      <c r="D85" s="112">
        <f t="shared" si="8"/>
        <v>0</v>
      </c>
      <c r="E85" s="111">
        <f>SUMIFS(TP!$P:$P,TP!$AI:$AI,$W$7,TP!$R:$R,$X$9,TP!$U:$U,Toimenpiteet!$T85,TP!$W:$W,Toimenpiteet!$X$8,TP!$X:$X,Toimenpiteet!$X$6,TP!$V:$V,Toimenpiteet!$X$7,TP!$AD:$AD,$X$9,TP!$AF:$AF,Toimenpiteet!$Y$6,TP!$Q:$Q,Toimenpiteet!$Y$4,TP!$AG:$AG,Toimenpiteet!$Y$5,TP!$L:$L,Toimenpiteet!$V$2,TP!AL:AL,$AC$4)+W85+AE85</f>
        <v>0</v>
      </c>
      <c r="F85" s="111">
        <f>SUMIFS(TP!$P:$P,TP!$AI:$AI,$W$7,TP!$R:$R,$X$9,TP!$U:$U,Toimenpiteet!$T85,TP!$W:$W,Toimenpiteet!$X$8,TP!$X:$X,Toimenpiteet!$X$6,TP!$V:$V,Toimenpiteet!$Y$7,TP!$AD:$AD,$X$9,TP!$AF:$AF,Toimenpiteet!$Y$6,TP!$Q:$Q,Toimenpiteet!$Y$4,TP!$AG:$AG,Toimenpiteet!$Y$5,TP!$L:$L,Toimenpiteet!$V$2,TP!AL:AL,$AC$4)+X85+AF85</f>
        <v>0</v>
      </c>
      <c r="G85" s="111">
        <f>SUMIFS(TP!$P:$P,TP!$AI:$AI,$W$7,TP!$R:$R,$X$9,TP!$U:$U,Toimenpiteet!$T85,TP!$W:$W,Toimenpiteet!$Y$8,TP!$X:$X,Toimenpiteet!$X$6,TP!$AD:$AD,$X$9,TP!$AF:$AF,Toimenpiteet!$Y$6,TP!$Q:$Q,Toimenpiteet!$Y$4,TP!$AG:$AG,Toimenpiteet!$Y$5,TP!$L:$L,Toimenpiteet!$V$2,TP!AL:AL,$AC$4)+Y85+AG85</f>
        <v>0</v>
      </c>
      <c r="H85" s="113"/>
      <c r="I85" s="114"/>
      <c r="J85" s="115">
        <f>SUMIFS(TP!$P:$P,TP!$AI:$AI,$W$7,TP!$R:$R,$X$9,TP!$U:$U,Toimenpiteet!$T85,TP!$W:$W,Toimenpiteet!$X$8,TP!$X:$X,Toimenpiteet!$X$6,TP!$Z:$Z,1,TP!$AD:$AD,$X$9,TP!$AF:$AF,Toimenpiteet!$Y$6,TP!$Q:$Q,Toimenpiteet!$Y$4,TP!$AG:$AG,Toimenpiteet!$Y$5,TP!$L:$L,Toimenpiteet!$V$2,TP!AL:AL,$AC$4)</f>
        <v>0</v>
      </c>
      <c r="K85" s="111">
        <f>SUMIFS(TP!$P:$P,TP!$AI:$AI,$W$7,TP!$R:$R,$X$9,TP!$U:$U,Toimenpiteet!$T85,TP!$W:$W,Toimenpiteet!$X$8,TP!$X:$X,Toimenpiteet!$X$6,TP!$O:$O,Toimenpiteet!$Z$3,TP!$AD:$AD,$X$9,TP!$AF:$AF,Toimenpiteet!$Y$6,TP!$Q:$Q,Toimenpiteet!$Y$4,TP!$AG:$AG,Toimenpiteet!$Y$5,TP!$L:$L,Toimenpiteet!$V$2,TP!AL:AL,$AC$4)</f>
        <v>0</v>
      </c>
      <c r="L85" s="111">
        <f>SUMIFS(TP!$P:$P,TP!$AI:$AI,$W$7,TP!$R:$R,$X$9,TP!$U:$U,Toimenpiteet!$T85,TP!$W:$W,Toimenpiteet!$X$8,TP!$X:$X,Toimenpiteet!$X$6,TP!$K:$K,Toimenpiteet!$Z$6,TP!$AD:$AD,$X$9,TP!$AF:$AF,Toimenpiteet!$Y$6,TP!$Q:$Q,Toimenpiteet!$Y$4,TP!$AG:$AG,Toimenpiteet!$Y$5,TP!$L:$L,Toimenpiteet!$V$2,TP!AL:AL,$AC$4)</f>
        <v>0</v>
      </c>
      <c r="M85" s="111">
        <f>SUMIFS(TP!$P:$P,TP!$AI:$AI,$W$7,TP!$R:$R,$X$9,TP!$U:$U,Toimenpiteet!$T85,TP!$W:$W,Toimenpiteet!$X$8,TP!$X:$X,Toimenpiteet!$X$6,TP!$K:$K,Toimenpiteet!$Z$7,TP!$AD:$AD,$X$9,TP!$AF:$AF,Toimenpiteet!$Y$6,TP!$Q:$Q,Toimenpiteet!$Y$4,TP!$AG:$AG,Toimenpiteet!$Y$5,TP!$L:$L,Toimenpiteet!$V$2,TP!AL:AL,$AC$4)</f>
        <v>0</v>
      </c>
      <c r="N85" s="111">
        <f>SUMIFS(TP!$P:$P,TP!$AI:$AI,$W$7,TP!$R:$R,$X$9,TP!$U:$U,Toimenpiteet!$T85,TP!$W:$W,Toimenpiteet!$X$8,TP!$X:$X,Toimenpiteet!$X$6,TP!$K:$K,Toimenpiteet!$Z$8,TP!$AD:$AD,$X$9,TP!$AF:$AF,Toimenpiteet!$Y$6,TP!$Q:$Q,Toimenpiteet!$Y$4,TP!$AG:$AG,Toimenpiteet!$Y$5,TP!$L:$L,Toimenpiteet!$V$2,TP!AL:AL,$AC$4)</f>
        <v>0</v>
      </c>
      <c r="O85" s="116">
        <f>SUMIFS(TP!$P:$P,TP!$AI:$AI,$W$7,TP!$R:$R,$X$9,TP!$U:$U,Toimenpiteet!$T85,TP!$W:$W,Toimenpiteet!$X$8,TP!$X:$X,Toimenpiteet!$X$6,TP!$K:$K,Toimenpiteet!$Z$5,TP!$AD:$AD,$X$9,TP!$AF:$AF,Toimenpiteet!$Y$6,TP!$Q:$Q,Toimenpiteet!$Y$4,TP!$AG:$AG,Toimenpiteet!$Y$5,TP!$L:$L,Toimenpiteet!$V$2,TP!AL:AL,$AC$4)</f>
        <v>0</v>
      </c>
      <c r="T85" t="s">
        <v>1230</v>
      </c>
      <c r="V85" s="111">
        <f>SUMIFS(TP!$P:$P,TP!$AI:$AI,$W$7,TP!$R:$R,$X$9,TP!$U:$U,Toimenpiteet!$U85,TP!$W:$W,Toimenpiteet!$X$8,TP!$X:$X,Toimenpiteet!$X$6,TP!$AD:$AD,$X$9,TP!$AF:$AF,Toimenpiteet!$Y$6,TP!$Q:$Q,Toimenpiteet!$Y$4,TP!$AG:$AG,Toimenpiteet!$Y$5,TP!$L:$L,Toimenpiteet!$V$2,TP!AL:AL,$AC$4)</f>
        <v>0</v>
      </c>
      <c r="W85" s="111">
        <f>SUMIFS(TP!$P:$P,TP!$AI:$AI,$W$7,TP!$R:$R,$X$9,TP!$U:$U,Toimenpiteet!$U85,TP!$W:$W,Toimenpiteet!$X$8,TP!$X:$X,Toimenpiteet!$X$6,TP!$V:$V,Toimenpiteet!$X$7,TP!$AD:$AD,$X$9,TP!$AF:$AF,Toimenpiteet!$Y$6,TP!$Q:$Q,Toimenpiteet!$Y$4,TP!$AG:$AG,Toimenpiteet!$Y$5,TP!$L:$L,Toimenpiteet!$V$2,TP!AL:AL,$AC$4)</f>
        <v>0</v>
      </c>
      <c r="X85" s="111">
        <f>SUMIFS(TP!$P:$P,TP!$AI:$AI,$W$7,TP!$R:$R,$X$9,TP!$U:$U,Toimenpiteet!$U85,TP!$W:$W,Toimenpiteet!$X$8,TP!$X:$X,Toimenpiteet!$X$6,TP!$V:$V,Toimenpiteet!$Y$7,TP!$AD:$AD,$X$9,TP!$AF:$AF,Toimenpiteet!$Y$6,TP!$Q:$Q,Toimenpiteet!$Y$4,TP!$AG:$AG,Toimenpiteet!$Y$5,TP!$L:$L,Toimenpiteet!$V$2,TP!AL:AL,$AC$4)</f>
        <v>0</v>
      </c>
      <c r="Y85" s="111">
        <f>SUMIFS(TP!$P:$P,TP!$AI:$AI,$W$7,TP!$R:$R,$X$9,TP!$U:$U,Toimenpiteet!$U85,TP!$W:$W,Toimenpiteet!$Y$8,TP!$X:$X,Toimenpiteet!$X$6,TP!$AD:$AD,$X$9,TP!$AF:$AF,Toimenpiteet!$Y$6,TP!$Q:$Q,Toimenpiteet!$Y$4,TP!$AG:$AG,Toimenpiteet!$Y$5,TP!$L:$L,Toimenpiteet!$V$2,TP!AL:AL,$AC$4)</f>
        <v>0</v>
      </c>
      <c r="AD85" s="111">
        <f>SUMIFS(TP!$P:$P,TP!$AI:$AI,$W$7,TP!$R:$R,$X$9,TP!$U:$U,Toimenpiteet!$AC85,TP!$W:$W,Toimenpiteet!$X$8,TP!$X:$X,Toimenpiteet!$X$6,TP!$AD:$AD,$X$9,TP!$AF:$AF,Toimenpiteet!$Y$6,TP!$Q:$Q,Toimenpiteet!$Y$4,TP!$AG:$AG,Toimenpiteet!$Y$5,TP!$L:$L,Toimenpiteet!$V$2,TP!AL:AL,$AC$4)</f>
        <v>0</v>
      </c>
      <c r="AE85" s="111">
        <f>SUMIFS(TP!$P:$P,TP!$AI:$AI,$W$7,TP!$R:$R,$X$9,TP!$U:$U,Toimenpiteet!$AC85,TP!$W:$W,Toimenpiteet!$X$8,TP!$X:$X,Toimenpiteet!$X$6,TP!$V:$V,Toimenpiteet!$X$7,TP!$AD:$AD,$X$9,TP!$AF:$AF,Toimenpiteet!$Y$6,TP!$Q:$Q,Toimenpiteet!$Y$4,TP!$AG:$AG,Toimenpiteet!$Y$5,TP!$L:$L,Toimenpiteet!$V$2,TP!AL:AL,$AC$4)</f>
        <v>0</v>
      </c>
      <c r="AF85" s="111">
        <f>SUMIFS(TP!$P:$P,TP!$AI:$AI,$W$7,TP!$R:$R,$X$9,TP!$U:$U,Toimenpiteet!$AC85,TP!$W:$W,Toimenpiteet!$X$8,TP!$X:$X,Toimenpiteet!$X$6,TP!$V:$V,Toimenpiteet!$Y$7,TP!$AD:$AD,$X$9,TP!$AF:$AF,Toimenpiteet!$Y$6,TP!$Q:$Q,Toimenpiteet!$Y$4,TP!$AG:$AG,Toimenpiteet!$Y$5,TP!$L:$L,Toimenpiteet!$V$2,TP!AL:AL,$AC$4)</f>
        <v>0</v>
      </c>
      <c r="AG85" s="111">
        <f>SUMIFS(TP!$P:$P,TP!$AI:$AI,$W$7,TP!$R:$R,$X$9,TP!$U:$U,Toimenpiteet!$AC85,TP!$W:$W,Toimenpiteet!$Y$8,TP!$X:$X,Toimenpiteet!$X$6,TP!$AD:$AD,$X$9,TP!$AF:$AF,Toimenpiteet!$Y$6,TP!$Q:$Q,Toimenpiteet!$Y$4,TP!$AG:$AG,Toimenpiteet!$Y$5,TP!$L:$L,Toimenpiteet!$V$2,TP!AL:AL,$AC$4)</f>
        <v>0</v>
      </c>
      <c r="AL85" s="640" t="s">
        <v>1412</v>
      </c>
      <c r="AM85" s="648" t="s">
        <v>1421</v>
      </c>
      <c r="AN85" s="648"/>
      <c r="AO85" t="s">
        <v>1230</v>
      </c>
    </row>
    <row r="86" spans="1:46" x14ac:dyDescent="0.25">
      <c r="A86" s="103"/>
      <c r="B86" s="104" t="str">
        <f>A87</f>
        <v>Nuoriso- ja vapaa-ajantoiminta ja 3.sektori</v>
      </c>
      <c r="C86" s="105">
        <f>SUM(C87:C91)</f>
        <v>0</v>
      </c>
      <c r="D86" s="105"/>
      <c r="E86" s="105"/>
      <c r="F86" s="105"/>
      <c r="G86" s="105"/>
      <c r="H86" s="107"/>
      <c r="I86" s="108"/>
      <c r="J86" s="107">
        <f t="shared" ref="J86:O86" si="9">SUM(J87:J91)</f>
        <v>0</v>
      </c>
      <c r="K86" s="105">
        <f t="shared" si="9"/>
        <v>0</v>
      </c>
      <c r="L86" s="105">
        <f t="shared" si="9"/>
        <v>0</v>
      </c>
      <c r="M86" s="105">
        <f t="shared" si="9"/>
        <v>0</v>
      </c>
      <c r="N86" s="105">
        <f t="shared" si="9"/>
        <v>0</v>
      </c>
      <c r="O86" s="108">
        <f t="shared" si="9"/>
        <v>0</v>
      </c>
      <c r="T86" s="651"/>
      <c r="V86" s="111">
        <f>SUMIFS(TP!$P:$P,TP!$AI:$AI,$W$7,TP!$R:$R,$X$9,TP!$U:$U,Toimenpiteet!$U86,TP!$W:$W,Toimenpiteet!$X$8,TP!$X:$X,Toimenpiteet!$X$6,TP!$AD:$AD,$X$9,TP!$AF:$AF,Toimenpiteet!$Y$6,TP!$Q:$Q,Toimenpiteet!$Y$4,TP!$AG:$AG,Toimenpiteet!$Y$5,TP!$L:$L,Toimenpiteet!$V$2,TP!AL:AL,$AC$4)</f>
        <v>0</v>
      </c>
      <c r="W86" s="111">
        <f>SUMIFS(TP!$P:$P,TP!$AI:$AI,$W$7,TP!$R:$R,$X$9,TP!$U:$U,Toimenpiteet!$U86,TP!$W:$W,Toimenpiteet!$X$8,TP!$X:$X,Toimenpiteet!$X$6,TP!$V:$V,Toimenpiteet!$X$7,TP!$AD:$AD,$X$9,TP!$AF:$AF,Toimenpiteet!$Y$6,TP!$Q:$Q,Toimenpiteet!$Y$4,TP!$AG:$AG,Toimenpiteet!$Y$5,TP!$L:$L,Toimenpiteet!$V$2,TP!AL:AL,$AC$4)</f>
        <v>0</v>
      </c>
      <c r="X86" s="111">
        <f>SUMIFS(TP!$P:$P,TP!$AI:$AI,$W$7,TP!$R:$R,$X$9,TP!$U:$U,Toimenpiteet!$U86,TP!$W:$W,Toimenpiteet!$X$8,TP!$X:$X,Toimenpiteet!$X$6,TP!$V:$V,Toimenpiteet!$Y$7,TP!$AD:$AD,$X$9,TP!$AF:$AF,Toimenpiteet!$Y$6,TP!$Q:$Q,Toimenpiteet!$Y$4,TP!$AG:$AG,Toimenpiteet!$Y$5,TP!$L:$L,Toimenpiteet!$V$2,TP!AL:AL,$AC$4)</f>
        <v>0</v>
      </c>
      <c r="Y86" s="111">
        <f>SUMIFS(TP!$P:$P,TP!$AI:$AI,$W$7,TP!$R:$R,$X$9,TP!$U:$U,Toimenpiteet!$U86,TP!$W:$W,Toimenpiteet!$Y$8,TP!$X:$X,Toimenpiteet!$X$6,TP!$AD:$AD,$X$9,TP!$AF:$AF,Toimenpiteet!$Y$6,TP!$Q:$Q,Toimenpiteet!$Y$4,TP!$AG:$AG,Toimenpiteet!$Y$5,TP!$L:$L,Toimenpiteet!$V$2,TP!AL:AL,$AC$4)</f>
        <v>0</v>
      </c>
      <c r="AD86" s="111">
        <f>SUMIFS(TP!$P:$P,TP!$AI:$AI,$W$7,TP!$R:$R,$X$9,TP!$U:$U,Toimenpiteet!$AC86,TP!$W:$W,Toimenpiteet!$X$8,TP!$X:$X,Toimenpiteet!$X$6,TP!$AD:$AD,$X$9,TP!$AF:$AF,Toimenpiteet!$Y$6,TP!$Q:$Q,Toimenpiteet!$Y$4,TP!$AG:$AG,Toimenpiteet!$Y$5,TP!$L:$L,Toimenpiteet!$V$2,TP!AL:AL,$AC$4)</f>
        <v>0</v>
      </c>
      <c r="AE86" s="111">
        <f>SUMIFS(TP!$P:$P,TP!$AI:$AI,$W$7,TP!$R:$R,$X$9,TP!$U:$U,Toimenpiteet!$AC86,TP!$W:$W,Toimenpiteet!$X$8,TP!$X:$X,Toimenpiteet!$X$6,TP!$V:$V,Toimenpiteet!$X$7,TP!$AD:$AD,$X$9,TP!$AF:$AF,Toimenpiteet!$Y$6,TP!$Q:$Q,Toimenpiteet!$Y$4,TP!$AG:$AG,Toimenpiteet!$Y$5,TP!$L:$L,Toimenpiteet!$V$2,TP!AL:AL,$AC$4)</f>
        <v>0</v>
      </c>
      <c r="AF86" s="111">
        <f>SUMIFS(TP!$P:$P,TP!$AI:$AI,$W$7,TP!$R:$R,$X$9,TP!$U:$U,Toimenpiteet!$AC86,TP!$W:$W,Toimenpiteet!$X$8,TP!$X:$X,Toimenpiteet!$X$6,TP!$V:$V,Toimenpiteet!$Y$7,TP!$AD:$AD,$X$9,TP!$AF:$AF,Toimenpiteet!$Y$6,TP!$Q:$Q,Toimenpiteet!$Y$4,TP!$AG:$AG,Toimenpiteet!$Y$5,TP!$L:$L,Toimenpiteet!$V$2,TP!AL:AL,$AC$4)</f>
        <v>0</v>
      </c>
      <c r="AG86" s="111">
        <f>SUMIFS(TP!$P:$P,TP!$AI:$AI,$W$7,TP!$R:$R,$X$9,TP!$U:$U,Toimenpiteet!$AC86,TP!$W:$W,Toimenpiteet!$Y$8,TP!$X:$X,Toimenpiteet!$X$6,TP!$AD:$AD,$X$9,TP!$AF:$AF,Toimenpiteet!$Y$6,TP!$Q:$Q,Toimenpiteet!$Y$4,TP!$AG:$AG,Toimenpiteet!$Y$5,TP!$L:$L,Toimenpiteet!$V$2,TP!AL:AL,$AC$4)</f>
        <v>0</v>
      </c>
      <c r="AL86" s="641" t="s">
        <v>1397</v>
      </c>
      <c r="AM86" s="647" t="s">
        <v>1422</v>
      </c>
      <c r="AN86" s="647" t="s">
        <v>77</v>
      </c>
    </row>
    <row r="87" spans="1:46" ht="14.45" customHeight="1" x14ac:dyDescent="0.25">
      <c r="A87" s="923" t="s">
        <v>1422</v>
      </c>
      <c r="B87" s="672" t="s">
        <v>1147</v>
      </c>
      <c r="C87" s="111">
        <f>SUMIFS(TP!$P:$P,TP!$AI:$AI,$W$7,TP!$R:$R,$X$9,TP!$U:$U,Toimenpiteet!$T87,TP!$W:$W,Toimenpiteet!$X$8,TP!$X:$X,Toimenpiteet!$X$6,TP!$AD:$AD,$X$9,TP!$AF:$AF,Toimenpiteet!$Y$6,TP!$Q:$Q,Toimenpiteet!$Y$4,TP!$AG:$AG,Toimenpiteet!$Y$5,TP!$L:$L,Toimenpiteet!$V$2,TP!AL:AL,$AC$4)+V87+AD87</f>
        <v>0</v>
      </c>
      <c r="D87" s="112">
        <f t="shared" ref="D87:D91" si="10">IFERROR(C87/$C$54,0)</f>
        <v>0</v>
      </c>
      <c r="E87" s="111">
        <f>SUMIFS(TP!$P:$P,TP!$AI:$AI,$W$7,TP!$R:$R,$X$9,TP!$U:$U,Toimenpiteet!$T87,TP!$W:$W,Toimenpiteet!$X$8,TP!$X:$X,Toimenpiteet!$X$6,TP!$V:$V,Toimenpiteet!$X$7,TP!$AD:$AD,$X$9,TP!$AF:$AF,Toimenpiteet!$Y$6,TP!$Q:$Q,Toimenpiteet!$Y$4,TP!$AG:$AG,Toimenpiteet!$Y$5,TP!$L:$L,Toimenpiteet!$V$2,TP!AL:AL,$AC$4)+W87+AE87</f>
        <v>0</v>
      </c>
      <c r="F87" s="111">
        <f>SUMIFS(TP!$P:$P,TP!$AI:$AI,$W$7,TP!$R:$R,$X$9,TP!$U:$U,Toimenpiteet!$T87,TP!$W:$W,Toimenpiteet!$X$8,TP!$X:$X,Toimenpiteet!$X$6,TP!$V:$V,Toimenpiteet!$Y$7,TP!$AD:$AD,$X$9,TP!$AF:$AF,Toimenpiteet!$Y$6,TP!$Q:$Q,Toimenpiteet!$Y$4,TP!$AG:$AG,Toimenpiteet!$Y$5,TP!$L:$L,Toimenpiteet!$V$2,TP!AL:AL,$AC$4)+X87+AF87</f>
        <v>0</v>
      </c>
      <c r="G87" s="111">
        <f>SUMIFS(TP!$P:$P,TP!$AI:$AI,$W$7,TP!$R:$R,$X$9,TP!$U:$U,Toimenpiteet!$T87,TP!$W:$W,Toimenpiteet!$Y$8,TP!$X:$X,Toimenpiteet!$X$6,TP!$AD:$AD,$X$9,TP!$AF:$AF,Toimenpiteet!$Y$6,TP!$Q:$Q,Toimenpiteet!$Y$4,TP!$AG:$AG,Toimenpiteet!$Y$5,TP!$L:$L,Toimenpiteet!$V$2,TP!AL:AL,$AC$4)+Y87+AG87</f>
        <v>0</v>
      </c>
      <c r="H87" s="113"/>
      <c r="I87" s="114"/>
      <c r="J87" s="115">
        <f>SUMIFS(TP!$P:$P,TP!$AI:$AI,$W$7,TP!$R:$R,$X$9,TP!$U:$U,Toimenpiteet!$T87,TP!$W:$W,Toimenpiteet!$X$8,TP!$X:$X,Toimenpiteet!$X$6,TP!$Z:$Z,1,TP!$AD:$AD,$X$9,TP!$AF:$AF,Toimenpiteet!$Y$6,TP!$Q:$Q,Toimenpiteet!$Y$4,TP!$AG:$AG,Toimenpiteet!$Y$5,TP!$L:$L,Toimenpiteet!$V$2,TP!AL:AL,$AC$4)</f>
        <v>0</v>
      </c>
      <c r="K87" s="111">
        <f>SUMIFS(TP!$P:$P,TP!$AI:$AI,$W$7,TP!$R:$R,$X$9,TP!$U:$U,Toimenpiteet!$T87,TP!$W:$W,Toimenpiteet!$X$8,TP!$X:$X,Toimenpiteet!$X$6,TP!$O:$O,Toimenpiteet!$Z$3,TP!$AD:$AD,$X$9,TP!$AF:$AF,Toimenpiteet!$Y$6,TP!$Q:$Q,Toimenpiteet!$Y$4,TP!$AG:$AG,Toimenpiteet!$Y$5,TP!$L:$L,Toimenpiteet!$V$2,TP!AL:AL,$AC$4)</f>
        <v>0</v>
      </c>
      <c r="L87" s="111">
        <f>SUMIFS(TP!$P:$P,TP!$AI:$AI,$W$7,TP!$R:$R,$X$9,TP!$U:$U,Toimenpiteet!$T87,TP!$W:$W,Toimenpiteet!$X$8,TP!$X:$X,Toimenpiteet!$X$6,TP!$K:$K,Toimenpiteet!$Z$6,TP!$AD:$AD,$X$9,TP!$AF:$AF,Toimenpiteet!$Y$6,TP!$Q:$Q,Toimenpiteet!$Y$4,TP!$AG:$AG,Toimenpiteet!$Y$5,TP!$L:$L,Toimenpiteet!$V$2,TP!AL:AL,$AC$4)</f>
        <v>0</v>
      </c>
      <c r="M87" s="111">
        <f>SUMIFS(TP!$P:$P,TP!$AI:$AI,$W$7,TP!$R:$R,$X$9,TP!$U:$U,Toimenpiteet!$T87,TP!$W:$W,Toimenpiteet!$X$8,TP!$X:$X,Toimenpiteet!$X$6,TP!$K:$K,Toimenpiteet!$Z$7,TP!$AD:$AD,$X$9,TP!$AF:$AF,Toimenpiteet!$Y$6,TP!$Q:$Q,Toimenpiteet!$Y$4,TP!$AG:$AG,Toimenpiteet!$Y$5,TP!$L:$L,Toimenpiteet!$V$2,TP!AL:AL,$AC$4)</f>
        <v>0</v>
      </c>
      <c r="N87" s="111">
        <f>SUMIFS(TP!$P:$P,TP!$AI:$AI,$W$7,TP!$R:$R,$X$9,TP!$U:$U,Toimenpiteet!$T87,TP!$W:$W,Toimenpiteet!$X$8,TP!$X:$X,Toimenpiteet!$X$6,TP!$K:$K,Toimenpiteet!$Z$8,TP!$AD:$AD,$X$9,TP!$AF:$AF,Toimenpiteet!$Y$6,TP!$Q:$Q,Toimenpiteet!$Y$4,TP!$AG:$AG,Toimenpiteet!$Y$5,TP!$L:$L,Toimenpiteet!$V$2,TP!AL:AL,$AC$4)</f>
        <v>0</v>
      </c>
      <c r="O87" s="116">
        <f>SUMIFS(TP!$P:$P,TP!$AI:$AI,$W$7,TP!$R:$R,$X$9,TP!$U:$U,Toimenpiteet!$T87,TP!$W:$W,Toimenpiteet!$X$8,TP!$X:$X,Toimenpiteet!$X$6,TP!$K:$K,Toimenpiteet!$Z$5,TP!$AD:$AD,$X$9,TP!$AF:$AF,Toimenpiteet!$Y$6,TP!$Q:$Q,Toimenpiteet!$Y$4,TP!$AG:$AG,Toimenpiteet!$Y$5,TP!$L:$L,Toimenpiteet!$V$2,TP!AL:AL,$AC$4)</f>
        <v>0</v>
      </c>
      <c r="T87" s="651" t="s">
        <v>288</v>
      </c>
      <c r="V87" s="111">
        <f>SUMIFS(TP!$P:$P,TP!$AI:$AI,$W$7,TP!$R:$R,$X$9,TP!$U:$U,Toimenpiteet!$U87,TP!$W:$W,Toimenpiteet!$X$8,TP!$X:$X,Toimenpiteet!$X$6,TP!$AD:$AD,$X$9,TP!$AF:$AF,Toimenpiteet!$Y$6,TP!$Q:$Q,Toimenpiteet!$Y$4,TP!$AG:$AG,Toimenpiteet!$Y$5,TP!$L:$L,Toimenpiteet!$V$2,TP!AL:AL,$AC$4)</f>
        <v>0</v>
      </c>
      <c r="W87" s="111">
        <f>SUMIFS(TP!$P:$P,TP!$AI:$AI,$W$7,TP!$R:$R,$X$9,TP!$U:$U,Toimenpiteet!$U87,TP!$W:$W,Toimenpiteet!$X$8,TP!$X:$X,Toimenpiteet!$X$6,TP!$V:$V,Toimenpiteet!$X$7,TP!$AD:$AD,$X$9,TP!$AF:$AF,Toimenpiteet!$Y$6,TP!$Q:$Q,Toimenpiteet!$Y$4,TP!$AG:$AG,Toimenpiteet!$Y$5,TP!$L:$L,Toimenpiteet!$V$2,TP!AL:AL,$AC$4)</f>
        <v>0</v>
      </c>
      <c r="X87" s="111">
        <f>SUMIFS(TP!$P:$P,TP!$AI:$AI,$W$7,TP!$R:$R,$X$9,TP!$U:$U,Toimenpiteet!$U87,TP!$W:$W,Toimenpiteet!$X$8,TP!$X:$X,Toimenpiteet!$X$6,TP!$V:$V,Toimenpiteet!$Y$7,TP!$AD:$AD,$X$9,TP!$AF:$AF,Toimenpiteet!$Y$6,TP!$Q:$Q,Toimenpiteet!$Y$4,TP!$AG:$AG,Toimenpiteet!$Y$5,TP!$L:$L,Toimenpiteet!$V$2,TP!AL:AL,$AC$4)</f>
        <v>0</v>
      </c>
      <c r="Y87" s="111">
        <f>SUMIFS(TP!$P:$P,TP!$AI:$AI,$W$7,TP!$R:$R,$X$9,TP!$U:$U,Toimenpiteet!$U87,TP!$W:$W,Toimenpiteet!$Y$8,TP!$X:$X,Toimenpiteet!$X$6,TP!$AD:$AD,$X$9,TP!$AF:$AF,Toimenpiteet!$Y$6,TP!$Q:$Q,Toimenpiteet!$Y$4,TP!$AG:$AG,Toimenpiteet!$Y$5,TP!$L:$L,Toimenpiteet!$V$2,TP!AL:AL,$AC$4)</f>
        <v>0</v>
      </c>
      <c r="AD87" s="111">
        <f>SUMIFS(TP!$P:$P,TP!$AI:$AI,$W$7,TP!$R:$R,$X$9,TP!$U:$U,Toimenpiteet!$AC87,TP!$W:$W,Toimenpiteet!$X$8,TP!$X:$X,Toimenpiteet!$X$6,TP!$AD:$AD,$X$9,TP!$AF:$AF,Toimenpiteet!$Y$6,TP!$Q:$Q,Toimenpiteet!$Y$4,TP!$AG:$AG,Toimenpiteet!$Y$5,TP!$L:$L,Toimenpiteet!$V$2,TP!AL:AL,$AC$4)</f>
        <v>0</v>
      </c>
      <c r="AE87" s="111">
        <f>SUMIFS(TP!$P:$P,TP!$AI:$AI,$W$7,TP!$R:$R,$X$9,TP!$U:$U,Toimenpiteet!$AC87,TP!$W:$W,Toimenpiteet!$X$8,TP!$X:$X,Toimenpiteet!$X$6,TP!$V:$V,Toimenpiteet!$X$7,TP!$AD:$AD,$X$9,TP!$AF:$AF,Toimenpiteet!$Y$6,TP!$Q:$Q,Toimenpiteet!$Y$4,TP!$AG:$AG,Toimenpiteet!$Y$5,TP!$L:$L,Toimenpiteet!$V$2,TP!AL:AL,$AC$4)</f>
        <v>0</v>
      </c>
      <c r="AF87" s="111">
        <f>SUMIFS(TP!$P:$P,TP!$AI:$AI,$W$7,TP!$R:$R,$X$9,TP!$U:$U,Toimenpiteet!$AC87,TP!$W:$W,Toimenpiteet!$X$8,TP!$X:$X,Toimenpiteet!$X$6,TP!$V:$V,Toimenpiteet!$Y$7,TP!$AD:$AD,$X$9,TP!$AF:$AF,Toimenpiteet!$Y$6,TP!$Q:$Q,Toimenpiteet!$Y$4,TP!$AG:$AG,Toimenpiteet!$Y$5,TP!$L:$L,Toimenpiteet!$V$2,TP!AL:AL,$AC$4)</f>
        <v>0</v>
      </c>
      <c r="AG87" s="111">
        <f>SUMIFS(TP!$P:$P,TP!$AI:$AI,$W$7,TP!$R:$R,$X$9,TP!$U:$U,Toimenpiteet!$AC87,TP!$W:$W,Toimenpiteet!$Y$8,TP!$X:$X,Toimenpiteet!$X$6,TP!$AD:$AD,$X$9,TP!$AF:$AF,Toimenpiteet!$Y$6,TP!$Q:$Q,Toimenpiteet!$Y$4,TP!$AG:$AG,Toimenpiteet!$Y$5,TP!$L:$L,Toimenpiteet!$V$2,TP!AL:AL,$AC$4)</f>
        <v>0</v>
      </c>
      <c r="AL87" s="638"/>
      <c r="AM87" s="646" t="s">
        <v>44</v>
      </c>
      <c r="AN87" s="646" t="s">
        <v>44</v>
      </c>
      <c r="AO87" t="s">
        <v>288</v>
      </c>
    </row>
    <row r="88" spans="1:46" ht="15" customHeight="1" x14ac:dyDescent="0.25">
      <c r="A88" s="915"/>
      <c r="B88" s="672" t="s">
        <v>1451</v>
      </c>
      <c r="C88" s="111">
        <f>SUMIFS(TP!$P:$P,TP!$AI:$AI,$W$7,TP!$R:$R,$X$9,TP!$U:$U,Toimenpiteet!$T88,TP!$W:$W,Toimenpiteet!$X$8,TP!$X:$X,Toimenpiteet!$X$6,TP!$AD:$AD,$X$9,TP!$AF:$AF,Toimenpiteet!$Y$6,TP!$Q:$Q,Toimenpiteet!$Y$4,TP!$AG:$AG,Toimenpiteet!$Y$5,TP!$L:$L,Toimenpiteet!$V$2,TP!AL:AL,$AC$4)+V88+AD88</f>
        <v>0</v>
      </c>
      <c r="D88" s="112">
        <f t="shared" si="10"/>
        <v>0</v>
      </c>
      <c r="E88" s="111">
        <f>SUMIFS(TP!$P:$P,TP!$AI:$AI,$W$7,TP!$R:$R,$X$9,TP!$U:$U,Toimenpiteet!$T88,TP!$W:$W,Toimenpiteet!$X$8,TP!$X:$X,Toimenpiteet!$X$6,TP!$V:$V,Toimenpiteet!$X$7,TP!$AD:$AD,$X$9,TP!$AF:$AF,Toimenpiteet!$Y$6,TP!$Q:$Q,Toimenpiteet!$Y$4,TP!$AG:$AG,Toimenpiteet!$Y$5,TP!$L:$L,Toimenpiteet!$V$2,TP!AL:AL,$AC$4)+W88+AE88</f>
        <v>0</v>
      </c>
      <c r="F88" s="111">
        <f>SUMIFS(TP!$P:$P,TP!$AI:$AI,$W$7,TP!$R:$R,$X$9,TP!$U:$U,Toimenpiteet!$T88,TP!$W:$W,Toimenpiteet!$X$8,TP!$X:$X,Toimenpiteet!$X$6,TP!$V:$V,Toimenpiteet!$Y$7,TP!$AD:$AD,$X$9,TP!$AF:$AF,Toimenpiteet!$Y$6,TP!$Q:$Q,Toimenpiteet!$Y$4,TP!$AG:$AG,Toimenpiteet!$Y$5,TP!$L:$L,Toimenpiteet!$V$2,TP!AL:AL,$AC$4)+X88+AF88</f>
        <v>0</v>
      </c>
      <c r="G88" s="111">
        <f>SUMIFS(TP!$P:$P,TP!$AI:$AI,$W$7,TP!$R:$R,$X$9,TP!$U:$U,Toimenpiteet!$T88,TP!$W:$W,Toimenpiteet!$Y$8,TP!$X:$X,Toimenpiteet!$X$6,TP!$AD:$AD,$X$9,TP!$AF:$AF,Toimenpiteet!$Y$6,TP!$Q:$Q,Toimenpiteet!$Y$4,TP!$AG:$AG,Toimenpiteet!$Y$5,TP!$L:$L,Toimenpiteet!$V$2,TP!AL:AL,$AC$4)+Y88+AG88</f>
        <v>0</v>
      </c>
      <c r="H88" s="113"/>
      <c r="I88" s="114"/>
      <c r="J88" s="115">
        <f>SUMIFS(TP!$P:$P,TP!$AI:$AI,$W$7,TP!$R:$R,$X$9,TP!$U:$U,Toimenpiteet!$T88,TP!$W:$W,Toimenpiteet!$X$8,TP!$X:$X,Toimenpiteet!$X$6,TP!$Z:$Z,1,TP!$AD:$AD,$X$9,TP!$AF:$AF,Toimenpiteet!$Y$6,TP!$Q:$Q,Toimenpiteet!$Y$4,TP!$AG:$AG,Toimenpiteet!$Y$5,TP!$L:$L,Toimenpiteet!$V$2,TP!AL:AL,$AC$4)</f>
        <v>0</v>
      </c>
      <c r="K88" s="111">
        <f>SUMIFS(TP!$P:$P,TP!$AI:$AI,$W$7,TP!$R:$R,$X$9,TP!$U:$U,Toimenpiteet!$T88,TP!$W:$W,Toimenpiteet!$X$8,TP!$X:$X,Toimenpiteet!$X$6,TP!$O:$O,Toimenpiteet!$Z$3,TP!$AD:$AD,$X$9,TP!$AF:$AF,Toimenpiteet!$Y$6,TP!$Q:$Q,Toimenpiteet!$Y$4,TP!$AG:$AG,Toimenpiteet!$Y$5,TP!$L:$L,Toimenpiteet!$V$2,TP!AL:AL,$AC$4)</f>
        <v>0</v>
      </c>
      <c r="L88" s="111">
        <f>SUMIFS(TP!$P:$P,TP!$AI:$AI,$W$7,TP!$R:$R,$X$9,TP!$U:$U,Toimenpiteet!$T88,TP!$W:$W,Toimenpiteet!$X$8,TP!$X:$X,Toimenpiteet!$X$6,TP!$K:$K,Toimenpiteet!$Z$6,TP!$AD:$AD,$X$9,TP!$AF:$AF,Toimenpiteet!$Y$6,TP!$Q:$Q,Toimenpiteet!$Y$4,TP!$AG:$AG,Toimenpiteet!$Y$5,TP!$L:$L,Toimenpiteet!$V$2,TP!AL:AL,$AC$4)</f>
        <v>0</v>
      </c>
      <c r="M88" s="111">
        <f>SUMIFS(TP!$P:$P,TP!$AI:$AI,$W$7,TP!$R:$R,$X$9,TP!$U:$U,Toimenpiteet!$T88,TP!$W:$W,Toimenpiteet!$X$8,TP!$X:$X,Toimenpiteet!$X$6,TP!$K:$K,Toimenpiteet!$Z$7,TP!$AD:$AD,$X$9,TP!$AF:$AF,Toimenpiteet!$Y$6,TP!$Q:$Q,Toimenpiteet!$Y$4,TP!$AG:$AG,Toimenpiteet!$Y$5,TP!$L:$L,Toimenpiteet!$V$2,TP!AL:AL,$AC$4)</f>
        <v>0</v>
      </c>
      <c r="N88" s="111">
        <f>SUMIFS(TP!$P:$P,TP!$AI:$AI,$W$7,TP!$R:$R,$X$9,TP!$U:$U,Toimenpiteet!$T88,TP!$W:$W,Toimenpiteet!$X$8,TP!$X:$X,Toimenpiteet!$X$6,TP!$K:$K,Toimenpiteet!$Z$8,TP!$AD:$AD,$X$9,TP!$AF:$AF,Toimenpiteet!$Y$6,TP!$Q:$Q,Toimenpiteet!$Y$4,TP!$AG:$AG,Toimenpiteet!$Y$5,TP!$L:$L,Toimenpiteet!$V$2,TP!AL:AL,$AC$4)</f>
        <v>0</v>
      </c>
      <c r="O88" s="116">
        <f>SUMIFS(TP!$P:$P,TP!$AI:$AI,$W$7,TP!$R:$R,$X$9,TP!$U:$U,Toimenpiteet!$T88,TP!$W:$W,Toimenpiteet!$X$8,TP!$X:$X,Toimenpiteet!$X$6,TP!$K:$K,Toimenpiteet!$Z$5,TP!$AD:$AD,$X$9,TP!$AF:$AF,Toimenpiteet!$Y$6,TP!$Q:$Q,Toimenpiteet!$Y$4,TP!$AG:$AG,Toimenpiteet!$Y$5,TP!$L:$L,Toimenpiteet!$V$2,TP!AL:AL,$AC$4)</f>
        <v>0</v>
      </c>
      <c r="T88" t="s">
        <v>1233</v>
      </c>
      <c r="V88" s="111">
        <f>SUMIFS(TP!$P:$P,TP!$AI:$AI,$W$7,TP!$R:$R,$X$9,TP!$U:$U,Toimenpiteet!$U88,TP!$W:$W,Toimenpiteet!$X$8,TP!$X:$X,Toimenpiteet!$X$6,TP!$AD:$AD,$X$9,TP!$AF:$AF,Toimenpiteet!$Y$6,TP!$Q:$Q,Toimenpiteet!$Y$4,TP!$AG:$AG,Toimenpiteet!$Y$5,TP!$L:$L,Toimenpiteet!$V$2,TP!AL:AL,$AC$4)</f>
        <v>0</v>
      </c>
      <c r="W88" s="111">
        <f>SUMIFS(TP!$P:$P,TP!$AI:$AI,$W$7,TP!$R:$R,$X$9,TP!$U:$U,Toimenpiteet!$U88,TP!$W:$W,Toimenpiteet!$X$8,TP!$X:$X,Toimenpiteet!$X$6,TP!$V:$V,Toimenpiteet!$X$7,TP!$AD:$AD,$X$9,TP!$AF:$AF,Toimenpiteet!$Y$6,TP!$Q:$Q,Toimenpiteet!$Y$4,TP!$AG:$AG,Toimenpiteet!$Y$5,TP!$L:$L,Toimenpiteet!$V$2,TP!AL:AL,$AC$4)</f>
        <v>0</v>
      </c>
      <c r="X88" s="111">
        <f>SUMIFS(TP!$P:$P,TP!$AI:$AI,$W$7,TP!$R:$R,$X$9,TP!$U:$U,Toimenpiteet!$U88,TP!$W:$W,Toimenpiteet!$X$8,TP!$X:$X,Toimenpiteet!$X$6,TP!$V:$V,Toimenpiteet!$Y$7,TP!$AD:$AD,$X$9,TP!$AF:$AF,Toimenpiteet!$Y$6,TP!$Q:$Q,Toimenpiteet!$Y$4,TP!$AG:$AG,Toimenpiteet!$Y$5,TP!$L:$L,Toimenpiteet!$V$2,TP!AL:AL,$AC$4)</f>
        <v>0</v>
      </c>
      <c r="Y88" s="111">
        <f>SUMIFS(TP!$P:$P,TP!$AI:$AI,$W$7,TP!$R:$R,$X$9,TP!$U:$U,Toimenpiteet!$U88,TP!$W:$W,Toimenpiteet!$Y$8,TP!$X:$X,Toimenpiteet!$X$6,TP!$AD:$AD,$X$9,TP!$AF:$AF,Toimenpiteet!$Y$6,TP!$Q:$Q,Toimenpiteet!$Y$4,TP!$AG:$AG,Toimenpiteet!$Y$5,TP!$L:$L,Toimenpiteet!$V$2,TP!AL:AL,$AC$4)</f>
        <v>0</v>
      </c>
      <c r="AD88" s="111">
        <f>SUMIFS(TP!$P:$P,TP!$AI:$AI,$W$7,TP!$R:$R,$X$9,TP!$U:$U,Toimenpiteet!$AC88,TP!$W:$W,Toimenpiteet!$X$8,TP!$X:$X,Toimenpiteet!$X$6,TP!$AD:$AD,$X$9,TP!$AF:$AF,Toimenpiteet!$Y$6,TP!$Q:$Q,Toimenpiteet!$Y$4,TP!$AG:$AG,Toimenpiteet!$Y$5,TP!$L:$L,Toimenpiteet!$V$2,TP!AL:AL,$AC$4)</f>
        <v>0</v>
      </c>
      <c r="AE88" s="111">
        <f>SUMIFS(TP!$P:$P,TP!$AI:$AI,$W$7,TP!$R:$R,$X$9,TP!$U:$U,Toimenpiteet!$AC88,TP!$W:$W,Toimenpiteet!$X$8,TP!$X:$X,Toimenpiteet!$X$6,TP!$V:$V,Toimenpiteet!$X$7,TP!$AD:$AD,$X$9,TP!$AF:$AF,Toimenpiteet!$Y$6,TP!$Q:$Q,Toimenpiteet!$Y$4,TP!$AG:$AG,Toimenpiteet!$Y$5,TP!$L:$L,Toimenpiteet!$V$2,TP!AL:AL,$AC$4)</f>
        <v>0</v>
      </c>
      <c r="AF88" s="111">
        <f>SUMIFS(TP!$P:$P,TP!$AI:$AI,$W$7,TP!$R:$R,$X$9,TP!$U:$U,Toimenpiteet!$AC88,TP!$W:$W,Toimenpiteet!$X$8,TP!$X:$X,Toimenpiteet!$X$6,TP!$V:$V,Toimenpiteet!$Y$7,TP!$AD:$AD,$X$9,TP!$AF:$AF,Toimenpiteet!$Y$6,TP!$Q:$Q,Toimenpiteet!$Y$4,TP!$AG:$AG,Toimenpiteet!$Y$5,TP!$L:$L,Toimenpiteet!$V$2,TP!AL:AL,$AC$4)</f>
        <v>0</v>
      </c>
      <c r="AG88" s="111">
        <f>SUMIFS(TP!$P:$P,TP!$AI:$AI,$W$7,TP!$R:$R,$X$9,TP!$U:$U,Toimenpiteet!$AC88,TP!$W:$W,Toimenpiteet!$Y$8,TP!$X:$X,Toimenpiteet!$X$6,TP!$AD:$AD,$X$9,TP!$AF:$AF,Toimenpiteet!$Y$6,TP!$Q:$Q,Toimenpiteet!$Y$4,TP!$AG:$AG,Toimenpiteet!$Y$5,TP!$L:$L,Toimenpiteet!$V$2,TP!AL:AL,$AC$4)</f>
        <v>0</v>
      </c>
      <c r="AL88" s="640" t="s">
        <v>1412</v>
      </c>
      <c r="AM88" s="648" t="s">
        <v>1423</v>
      </c>
      <c r="AN88" s="648"/>
      <c r="AO88" t="s">
        <v>1233</v>
      </c>
    </row>
    <row r="89" spans="1:46" x14ac:dyDescent="0.25">
      <c r="A89" s="915"/>
      <c r="B89" s="672" t="s">
        <v>1452</v>
      </c>
      <c r="C89" s="111">
        <f>SUMIFS(TP!$P:$P,TP!$AI:$AI,$W$7,TP!$R:$R,$X$9,TP!$U:$U,Toimenpiteet!$T89,TP!$W:$W,Toimenpiteet!$X$8,TP!$X:$X,Toimenpiteet!$X$6,TP!$AD:$AD,$X$9,TP!$AF:$AF,Toimenpiteet!$Y$6,TP!$Q:$Q,Toimenpiteet!$Y$4,TP!$AG:$AG,Toimenpiteet!$Y$5,TP!$L:$L,Toimenpiteet!$V$2,TP!AL:AL,$AC$4)+V89+AD89</f>
        <v>0</v>
      </c>
      <c r="D89" s="112">
        <f t="shared" si="10"/>
        <v>0</v>
      </c>
      <c r="E89" s="111">
        <f>SUMIFS(TP!$P:$P,TP!$AI:$AI,$W$7,TP!$R:$R,$X$9,TP!$U:$U,Toimenpiteet!$T89,TP!$W:$W,Toimenpiteet!$X$8,TP!$X:$X,Toimenpiteet!$X$6,TP!$V:$V,Toimenpiteet!$X$7,TP!$AD:$AD,$X$9,TP!$AF:$AF,Toimenpiteet!$Y$6,TP!$Q:$Q,Toimenpiteet!$Y$4,TP!$AG:$AG,Toimenpiteet!$Y$5,TP!$L:$L,Toimenpiteet!$V$2,TP!AL:AL,$AC$4)+W89+AE89</f>
        <v>0</v>
      </c>
      <c r="F89" s="111">
        <f>SUMIFS(TP!$P:$P,TP!$AI:$AI,$W$7,TP!$R:$R,$X$9,TP!$U:$U,Toimenpiteet!$T89,TP!$W:$W,Toimenpiteet!$X$8,TP!$X:$X,Toimenpiteet!$X$6,TP!$V:$V,Toimenpiteet!$Y$7,TP!$AD:$AD,$X$9,TP!$AF:$AF,Toimenpiteet!$Y$6,TP!$Q:$Q,Toimenpiteet!$Y$4,TP!$AG:$AG,Toimenpiteet!$Y$5,TP!$L:$L,Toimenpiteet!$V$2,TP!AL:AL,$AC$4)+X89+AF89</f>
        <v>0</v>
      </c>
      <c r="G89" s="111">
        <f>SUMIFS(TP!$P:$P,TP!$AI:$AI,$W$7,TP!$R:$R,$X$9,TP!$U:$U,Toimenpiteet!$T89,TP!$W:$W,Toimenpiteet!$Y$8,TP!$X:$X,Toimenpiteet!$X$6,TP!$AD:$AD,$X$9,TP!$AF:$AF,Toimenpiteet!$Y$6,TP!$Q:$Q,Toimenpiteet!$Y$4,TP!$AG:$AG,Toimenpiteet!$Y$5,TP!$L:$L,Toimenpiteet!$V$2,TP!AL:AL,$AC$4)+Y89+AG89</f>
        <v>0</v>
      </c>
      <c r="H89" s="113"/>
      <c r="I89" s="114"/>
      <c r="J89" s="115">
        <f>SUMIFS(TP!$P:$P,TP!$AI:$AI,$W$7,TP!$R:$R,$X$9,TP!$U:$U,Toimenpiteet!$T89,TP!$W:$W,Toimenpiteet!$X$8,TP!$X:$X,Toimenpiteet!$X$6,TP!$Z:$Z,1,TP!$AD:$AD,$X$9,TP!$AF:$AF,Toimenpiteet!$Y$6,TP!$Q:$Q,Toimenpiteet!$Y$4,TP!$AG:$AG,Toimenpiteet!$Y$5,TP!$L:$L,Toimenpiteet!$V$2,TP!AL:AL,$AC$4)</f>
        <v>0</v>
      </c>
      <c r="K89" s="111">
        <f>SUMIFS(TP!$P:$P,TP!$AI:$AI,$W$7,TP!$R:$R,$X$9,TP!$U:$U,Toimenpiteet!$T89,TP!$W:$W,Toimenpiteet!$X$8,TP!$X:$X,Toimenpiteet!$X$6,TP!$O:$O,Toimenpiteet!$Z$3,TP!$AD:$AD,$X$9,TP!$AF:$AF,Toimenpiteet!$Y$6,TP!$Q:$Q,Toimenpiteet!$Y$4,TP!$AG:$AG,Toimenpiteet!$Y$5,TP!$L:$L,Toimenpiteet!$V$2,TP!AL:AL,$AC$4)</f>
        <v>0</v>
      </c>
      <c r="L89" s="111">
        <f>SUMIFS(TP!$P:$P,TP!$AI:$AI,$W$7,TP!$R:$R,$X$9,TP!$U:$U,Toimenpiteet!$T89,TP!$W:$W,Toimenpiteet!$X$8,TP!$X:$X,Toimenpiteet!$X$6,TP!$K:$K,Toimenpiteet!$Z$6,TP!$AD:$AD,$X$9,TP!$AF:$AF,Toimenpiteet!$Y$6,TP!$Q:$Q,Toimenpiteet!$Y$4,TP!$AG:$AG,Toimenpiteet!$Y$5,TP!$L:$L,Toimenpiteet!$V$2,TP!AL:AL,$AC$4)</f>
        <v>0</v>
      </c>
      <c r="M89" s="111">
        <f>SUMIFS(TP!$P:$P,TP!$AI:$AI,$W$7,TP!$R:$R,$X$9,TP!$U:$U,Toimenpiteet!$T89,TP!$W:$W,Toimenpiteet!$X$8,TP!$X:$X,Toimenpiteet!$X$6,TP!$K:$K,Toimenpiteet!$Z$7,TP!$AD:$AD,$X$9,TP!$AF:$AF,Toimenpiteet!$Y$6,TP!$Q:$Q,Toimenpiteet!$Y$4,TP!$AG:$AG,Toimenpiteet!$Y$5,TP!$L:$L,Toimenpiteet!$V$2,TP!AL:AL,$AC$4)</f>
        <v>0</v>
      </c>
      <c r="N89" s="111">
        <f>SUMIFS(TP!$P:$P,TP!$AI:$AI,$W$7,TP!$R:$R,$X$9,TP!$U:$U,Toimenpiteet!$T89,TP!$W:$W,Toimenpiteet!$X$8,TP!$X:$X,Toimenpiteet!$X$6,TP!$K:$K,Toimenpiteet!$Z$8,TP!$AD:$AD,$X$9,TP!$AF:$AF,Toimenpiteet!$Y$6,TP!$Q:$Q,Toimenpiteet!$Y$4,TP!$AG:$AG,Toimenpiteet!$Y$5,TP!$L:$L,Toimenpiteet!$V$2,TP!AL:AL,$AC$4)</f>
        <v>0</v>
      </c>
      <c r="O89" s="116">
        <f>SUMIFS(TP!$P:$P,TP!$AI:$AI,$W$7,TP!$R:$R,$X$9,TP!$U:$U,Toimenpiteet!$T89,TP!$W:$W,Toimenpiteet!$X$8,TP!$X:$X,Toimenpiteet!$X$6,TP!$K:$K,Toimenpiteet!$Z$5,TP!$AD:$AD,$X$9,TP!$AF:$AF,Toimenpiteet!$Y$6,TP!$Q:$Q,Toimenpiteet!$Y$4,TP!$AG:$AG,Toimenpiteet!$Y$5,TP!$L:$L,Toimenpiteet!$V$2,TP!AL:AL,$AC$4)</f>
        <v>0</v>
      </c>
      <c r="T89" t="s">
        <v>1227</v>
      </c>
      <c r="U89" s="549" t="s">
        <v>289</v>
      </c>
      <c r="V89" s="111">
        <f>SUMIFS(TP!$P:$P,TP!$AI:$AI,$W$7,TP!$R:$R,$X$9,TP!$U:$U,Toimenpiteet!$U89,TP!$W:$W,Toimenpiteet!$X$8,TP!$X:$X,Toimenpiteet!$X$6,TP!$AD:$AD,$X$9,TP!$AF:$AF,Toimenpiteet!$Y$6,TP!$Q:$Q,Toimenpiteet!$Y$4,TP!$AG:$AG,Toimenpiteet!$Y$5,TP!$L:$L,Toimenpiteet!$V$2,TP!AL:AL,$AC$4)</f>
        <v>0</v>
      </c>
      <c r="W89" s="111">
        <f>SUMIFS(TP!$P:$P,TP!$AI:$AI,$W$7,TP!$R:$R,$X$9,TP!$U:$U,Toimenpiteet!$U89,TP!$W:$W,Toimenpiteet!$X$8,TP!$X:$X,Toimenpiteet!$X$6,TP!$V:$V,Toimenpiteet!$X$7,TP!$AD:$AD,$X$9,TP!$AF:$AF,Toimenpiteet!$Y$6,TP!$Q:$Q,Toimenpiteet!$Y$4,TP!$AG:$AG,Toimenpiteet!$Y$5,TP!$L:$L,Toimenpiteet!$V$2,TP!AL:AL,$AC$4)</f>
        <v>0</v>
      </c>
      <c r="X89" s="111">
        <f>SUMIFS(TP!$P:$P,TP!$AI:$AI,$W$7,TP!$R:$R,$X$9,TP!$U:$U,Toimenpiteet!$U89,TP!$W:$W,Toimenpiteet!$X$8,TP!$X:$X,Toimenpiteet!$X$6,TP!$V:$V,Toimenpiteet!$Y$7,TP!$AD:$AD,$X$9,TP!$AF:$AF,Toimenpiteet!$Y$6,TP!$Q:$Q,Toimenpiteet!$Y$4,TP!$AG:$AG,Toimenpiteet!$Y$5,TP!$L:$L,Toimenpiteet!$V$2,TP!AL:AL,$AC$4)</f>
        <v>0</v>
      </c>
      <c r="Y89" s="111">
        <f>SUMIFS(TP!$P:$P,TP!$AI:$AI,$W$7,TP!$R:$R,$X$9,TP!$U:$U,Toimenpiteet!$U89,TP!$W:$W,Toimenpiteet!$Y$8,TP!$X:$X,Toimenpiteet!$X$6,TP!$AD:$AD,$X$9,TP!$AF:$AF,Toimenpiteet!$Y$6,TP!$Q:$Q,Toimenpiteet!$Y$4,TP!$AG:$AG,Toimenpiteet!$Y$5,TP!$L:$L,Toimenpiteet!$V$2,TP!AL:AL,$AC$4)</f>
        <v>0</v>
      </c>
      <c r="AD89" s="111">
        <f>SUMIFS(TP!$P:$P,TP!$AI:$AI,$W$7,TP!$R:$R,$X$9,TP!$U:$U,Toimenpiteet!$AC89,TP!$W:$W,Toimenpiteet!$X$8,TP!$X:$X,Toimenpiteet!$X$6,TP!$AD:$AD,$X$9,TP!$AF:$AF,Toimenpiteet!$Y$6,TP!$Q:$Q,Toimenpiteet!$Y$4,TP!$AG:$AG,Toimenpiteet!$Y$5,TP!$L:$L,Toimenpiteet!$V$2,TP!AL:AL,$AC$4)</f>
        <v>0</v>
      </c>
      <c r="AE89" s="111">
        <f>SUMIFS(TP!$P:$P,TP!$AI:$AI,$W$7,TP!$R:$R,$X$9,TP!$U:$U,Toimenpiteet!$AC89,TP!$W:$W,Toimenpiteet!$X$8,TP!$X:$X,Toimenpiteet!$X$6,TP!$V:$V,Toimenpiteet!$X$7,TP!$AD:$AD,$X$9,TP!$AF:$AF,Toimenpiteet!$Y$6,TP!$Q:$Q,Toimenpiteet!$Y$4,TP!$AG:$AG,Toimenpiteet!$Y$5,TP!$L:$L,Toimenpiteet!$V$2,TP!AL:AL,$AC$4)</f>
        <v>0</v>
      </c>
      <c r="AF89" s="111">
        <f>SUMIFS(TP!$P:$P,TP!$AI:$AI,$W$7,TP!$R:$R,$X$9,TP!$U:$U,Toimenpiteet!$AC89,TP!$W:$W,Toimenpiteet!$X$8,TP!$X:$X,Toimenpiteet!$X$6,TP!$V:$V,Toimenpiteet!$Y$7,TP!$AD:$AD,$X$9,TP!$AF:$AF,Toimenpiteet!$Y$6,TP!$Q:$Q,Toimenpiteet!$Y$4,TP!$AG:$AG,Toimenpiteet!$Y$5,TP!$L:$L,Toimenpiteet!$V$2,TP!AL:AL,$AC$4)</f>
        <v>0</v>
      </c>
      <c r="AG89" s="111">
        <f>SUMIFS(TP!$P:$P,TP!$AI:$AI,$W$7,TP!$R:$R,$X$9,TP!$U:$U,Toimenpiteet!$AC89,TP!$W:$W,Toimenpiteet!$Y$8,TP!$X:$X,Toimenpiteet!$X$6,TP!$AD:$AD,$X$9,TP!$AF:$AF,Toimenpiteet!$Y$6,TP!$Q:$Q,Toimenpiteet!$Y$4,TP!$AG:$AG,Toimenpiteet!$Y$5,TP!$L:$L,Toimenpiteet!$V$2,TP!AL:AL,$AC$4)</f>
        <v>0</v>
      </c>
      <c r="AL89" s="643" t="s">
        <v>1397</v>
      </c>
      <c r="AM89" s="645" t="s">
        <v>1424</v>
      </c>
      <c r="AN89" s="645" t="s">
        <v>45</v>
      </c>
      <c r="AO89" t="s">
        <v>1227</v>
      </c>
    </row>
    <row r="90" spans="1:46" x14ac:dyDescent="0.25">
      <c r="A90" s="915"/>
      <c r="B90" s="672" t="s">
        <v>1453</v>
      </c>
      <c r="C90" s="111">
        <f>SUMIFS(TP!$P:$P,TP!$AI:$AI,$W$7,TP!$R:$R,$X$9,TP!$U:$U,Toimenpiteet!$T90,TP!$W:$W,Toimenpiteet!$X$8,TP!$X:$X,Toimenpiteet!$X$6,TP!$AD:$AD,$X$9,TP!$AF:$AF,Toimenpiteet!$Y$6,TP!$Q:$Q,Toimenpiteet!$Y$4,TP!$AG:$AG,Toimenpiteet!$Y$5,TP!$L:$L,Toimenpiteet!$V$2,TP!AL:AL,$AC$4)+V90+AD90</f>
        <v>0</v>
      </c>
      <c r="D90" s="112">
        <f t="shared" si="10"/>
        <v>0</v>
      </c>
      <c r="E90" s="111">
        <f>SUMIFS(TP!$P:$P,TP!$AI:$AI,$W$7,TP!$R:$R,$X$9,TP!$U:$U,Toimenpiteet!$T90,TP!$W:$W,Toimenpiteet!$X$8,TP!$X:$X,Toimenpiteet!$X$6,TP!$V:$V,Toimenpiteet!$X$7,TP!$AD:$AD,$X$9,TP!$AF:$AF,Toimenpiteet!$Y$6,TP!$Q:$Q,Toimenpiteet!$Y$4,TP!$AG:$AG,Toimenpiteet!$Y$5,TP!$L:$L,Toimenpiteet!$V$2,TP!AL:AL,$AC$4)+W90+AE90</f>
        <v>0</v>
      </c>
      <c r="F90" s="111">
        <f>SUMIFS(TP!$P:$P,TP!$AI:$AI,$W$7,TP!$R:$R,$X$9,TP!$U:$U,Toimenpiteet!$T90,TP!$W:$W,Toimenpiteet!$X$8,TP!$X:$X,Toimenpiteet!$X$6,TP!$V:$V,Toimenpiteet!$Y$7,TP!$AD:$AD,$X$9,TP!$AF:$AF,Toimenpiteet!$Y$6,TP!$Q:$Q,Toimenpiteet!$Y$4,TP!$AG:$AG,Toimenpiteet!$Y$5,TP!$L:$L,Toimenpiteet!$V$2,TP!AL:AL,$AC$4)+X90+AF90</f>
        <v>0</v>
      </c>
      <c r="G90" s="111">
        <f>SUMIFS(TP!$P:$P,TP!$AI:$AI,$W$7,TP!$R:$R,$X$9,TP!$U:$U,Toimenpiteet!$T90,TP!$W:$W,Toimenpiteet!$Y$8,TP!$X:$X,Toimenpiteet!$X$6,TP!$AD:$AD,$X$9,TP!$AF:$AF,Toimenpiteet!$Y$6,TP!$Q:$Q,Toimenpiteet!$Y$4,TP!$AG:$AG,Toimenpiteet!$Y$5,TP!$L:$L,Toimenpiteet!$V$2,TP!AL:AL,$AC$4)+Y90+AG90</f>
        <v>0</v>
      </c>
      <c r="H90" s="113"/>
      <c r="I90" s="114"/>
      <c r="J90" s="115">
        <f>SUMIFS(TP!$P:$P,TP!$AI:$AI,$W$7,TP!$R:$R,$X$9,TP!$U:$U,Toimenpiteet!$T90,TP!$W:$W,Toimenpiteet!$X$8,TP!$X:$X,Toimenpiteet!$X$6,TP!$Z:$Z,1,TP!$AD:$AD,$X$9,TP!$AF:$AF,Toimenpiteet!$Y$6,TP!$Q:$Q,Toimenpiteet!$Y$4,TP!$AG:$AG,Toimenpiteet!$Y$5,TP!$L:$L,Toimenpiteet!$V$2,TP!AL:AL,$AC$4)</f>
        <v>0</v>
      </c>
      <c r="K90" s="111">
        <f>SUMIFS(TP!$P:$P,TP!$AI:$AI,$W$7,TP!$R:$R,$X$9,TP!$U:$U,Toimenpiteet!$T90,TP!$W:$W,Toimenpiteet!$X$8,TP!$X:$X,Toimenpiteet!$X$6,TP!$O:$O,Toimenpiteet!$Z$3,TP!$AD:$AD,$X$9,TP!$AF:$AF,Toimenpiteet!$Y$6,TP!$Q:$Q,Toimenpiteet!$Y$4,TP!$AG:$AG,Toimenpiteet!$Y$5,TP!$L:$L,Toimenpiteet!$V$2,TP!AL:AL,$AC$4)</f>
        <v>0</v>
      </c>
      <c r="L90" s="111">
        <f>SUMIFS(TP!$P:$P,TP!$AI:$AI,$W$7,TP!$R:$R,$X$9,TP!$U:$U,Toimenpiteet!$T90,TP!$W:$W,Toimenpiteet!$X$8,TP!$X:$X,Toimenpiteet!$X$6,TP!$K:$K,Toimenpiteet!$Z$6,TP!$AD:$AD,$X$9,TP!$AF:$AF,Toimenpiteet!$Y$6,TP!$Q:$Q,Toimenpiteet!$Y$4,TP!$AG:$AG,Toimenpiteet!$Y$5,TP!$L:$L,Toimenpiteet!$V$2,TP!AL:AL,$AC$4)</f>
        <v>0</v>
      </c>
      <c r="M90" s="111">
        <f>SUMIFS(TP!$P:$P,TP!$AI:$AI,$W$7,TP!$R:$R,$X$9,TP!$U:$U,Toimenpiteet!$T90,TP!$W:$W,Toimenpiteet!$X$8,TP!$X:$X,Toimenpiteet!$X$6,TP!$K:$K,Toimenpiteet!$Z$7,TP!$AD:$AD,$X$9,TP!$AF:$AF,Toimenpiteet!$Y$6,TP!$Q:$Q,Toimenpiteet!$Y$4,TP!$AG:$AG,Toimenpiteet!$Y$5,TP!$L:$L,Toimenpiteet!$V$2,TP!AL:AL,$AC$4)</f>
        <v>0</v>
      </c>
      <c r="N90" s="111">
        <f>SUMIFS(TP!$P:$P,TP!$AI:$AI,$W$7,TP!$R:$R,$X$9,TP!$U:$U,Toimenpiteet!$T90,TP!$W:$W,Toimenpiteet!$X$8,TP!$X:$X,Toimenpiteet!$X$6,TP!$K:$K,Toimenpiteet!$Z$8,TP!$AD:$AD,$X$9,TP!$AF:$AF,Toimenpiteet!$Y$6,TP!$Q:$Q,Toimenpiteet!$Y$4,TP!$AG:$AG,Toimenpiteet!$Y$5,TP!$L:$L,Toimenpiteet!$V$2,TP!AL:AL,$AC$4)</f>
        <v>0</v>
      </c>
      <c r="O90" s="116">
        <f>SUMIFS(TP!$P:$P,TP!$AI:$AI,$W$7,TP!$R:$R,$X$9,TP!$U:$U,Toimenpiteet!$T90,TP!$W:$W,Toimenpiteet!$X$8,TP!$X:$X,Toimenpiteet!$X$6,TP!$K:$K,Toimenpiteet!$Z$5,TP!$AD:$AD,$X$9,TP!$AF:$AF,Toimenpiteet!$Y$6,TP!$Q:$Q,Toimenpiteet!$Y$4,TP!$AG:$AG,Toimenpiteet!$Y$5,TP!$L:$L,Toimenpiteet!$V$2,TP!AL:AL,$AC$4)</f>
        <v>0</v>
      </c>
      <c r="T90" t="s">
        <v>1226</v>
      </c>
      <c r="U90" s="549" t="s">
        <v>290</v>
      </c>
      <c r="V90" s="111">
        <f>SUMIFS(TP!$P:$P,TP!$AI:$AI,$W$7,TP!$R:$R,$X$9,TP!$U:$U,Toimenpiteet!$U90,TP!$W:$W,Toimenpiteet!$X$8,TP!$X:$X,Toimenpiteet!$X$6,TP!$AD:$AD,$X$9,TP!$AF:$AF,Toimenpiteet!$Y$6,TP!$Q:$Q,Toimenpiteet!$Y$4,TP!$AG:$AG,Toimenpiteet!$Y$5,TP!$L:$L,Toimenpiteet!$V$2,TP!AL:AL,$AC$4)</f>
        <v>0</v>
      </c>
      <c r="W90" s="111">
        <f>SUMIFS(TP!$P:$P,TP!$AI:$AI,$W$7,TP!$R:$R,$X$9,TP!$U:$U,Toimenpiteet!$U90,TP!$W:$W,Toimenpiteet!$X$8,TP!$X:$X,Toimenpiteet!$X$6,TP!$V:$V,Toimenpiteet!$X$7,TP!$AD:$AD,$X$9,TP!$AF:$AF,Toimenpiteet!$Y$6,TP!$Q:$Q,Toimenpiteet!$Y$4,TP!$AG:$AG,Toimenpiteet!$Y$5,TP!$L:$L,Toimenpiteet!$V$2,TP!AL:AL,$AC$4)</f>
        <v>0</v>
      </c>
      <c r="X90" s="111">
        <f>SUMIFS(TP!$P:$P,TP!$AI:$AI,$W$7,TP!$R:$R,$X$9,TP!$U:$U,Toimenpiteet!$U90,TP!$W:$W,Toimenpiteet!$X$8,TP!$X:$X,Toimenpiteet!$X$6,TP!$V:$V,Toimenpiteet!$Y$7,TP!$AD:$AD,$X$9,TP!$AF:$AF,Toimenpiteet!$Y$6,TP!$Q:$Q,Toimenpiteet!$Y$4,TP!$AG:$AG,Toimenpiteet!$Y$5,TP!$L:$L,Toimenpiteet!$V$2,TP!AL:AL,$AC$4)</f>
        <v>0</v>
      </c>
      <c r="Y90" s="111">
        <f>SUMIFS(TP!$P:$P,TP!$AI:$AI,$W$7,TP!$R:$R,$X$9,TP!$U:$U,Toimenpiteet!$U90,TP!$W:$W,Toimenpiteet!$Y$8,TP!$X:$X,Toimenpiteet!$X$6,TP!$AD:$AD,$X$9,TP!$AF:$AF,Toimenpiteet!$Y$6,TP!$Q:$Q,Toimenpiteet!$Y$4,TP!$AG:$AG,Toimenpiteet!$Y$5,TP!$L:$L,Toimenpiteet!$V$2,TP!AL:AL,$AC$4)</f>
        <v>0</v>
      </c>
      <c r="AD90" s="111">
        <f>SUMIFS(TP!$P:$P,TP!$AI:$AI,$W$7,TP!$R:$R,$X$9,TP!$U:$U,Toimenpiteet!$AC90,TP!$W:$W,Toimenpiteet!$X$8,TP!$X:$X,Toimenpiteet!$X$6,TP!$AD:$AD,$X$9,TP!$AF:$AF,Toimenpiteet!$Y$6,TP!$Q:$Q,Toimenpiteet!$Y$4,TP!$AG:$AG,Toimenpiteet!$Y$5,TP!$L:$L,Toimenpiteet!$V$2,TP!AL:AL,$AC$4)</f>
        <v>0</v>
      </c>
      <c r="AE90" s="111">
        <f>SUMIFS(TP!$P:$P,TP!$AI:$AI,$W$7,TP!$R:$R,$X$9,TP!$U:$U,Toimenpiteet!$AC90,TP!$W:$W,Toimenpiteet!$X$8,TP!$X:$X,Toimenpiteet!$X$6,TP!$V:$V,Toimenpiteet!$X$7,TP!$AD:$AD,$X$9,TP!$AF:$AF,Toimenpiteet!$Y$6,TP!$Q:$Q,Toimenpiteet!$Y$4,TP!$AG:$AG,Toimenpiteet!$Y$5,TP!$L:$L,Toimenpiteet!$V$2,TP!AL:AL,$AC$4)</f>
        <v>0</v>
      </c>
      <c r="AF90" s="111">
        <f>SUMIFS(TP!$P:$P,TP!$AI:$AI,$W$7,TP!$R:$R,$X$9,TP!$U:$U,Toimenpiteet!$AC90,TP!$W:$W,Toimenpiteet!$X$8,TP!$X:$X,Toimenpiteet!$X$6,TP!$V:$V,Toimenpiteet!$Y$7,TP!$AD:$AD,$X$9,TP!$AF:$AF,Toimenpiteet!$Y$6,TP!$Q:$Q,Toimenpiteet!$Y$4,TP!$AG:$AG,Toimenpiteet!$Y$5,TP!$L:$L,Toimenpiteet!$V$2,TP!AL:AL,$AC$4)</f>
        <v>0</v>
      </c>
      <c r="AG90" s="111">
        <f>SUMIFS(TP!$P:$P,TP!$AI:$AI,$W$7,TP!$R:$R,$X$9,TP!$U:$U,Toimenpiteet!$AC90,TP!$W:$W,Toimenpiteet!$Y$8,TP!$X:$X,Toimenpiteet!$X$6,TP!$AD:$AD,$X$9,TP!$AF:$AF,Toimenpiteet!$Y$6,TP!$Q:$Q,Toimenpiteet!$Y$4,TP!$AG:$AG,Toimenpiteet!$Y$5,TP!$L:$L,Toimenpiteet!$V$2,TP!AL:AL,$AC$4)</f>
        <v>0</v>
      </c>
      <c r="AL90" s="643" t="s">
        <v>1397</v>
      </c>
      <c r="AM90" s="645" t="s">
        <v>1425</v>
      </c>
      <c r="AN90" s="645" t="s">
        <v>46</v>
      </c>
      <c r="AO90" t="s">
        <v>1226</v>
      </c>
    </row>
    <row r="91" spans="1:46" x14ac:dyDescent="0.25">
      <c r="A91" s="916"/>
      <c r="B91" s="672" t="s">
        <v>1454</v>
      </c>
      <c r="C91" s="111">
        <f>SUMIFS(TP!$P:$P,TP!$AI:$AI,$W$7,TP!$R:$R,$X$9,TP!$U:$U,Toimenpiteet!$T91,TP!$W:$W,Toimenpiteet!$X$8,TP!$X:$X,Toimenpiteet!$X$6,TP!$AD:$AD,$X$9,TP!$AF:$AF,Toimenpiteet!$Y$6,TP!$Q:$Q,Toimenpiteet!$Y$4,TP!$AG:$AG,Toimenpiteet!$Y$5,TP!$L:$L,Toimenpiteet!$V$2,TP!AL:AL,$AC$4)+V91+AD91</f>
        <v>0</v>
      </c>
      <c r="D91" s="112">
        <f t="shared" si="10"/>
        <v>0</v>
      </c>
      <c r="E91" s="111">
        <f>SUMIFS(TP!$P:$P,TP!$AI:$AI,$W$7,TP!$R:$R,$X$9,TP!$U:$U,Toimenpiteet!$T91,TP!$W:$W,Toimenpiteet!$X$8,TP!$X:$X,Toimenpiteet!$X$6,TP!$V:$V,Toimenpiteet!$X$7,TP!$AD:$AD,$X$9,TP!$AF:$AF,Toimenpiteet!$Y$6,TP!$Q:$Q,Toimenpiteet!$Y$4,TP!$AG:$AG,Toimenpiteet!$Y$5,TP!$L:$L,Toimenpiteet!$V$2,TP!AL:AL,$AC$4)+W91+AE91</f>
        <v>0</v>
      </c>
      <c r="F91" s="111">
        <f>SUMIFS(TP!$P:$P,TP!$AI:$AI,$W$7,TP!$R:$R,$X$9,TP!$U:$U,Toimenpiteet!$T91,TP!$W:$W,Toimenpiteet!$X$8,TP!$X:$X,Toimenpiteet!$X$6,TP!$V:$V,Toimenpiteet!$Y$7,TP!$AD:$AD,$X$9,TP!$AF:$AF,Toimenpiteet!$Y$6,TP!$Q:$Q,Toimenpiteet!$Y$4,TP!$AG:$AG,Toimenpiteet!$Y$5,TP!$L:$L,Toimenpiteet!$V$2,TP!AL:AL,$AC$4)+X91+AF91</f>
        <v>0</v>
      </c>
      <c r="G91" s="111">
        <f>SUMIFS(TP!$P:$P,TP!$AI:$AI,$W$7,TP!$R:$R,$X$9,TP!$U:$U,Toimenpiteet!$T91,TP!$W:$W,Toimenpiteet!$Y$8,TP!$X:$X,Toimenpiteet!$X$6,TP!$AD:$AD,$X$9,TP!$AF:$AF,Toimenpiteet!$Y$6,TP!$Q:$Q,Toimenpiteet!$Y$4,TP!$AG:$AG,Toimenpiteet!$Y$5,TP!$L:$L,Toimenpiteet!$V$2,TP!AL:AL,$AC$4)+Y91+AG91</f>
        <v>0</v>
      </c>
      <c r="H91" s="113"/>
      <c r="I91" s="114"/>
      <c r="J91" s="115">
        <f>SUMIFS(TP!$P:$P,TP!$AI:$AI,$W$7,TP!$R:$R,$X$9,TP!$U:$U,Toimenpiteet!$T91,TP!$W:$W,Toimenpiteet!$X$8,TP!$X:$X,Toimenpiteet!$X$6,TP!$Z:$Z,1,TP!$AD:$AD,$X$9,TP!$AF:$AF,Toimenpiteet!$Y$6,TP!$Q:$Q,Toimenpiteet!$Y$4,TP!$AG:$AG,Toimenpiteet!$Y$5,TP!$L:$L,Toimenpiteet!$V$2,TP!AL:AL,$AC$4)</f>
        <v>0</v>
      </c>
      <c r="K91" s="111">
        <f>SUMIFS(TP!$P:$P,TP!$AI:$AI,$W$7,TP!$R:$R,$X$9,TP!$U:$U,Toimenpiteet!$T91,TP!$W:$W,Toimenpiteet!$X$8,TP!$X:$X,Toimenpiteet!$X$6,TP!$O:$O,Toimenpiteet!$Z$3,TP!$AD:$AD,$X$9,TP!$AF:$AF,Toimenpiteet!$Y$6,TP!$Q:$Q,Toimenpiteet!$Y$4,TP!$AG:$AG,Toimenpiteet!$Y$5,TP!$L:$L,Toimenpiteet!$V$2,TP!AL:AL,$AC$4)</f>
        <v>0</v>
      </c>
      <c r="L91" s="111">
        <f>SUMIFS(TP!$P:$P,TP!$AI:$AI,$W$7,TP!$R:$R,$X$9,TP!$U:$U,Toimenpiteet!$T91,TP!$W:$W,Toimenpiteet!$X$8,TP!$X:$X,Toimenpiteet!$X$6,TP!$K:$K,Toimenpiteet!$Z$6,TP!$AD:$AD,$X$9,TP!$AF:$AF,Toimenpiteet!$Y$6,TP!$Q:$Q,Toimenpiteet!$Y$4,TP!$AG:$AG,Toimenpiteet!$Y$5,TP!$L:$L,Toimenpiteet!$V$2,TP!AL:AL,$AC$4)</f>
        <v>0</v>
      </c>
      <c r="M91" s="111">
        <f>SUMIFS(TP!$P:$P,TP!$AI:$AI,$W$7,TP!$R:$R,$X$9,TP!$U:$U,Toimenpiteet!$T91,TP!$W:$W,Toimenpiteet!$X$8,TP!$X:$X,Toimenpiteet!$X$6,TP!$K:$K,Toimenpiteet!$Z$7,TP!$AD:$AD,$X$9,TP!$AF:$AF,Toimenpiteet!$Y$6,TP!$Q:$Q,Toimenpiteet!$Y$4,TP!$AG:$AG,Toimenpiteet!$Y$5,TP!$L:$L,Toimenpiteet!$V$2,TP!AL:AL,$AC$4)</f>
        <v>0</v>
      </c>
      <c r="N91" s="111">
        <f>SUMIFS(TP!$P:$P,TP!$AI:$AI,$W$7,TP!$R:$R,$X$9,TP!$U:$U,Toimenpiteet!$T91,TP!$W:$W,Toimenpiteet!$X$8,TP!$X:$X,Toimenpiteet!$X$6,TP!$K:$K,Toimenpiteet!$Z$8,TP!$AD:$AD,$X$9,TP!$AF:$AF,Toimenpiteet!$Y$6,TP!$Q:$Q,Toimenpiteet!$Y$4,TP!$AG:$AG,Toimenpiteet!$Y$5,TP!$L:$L,Toimenpiteet!$V$2,TP!AL:AL,$AC$4)</f>
        <v>0</v>
      </c>
      <c r="O91" s="116">
        <f>SUMIFS(TP!$P:$P,TP!$AI:$AI,$W$7,TP!$R:$R,$X$9,TP!$U:$U,Toimenpiteet!$T91,TP!$W:$W,Toimenpiteet!$X$8,TP!$X:$X,Toimenpiteet!$X$6,TP!$K:$K,Toimenpiteet!$Z$5,TP!$AD:$AD,$X$9,TP!$AF:$AF,Toimenpiteet!$Y$6,TP!$Q:$Q,Toimenpiteet!$Y$4,TP!$AG:$AG,Toimenpiteet!$Y$5,TP!$L:$L,Toimenpiteet!$V$2,TP!AL:AL,$AC$4)</f>
        <v>0</v>
      </c>
      <c r="T91" t="s">
        <v>1243</v>
      </c>
      <c r="U91" s="549" t="s">
        <v>279</v>
      </c>
      <c r="V91" s="111">
        <f>SUMIFS(TP!$P:$P,TP!$AI:$AI,$W$7,TP!$R:$R,$X$9,TP!$U:$U,Toimenpiteet!$U91,TP!$W:$W,Toimenpiteet!$X$8,TP!$X:$X,Toimenpiteet!$X$6,TP!$AD:$AD,$X$9,TP!$AF:$AF,Toimenpiteet!$Y$6,TP!$Q:$Q,Toimenpiteet!$Y$4,TP!$AG:$AG,Toimenpiteet!$Y$5,TP!$L:$L,Toimenpiteet!$V$2,TP!AL:AL,$AC$4)</f>
        <v>0</v>
      </c>
      <c r="W91" s="111">
        <f>SUMIFS(TP!$P:$P,TP!$AI:$AI,$W$7,TP!$R:$R,$X$9,TP!$U:$U,Toimenpiteet!$U91,TP!$W:$W,Toimenpiteet!$X$8,TP!$X:$X,Toimenpiteet!$X$6,TP!$V:$V,Toimenpiteet!$X$7,TP!$AD:$AD,$X$9,TP!$AF:$AF,Toimenpiteet!$Y$6,TP!$Q:$Q,Toimenpiteet!$Y$4,TP!$AG:$AG,Toimenpiteet!$Y$5,TP!$L:$L,Toimenpiteet!$V$2,TP!AL:AL,$AC$4)</f>
        <v>0</v>
      </c>
      <c r="X91" s="111">
        <f>SUMIFS(TP!$P:$P,TP!$AI:$AI,$W$7,TP!$R:$R,$X$9,TP!$U:$U,Toimenpiteet!$U91,TP!$W:$W,Toimenpiteet!$X$8,TP!$X:$X,Toimenpiteet!$X$6,TP!$V:$V,Toimenpiteet!$Y$7,TP!$AD:$AD,$X$9,TP!$AF:$AF,Toimenpiteet!$Y$6,TP!$Q:$Q,Toimenpiteet!$Y$4,TP!$AG:$AG,Toimenpiteet!$Y$5,TP!$L:$L,Toimenpiteet!$V$2,TP!AL:AL,$AC$4)</f>
        <v>0</v>
      </c>
      <c r="Y91" s="111">
        <f>SUMIFS(TP!$P:$P,TP!$AI:$AI,$W$7,TP!$R:$R,$X$9,TP!$U:$U,Toimenpiteet!$U91,TP!$W:$W,Toimenpiteet!$Y$8,TP!$X:$X,Toimenpiteet!$X$6,TP!$AD:$AD,$X$9,TP!$AF:$AF,Toimenpiteet!$Y$6,TP!$Q:$Q,Toimenpiteet!$Y$4,TP!$AG:$AG,Toimenpiteet!$Y$5,TP!$L:$L,Toimenpiteet!$V$2,TP!AL:AL,$AC$4)</f>
        <v>0</v>
      </c>
      <c r="AD91" s="111">
        <f>SUMIFS(TP!$P:$P,TP!$AI:$AI,$W$7,TP!$R:$R,$X$9,TP!$U:$U,Toimenpiteet!$AC91,TP!$W:$W,Toimenpiteet!$X$8,TP!$X:$X,Toimenpiteet!$X$6,TP!$AD:$AD,$X$9,TP!$AF:$AF,Toimenpiteet!$Y$6,TP!$Q:$Q,Toimenpiteet!$Y$4,TP!$AG:$AG,Toimenpiteet!$Y$5,TP!$L:$L,Toimenpiteet!$V$2,TP!AL:AL,$AC$4)</f>
        <v>0</v>
      </c>
      <c r="AE91" s="111">
        <f>SUMIFS(TP!$P:$P,TP!$AI:$AI,$W$7,TP!$R:$R,$X$9,TP!$U:$U,Toimenpiteet!$AC91,TP!$W:$W,Toimenpiteet!$X$8,TP!$X:$X,Toimenpiteet!$X$6,TP!$V:$V,Toimenpiteet!$X$7,TP!$AD:$AD,$X$9,TP!$AF:$AF,Toimenpiteet!$Y$6,TP!$Q:$Q,Toimenpiteet!$Y$4,TP!$AG:$AG,Toimenpiteet!$Y$5,TP!$L:$L,Toimenpiteet!$V$2,TP!AL:AL,$AC$4)</f>
        <v>0</v>
      </c>
      <c r="AF91" s="111">
        <f>SUMIFS(TP!$P:$P,TP!$AI:$AI,$W$7,TP!$R:$R,$X$9,TP!$U:$U,Toimenpiteet!$AC91,TP!$W:$W,Toimenpiteet!$X$8,TP!$X:$X,Toimenpiteet!$X$6,TP!$V:$V,Toimenpiteet!$Y$7,TP!$AD:$AD,$X$9,TP!$AF:$AF,Toimenpiteet!$Y$6,TP!$Q:$Q,Toimenpiteet!$Y$4,TP!$AG:$AG,Toimenpiteet!$Y$5,TP!$L:$L,Toimenpiteet!$V$2,TP!AL:AL,$AC$4)</f>
        <v>0</v>
      </c>
      <c r="AG91" s="111">
        <f>SUMIFS(TP!$P:$P,TP!$AI:$AI,$W$7,TP!$R:$R,$X$9,TP!$U:$U,Toimenpiteet!$AC91,TP!$W:$W,Toimenpiteet!$Y$8,TP!$X:$X,Toimenpiteet!$X$6,TP!$AD:$AD,$X$9,TP!$AF:$AF,Toimenpiteet!$Y$6,TP!$Q:$Q,Toimenpiteet!$Y$4,TP!$AG:$AG,Toimenpiteet!$Y$5,TP!$L:$L,Toimenpiteet!$V$2,TP!AL:AL,$AC$4)</f>
        <v>0</v>
      </c>
      <c r="AL91" s="643" t="s">
        <v>1397</v>
      </c>
      <c r="AM91" s="645" t="s">
        <v>1426</v>
      </c>
      <c r="AN91" s="645" t="s">
        <v>47</v>
      </c>
      <c r="AO91" t="s">
        <v>1243</v>
      </c>
    </row>
    <row r="92" spans="1:46" x14ac:dyDescent="0.25">
      <c r="A92" s="36"/>
      <c r="B92" s="37" t="str">
        <f>A93</f>
        <v>Opinnot</v>
      </c>
      <c r="C92" s="105">
        <f>SUM(C93:C101)</f>
        <v>0</v>
      </c>
      <c r="D92" s="105"/>
      <c r="E92" s="105"/>
      <c r="F92" s="105"/>
      <c r="G92" s="105"/>
      <c r="H92" s="107"/>
      <c r="I92" s="108"/>
      <c r="J92" s="107">
        <f t="shared" ref="J92:O92" si="11">SUM(J93:J101)</f>
        <v>0</v>
      </c>
      <c r="K92" s="105">
        <f t="shared" si="11"/>
        <v>0</v>
      </c>
      <c r="L92" s="105">
        <f t="shared" si="11"/>
        <v>0</v>
      </c>
      <c r="M92" s="105">
        <f t="shared" si="11"/>
        <v>0</v>
      </c>
      <c r="N92" s="105">
        <f t="shared" si="11"/>
        <v>0</v>
      </c>
      <c r="O92" s="108">
        <f t="shared" si="11"/>
        <v>0</v>
      </c>
      <c r="T92" s="651"/>
      <c r="V92" s="111">
        <f>SUMIFS(TP!$P:$P,TP!$AI:$AI,$W$7,TP!$R:$R,$X$9,TP!$U:$U,Toimenpiteet!$U92,TP!$W:$W,Toimenpiteet!$X$8,TP!$X:$X,Toimenpiteet!$X$6,TP!$AD:$AD,$X$9,TP!$AF:$AF,Toimenpiteet!$Y$6,TP!$Q:$Q,Toimenpiteet!$Y$4,TP!$AG:$AG,Toimenpiteet!$Y$5,TP!$L:$L,Toimenpiteet!$V$2,TP!AL:AL,$AC$4)</f>
        <v>0</v>
      </c>
      <c r="W92" s="111">
        <f>SUMIFS(TP!$P:$P,TP!$AI:$AI,$W$7,TP!$R:$R,$X$9,TP!$U:$U,Toimenpiteet!$U92,TP!$W:$W,Toimenpiteet!$X$8,TP!$X:$X,Toimenpiteet!$X$6,TP!$V:$V,Toimenpiteet!$X$7,TP!$AD:$AD,$X$9,TP!$AF:$AF,Toimenpiteet!$Y$6,TP!$Q:$Q,Toimenpiteet!$Y$4,TP!$AG:$AG,Toimenpiteet!$Y$5,TP!$L:$L,Toimenpiteet!$V$2,TP!AL:AL,$AC$4)</f>
        <v>0</v>
      </c>
      <c r="X92" s="111">
        <f>SUMIFS(TP!$P:$P,TP!$AI:$AI,$W$7,TP!$R:$R,$X$9,TP!$U:$U,Toimenpiteet!$U92,TP!$W:$W,Toimenpiteet!$X$8,TP!$X:$X,Toimenpiteet!$X$6,TP!$V:$V,Toimenpiteet!$Y$7,TP!$AD:$AD,$X$9,TP!$AF:$AF,Toimenpiteet!$Y$6,TP!$Q:$Q,Toimenpiteet!$Y$4,TP!$AG:$AG,Toimenpiteet!$Y$5,TP!$L:$L,Toimenpiteet!$V$2,TP!AL:AL,$AC$4)</f>
        <v>0</v>
      </c>
      <c r="Y92" s="111">
        <f>SUMIFS(TP!$P:$P,TP!$AI:$AI,$W$7,TP!$R:$R,$X$9,TP!$U:$U,Toimenpiteet!$U92,TP!$W:$W,Toimenpiteet!$Y$8,TP!$X:$X,Toimenpiteet!$X$6,TP!$AD:$AD,$X$9,TP!$AF:$AF,Toimenpiteet!$Y$6,TP!$Q:$Q,Toimenpiteet!$Y$4,TP!$AG:$AG,Toimenpiteet!$Y$5,TP!$L:$L,Toimenpiteet!$V$2,TP!AL:AL,$AC$4)</f>
        <v>0</v>
      </c>
      <c r="AD92" s="111">
        <f>SUMIFS(TP!$P:$P,TP!$AI:$AI,$W$7,TP!$R:$R,$X$9,TP!$U:$U,Toimenpiteet!$AC92,TP!$W:$W,Toimenpiteet!$X$8,TP!$X:$X,Toimenpiteet!$X$6,TP!$AD:$AD,$X$9,TP!$AF:$AF,Toimenpiteet!$Y$6,TP!$Q:$Q,Toimenpiteet!$Y$4,TP!$AG:$AG,Toimenpiteet!$Y$5,TP!$L:$L,Toimenpiteet!$V$2,TP!AL:AL,$AC$4)</f>
        <v>0</v>
      </c>
      <c r="AE92" s="111">
        <f>SUMIFS(TP!$P:$P,TP!$AI:$AI,$W$7,TP!$R:$R,$X$9,TP!$U:$U,Toimenpiteet!$AC92,TP!$W:$W,Toimenpiteet!$X$8,TP!$X:$X,Toimenpiteet!$X$6,TP!$V:$V,Toimenpiteet!$X$7,TP!$AD:$AD,$X$9,TP!$AF:$AF,Toimenpiteet!$Y$6,TP!$Q:$Q,Toimenpiteet!$Y$4,TP!$AG:$AG,Toimenpiteet!$Y$5,TP!$L:$L,Toimenpiteet!$V$2,TP!AL:AL,$AC$4)</f>
        <v>0</v>
      </c>
      <c r="AF92" s="111">
        <f>SUMIFS(TP!$P:$P,TP!$AI:$AI,$W$7,TP!$R:$R,$X$9,TP!$U:$U,Toimenpiteet!$AC92,TP!$W:$W,Toimenpiteet!$X$8,TP!$X:$X,Toimenpiteet!$X$6,TP!$V:$V,Toimenpiteet!$Y$7,TP!$AD:$AD,$X$9,TP!$AF:$AF,Toimenpiteet!$Y$6,TP!$Q:$Q,Toimenpiteet!$Y$4,TP!$AG:$AG,Toimenpiteet!$Y$5,TP!$L:$L,Toimenpiteet!$V$2,TP!AL:AL,$AC$4)</f>
        <v>0</v>
      </c>
      <c r="AG92" s="111">
        <f>SUMIFS(TP!$P:$P,TP!$AI:$AI,$W$7,TP!$R:$R,$X$9,TP!$U:$U,Toimenpiteet!$AC92,TP!$W:$W,Toimenpiteet!$Y$8,TP!$X:$X,Toimenpiteet!$X$6,TP!$AD:$AD,$X$9,TP!$AF:$AF,Toimenpiteet!$Y$6,TP!$Q:$Q,Toimenpiteet!$Y$4,TP!$AG:$AG,Toimenpiteet!$Y$5,TP!$L:$L,Toimenpiteet!$V$2,TP!AL:AL,$AC$4)</f>
        <v>0</v>
      </c>
      <c r="AL92" s="639"/>
      <c r="AM92" s="644" t="s">
        <v>79</v>
      </c>
      <c r="AN92" s="644" t="s">
        <v>79</v>
      </c>
      <c r="AO92" t="s">
        <v>1439</v>
      </c>
    </row>
    <row r="93" spans="1:46" x14ac:dyDescent="0.25">
      <c r="A93" s="914" t="s">
        <v>79</v>
      </c>
      <c r="B93" s="672" t="s">
        <v>1148</v>
      </c>
      <c r="C93" s="111">
        <f>SUMIFS(TP!$P:$P,TP!$AI:$AI,$W$7,TP!$R:$R,$X$9,TP!$U:$U,Toimenpiteet!$T93,TP!$W:$W,Toimenpiteet!$X$8,TP!$X:$X,Toimenpiteet!$X$6,TP!$AD:$AD,$X$9,TP!$AF:$AF,Toimenpiteet!$Y$6,TP!$Q:$Q,Toimenpiteet!$Y$4,TP!$AG:$AG,Toimenpiteet!$Y$5,TP!$L:$L,Toimenpiteet!$V$2,TP!AL:AL,$AC$4)+V93+AD93</f>
        <v>0</v>
      </c>
      <c r="D93" s="112">
        <f t="shared" ref="D93:D101" si="12">IFERROR(C93/$C$54,0)</f>
        <v>0</v>
      </c>
      <c r="E93" s="111">
        <f>SUMIFS(TP!$P:$P,TP!$AI:$AI,$W$7,TP!$R:$R,$X$9,TP!$U:$U,Toimenpiteet!$T93,TP!$W:$W,Toimenpiteet!$X$8,TP!$X:$X,Toimenpiteet!$X$6,TP!$V:$V,Toimenpiteet!$X$7,TP!$AD:$AD,$X$9,TP!$AF:$AF,Toimenpiteet!$Y$6,TP!$Q:$Q,Toimenpiteet!$Y$4,TP!$AG:$AG,Toimenpiteet!$Y$5,TP!$L:$L,Toimenpiteet!$V$2,TP!AL:AL,$AC$4)+W93+AE93</f>
        <v>0</v>
      </c>
      <c r="F93" s="111">
        <f>SUMIFS(TP!$P:$P,TP!$AI:$AI,$W$7,TP!$R:$R,$X$9,TP!$U:$U,Toimenpiteet!$T93,TP!$W:$W,Toimenpiteet!$X$8,TP!$X:$X,Toimenpiteet!$X$6,TP!$V:$V,Toimenpiteet!$Y$7,TP!$AD:$AD,$X$9,TP!$AF:$AF,Toimenpiteet!$Y$6,TP!$Q:$Q,Toimenpiteet!$Y$4,TP!$AG:$AG,Toimenpiteet!$Y$5,TP!$L:$L,Toimenpiteet!$V$2,TP!AL:AL,$AC$4)+X93+AF93</f>
        <v>0</v>
      </c>
      <c r="G93" s="111">
        <f>SUMIFS(TP!$P:$P,TP!$AI:$AI,$W$7,TP!$R:$R,$X$9,TP!$U:$U,Toimenpiteet!$T93,TP!$W:$W,Toimenpiteet!$Y$8,TP!$X:$X,Toimenpiteet!$X$6,TP!$AD:$AD,$X$9,TP!$AF:$AF,Toimenpiteet!$Y$6,TP!$Q:$Q,Toimenpiteet!$Y$4,TP!$AG:$AG,Toimenpiteet!$Y$5,TP!$L:$L,Toimenpiteet!$V$2,TP!AL:AL,$AC$4)+Y93+AG93</f>
        <v>0</v>
      </c>
      <c r="H93" s="113"/>
      <c r="I93" s="114"/>
      <c r="J93" s="115">
        <f>SUMIFS(TP!$P:$P,TP!$AI:$AI,$W$7,TP!$R:$R,$X$9,TP!$U:$U,Toimenpiteet!$T93,TP!$W:$W,Toimenpiteet!$X$8,TP!$X:$X,Toimenpiteet!$X$6,TP!$Z:$Z,1,TP!$AD:$AD,$X$9,TP!$AF:$AF,Toimenpiteet!$Y$6,TP!$Q:$Q,Toimenpiteet!$Y$4,TP!$AG:$AG,Toimenpiteet!$Y$5,TP!$L:$L,Toimenpiteet!$V$2,TP!AL:AL,$AC$4)</f>
        <v>0</v>
      </c>
      <c r="K93" s="111">
        <f>SUMIFS(TP!$P:$P,TP!$AI:$AI,$W$7,TP!$R:$R,$X$9,TP!$U:$U,Toimenpiteet!$T93,TP!$W:$W,Toimenpiteet!$X$8,TP!$X:$X,Toimenpiteet!$X$6,TP!$O:$O,Toimenpiteet!$Z$3,TP!$AD:$AD,$X$9,TP!$AF:$AF,Toimenpiteet!$Y$6,TP!$Q:$Q,Toimenpiteet!$Y$4,TP!$AG:$AG,Toimenpiteet!$Y$5,TP!$L:$L,Toimenpiteet!$V$2,TP!AL:AL,$AC$4)</f>
        <v>0</v>
      </c>
      <c r="L93" s="111">
        <f>SUMIFS(TP!$P:$P,TP!$AI:$AI,$W$7,TP!$R:$R,$X$9,TP!$U:$U,Toimenpiteet!$T93,TP!$W:$W,Toimenpiteet!$X$8,TP!$X:$X,Toimenpiteet!$X$6,TP!$K:$K,Toimenpiteet!$Z$6,TP!$AD:$AD,$X$9,TP!$AF:$AF,Toimenpiteet!$Y$6,TP!$Q:$Q,Toimenpiteet!$Y$4,TP!$AG:$AG,Toimenpiteet!$Y$5,TP!$L:$L,Toimenpiteet!$V$2,TP!AL:AL,$AC$4)</f>
        <v>0</v>
      </c>
      <c r="M93" s="111">
        <f>SUMIFS(TP!$P:$P,TP!$AI:$AI,$W$7,TP!$R:$R,$X$9,TP!$U:$U,Toimenpiteet!$T93,TP!$W:$W,Toimenpiteet!$X$8,TP!$X:$X,Toimenpiteet!$X$6,TP!$K:$K,Toimenpiteet!$Z$7,TP!$AD:$AD,$X$9,TP!$AF:$AF,Toimenpiteet!$Y$6,TP!$Q:$Q,Toimenpiteet!$Y$4,TP!$AG:$AG,Toimenpiteet!$Y$5,TP!$L:$L,Toimenpiteet!$V$2,TP!AL:AL,$AC$4)</f>
        <v>0</v>
      </c>
      <c r="N93" s="111">
        <f>SUMIFS(TP!$P:$P,TP!$AI:$AI,$W$7,TP!$R:$R,$X$9,TP!$U:$U,Toimenpiteet!$T93,TP!$W:$W,Toimenpiteet!$X$8,TP!$X:$X,Toimenpiteet!$X$6,TP!$K:$K,Toimenpiteet!$Z$8,TP!$AD:$AD,$X$9,TP!$AF:$AF,Toimenpiteet!$Y$6,TP!$Q:$Q,Toimenpiteet!$Y$4,TP!$AG:$AG,Toimenpiteet!$Y$5,TP!$L:$L,Toimenpiteet!$V$2,TP!AL:AL,$AC$4)</f>
        <v>0</v>
      </c>
      <c r="O93" s="116">
        <f>SUMIFS(TP!$P:$P,TP!$AI:$AI,$W$7,TP!$R:$R,$X$9,TP!$U:$U,Toimenpiteet!$T93,TP!$W:$W,Toimenpiteet!$X$8,TP!$X:$X,Toimenpiteet!$X$6,TP!$K:$K,Toimenpiteet!$Z$5,TP!$AD:$AD,$X$9,TP!$AF:$AF,Toimenpiteet!$Y$6,TP!$Q:$Q,Toimenpiteet!$Y$4,TP!$AG:$AG,Toimenpiteet!$Y$5,TP!$L:$L,Toimenpiteet!$V$2,TP!AL:AL,$AC$4)</f>
        <v>0</v>
      </c>
      <c r="T93" s="651" t="s">
        <v>305</v>
      </c>
      <c r="V93" s="111">
        <f>SUMIFS(TP!$P:$P,TP!$AI:$AI,$W$7,TP!$R:$R,$X$9,TP!$U:$U,Toimenpiteet!$U93,TP!$W:$W,Toimenpiteet!$X$8,TP!$X:$X,Toimenpiteet!$X$6,TP!$AD:$AD,$X$9,TP!$AF:$AF,Toimenpiteet!$Y$6,TP!$Q:$Q,Toimenpiteet!$Y$4,TP!$AG:$AG,Toimenpiteet!$Y$5,TP!$L:$L,Toimenpiteet!$V$2,TP!AL:AL,$AC$4)</f>
        <v>0</v>
      </c>
      <c r="W93" s="111">
        <f>SUMIFS(TP!$P:$P,TP!$AI:$AI,$W$7,TP!$R:$R,$X$9,TP!$U:$U,Toimenpiteet!$U93,TP!$W:$W,Toimenpiteet!$X$8,TP!$X:$X,Toimenpiteet!$X$6,TP!$V:$V,Toimenpiteet!$X$7,TP!$AD:$AD,$X$9,TP!$AF:$AF,Toimenpiteet!$Y$6,TP!$Q:$Q,Toimenpiteet!$Y$4,TP!$AG:$AG,Toimenpiteet!$Y$5,TP!$L:$L,Toimenpiteet!$V$2,TP!AL:AL,$AC$4)</f>
        <v>0</v>
      </c>
      <c r="X93" s="111">
        <f>SUMIFS(TP!$P:$P,TP!$AI:$AI,$W$7,TP!$R:$R,$X$9,TP!$U:$U,Toimenpiteet!$U93,TP!$W:$W,Toimenpiteet!$X$8,TP!$X:$X,Toimenpiteet!$X$6,TP!$V:$V,Toimenpiteet!$Y$7,TP!$AD:$AD,$X$9,TP!$AF:$AF,Toimenpiteet!$Y$6,TP!$Q:$Q,Toimenpiteet!$Y$4,TP!$AG:$AG,Toimenpiteet!$Y$5,TP!$L:$L,Toimenpiteet!$V$2,TP!AL:AL,$AC$4)</f>
        <v>0</v>
      </c>
      <c r="Y93" s="111">
        <f>SUMIFS(TP!$P:$P,TP!$AI:$AI,$W$7,TP!$R:$R,$X$9,TP!$U:$U,Toimenpiteet!$U93,TP!$W:$W,Toimenpiteet!$Y$8,TP!$X:$X,Toimenpiteet!$X$6,TP!$AD:$AD,$X$9,TP!$AF:$AF,Toimenpiteet!$Y$6,TP!$Q:$Q,Toimenpiteet!$Y$4,TP!$AG:$AG,Toimenpiteet!$Y$5,TP!$L:$L,Toimenpiteet!$V$2,TP!AL:AL,$AC$4)</f>
        <v>0</v>
      </c>
      <c r="AD93" s="111">
        <f>SUMIFS(TP!$P:$P,TP!$AI:$AI,$W$7,TP!$R:$R,$X$9,TP!$U:$U,Toimenpiteet!$AC93,TP!$W:$W,Toimenpiteet!$X$8,TP!$X:$X,Toimenpiteet!$X$6,TP!$AD:$AD,$X$9,TP!$AF:$AF,Toimenpiteet!$Y$6,TP!$Q:$Q,Toimenpiteet!$Y$4,TP!$AG:$AG,Toimenpiteet!$Y$5,TP!$L:$L,Toimenpiteet!$V$2,TP!AL:AL,$AC$4)</f>
        <v>0</v>
      </c>
      <c r="AE93" s="111">
        <f>SUMIFS(TP!$P:$P,TP!$AI:$AI,$W$7,TP!$R:$R,$X$9,TP!$U:$U,Toimenpiteet!$AC93,TP!$W:$W,Toimenpiteet!$X$8,TP!$X:$X,Toimenpiteet!$X$6,TP!$V:$V,Toimenpiteet!$X$7,TP!$AD:$AD,$X$9,TP!$AF:$AF,Toimenpiteet!$Y$6,TP!$Q:$Q,Toimenpiteet!$Y$4,TP!$AG:$AG,Toimenpiteet!$Y$5,TP!$L:$L,Toimenpiteet!$V$2,TP!AL:AL,$AC$4)</f>
        <v>0</v>
      </c>
      <c r="AF93" s="111">
        <f>SUMIFS(TP!$P:$P,TP!$AI:$AI,$W$7,TP!$R:$R,$X$9,TP!$U:$U,Toimenpiteet!$AC93,TP!$W:$W,Toimenpiteet!$X$8,TP!$X:$X,Toimenpiteet!$X$6,TP!$V:$V,Toimenpiteet!$Y$7,TP!$AD:$AD,$X$9,TP!$AF:$AF,Toimenpiteet!$Y$6,TP!$Q:$Q,Toimenpiteet!$Y$4,TP!$AG:$AG,Toimenpiteet!$Y$5,TP!$L:$L,Toimenpiteet!$V$2,TP!AL:AL,$AC$4)</f>
        <v>0</v>
      </c>
      <c r="AG93" s="111">
        <f>SUMIFS(TP!$P:$P,TP!$AI:$AI,$W$7,TP!$R:$R,$X$9,TP!$U:$U,Toimenpiteet!$AC93,TP!$W:$W,Toimenpiteet!$Y$8,TP!$X:$X,Toimenpiteet!$X$6,TP!$AD:$AD,$X$9,TP!$AF:$AF,Toimenpiteet!$Y$6,TP!$Q:$Q,Toimenpiteet!$Y$4,TP!$AG:$AG,Toimenpiteet!$Y$5,TP!$L:$L,Toimenpiteet!$V$2,TP!AL:AL,$AC$4)</f>
        <v>0</v>
      </c>
      <c r="AL93" s="638"/>
      <c r="AM93" s="646" t="s">
        <v>48</v>
      </c>
      <c r="AN93" s="646" t="s">
        <v>48</v>
      </c>
      <c r="AO93" t="s">
        <v>305</v>
      </c>
    </row>
    <row r="94" spans="1:46" x14ac:dyDescent="0.25">
      <c r="A94" s="915"/>
      <c r="B94" s="672" t="s">
        <v>1250</v>
      </c>
      <c r="C94" s="111">
        <f>SUMIFS(TP!$P:$P,TP!$AI:$AI,$W$7,TP!$R:$R,$X$9,TP!$U:$U,Toimenpiteet!$T94,TP!$W:$W,Toimenpiteet!$X$8,TP!$X:$X,Toimenpiteet!$X$6,TP!$AD:$AD,$X$9,TP!$AF:$AF,Toimenpiteet!$Y$6,TP!$Q:$Q,Toimenpiteet!$Y$4,TP!$AG:$AG,Toimenpiteet!$Y$5,TP!$L:$L,Toimenpiteet!$V$2,TP!AL:AL,$AC$4)+V94+AD94</f>
        <v>0</v>
      </c>
      <c r="D94" s="112">
        <f t="shared" si="12"/>
        <v>0</v>
      </c>
      <c r="E94" s="111">
        <f>SUMIFS(TP!$P:$P,TP!$AI:$AI,$W$7,TP!$R:$R,$X$9,TP!$U:$U,Toimenpiteet!$T94,TP!$W:$W,Toimenpiteet!$X$8,TP!$X:$X,Toimenpiteet!$X$6,TP!$V:$V,Toimenpiteet!$X$7,TP!$AD:$AD,$X$9,TP!$AF:$AF,Toimenpiteet!$Y$6,TP!$Q:$Q,Toimenpiteet!$Y$4,TP!$AG:$AG,Toimenpiteet!$Y$5,TP!$L:$L,Toimenpiteet!$V$2,TP!AL:AL,$AC$4)+W94+AE94</f>
        <v>0</v>
      </c>
      <c r="F94" s="111">
        <f>SUMIFS(TP!$P:$P,TP!$AI:$AI,$W$7,TP!$R:$R,$X$9,TP!$U:$U,Toimenpiteet!$T94,TP!$W:$W,Toimenpiteet!$X$8,TP!$X:$X,Toimenpiteet!$X$6,TP!$V:$V,Toimenpiteet!$Y$7,TP!$AD:$AD,$X$9,TP!$AF:$AF,Toimenpiteet!$Y$6,TP!$Q:$Q,Toimenpiteet!$Y$4,TP!$AG:$AG,Toimenpiteet!$Y$5,TP!$L:$L,Toimenpiteet!$V$2,TP!AL:AL,$AC$4)+X94+AF94</f>
        <v>0</v>
      </c>
      <c r="G94" s="111">
        <f>SUMIFS(TP!$P:$P,TP!$AI:$AI,$W$7,TP!$R:$R,$X$9,TP!$U:$U,Toimenpiteet!$T94,TP!$W:$W,Toimenpiteet!$Y$8,TP!$X:$X,Toimenpiteet!$X$6,TP!$AD:$AD,$X$9,TP!$AF:$AF,Toimenpiteet!$Y$6,TP!$Q:$Q,Toimenpiteet!$Y$4,TP!$AG:$AG,Toimenpiteet!$Y$5,TP!$L:$L,Toimenpiteet!$V$2,TP!AL:AL,$AC$4)+Y94+AG94</f>
        <v>0</v>
      </c>
      <c r="H94" s="113"/>
      <c r="I94" s="114"/>
      <c r="J94" s="115">
        <f>SUMIFS(TP!$P:$P,TP!$AI:$AI,$W$7,TP!$R:$R,$X$9,TP!$U:$U,Toimenpiteet!$T94,TP!$W:$W,Toimenpiteet!$X$8,TP!$X:$X,Toimenpiteet!$X$6,TP!$Z:$Z,1,TP!$AD:$AD,$X$9,TP!$AF:$AF,Toimenpiteet!$Y$6,TP!$Q:$Q,Toimenpiteet!$Y$4,TP!$AG:$AG,Toimenpiteet!$Y$5,TP!$L:$L,Toimenpiteet!$V$2,TP!AL:AL,$AC$4)</f>
        <v>0</v>
      </c>
      <c r="K94" s="111">
        <f>SUMIFS(TP!$P:$P,TP!$AI:$AI,$W$7,TP!$R:$R,$X$9,TP!$U:$U,Toimenpiteet!$T94,TP!$W:$W,Toimenpiteet!$X$8,TP!$X:$X,Toimenpiteet!$X$6,TP!$O:$O,Toimenpiteet!$Z$3,TP!$AD:$AD,$X$9,TP!$AF:$AF,Toimenpiteet!$Y$6,TP!$Q:$Q,Toimenpiteet!$Y$4,TP!$AG:$AG,Toimenpiteet!$Y$5,TP!$L:$L,Toimenpiteet!$V$2,TP!AL:AL,$AC$4)</f>
        <v>0</v>
      </c>
      <c r="L94" s="111">
        <f>SUMIFS(TP!$P:$P,TP!$AI:$AI,$W$7,TP!$R:$R,$X$9,TP!$U:$U,Toimenpiteet!$T94,TP!$W:$W,Toimenpiteet!$X$8,TP!$X:$X,Toimenpiteet!$X$6,TP!$K:$K,Toimenpiteet!$Z$6,TP!$AD:$AD,$X$9,TP!$AF:$AF,Toimenpiteet!$Y$6,TP!$Q:$Q,Toimenpiteet!$Y$4,TP!$AG:$AG,Toimenpiteet!$Y$5,TP!$L:$L,Toimenpiteet!$V$2,TP!AL:AL,$AC$4)</f>
        <v>0</v>
      </c>
      <c r="M94" s="111">
        <f>SUMIFS(TP!$P:$P,TP!$AI:$AI,$W$7,TP!$R:$R,$X$9,TP!$U:$U,Toimenpiteet!$T94,TP!$W:$W,Toimenpiteet!$X$8,TP!$X:$X,Toimenpiteet!$X$6,TP!$K:$K,Toimenpiteet!$Z$7,TP!$AD:$AD,$X$9,TP!$AF:$AF,Toimenpiteet!$Y$6,TP!$Q:$Q,Toimenpiteet!$Y$4,TP!$AG:$AG,Toimenpiteet!$Y$5,TP!$L:$L,Toimenpiteet!$V$2,TP!AL:AL,$AC$4)</f>
        <v>0</v>
      </c>
      <c r="N94" s="111">
        <f>SUMIFS(TP!$P:$P,TP!$AI:$AI,$W$7,TP!$R:$R,$X$9,TP!$U:$U,Toimenpiteet!$T94,TP!$W:$W,Toimenpiteet!$X$8,TP!$X:$X,Toimenpiteet!$X$6,TP!$K:$K,Toimenpiteet!$Z$8,TP!$AD:$AD,$X$9,TP!$AF:$AF,Toimenpiteet!$Y$6,TP!$Q:$Q,Toimenpiteet!$Y$4,TP!$AG:$AG,Toimenpiteet!$Y$5,TP!$L:$L,Toimenpiteet!$V$2,TP!AL:AL,$AC$4)</f>
        <v>0</v>
      </c>
      <c r="O94" s="116">
        <f>SUMIFS(TP!$P:$P,TP!$AI:$AI,$W$7,TP!$R:$R,$X$9,TP!$U:$U,Toimenpiteet!$T94,TP!$W:$W,Toimenpiteet!$X$8,TP!$X:$X,Toimenpiteet!$X$6,TP!$K:$K,Toimenpiteet!$Z$5,TP!$AD:$AD,$X$9,TP!$AF:$AF,Toimenpiteet!$Y$6,TP!$Q:$Q,Toimenpiteet!$Y$4,TP!$AG:$AG,Toimenpiteet!$Y$5,TP!$L:$L,Toimenpiteet!$V$2,TP!AL:AL,$AC$4)</f>
        <v>0</v>
      </c>
      <c r="T94" t="s">
        <v>1225</v>
      </c>
      <c r="U94" s="549" t="s">
        <v>303</v>
      </c>
      <c r="V94" s="111">
        <f>SUMIFS(TP!$P:$P,TP!$AI:$AI,$W$7,TP!$R:$R,$X$9,TP!$U:$U,Toimenpiteet!$U94,TP!$W:$W,Toimenpiteet!$X$8,TP!$X:$X,Toimenpiteet!$X$6,TP!$AD:$AD,$X$9,TP!$AF:$AF,Toimenpiteet!$Y$6,TP!$Q:$Q,Toimenpiteet!$Y$4,TP!$AG:$AG,Toimenpiteet!$Y$5,TP!$L:$L,Toimenpiteet!$V$2,TP!AL:AL,$AC$4)</f>
        <v>0</v>
      </c>
      <c r="W94" s="111">
        <f>SUMIFS(TP!$P:$P,TP!$AI:$AI,$W$7,TP!$R:$R,$X$9,TP!$U:$U,Toimenpiteet!$U94,TP!$W:$W,Toimenpiteet!$X$8,TP!$X:$X,Toimenpiteet!$X$6,TP!$V:$V,Toimenpiteet!$X$7,TP!$AD:$AD,$X$9,TP!$AF:$AF,Toimenpiteet!$Y$6,TP!$Q:$Q,Toimenpiteet!$Y$4,TP!$AG:$AG,Toimenpiteet!$Y$5,TP!$L:$L,Toimenpiteet!$V$2,TP!AL:AL,$AC$4)</f>
        <v>0</v>
      </c>
      <c r="X94" s="111">
        <f>SUMIFS(TP!$P:$P,TP!$AI:$AI,$W$7,TP!$R:$R,$X$9,TP!$U:$U,Toimenpiteet!$U94,TP!$W:$W,Toimenpiteet!$X$8,TP!$X:$X,Toimenpiteet!$X$6,TP!$V:$V,Toimenpiteet!$Y$7,TP!$AD:$AD,$X$9,TP!$AF:$AF,Toimenpiteet!$Y$6,TP!$Q:$Q,Toimenpiteet!$Y$4,TP!$AG:$AG,Toimenpiteet!$Y$5,TP!$L:$L,Toimenpiteet!$V$2,TP!AL:AL,$AC$4)</f>
        <v>0</v>
      </c>
      <c r="Y94" s="111">
        <f>SUMIFS(TP!$P:$P,TP!$AI:$AI,$W$7,TP!$R:$R,$X$9,TP!$U:$U,Toimenpiteet!$U94,TP!$W:$W,Toimenpiteet!$Y$8,TP!$X:$X,Toimenpiteet!$X$6,TP!$AD:$AD,$X$9,TP!$AF:$AF,Toimenpiteet!$Y$6,TP!$Q:$Q,Toimenpiteet!$Y$4,TP!$AG:$AG,Toimenpiteet!$Y$5,TP!$L:$L,Toimenpiteet!$V$2,TP!AL:AL,$AC$4)</f>
        <v>0</v>
      </c>
      <c r="AC94" s="549" t="s">
        <v>518</v>
      </c>
      <c r="AD94" s="111">
        <f>SUMIFS(TP!$P:$P,TP!$AI:$AI,$W$7,TP!$R:$R,$X$9,TP!$U:$U,Toimenpiteet!$AC94,TP!$W:$W,Toimenpiteet!$X$8,TP!$X:$X,Toimenpiteet!$X$6,TP!$AD:$AD,$X$9,TP!$AF:$AF,Toimenpiteet!$Y$6,TP!$Q:$Q,Toimenpiteet!$Y$4,TP!$AG:$AG,Toimenpiteet!$Y$5,TP!$L:$L,Toimenpiteet!$V$2,TP!AL:AL,$AC$4)</f>
        <v>0</v>
      </c>
      <c r="AE94" s="111">
        <f>SUMIFS(TP!$P:$P,TP!$AI:$AI,$W$7,TP!$R:$R,$X$9,TP!$U:$U,Toimenpiteet!$AC94,TP!$W:$W,Toimenpiteet!$X$8,TP!$X:$X,Toimenpiteet!$X$6,TP!$V:$V,Toimenpiteet!$X$7,TP!$AD:$AD,$X$9,TP!$AF:$AF,Toimenpiteet!$Y$6,TP!$Q:$Q,Toimenpiteet!$Y$4,TP!$AG:$AG,Toimenpiteet!$Y$5,TP!$L:$L,Toimenpiteet!$V$2,TP!AL:AL,$AC$4)</f>
        <v>0</v>
      </c>
      <c r="AF94" s="111">
        <f>SUMIFS(TP!$P:$P,TP!$AI:$AI,$W$7,TP!$R:$R,$X$9,TP!$U:$U,Toimenpiteet!$AC94,TP!$W:$W,Toimenpiteet!$X$8,TP!$X:$X,Toimenpiteet!$X$6,TP!$V:$V,Toimenpiteet!$Y$7,TP!$AD:$AD,$X$9,TP!$AF:$AF,Toimenpiteet!$Y$6,TP!$Q:$Q,Toimenpiteet!$Y$4,TP!$AG:$AG,Toimenpiteet!$Y$5,TP!$L:$L,Toimenpiteet!$V$2,TP!AL:AL,$AC$4)</f>
        <v>0</v>
      </c>
      <c r="AG94" s="111">
        <f>SUMIFS(TP!$P:$P,TP!$AI:$AI,$W$7,TP!$R:$R,$X$9,TP!$U:$U,Toimenpiteet!$AC94,TP!$W:$W,Toimenpiteet!$Y$8,TP!$X:$X,Toimenpiteet!$X$6,TP!$AD:$AD,$X$9,TP!$AF:$AF,Toimenpiteet!$Y$6,TP!$Q:$Q,Toimenpiteet!$Y$4,TP!$AG:$AG,Toimenpiteet!$Y$5,TP!$L:$L,Toimenpiteet!$V$2,TP!AL:AL,$AC$4)</f>
        <v>0</v>
      </c>
      <c r="AL94" s="643" t="s">
        <v>1397</v>
      </c>
      <c r="AM94" s="645" t="s">
        <v>1250</v>
      </c>
      <c r="AN94" s="645" t="s">
        <v>49</v>
      </c>
      <c r="AO94" t="s">
        <v>1225</v>
      </c>
      <c r="AP94" s="642" t="s">
        <v>1427</v>
      </c>
      <c r="AQ94" s="649" t="s">
        <v>50</v>
      </c>
      <c r="AR94" s="649" t="s">
        <v>50</v>
      </c>
      <c r="AS94" t="s">
        <v>518</v>
      </c>
    </row>
    <row r="95" spans="1:46" x14ac:dyDescent="0.25">
      <c r="A95" s="915"/>
      <c r="B95" s="672" t="s">
        <v>1149</v>
      </c>
      <c r="C95" s="111">
        <f>SUMIFS(TP!$P:$P,TP!$AI:$AI,$W$7,TP!$R:$R,$X$9,TP!$U:$U,Toimenpiteet!$T95,TP!$W:$W,Toimenpiteet!$X$8,TP!$X:$X,Toimenpiteet!$X$6,TP!$AD:$AD,$X$9,TP!$AF:$AF,Toimenpiteet!$Y$6,TP!$Q:$Q,Toimenpiteet!$Y$4,TP!$AG:$AG,Toimenpiteet!$Y$5,TP!$L:$L,Toimenpiteet!$V$2,TP!AL:AL,$AC$4)+V95+AD95</f>
        <v>0</v>
      </c>
      <c r="D95" s="112">
        <f t="shared" si="12"/>
        <v>0</v>
      </c>
      <c r="E95" s="111">
        <f>SUMIFS(TP!$P:$P,TP!$AI:$AI,$W$7,TP!$R:$R,$X$9,TP!$U:$U,Toimenpiteet!$T95,TP!$W:$W,Toimenpiteet!$X$8,TP!$X:$X,Toimenpiteet!$X$6,TP!$V:$V,Toimenpiteet!$X$7,TP!$AD:$AD,$X$9,TP!$AF:$AF,Toimenpiteet!$Y$6,TP!$Q:$Q,Toimenpiteet!$Y$4,TP!$AG:$AG,Toimenpiteet!$Y$5,TP!$L:$L,Toimenpiteet!$V$2,TP!AL:AL,$AC$4)+W95+AE95</f>
        <v>0</v>
      </c>
      <c r="F95" s="111">
        <f>SUMIFS(TP!$P:$P,TP!$AI:$AI,$W$7,TP!$R:$R,$X$9,TP!$U:$U,Toimenpiteet!$T95,TP!$W:$W,Toimenpiteet!$X$8,TP!$X:$X,Toimenpiteet!$X$6,TP!$V:$V,Toimenpiteet!$Y$7,TP!$AD:$AD,$X$9,TP!$AF:$AF,Toimenpiteet!$Y$6,TP!$Q:$Q,Toimenpiteet!$Y$4,TP!$AG:$AG,Toimenpiteet!$Y$5,TP!$L:$L,Toimenpiteet!$V$2,TP!AL:AL,$AC$4)+X95+AF95</f>
        <v>0</v>
      </c>
      <c r="G95" s="111">
        <f>SUMIFS(TP!$P:$P,TP!$AI:$AI,$W$7,TP!$R:$R,$X$9,TP!$U:$U,Toimenpiteet!$T95,TP!$W:$W,Toimenpiteet!$Y$8,TP!$X:$X,Toimenpiteet!$X$6,TP!$AD:$AD,$X$9,TP!$AF:$AF,Toimenpiteet!$Y$6,TP!$Q:$Q,Toimenpiteet!$Y$4,TP!$AG:$AG,Toimenpiteet!$Y$5,TP!$L:$L,Toimenpiteet!$V$2,TP!AL:AL,$AC$4)+Y95+AG95</f>
        <v>0</v>
      </c>
      <c r="H95" s="113"/>
      <c r="I95" s="114"/>
      <c r="J95" s="115">
        <f>SUMIFS(TP!$P:$P,TP!$AI:$AI,$W$7,TP!$R:$R,$X$9,TP!$U:$U,Toimenpiteet!$T95,TP!$W:$W,Toimenpiteet!$X$8,TP!$X:$X,Toimenpiteet!$X$6,TP!$Z:$Z,1,TP!$AD:$AD,$X$9,TP!$AF:$AF,Toimenpiteet!$Y$6,TP!$Q:$Q,Toimenpiteet!$Y$4,TP!$AG:$AG,Toimenpiteet!$Y$5,TP!$L:$L,Toimenpiteet!$V$2,TP!AL:AL,$AC$4)</f>
        <v>0</v>
      </c>
      <c r="K95" s="111">
        <f>SUMIFS(TP!$P:$P,TP!$AI:$AI,$W$7,TP!$R:$R,$X$9,TP!$U:$U,Toimenpiteet!$T95,TP!$W:$W,Toimenpiteet!$X$8,TP!$X:$X,Toimenpiteet!$X$6,TP!$O:$O,Toimenpiteet!$Z$3,TP!$AD:$AD,$X$9,TP!$AF:$AF,Toimenpiteet!$Y$6,TP!$Q:$Q,Toimenpiteet!$Y$4,TP!$AG:$AG,Toimenpiteet!$Y$5,TP!$L:$L,Toimenpiteet!$V$2,TP!AL:AL,$AC$4)</f>
        <v>0</v>
      </c>
      <c r="L95" s="111">
        <f>SUMIFS(TP!$P:$P,TP!$AI:$AI,$W$7,TP!$R:$R,$X$9,TP!$U:$U,Toimenpiteet!$T95,TP!$W:$W,Toimenpiteet!$X$8,TP!$X:$X,Toimenpiteet!$X$6,TP!$K:$K,Toimenpiteet!$Z$6,TP!$AD:$AD,$X$9,TP!$AF:$AF,Toimenpiteet!$Y$6,TP!$Q:$Q,Toimenpiteet!$Y$4,TP!$AG:$AG,Toimenpiteet!$Y$5,TP!$L:$L,Toimenpiteet!$V$2,TP!AL:AL,$AC$4)</f>
        <v>0</v>
      </c>
      <c r="M95" s="111">
        <f>SUMIFS(TP!$P:$P,TP!$AI:$AI,$W$7,TP!$R:$R,$X$9,TP!$U:$U,Toimenpiteet!$T95,TP!$W:$W,Toimenpiteet!$X$8,TP!$X:$X,Toimenpiteet!$X$6,TP!$K:$K,Toimenpiteet!$Z$7,TP!$AD:$AD,$X$9,TP!$AF:$AF,Toimenpiteet!$Y$6,TP!$Q:$Q,Toimenpiteet!$Y$4,TP!$AG:$AG,Toimenpiteet!$Y$5,TP!$L:$L,Toimenpiteet!$V$2,TP!AL:AL,$AC$4)</f>
        <v>0</v>
      </c>
      <c r="N95" s="111">
        <f>SUMIFS(TP!$P:$P,TP!$AI:$AI,$W$7,TP!$R:$R,$X$9,TP!$U:$U,Toimenpiteet!$T95,TP!$W:$W,Toimenpiteet!$X$8,TP!$X:$X,Toimenpiteet!$X$6,TP!$K:$K,Toimenpiteet!$Z$8,TP!$AD:$AD,$X$9,TP!$AF:$AF,Toimenpiteet!$Y$6,TP!$Q:$Q,Toimenpiteet!$Y$4,TP!$AG:$AG,Toimenpiteet!$Y$5,TP!$L:$L,Toimenpiteet!$V$2,TP!AL:AL,$AC$4)</f>
        <v>0</v>
      </c>
      <c r="O95" s="116">
        <f>SUMIFS(TP!$P:$P,TP!$AI:$AI,$W$7,TP!$R:$R,$X$9,TP!$U:$U,Toimenpiteet!$T95,TP!$W:$W,Toimenpiteet!$X$8,TP!$X:$X,Toimenpiteet!$X$6,TP!$K:$K,Toimenpiteet!$Z$5,TP!$AD:$AD,$X$9,TP!$AF:$AF,Toimenpiteet!$Y$6,TP!$Q:$Q,Toimenpiteet!$Y$4,TP!$AG:$AG,Toimenpiteet!$Y$5,TP!$L:$L,Toimenpiteet!$V$2,TP!AL:AL,$AC$4)</f>
        <v>0</v>
      </c>
      <c r="T95" s="651" t="s">
        <v>309</v>
      </c>
      <c r="V95" s="111">
        <f>SUMIFS(TP!$P:$P,TP!$AI:$AI,$W$7,TP!$R:$R,$X$9,TP!$U:$U,Toimenpiteet!$U95,TP!$W:$W,Toimenpiteet!$X$8,TP!$X:$X,Toimenpiteet!$X$6,TP!$AD:$AD,$X$9,TP!$AF:$AF,Toimenpiteet!$Y$6,TP!$Q:$Q,Toimenpiteet!$Y$4,TP!$AG:$AG,Toimenpiteet!$Y$5,TP!$L:$L,Toimenpiteet!$V$2,TP!AL:AL,$AC$4)</f>
        <v>0</v>
      </c>
      <c r="W95" s="111">
        <f>SUMIFS(TP!$P:$P,TP!$AI:$AI,$W$7,TP!$R:$R,$X$9,TP!$U:$U,Toimenpiteet!$U95,TP!$W:$W,Toimenpiteet!$X$8,TP!$X:$X,Toimenpiteet!$X$6,TP!$V:$V,Toimenpiteet!$X$7,TP!$AD:$AD,$X$9,TP!$AF:$AF,Toimenpiteet!$Y$6,TP!$Q:$Q,Toimenpiteet!$Y$4,TP!$AG:$AG,Toimenpiteet!$Y$5,TP!$L:$L,Toimenpiteet!$V$2,TP!AL:AL,$AC$4)</f>
        <v>0</v>
      </c>
      <c r="X95" s="111">
        <f>SUMIFS(TP!$P:$P,TP!$AI:$AI,$W$7,TP!$R:$R,$X$9,TP!$U:$U,Toimenpiteet!$U95,TP!$W:$W,Toimenpiteet!$X$8,TP!$X:$X,Toimenpiteet!$X$6,TP!$V:$V,Toimenpiteet!$Y$7,TP!$AD:$AD,$X$9,TP!$AF:$AF,Toimenpiteet!$Y$6,TP!$Q:$Q,Toimenpiteet!$Y$4,TP!$AG:$AG,Toimenpiteet!$Y$5,TP!$L:$L,Toimenpiteet!$V$2,TP!AL:AL,$AC$4)</f>
        <v>0</v>
      </c>
      <c r="Y95" s="111">
        <f>SUMIFS(TP!$P:$P,TP!$AI:$AI,$W$7,TP!$R:$R,$X$9,TP!$U:$U,Toimenpiteet!$U95,TP!$W:$W,Toimenpiteet!$Y$8,TP!$X:$X,Toimenpiteet!$X$6,TP!$AD:$AD,$X$9,TP!$AF:$AF,Toimenpiteet!$Y$6,TP!$Q:$Q,Toimenpiteet!$Y$4,TP!$AG:$AG,Toimenpiteet!$Y$5,TP!$L:$L,Toimenpiteet!$V$2,TP!AL:AL,$AC$4)</f>
        <v>0</v>
      </c>
      <c r="AD95" s="111">
        <f>SUMIFS(TP!$P:$P,TP!$AI:$AI,$W$7,TP!$R:$R,$X$9,TP!$U:$U,Toimenpiteet!$AC95,TP!$W:$W,Toimenpiteet!$X$8,TP!$X:$X,Toimenpiteet!$X$6,TP!$AD:$AD,$X$9,TP!$AF:$AF,Toimenpiteet!$Y$6,TP!$Q:$Q,Toimenpiteet!$Y$4,TP!$AG:$AG,Toimenpiteet!$Y$5,TP!$L:$L,Toimenpiteet!$V$2,TP!AL:AL,$AC$4)</f>
        <v>0</v>
      </c>
      <c r="AE95" s="111">
        <f>SUMIFS(TP!$P:$P,TP!$AI:$AI,$W$7,TP!$R:$R,$X$9,TP!$U:$U,Toimenpiteet!$AC95,TP!$W:$W,Toimenpiteet!$X$8,TP!$X:$X,Toimenpiteet!$X$6,TP!$V:$V,Toimenpiteet!$X$7,TP!$AD:$AD,$X$9,TP!$AF:$AF,Toimenpiteet!$Y$6,TP!$Q:$Q,Toimenpiteet!$Y$4,TP!$AG:$AG,Toimenpiteet!$Y$5,TP!$L:$L,Toimenpiteet!$V$2,TP!AL:AL,$AC$4)</f>
        <v>0</v>
      </c>
      <c r="AF95" s="111">
        <f>SUMIFS(TP!$P:$P,TP!$AI:$AI,$W$7,TP!$R:$R,$X$9,TP!$U:$U,Toimenpiteet!$AC95,TP!$W:$W,Toimenpiteet!$X$8,TP!$X:$X,Toimenpiteet!$X$6,TP!$V:$V,Toimenpiteet!$Y$7,TP!$AD:$AD,$X$9,TP!$AF:$AF,Toimenpiteet!$Y$6,TP!$Q:$Q,Toimenpiteet!$Y$4,TP!$AG:$AG,Toimenpiteet!$Y$5,TP!$L:$L,Toimenpiteet!$V$2,TP!AL:AL,$AC$4)</f>
        <v>0</v>
      </c>
      <c r="AG95" s="111">
        <f>SUMIFS(TP!$P:$P,TP!$AI:$AI,$W$7,TP!$R:$R,$X$9,TP!$U:$U,Toimenpiteet!$AC95,TP!$W:$W,Toimenpiteet!$Y$8,TP!$X:$X,Toimenpiteet!$X$6,TP!$AD:$AD,$X$9,TP!$AF:$AF,Toimenpiteet!$Y$6,TP!$Q:$Q,Toimenpiteet!$Y$4,TP!$AG:$AG,Toimenpiteet!$Y$5,TP!$L:$L,Toimenpiteet!$V$2,TP!AL:AL,$AC$4)</f>
        <v>0</v>
      </c>
      <c r="AL95" s="638"/>
      <c r="AM95" s="646" t="s">
        <v>51</v>
      </c>
      <c r="AN95" s="646" t="s">
        <v>51</v>
      </c>
      <c r="AO95" t="s">
        <v>309</v>
      </c>
    </row>
    <row r="96" spans="1:46" x14ac:dyDescent="0.25">
      <c r="A96" s="915"/>
      <c r="B96" s="672" t="s">
        <v>1455</v>
      </c>
      <c r="C96" s="111">
        <f>SUMIFS(TP!$P:$P,TP!$AI:$AI,$W$7,TP!$R:$R,$X$9,TP!$U:$U,Toimenpiteet!$T96,TP!$W:$W,Toimenpiteet!$X$8,TP!$X:$X,Toimenpiteet!$X$6,TP!$AD:$AD,$X$9,TP!$AF:$AF,Toimenpiteet!$Y$6,TP!$Q:$Q,Toimenpiteet!$Y$4,TP!$AG:$AG,Toimenpiteet!$Y$5,TP!$L:$L,Toimenpiteet!$V$2,TP!AL:AL,$AC$4)+V96+AD96</f>
        <v>0</v>
      </c>
      <c r="D96" s="112">
        <f t="shared" si="12"/>
        <v>0</v>
      </c>
      <c r="E96" s="111">
        <f>SUMIFS(TP!$P:$P,TP!$AI:$AI,$W$7,TP!$R:$R,$X$9,TP!$U:$U,Toimenpiteet!$T96,TP!$W:$W,Toimenpiteet!$X$8,TP!$X:$X,Toimenpiteet!$X$6,TP!$V:$V,Toimenpiteet!$X$7,TP!$AD:$AD,$X$9,TP!$AF:$AF,Toimenpiteet!$Y$6,TP!$Q:$Q,Toimenpiteet!$Y$4,TP!$AG:$AG,Toimenpiteet!$Y$5,TP!$L:$L,Toimenpiteet!$V$2,TP!AL:AL,$AC$4)+W96+AE96</f>
        <v>0</v>
      </c>
      <c r="F96" s="111">
        <f>SUMIFS(TP!$P:$P,TP!$AI:$AI,$W$7,TP!$R:$R,$X$9,TP!$U:$U,Toimenpiteet!$T96,TP!$W:$W,Toimenpiteet!$X$8,TP!$X:$X,Toimenpiteet!$X$6,TP!$V:$V,Toimenpiteet!$Y$7,TP!$AD:$AD,$X$9,TP!$AF:$AF,Toimenpiteet!$Y$6,TP!$Q:$Q,Toimenpiteet!$Y$4,TP!$AG:$AG,Toimenpiteet!$Y$5,TP!$L:$L,Toimenpiteet!$V$2,TP!AL:AL,$AC$4)+X96+AF96</f>
        <v>0</v>
      </c>
      <c r="G96" s="111">
        <f>SUMIFS(TP!$P:$P,TP!$AI:$AI,$W$7,TP!$R:$R,$X$9,TP!$U:$U,Toimenpiteet!$T96,TP!$W:$W,Toimenpiteet!$Y$8,TP!$X:$X,Toimenpiteet!$X$6,TP!$AD:$AD,$X$9,TP!$AF:$AF,Toimenpiteet!$Y$6,TP!$Q:$Q,Toimenpiteet!$Y$4,TP!$AG:$AG,Toimenpiteet!$Y$5,TP!$L:$L,Toimenpiteet!$V$2,TP!AL:AL,$AC$4)+Y96+AG96</f>
        <v>0</v>
      </c>
      <c r="H96" s="113"/>
      <c r="I96" s="114"/>
      <c r="J96" s="115">
        <f>SUMIFS(TP!$P:$P,TP!$AI:$AI,$W$7,TP!$R:$R,$X$9,TP!$U:$U,Toimenpiteet!$T96,TP!$W:$W,Toimenpiteet!$X$8,TP!$X:$X,Toimenpiteet!$X$6,TP!$Z:$Z,1,TP!$AD:$AD,$X$9,TP!$AF:$AF,Toimenpiteet!$Y$6,TP!$Q:$Q,Toimenpiteet!$Y$4,TP!$AG:$AG,Toimenpiteet!$Y$5,TP!$L:$L,Toimenpiteet!$V$2,TP!AL:AL,$AC$4)</f>
        <v>0</v>
      </c>
      <c r="K96" s="111">
        <f>SUMIFS(TP!$P:$P,TP!$AI:$AI,$W$7,TP!$R:$R,$X$9,TP!$U:$U,Toimenpiteet!$T96,TP!$W:$W,Toimenpiteet!$X$8,TP!$X:$X,Toimenpiteet!$X$6,TP!$O:$O,Toimenpiteet!$Z$3,TP!$AD:$AD,$X$9,TP!$AF:$AF,Toimenpiteet!$Y$6,TP!$Q:$Q,Toimenpiteet!$Y$4,TP!$AG:$AG,Toimenpiteet!$Y$5,TP!$L:$L,Toimenpiteet!$V$2,TP!AL:AL,$AC$4)</f>
        <v>0</v>
      </c>
      <c r="L96" s="111">
        <f>SUMIFS(TP!$P:$P,TP!$AI:$AI,$W$7,TP!$R:$R,$X$9,TP!$U:$U,Toimenpiteet!$T96,TP!$W:$W,Toimenpiteet!$X$8,TP!$X:$X,Toimenpiteet!$X$6,TP!$K:$K,Toimenpiteet!$Z$6,TP!$AD:$AD,$X$9,TP!$AF:$AF,Toimenpiteet!$Y$6,TP!$Q:$Q,Toimenpiteet!$Y$4,TP!$AG:$AG,Toimenpiteet!$Y$5,TP!$L:$L,Toimenpiteet!$V$2,TP!AL:AL,$AC$4)</f>
        <v>0</v>
      </c>
      <c r="M96" s="111">
        <f>SUMIFS(TP!$P:$P,TP!$AI:$AI,$W$7,TP!$R:$R,$X$9,TP!$U:$U,Toimenpiteet!$T96,TP!$W:$W,Toimenpiteet!$X$8,TP!$X:$X,Toimenpiteet!$X$6,TP!$K:$K,Toimenpiteet!$Z$7,TP!$AD:$AD,$X$9,TP!$AF:$AF,Toimenpiteet!$Y$6,TP!$Q:$Q,Toimenpiteet!$Y$4,TP!$AG:$AG,Toimenpiteet!$Y$5,TP!$L:$L,Toimenpiteet!$V$2,TP!AL:AL,$AC$4)</f>
        <v>0</v>
      </c>
      <c r="N96" s="111">
        <f>SUMIFS(TP!$P:$P,TP!$AI:$AI,$W$7,TP!$R:$R,$X$9,TP!$U:$U,Toimenpiteet!$T96,TP!$W:$W,Toimenpiteet!$X$8,TP!$X:$X,Toimenpiteet!$X$6,TP!$K:$K,Toimenpiteet!$Z$8,TP!$AD:$AD,$X$9,TP!$AF:$AF,Toimenpiteet!$Y$6,TP!$Q:$Q,Toimenpiteet!$Y$4,TP!$AG:$AG,Toimenpiteet!$Y$5,TP!$L:$L,Toimenpiteet!$V$2,TP!AL:AL,$AC$4)</f>
        <v>0</v>
      </c>
      <c r="O96" s="116">
        <f>SUMIFS(TP!$P:$P,TP!$AI:$AI,$W$7,TP!$R:$R,$X$9,TP!$U:$U,Toimenpiteet!$T96,TP!$W:$W,Toimenpiteet!$X$8,TP!$X:$X,Toimenpiteet!$X$6,TP!$K:$K,Toimenpiteet!$Z$5,TP!$AD:$AD,$X$9,TP!$AF:$AF,Toimenpiteet!$Y$6,TP!$Q:$Q,Toimenpiteet!$Y$4,TP!$AG:$AG,Toimenpiteet!$Y$5,TP!$L:$L,Toimenpiteet!$V$2,TP!AL:AL,$AC$4)</f>
        <v>0</v>
      </c>
      <c r="T96" t="s">
        <v>1240</v>
      </c>
      <c r="U96" s="549" t="s">
        <v>310</v>
      </c>
      <c r="V96" s="111">
        <f>SUMIFS(TP!$P:$P,TP!$AI:$AI,$W$7,TP!$R:$R,$X$9,TP!$U:$U,Toimenpiteet!$U96,TP!$W:$W,Toimenpiteet!$X$8,TP!$X:$X,Toimenpiteet!$X$6,TP!$AD:$AD,$X$9,TP!$AF:$AF,Toimenpiteet!$Y$6,TP!$Q:$Q,Toimenpiteet!$Y$4,TP!$AG:$AG,Toimenpiteet!$Y$5,TP!$L:$L,Toimenpiteet!$V$2,TP!AL:AL,$AC$4)</f>
        <v>0</v>
      </c>
      <c r="W96" s="111">
        <f>SUMIFS(TP!$P:$P,TP!$AI:$AI,$W$7,TP!$R:$R,$X$9,TP!$U:$U,Toimenpiteet!$U96,TP!$W:$W,Toimenpiteet!$X$8,TP!$X:$X,Toimenpiteet!$X$6,TP!$V:$V,Toimenpiteet!$X$7,TP!$AD:$AD,$X$9,TP!$AF:$AF,Toimenpiteet!$Y$6,TP!$Q:$Q,Toimenpiteet!$Y$4,TP!$AG:$AG,Toimenpiteet!$Y$5,TP!$L:$L,Toimenpiteet!$V$2,TP!AL:AL,$AC$4)</f>
        <v>0</v>
      </c>
      <c r="X96" s="111">
        <f>SUMIFS(TP!$P:$P,TP!$AI:$AI,$W$7,TP!$R:$R,$X$9,TP!$U:$U,Toimenpiteet!$U96,TP!$W:$W,Toimenpiteet!$X$8,TP!$X:$X,Toimenpiteet!$X$6,TP!$V:$V,Toimenpiteet!$Y$7,TP!$AD:$AD,$X$9,TP!$AF:$AF,Toimenpiteet!$Y$6,TP!$Q:$Q,Toimenpiteet!$Y$4,TP!$AG:$AG,Toimenpiteet!$Y$5,TP!$L:$L,Toimenpiteet!$V$2,TP!AL:AL,$AC$4)</f>
        <v>0</v>
      </c>
      <c r="Y96" s="111">
        <f>SUMIFS(TP!$P:$P,TP!$AI:$AI,$W$7,TP!$R:$R,$X$9,TP!$U:$U,Toimenpiteet!$U96,TP!$W:$W,Toimenpiteet!$Y$8,TP!$X:$X,Toimenpiteet!$X$6,TP!$AD:$AD,$X$9,TP!$AF:$AF,Toimenpiteet!$Y$6,TP!$Q:$Q,Toimenpiteet!$Y$4,TP!$AG:$AG,Toimenpiteet!$Y$5,TP!$L:$L,Toimenpiteet!$V$2,TP!AL:AL,$AC$4)</f>
        <v>0</v>
      </c>
      <c r="AC96" s="549" t="s">
        <v>297</v>
      </c>
      <c r="AD96" s="111">
        <f>SUMIFS(TP!$P:$P,TP!$AI:$AI,$W$7,TP!$R:$R,$X$9,TP!$U:$U,Toimenpiteet!$AC96,TP!$W:$W,Toimenpiteet!$X$8,TP!$X:$X,Toimenpiteet!$X$6,TP!$AD:$AD,$X$9,TP!$AF:$AF,Toimenpiteet!$Y$6,TP!$Q:$Q,Toimenpiteet!$Y$4,TP!$AG:$AG,Toimenpiteet!$Y$5,TP!$L:$L,Toimenpiteet!$V$2,TP!AL:AL,$AC$4)</f>
        <v>0</v>
      </c>
      <c r="AE96" s="111">
        <f>SUMIFS(TP!$P:$P,TP!$AI:$AI,$W$7,TP!$R:$R,$X$9,TP!$U:$U,Toimenpiteet!$AC96,TP!$W:$W,Toimenpiteet!$X$8,TP!$X:$X,Toimenpiteet!$X$6,TP!$V:$V,Toimenpiteet!$X$7,TP!$AD:$AD,$X$9,TP!$AF:$AF,Toimenpiteet!$Y$6,TP!$Q:$Q,Toimenpiteet!$Y$4,TP!$AG:$AG,Toimenpiteet!$Y$5,TP!$L:$L,Toimenpiteet!$V$2,TP!AL:AL,$AC$4)</f>
        <v>0</v>
      </c>
      <c r="AF96" s="111">
        <f>SUMIFS(TP!$P:$P,TP!$AI:$AI,$W$7,TP!$R:$R,$X$9,TP!$U:$U,Toimenpiteet!$AC96,TP!$W:$W,Toimenpiteet!$X$8,TP!$X:$X,Toimenpiteet!$X$6,TP!$V:$V,Toimenpiteet!$Y$7,TP!$AD:$AD,$X$9,TP!$AF:$AF,Toimenpiteet!$Y$6,TP!$Q:$Q,Toimenpiteet!$Y$4,TP!$AG:$AG,Toimenpiteet!$Y$5,TP!$L:$L,Toimenpiteet!$V$2,TP!AL:AL,$AC$4)</f>
        <v>0</v>
      </c>
      <c r="AG96" s="111">
        <f>SUMIFS(TP!$P:$P,TP!$AI:$AI,$W$7,TP!$R:$R,$X$9,TP!$U:$U,Toimenpiteet!$AC96,TP!$W:$W,Toimenpiteet!$Y$8,TP!$X:$X,Toimenpiteet!$X$6,TP!$AD:$AD,$X$9,TP!$AF:$AF,Toimenpiteet!$Y$6,TP!$Q:$Q,Toimenpiteet!$Y$4,TP!$AG:$AG,Toimenpiteet!$Y$5,TP!$L:$L,Toimenpiteet!$V$2,TP!AL:AL,$AC$4)</f>
        <v>0</v>
      </c>
      <c r="AL96" s="643" t="s">
        <v>1397</v>
      </c>
      <c r="AM96" s="645" t="s">
        <v>1428</v>
      </c>
      <c r="AN96" s="645" t="s">
        <v>962</v>
      </c>
      <c r="AO96" t="s">
        <v>1240</v>
      </c>
      <c r="AP96" s="642" t="s">
        <v>1429</v>
      </c>
      <c r="AQ96" s="649" t="s">
        <v>963</v>
      </c>
      <c r="AR96" s="649" t="s">
        <v>963</v>
      </c>
      <c r="AS96" t="s">
        <v>297</v>
      </c>
    </row>
    <row r="97" spans="1:41" x14ac:dyDescent="0.25">
      <c r="A97" s="915"/>
      <c r="B97" s="672" t="s">
        <v>1150</v>
      </c>
      <c r="C97" s="111">
        <f>SUMIFS(TP!$P:$P,TP!$AI:$AI,$W$7,TP!$R:$R,$X$9,TP!$U:$U,Toimenpiteet!$T97,TP!$W:$W,Toimenpiteet!$X$8,TP!$X:$X,Toimenpiteet!$X$6,TP!$AD:$AD,$X$9,TP!$AF:$AF,Toimenpiteet!$Y$6,TP!$Q:$Q,Toimenpiteet!$Y$4,TP!$AG:$AG,Toimenpiteet!$Y$5,TP!$L:$L,Toimenpiteet!$V$2,TP!AL:AL,$AC$4)+V97+AD97</f>
        <v>0</v>
      </c>
      <c r="D97" s="112">
        <f t="shared" si="12"/>
        <v>0</v>
      </c>
      <c r="E97" s="111">
        <f>SUMIFS(TP!$P:$P,TP!$AI:$AI,$W$7,TP!$R:$R,$X$9,TP!$U:$U,Toimenpiteet!$T97,TP!$W:$W,Toimenpiteet!$X$8,TP!$X:$X,Toimenpiteet!$X$6,TP!$V:$V,Toimenpiteet!$X$7,TP!$AD:$AD,$X$9,TP!$AF:$AF,Toimenpiteet!$Y$6,TP!$Q:$Q,Toimenpiteet!$Y$4,TP!$AG:$AG,Toimenpiteet!$Y$5,TP!$L:$L,Toimenpiteet!$V$2,TP!AL:AL,$AC$4)+W97+AE97</f>
        <v>0</v>
      </c>
      <c r="F97" s="111">
        <f>SUMIFS(TP!$P:$P,TP!$AI:$AI,$W$7,TP!$R:$R,$X$9,TP!$U:$U,Toimenpiteet!$T97,TP!$W:$W,Toimenpiteet!$X$8,TP!$X:$X,Toimenpiteet!$X$6,TP!$V:$V,Toimenpiteet!$Y$7,TP!$AD:$AD,$X$9,TP!$AF:$AF,Toimenpiteet!$Y$6,TP!$Q:$Q,Toimenpiteet!$Y$4,TP!$AG:$AG,Toimenpiteet!$Y$5,TP!$L:$L,Toimenpiteet!$V$2,TP!AL:AL,$AC$4)+X97+AF97</f>
        <v>0</v>
      </c>
      <c r="G97" s="111">
        <f>SUMIFS(TP!$P:$P,TP!$AI:$AI,$W$7,TP!$R:$R,$X$9,TP!$U:$U,Toimenpiteet!$T97,TP!$W:$W,Toimenpiteet!$Y$8,TP!$X:$X,Toimenpiteet!$X$6,TP!$AD:$AD,$X$9,TP!$AF:$AF,Toimenpiteet!$Y$6,TP!$Q:$Q,Toimenpiteet!$Y$4,TP!$AG:$AG,Toimenpiteet!$Y$5,TP!$L:$L,Toimenpiteet!$V$2,TP!AL:AL,$AC$4)+Y97+AG97</f>
        <v>0</v>
      </c>
      <c r="H97" s="113"/>
      <c r="I97" s="114"/>
      <c r="J97" s="115">
        <f>SUMIFS(TP!$P:$P,TP!$AI:$AI,$W$7,TP!$R:$R,$X$9,TP!$U:$U,Toimenpiteet!$T97,TP!$W:$W,Toimenpiteet!$X$8,TP!$X:$X,Toimenpiteet!$X$6,TP!$Z:$Z,1,TP!$AD:$AD,$X$9,TP!$AF:$AF,Toimenpiteet!$Y$6,TP!$Q:$Q,Toimenpiteet!$Y$4,TP!$AG:$AG,Toimenpiteet!$Y$5,TP!$L:$L,Toimenpiteet!$V$2,TP!AL:AL,$AC$4)</f>
        <v>0</v>
      </c>
      <c r="K97" s="111">
        <f>SUMIFS(TP!$P:$P,TP!$AI:$AI,$W$7,TP!$R:$R,$X$9,TP!$U:$U,Toimenpiteet!$T97,TP!$W:$W,Toimenpiteet!$X$8,TP!$X:$X,Toimenpiteet!$X$6,TP!$O:$O,Toimenpiteet!$Z$3,TP!$AD:$AD,$X$9,TP!$AF:$AF,Toimenpiteet!$Y$6,TP!$Q:$Q,Toimenpiteet!$Y$4,TP!$AG:$AG,Toimenpiteet!$Y$5,TP!$L:$L,Toimenpiteet!$V$2,TP!AL:AL,$AC$4)</f>
        <v>0</v>
      </c>
      <c r="L97" s="111">
        <f>SUMIFS(TP!$P:$P,TP!$AI:$AI,$W$7,TP!$R:$R,$X$9,TP!$U:$U,Toimenpiteet!$T97,TP!$W:$W,Toimenpiteet!$X$8,TP!$X:$X,Toimenpiteet!$X$6,TP!$K:$K,Toimenpiteet!$Z$6,TP!$AD:$AD,$X$9,TP!$AF:$AF,Toimenpiteet!$Y$6,TP!$Q:$Q,Toimenpiteet!$Y$4,TP!$AG:$AG,Toimenpiteet!$Y$5,TP!$L:$L,Toimenpiteet!$V$2,TP!AL:AL,$AC$4)</f>
        <v>0</v>
      </c>
      <c r="M97" s="111">
        <f>SUMIFS(TP!$P:$P,TP!$AI:$AI,$W$7,TP!$R:$R,$X$9,TP!$U:$U,Toimenpiteet!$T97,TP!$W:$W,Toimenpiteet!$X$8,TP!$X:$X,Toimenpiteet!$X$6,TP!$K:$K,Toimenpiteet!$Z$7,TP!$AD:$AD,$X$9,TP!$AF:$AF,Toimenpiteet!$Y$6,TP!$Q:$Q,Toimenpiteet!$Y$4,TP!$AG:$AG,Toimenpiteet!$Y$5,TP!$L:$L,Toimenpiteet!$V$2,TP!AL:AL,$AC$4)</f>
        <v>0</v>
      </c>
      <c r="N97" s="111">
        <f>SUMIFS(TP!$P:$P,TP!$AI:$AI,$W$7,TP!$R:$R,$X$9,TP!$U:$U,Toimenpiteet!$T97,TP!$W:$W,Toimenpiteet!$X$8,TP!$X:$X,Toimenpiteet!$X$6,TP!$K:$K,Toimenpiteet!$Z$8,TP!$AD:$AD,$X$9,TP!$AF:$AF,Toimenpiteet!$Y$6,TP!$Q:$Q,Toimenpiteet!$Y$4,TP!$AG:$AG,Toimenpiteet!$Y$5,TP!$L:$L,Toimenpiteet!$V$2,TP!AL:AL,$AC$4)</f>
        <v>0</v>
      </c>
      <c r="O97" s="116">
        <f>SUMIFS(TP!$P:$P,TP!$AI:$AI,$W$7,TP!$R:$R,$X$9,TP!$U:$U,Toimenpiteet!$T97,TP!$W:$W,Toimenpiteet!$X$8,TP!$X:$X,Toimenpiteet!$X$6,TP!$K:$K,Toimenpiteet!$Z$5,TP!$AD:$AD,$X$9,TP!$AF:$AF,Toimenpiteet!$Y$6,TP!$Q:$Q,Toimenpiteet!$Y$4,TP!$AG:$AG,Toimenpiteet!$Y$5,TP!$L:$L,Toimenpiteet!$V$2,TP!AL:AL,$AC$4)</f>
        <v>0</v>
      </c>
      <c r="T97" s="651" t="s">
        <v>307</v>
      </c>
      <c r="V97" s="111">
        <f>SUMIFS(TP!$P:$P,TP!$AI:$AI,$W$7,TP!$R:$R,$X$9,TP!$U:$U,Toimenpiteet!$U97,TP!$W:$W,Toimenpiteet!$X$8,TP!$X:$X,Toimenpiteet!$X$6,TP!$AD:$AD,$X$9,TP!$AF:$AF,Toimenpiteet!$Y$6,TP!$Q:$Q,Toimenpiteet!$Y$4,TP!$AG:$AG,Toimenpiteet!$Y$5,TP!$L:$L,Toimenpiteet!$V$2,TP!AL:AL,$AC$4)</f>
        <v>0</v>
      </c>
      <c r="W97" s="111">
        <f>SUMIFS(TP!$P:$P,TP!$AI:$AI,$W$7,TP!$R:$R,$X$9,TP!$U:$U,Toimenpiteet!$U97,TP!$W:$W,Toimenpiteet!$X$8,TP!$X:$X,Toimenpiteet!$X$6,TP!$V:$V,Toimenpiteet!$X$7,TP!$AD:$AD,$X$9,TP!$AF:$AF,Toimenpiteet!$Y$6,TP!$Q:$Q,Toimenpiteet!$Y$4,TP!$AG:$AG,Toimenpiteet!$Y$5,TP!$L:$L,Toimenpiteet!$V$2,TP!AL:AL,$AC$4)</f>
        <v>0</v>
      </c>
      <c r="X97" s="111">
        <f>SUMIFS(TP!$P:$P,TP!$AI:$AI,$W$7,TP!$R:$R,$X$9,TP!$U:$U,Toimenpiteet!$U97,TP!$W:$W,Toimenpiteet!$X$8,TP!$X:$X,Toimenpiteet!$X$6,TP!$V:$V,Toimenpiteet!$Y$7,TP!$AD:$AD,$X$9,TP!$AF:$AF,Toimenpiteet!$Y$6,TP!$Q:$Q,Toimenpiteet!$Y$4,TP!$AG:$AG,Toimenpiteet!$Y$5,TP!$L:$L,Toimenpiteet!$V$2,TP!AL:AL,$AC$4)</f>
        <v>0</v>
      </c>
      <c r="Y97" s="111">
        <f>SUMIFS(TP!$P:$P,TP!$AI:$AI,$W$7,TP!$R:$R,$X$9,TP!$U:$U,Toimenpiteet!$U97,TP!$W:$W,Toimenpiteet!$Y$8,TP!$X:$X,Toimenpiteet!$X$6,TP!$AD:$AD,$X$9,TP!$AF:$AF,Toimenpiteet!$Y$6,TP!$Q:$Q,Toimenpiteet!$Y$4,TP!$AG:$AG,Toimenpiteet!$Y$5,TP!$L:$L,Toimenpiteet!$V$2,TP!AL:AL,$AC$4)</f>
        <v>0</v>
      </c>
      <c r="AD97" s="111">
        <f>SUMIFS(TP!$P:$P,TP!$AI:$AI,$W$7,TP!$R:$R,$X$9,TP!$U:$U,Toimenpiteet!$AC97,TP!$W:$W,Toimenpiteet!$X$8,TP!$X:$X,Toimenpiteet!$X$6,TP!$AD:$AD,$X$9,TP!$AF:$AF,Toimenpiteet!$Y$6,TP!$Q:$Q,Toimenpiteet!$Y$4,TP!$AG:$AG,Toimenpiteet!$Y$5,TP!$L:$L,Toimenpiteet!$V$2,TP!AL:AL,$AC$4)</f>
        <v>0</v>
      </c>
      <c r="AE97" s="111">
        <f>SUMIFS(TP!$P:$P,TP!$AI:$AI,$W$7,TP!$R:$R,$X$9,TP!$U:$U,Toimenpiteet!$AC97,TP!$W:$W,Toimenpiteet!$X$8,TP!$X:$X,Toimenpiteet!$X$6,TP!$V:$V,Toimenpiteet!$X$7,TP!$AD:$AD,$X$9,TP!$AF:$AF,Toimenpiteet!$Y$6,TP!$Q:$Q,Toimenpiteet!$Y$4,TP!$AG:$AG,Toimenpiteet!$Y$5,TP!$L:$L,Toimenpiteet!$V$2,TP!AL:AL,$AC$4)</f>
        <v>0</v>
      </c>
      <c r="AF97" s="111">
        <f>SUMIFS(TP!$P:$P,TP!$AI:$AI,$W$7,TP!$R:$R,$X$9,TP!$U:$U,Toimenpiteet!$AC97,TP!$W:$W,Toimenpiteet!$X$8,TP!$X:$X,Toimenpiteet!$X$6,TP!$V:$V,Toimenpiteet!$Y$7,TP!$AD:$AD,$X$9,TP!$AF:$AF,Toimenpiteet!$Y$6,TP!$Q:$Q,Toimenpiteet!$Y$4,TP!$AG:$AG,Toimenpiteet!$Y$5,TP!$L:$L,Toimenpiteet!$V$2,TP!AL:AL,$AC$4)</f>
        <v>0</v>
      </c>
      <c r="AG97" s="111">
        <f>SUMIFS(TP!$P:$P,TP!$AI:$AI,$W$7,TP!$R:$R,$X$9,TP!$U:$U,Toimenpiteet!$AC97,TP!$W:$W,Toimenpiteet!$Y$8,TP!$X:$X,Toimenpiteet!$X$6,TP!$AD:$AD,$X$9,TP!$AF:$AF,Toimenpiteet!$Y$6,TP!$Q:$Q,Toimenpiteet!$Y$4,TP!$AG:$AG,Toimenpiteet!$Y$5,TP!$L:$L,Toimenpiteet!$V$2,TP!AL:AL,$AC$4)</f>
        <v>0</v>
      </c>
      <c r="AL97" s="638"/>
      <c r="AM97" s="646" t="s">
        <v>52</v>
      </c>
      <c r="AN97" s="646" t="s">
        <v>52</v>
      </c>
      <c r="AO97" t="s">
        <v>307</v>
      </c>
    </row>
    <row r="98" spans="1:41" x14ac:dyDescent="0.25">
      <c r="A98" s="915"/>
      <c r="B98" s="672" t="s">
        <v>1151</v>
      </c>
      <c r="C98" s="111">
        <f>SUMIFS(TP!$P:$P,TP!$AI:$AI,$W$7,TP!$R:$R,$X$9,TP!$U:$U,Toimenpiteet!$T98,TP!$W:$W,Toimenpiteet!$X$8,TP!$X:$X,Toimenpiteet!$X$6,TP!$AD:$AD,$X$9,TP!$AF:$AF,Toimenpiteet!$Y$6,TP!$Q:$Q,Toimenpiteet!$Y$4,TP!$AG:$AG,Toimenpiteet!$Y$5,TP!$L:$L,Toimenpiteet!$V$2,TP!AL:AL,$AC$4)+V98+AD98</f>
        <v>0</v>
      </c>
      <c r="D98" s="112">
        <f t="shared" si="12"/>
        <v>0</v>
      </c>
      <c r="E98" s="111">
        <f>SUMIFS(TP!$P:$P,TP!$AI:$AI,$W$7,TP!$R:$R,$X$9,TP!$U:$U,Toimenpiteet!$T98,TP!$W:$W,Toimenpiteet!$X$8,TP!$X:$X,Toimenpiteet!$X$6,TP!$V:$V,Toimenpiteet!$X$7,TP!$AD:$AD,$X$9,TP!$AF:$AF,Toimenpiteet!$Y$6,TP!$Q:$Q,Toimenpiteet!$Y$4,TP!$AG:$AG,Toimenpiteet!$Y$5,TP!$L:$L,Toimenpiteet!$V$2,TP!AL:AL,$AC$4)+W98+AE98</f>
        <v>0</v>
      </c>
      <c r="F98" s="111">
        <f>SUMIFS(TP!$P:$P,TP!$AI:$AI,$W$7,TP!$R:$R,$X$9,TP!$U:$U,Toimenpiteet!$T98,TP!$W:$W,Toimenpiteet!$X$8,TP!$X:$X,Toimenpiteet!$X$6,TP!$V:$V,Toimenpiteet!$Y$7,TP!$AD:$AD,$X$9,TP!$AF:$AF,Toimenpiteet!$Y$6,TP!$Q:$Q,Toimenpiteet!$Y$4,TP!$AG:$AG,Toimenpiteet!$Y$5,TP!$L:$L,Toimenpiteet!$V$2,TP!AL:AL,$AC$4)+X98+AF98</f>
        <v>0</v>
      </c>
      <c r="G98" s="111">
        <f>SUMIFS(TP!$P:$P,TP!$AI:$AI,$W$7,TP!$R:$R,$X$9,TP!$U:$U,Toimenpiteet!$T98,TP!$W:$W,Toimenpiteet!$Y$8,TP!$X:$X,Toimenpiteet!$X$6,TP!$AD:$AD,$X$9,TP!$AF:$AF,Toimenpiteet!$Y$6,TP!$Q:$Q,Toimenpiteet!$Y$4,TP!$AG:$AG,Toimenpiteet!$Y$5,TP!$L:$L,Toimenpiteet!$V$2,TP!AL:AL,$AC$4)+Y98+AG98</f>
        <v>0</v>
      </c>
      <c r="H98" s="113"/>
      <c r="I98" s="114"/>
      <c r="J98" s="115">
        <f>SUMIFS(TP!$P:$P,TP!$AI:$AI,$W$7,TP!$R:$R,$X$9,TP!$U:$U,Toimenpiteet!$T98,TP!$W:$W,Toimenpiteet!$X$8,TP!$X:$X,Toimenpiteet!$X$6,TP!$Z:$Z,1,TP!$AD:$AD,$X$9,TP!$AF:$AF,Toimenpiteet!$Y$6,TP!$Q:$Q,Toimenpiteet!$Y$4,TP!$AG:$AG,Toimenpiteet!$Y$5,TP!$L:$L,Toimenpiteet!$V$2,TP!AL:AL,$AC$4)</f>
        <v>0</v>
      </c>
      <c r="K98" s="111">
        <f>SUMIFS(TP!$P:$P,TP!$AI:$AI,$W$7,TP!$R:$R,$X$9,TP!$U:$U,Toimenpiteet!$T98,TP!$W:$W,Toimenpiteet!$X$8,TP!$X:$X,Toimenpiteet!$X$6,TP!$O:$O,Toimenpiteet!$Z$3,TP!$AD:$AD,$X$9,TP!$AF:$AF,Toimenpiteet!$Y$6,TP!$Q:$Q,Toimenpiteet!$Y$4,TP!$AG:$AG,Toimenpiteet!$Y$5,TP!$L:$L,Toimenpiteet!$V$2,TP!AL:AL,$AC$4)</f>
        <v>0</v>
      </c>
      <c r="L98" s="111">
        <f>SUMIFS(TP!$P:$P,TP!$AI:$AI,$W$7,TP!$R:$R,$X$9,TP!$U:$U,Toimenpiteet!$T98,TP!$W:$W,Toimenpiteet!$X$8,TP!$X:$X,Toimenpiteet!$X$6,TP!$K:$K,Toimenpiteet!$Z$6,TP!$AD:$AD,$X$9,TP!$AF:$AF,Toimenpiteet!$Y$6,TP!$Q:$Q,Toimenpiteet!$Y$4,TP!$AG:$AG,Toimenpiteet!$Y$5,TP!$L:$L,Toimenpiteet!$V$2,TP!AL:AL,$AC$4)</f>
        <v>0</v>
      </c>
      <c r="M98" s="111">
        <f>SUMIFS(TP!$P:$P,TP!$AI:$AI,$W$7,TP!$R:$R,$X$9,TP!$U:$U,Toimenpiteet!$T98,TP!$W:$W,Toimenpiteet!$X$8,TP!$X:$X,Toimenpiteet!$X$6,TP!$K:$K,Toimenpiteet!$Z$7,TP!$AD:$AD,$X$9,TP!$AF:$AF,Toimenpiteet!$Y$6,TP!$Q:$Q,Toimenpiteet!$Y$4,TP!$AG:$AG,Toimenpiteet!$Y$5,TP!$L:$L,Toimenpiteet!$V$2,TP!AL:AL,$AC$4)</f>
        <v>0</v>
      </c>
      <c r="N98" s="111">
        <f>SUMIFS(TP!$P:$P,TP!$AI:$AI,$W$7,TP!$R:$R,$X$9,TP!$U:$U,Toimenpiteet!$T98,TP!$W:$W,Toimenpiteet!$X$8,TP!$X:$X,Toimenpiteet!$X$6,TP!$K:$K,Toimenpiteet!$Z$8,TP!$AD:$AD,$X$9,TP!$AF:$AF,Toimenpiteet!$Y$6,TP!$Q:$Q,Toimenpiteet!$Y$4,TP!$AG:$AG,Toimenpiteet!$Y$5,TP!$L:$L,Toimenpiteet!$V$2,TP!AL:AL,$AC$4)</f>
        <v>0</v>
      </c>
      <c r="O98" s="116">
        <f>SUMIFS(TP!$P:$P,TP!$AI:$AI,$W$7,TP!$R:$R,$X$9,TP!$U:$U,Toimenpiteet!$T98,TP!$W:$W,Toimenpiteet!$X$8,TP!$X:$X,Toimenpiteet!$X$6,TP!$K:$K,Toimenpiteet!$Z$5,TP!$AD:$AD,$X$9,TP!$AF:$AF,Toimenpiteet!$Y$6,TP!$Q:$Q,Toimenpiteet!$Y$4,TP!$AG:$AG,Toimenpiteet!$Y$5,TP!$L:$L,Toimenpiteet!$V$2,TP!AL:AL,$AC$4)</f>
        <v>0</v>
      </c>
      <c r="T98" s="651" t="s">
        <v>287</v>
      </c>
      <c r="V98" s="111">
        <f>SUMIFS(TP!$P:$P,TP!$AI:$AI,$W$7,TP!$R:$R,$X$9,TP!$U:$U,Toimenpiteet!$U98,TP!$W:$W,Toimenpiteet!$X$8,TP!$X:$X,Toimenpiteet!$X$6,TP!$AD:$AD,$X$9,TP!$AF:$AF,Toimenpiteet!$Y$6,TP!$Q:$Q,Toimenpiteet!$Y$4,TP!$AG:$AG,Toimenpiteet!$Y$5,TP!$L:$L,Toimenpiteet!$V$2,TP!AL:AL,$AC$4)</f>
        <v>0</v>
      </c>
      <c r="W98" s="111">
        <f>SUMIFS(TP!$P:$P,TP!$AI:$AI,$W$7,TP!$R:$R,$X$9,TP!$U:$U,Toimenpiteet!$U98,TP!$W:$W,Toimenpiteet!$X$8,TP!$X:$X,Toimenpiteet!$X$6,TP!$V:$V,Toimenpiteet!$X$7,TP!$AD:$AD,$X$9,TP!$AF:$AF,Toimenpiteet!$Y$6,TP!$Q:$Q,Toimenpiteet!$Y$4,TP!$AG:$AG,Toimenpiteet!$Y$5,TP!$L:$L,Toimenpiteet!$V$2,TP!AL:AL,$AC$4)</f>
        <v>0</v>
      </c>
      <c r="X98" s="111">
        <f>SUMIFS(TP!$P:$P,TP!$AI:$AI,$W$7,TP!$R:$R,$X$9,TP!$U:$U,Toimenpiteet!$U98,TP!$W:$W,Toimenpiteet!$X$8,TP!$X:$X,Toimenpiteet!$X$6,TP!$V:$V,Toimenpiteet!$Y$7,TP!$AD:$AD,$X$9,TP!$AF:$AF,Toimenpiteet!$Y$6,TP!$Q:$Q,Toimenpiteet!$Y$4,TP!$AG:$AG,Toimenpiteet!$Y$5,TP!$L:$L,Toimenpiteet!$V$2,TP!AL:AL,$AC$4)</f>
        <v>0</v>
      </c>
      <c r="Y98" s="111">
        <f>SUMIFS(TP!$P:$P,TP!$AI:$AI,$W$7,TP!$R:$R,$X$9,TP!$U:$U,Toimenpiteet!$U98,TP!$W:$W,Toimenpiteet!$Y$8,TP!$X:$X,Toimenpiteet!$X$6,TP!$AD:$AD,$X$9,TP!$AF:$AF,Toimenpiteet!$Y$6,TP!$Q:$Q,Toimenpiteet!$Y$4,TP!$AG:$AG,Toimenpiteet!$Y$5,TP!$L:$L,Toimenpiteet!$V$2,TP!AL:AL,$AC$4)</f>
        <v>0</v>
      </c>
      <c r="AD98" s="111">
        <f>SUMIFS(TP!$P:$P,TP!$AI:$AI,$W$7,TP!$R:$R,$X$9,TP!$U:$U,Toimenpiteet!$AC98,TP!$W:$W,Toimenpiteet!$X$8,TP!$X:$X,Toimenpiteet!$X$6,TP!$AD:$AD,$X$9,TP!$AF:$AF,Toimenpiteet!$Y$6,TP!$Q:$Q,Toimenpiteet!$Y$4,TP!$AG:$AG,Toimenpiteet!$Y$5,TP!$L:$L,Toimenpiteet!$V$2,TP!AL:AL,$AC$4)</f>
        <v>0</v>
      </c>
      <c r="AE98" s="111">
        <f>SUMIFS(TP!$P:$P,TP!$AI:$AI,$W$7,TP!$R:$R,$X$9,TP!$U:$U,Toimenpiteet!$AC98,TP!$W:$W,Toimenpiteet!$X$8,TP!$X:$X,Toimenpiteet!$X$6,TP!$V:$V,Toimenpiteet!$X$7,TP!$AD:$AD,$X$9,TP!$AF:$AF,Toimenpiteet!$Y$6,TP!$Q:$Q,Toimenpiteet!$Y$4,TP!$AG:$AG,Toimenpiteet!$Y$5,TP!$L:$L,Toimenpiteet!$V$2,TP!AL:AL,$AC$4)</f>
        <v>0</v>
      </c>
      <c r="AF98" s="111">
        <f>SUMIFS(TP!$P:$P,TP!$AI:$AI,$W$7,TP!$R:$R,$X$9,TP!$U:$U,Toimenpiteet!$AC98,TP!$W:$W,Toimenpiteet!$X$8,TP!$X:$X,Toimenpiteet!$X$6,TP!$V:$V,Toimenpiteet!$Y$7,TP!$AD:$AD,$X$9,TP!$AF:$AF,Toimenpiteet!$Y$6,TP!$Q:$Q,Toimenpiteet!$Y$4,TP!$AG:$AG,Toimenpiteet!$Y$5,TP!$L:$L,Toimenpiteet!$V$2,TP!AL:AL,$AC$4)</f>
        <v>0</v>
      </c>
      <c r="AG98" s="111">
        <f>SUMIFS(TP!$P:$P,TP!$AI:$AI,$W$7,TP!$R:$R,$X$9,TP!$U:$U,Toimenpiteet!$AC98,TP!$W:$W,Toimenpiteet!$Y$8,TP!$X:$X,Toimenpiteet!$X$6,TP!$AD:$AD,$X$9,TP!$AF:$AF,Toimenpiteet!$Y$6,TP!$Q:$Q,Toimenpiteet!$Y$4,TP!$AG:$AG,Toimenpiteet!$Y$5,TP!$L:$L,Toimenpiteet!$V$2,TP!AL:AL,$AC$4)</f>
        <v>0</v>
      </c>
      <c r="AL98" s="638"/>
      <c r="AM98" s="646" t="s">
        <v>54</v>
      </c>
      <c r="AN98" s="646" t="s">
        <v>54</v>
      </c>
      <c r="AO98" t="s">
        <v>287</v>
      </c>
    </row>
    <row r="99" spans="1:41" x14ac:dyDescent="0.25">
      <c r="A99" s="915"/>
      <c r="B99" s="672" t="s">
        <v>1456</v>
      </c>
      <c r="C99" s="111">
        <f>SUMIFS(TP!$P:$P,TP!$AI:$AI,$W$7,TP!$R:$R,$X$9,TP!$U:$U,Toimenpiteet!$T99,TP!$W:$W,Toimenpiteet!$X$8,TP!$X:$X,Toimenpiteet!$X$6,TP!$AD:$AD,$X$9,TP!$AF:$AF,Toimenpiteet!$Y$6,TP!$Q:$Q,Toimenpiteet!$Y$4,TP!$AG:$AG,Toimenpiteet!$Y$5,TP!$L:$L,Toimenpiteet!$V$2,TP!AL:AL,$AC$4)+V99+AD99</f>
        <v>0</v>
      </c>
      <c r="D99" s="112">
        <f t="shared" si="12"/>
        <v>0</v>
      </c>
      <c r="E99" s="111">
        <f>SUMIFS(TP!$P:$P,TP!$AI:$AI,$W$7,TP!$R:$R,$X$9,TP!$U:$U,Toimenpiteet!$T99,TP!$W:$W,Toimenpiteet!$X$8,TP!$X:$X,Toimenpiteet!$X$6,TP!$V:$V,Toimenpiteet!$X$7,TP!$AD:$AD,$X$9,TP!$AF:$AF,Toimenpiteet!$Y$6,TP!$Q:$Q,Toimenpiteet!$Y$4,TP!$AG:$AG,Toimenpiteet!$Y$5,TP!$L:$L,Toimenpiteet!$V$2,TP!AL:AL,$AC$4)+W99+AE99</f>
        <v>0</v>
      </c>
      <c r="F99" s="111">
        <f>SUMIFS(TP!$P:$P,TP!$AI:$AI,$W$7,TP!$R:$R,$X$9,TP!$U:$U,Toimenpiteet!$T99,TP!$W:$W,Toimenpiteet!$X$8,TP!$X:$X,Toimenpiteet!$X$6,TP!$V:$V,Toimenpiteet!$Y$7,TP!$AD:$AD,$X$9,TP!$AF:$AF,Toimenpiteet!$Y$6,TP!$Q:$Q,Toimenpiteet!$Y$4,TP!$AG:$AG,Toimenpiteet!$Y$5,TP!$L:$L,Toimenpiteet!$V$2,TP!AL:AL,$AC$4)+X99+AF99</f>
        <v>0</v>
      </c>
      <c r="G99" s="111">
        <f>SUMIFS(TP!$P:$P,TP!$AI:$AI,$W$7,TP!$R:$R,$X$9,TP!$U:$U,Toimenpiteet!$T99,TP!$W:$W,Toimenpiteet!$Y$8,TP!$X:$X,Toimenpiteet!$X$6,TP!$AD:$AD,$X$9,TP!$AF:$AF,Toimenpiteet!$Y$6,TP!$Q:$Q,Toimenpiteet!$Y$4,TP!$AG:$AG,Toimenpiteet!$Y$5,TP!$L:$L,Toimenpiteet!$V$2,TP!AL:AL,$AC$4)+Y99+AG99</f>
        <v>0</v>
      </c>
      <c r="H99" s="113"/>
      <c r="I99" s="114"/>
      <c r="J99" s="115">
        <f>SUMIFS(TP!$P:$P,TP!$AI:$AI,$W$7,TP!$R:$R,$X$9,TP!$U:$U,Toimenpiteet!$T99,TP!$W:$W,Toimenpiteet!$X$8,TP!$X:$X,Toimenpiteet!$X$6,TP!$Z:$Z,1,TP!$AD:$AD,$X$9,TP!$AF:$AF,Toimenpiteet!$Y$6,TP!$Q:$Q,Toimenpiteet!$Y$4,TP!$AG:$AG,Toimenpiteet!$Y$5,TP!$L:$L,Toimenpiteet!$V$2,TP!AL:AL,$AC$4)</f>
        <v>0</v>
      </c>
      <c r="K99" s="111">
        <f>SUMIFS(TP!$P:$P,TP!$AI:$AI,$W$7,TP!$R:$R,$X$9,TP!$U:$U,Toimenpiteet!$T99,TP!$W:$W,Toimenpiteet!$X$8,TP!$X:$X,Toimenpiteet!$X$6,TP!$O:$O,Toimenpiteet!$Z$3,TP!$AD:$AD,$X$9,TP!$AF:$AF,Toimenpiteet!$Y$6,TP!$Q:$Q,Toimenpiteet!$Y$4,TP!$AG:$AG,Toimenpiteet!$Y$5,TP!$L:$L,Toimenpiteet!$V$2,TP!AL:AL,$AC$4)</f>
        <v>0</v>
      </c>
      <c r="L99" s="111">
        <f>SUMIFS(TP!$P:$P,TP!$AI:$AI,$W$7,TP!$R:$R,$X$9,TP!$U:$U,Toimenpiteet!$T99,TP!$W:$W,Toimenpiteet!$X$8,TP!$X:$X,Toimenpiteet!$X$6,TP!$K:$K,Toimenpiteet!$Z$6,TP!$AD:$AD,$X$9,TP!$AF:$AF,Toimenpiteet!$Y$6,TP!$Q:$Q,Toimenpiteet!$Y$4,TP!$AG:$AG,Toimenpiteet!$Y$5,TP!$L:$L,Toimenpiteet!$V$2,TP!AL:AL,$AC$4)</f>
        <v>0</v>
      </c>
      <c r="M99" s="111">
        <f>SUMIFS(TP!$P:$P,TP!$AI:$AI,$W$7,TP!$R:$R,$X$9,TP!$U:$U,Toimenpiteet!$T99,TP!$W:$W,Toimenpiteet!$X$8,TP!$X:$X,Toimenpiteet!$X$6,TP!$K:$K,Toimenpiteet!$Z$7,TP!$AD:$AD,$X$9,TP!$AF:$AF,Toimenpiteet!$Y$6,TP!$Q:$Q,Toimenpiteet!$Y$4,TP!$AG:$AG,Toimenpiteet!$Y$5,TP!$L:$L,Toimenpiteet!$V$2,TP!AL:AL,$AC$4)</f>
        <v>0</v>
      </c>
      <c r="N99" s="111">
        <f>SUMIFS(TP!$P:$P,TP!$AI:$AI,$W$7,TP!$R:$R,$X$9,TP!$U:$U,Toimenpiteet!$T99,TP!$W:$W,Toimenpiteet!$X$8,TP!$X:$X,Toimenpiteet!$X$6,TP!$K:$K,Toimenpiteet!$Z$8,TP!$AD:$AD,$X$9,TP!$AF:$AF,Toimenpiteet!$Y$6,TP!$Q:$Q,Toimenpiteet!$Y$4,TP!$AG:$AG,Toimenpiteet!$Y$5,TP!$L:$L,Toimenpiteet!$V$2,TP!AL:AL,$AC$4)</f>
        <v>0</v>
      </c>
      <c r="O99" s="116">
        <f>SUMIFS(TP!$P:$P,TP!$AI:$AI,$W$7,TP!$R:$R,$X$9,TP!$U:$U,Toimenpiteet!$T99,TP!$W:$W,Toimenpiteet!$X$8,TP!$X:$X,Toimenpiteet!$X$6,TP!$K:$K,Toimenpiteet!$Z$5,TP!$AD:$AD,$X$9,TP!$AF:$AF,Toimenpiteet!$Y$6,TP!$Q:$Q,Toimenpiteet!$Y$4,TP!$AG:$AG,Toimenpiteet!$Y$5,TP!$L:$L,Toimenpiteet!$V$2,TP!AL:AL,$AC$4)</f>
        <v>0</v>
      </c>
      <c r="T99" t="s">
        <v>1223</v>
      </c>
      <c r="V99" s="111">
        <f>SUMIFS(TP!$P:$P,TP!$AI:$AI,$W$7,TP!$R:$R,$X$9,TP!$U:$U,Toimenpiteet!$U99,TP!$W:$W,Toimenpiteet!$X$8,TP!$X:$X,Toimenpiteet!$X$6,TP!$AD:$AD,$X$9,TP!$AF:$AF,Toimenpiteet!$Y$6,TP!$Q:$Q,Toimenpiteet!$Y$4,TP!$AG:$AG,Toimenpiteet!$Y$5,TP!$L:$L,Toimenpiteet!$V$2,TP!AL:AL,$AC$4)</f>
        <v>0</v>
      </c>
      <c r="W99" s="111">
        <f>SUMIFS(TP!$P:$P,TP!$AI:$AI,$W$7,TP!$R:$R,$X$9,TP!$U:$U,Toimenpiteet!$U99,TP!$W:$W,Toimenpiteet!$X$8,TP!$X:$X,Toimenpiteet!$X$6,TP!$V:$V,Toimenpiteet!$X$7,TP!$AD:$AD,$X$9,TP!$AF:$AF,Toimenpiteet!$Y$6,TP!$Q:$Q,Toimenpiteet!$Y$4,TP!$AG:$AG,Toimenpiteet!$Y$5,TP!$L:$L,Toimenpiteet!$V$2,TP!AL:AL,$AC$4)</f>
        <v>0</v>
      </c>
      <c r="X99" s="111">
        <f>SUMIFS(TP!$P:$P,TP!$AI:$AI,$W$7,TP!$R:$R,$X$9,TP!$U:$U,Toimenpiteet!$U99,TP!$W:$W,Toimenpiteet!$X$8,TP!$X:$X,Toimenpiteet!$X$6,TP!$V:$V,Toimenpiteet!$Y$7,TP!$AD:$AD,$X$9,TP!$AF:$AF,Toimenpiteet!$Y$6,TP!$Q:$Q,Toimenpiteet!$Y$4,TP!$AG:$AG,Toimenpiteet!$Y$5,TP!$L:$L,Toimenpiteet!$V$2,TP!AL:AL,$AC$4)</f>
        <v>0</v>
      </c>
      <c r="Y99" s="111">
        <f>SUMIFS(TP!$P:$P,TP!$AI:$AI,$W$7,TP!$R:$R,$X$9,TP!$U:$U,Toimenpiteet!$U99,TP!$W:$W,Toimenpiteet!$Y$8,TP!$X:$X,Toimenpiteet!$X$6,TP!$AD:$AD,$X$9,TP!$AF:$AF,Toimenpiteet!$Y$6,TP!$Q:$Q,Toimenpiteet!$Y$4,TP!$AG:$AG,Toimenpiteet!$Y$5,TP!$L:$L,Toimenpiteet!$V$2,TP!AL:AL,$AC$4)</f>
        <v>0</v>
      </c>
      <c r="AD99" s="111">
        <f>SUMIFS(TP!$P:$P,TP!$AI:$AI,$W$7,TP!$R:$R,$X$9,TP!$U:$U,Toimenpiteet!$AC99,TP!$W:$W,Toimenpiteet!$X$8,TP!$X:$X,Toimenpiteet!$X$6,TP!$AD:$AD,$X$9,TP!$AF:$AF,Toimenpiteet!$Y$6,TP!$Q:$Q,Toimenpiteet!$Y$4,TP!$AG:$AG,Toimenpiteet!$Y$5,TP!$L:$L,Toimenpiteet!$V$2,TP!AL:AL,$AC$4)</f>
        <v>0</v>
      </c>
      <c r="AE99" s="111">
        <f>SUMIFS(TP!$P:$P,TP!$AI:$AI,$W$7,TP!$R:$R,$X$9,TP!$U:$U,Toimenpiteet!$AC99,TP!$W:$W,Toimenpiteet!$X$8,TP!$X:$X,Toimenpiteet!$X$6,TP!$V:$V,Toimenpiteet!$X$7,TP!$AD:$AD,$X$9,TP!$AF:$AF,Toimenpiteet!$Y$6,TP!$Q:$Q,Toimenpiteet!$Y$4,TP!$AG:$AG,Toimenpiteet!$Y$5,TP!$L:$L,Toimenpiteet!$V$2,TP!AL:AL,$AC$4)</f>
        <v>0</v>
      </c>
      <c r="AF99" s="111">
        <f>SUMIFS(TP!$P:$P,TP!$AI:$AI,$W$7,TP!$R:$R,$X$9,TP!$U:$U,Toimenpiteet!$AC99,TP!$W:$W,Toimenpiteet!$X$8,TP!$X:$X,Toimenpiteet!$X$6,TP!$V:$V,Toimenpiteet!$Y$7,TP!$AD:$AD,$X$9,TP!$AF:$AF,Toimenpiteet!$Y$6,TP!$Q:$Q,Toimenpiteet!$Y$4,TP!$AG:$AG,Toimenpiteet!$Y$5,TP!$L:$L,Toimenpiteet!$V$2,TP!AL:AL,$AC$4)</f>
        <v>0</v>
      </c>
      <c r="AG99" s="111">
        <f>SUMIFS(TP!$P:$P,TP!$AI:$AI,$W$7,TP!$R:$R,$X$9,TP!$U:$U,Toimenpiteet!$AC99,TP!$W:$W,Toimenpiteet!$Y$8,TP!$X:$X,Toimenpiteet!$X$6,TP!$AD:$AD,$X$9,TP!$AF:$AF,Toimenpiteet!$Y$6,TP!$Q:$Q,Toimenpiteet!$Y$4,TP!$AG:$AG,Toimenpiteet!$Y$5,TP!$L:$L,Toimenpiteet!$V$2,TP!AL:AL,$AC$4)</f>
        <v>0</v>
      </c>
      <c r="AL99" s="640" t="s">
        <v>1412</v>
      </c>
      <c r="AM99" s="648" t="s">
        <v>1430</v>
      </c>
      <c r="AN99" s="648"/>
      <c r="AO99" t="s">
        <v>1223</v>
      </c>
    </row>
    <row r="100" spans="1:41" x14ac:dyDescent="0.25">
      <c r="A100" s="915"/>
      <c r="B100" s="672" t="s">
        <v>1457</v>
      </c>
      <c r="C100" s="111">
        <f>SUMIFS(TP!$P:$P,TP!$AI:$AI,$W$7,TP!$R:$R,$X$9,TP!$U:$U,Toimenpiteet!$T100,TP!$W:$W,Toimenpiteet!$X$8,TP!$X:$X,Toimenpiteet!$X$6,TP!$AD:$AD,$X$9,TP!$AF:$AF,Toimenpiteet!$Y$6,TP!$Q:$Q,Toimenpiteet!$Y$4,TP!$AG:$AG,Toimenpiteet!$Y$5,TP!$L:$L,Toimenpiteet!$V$2,TP!AL:AL,$AC$4)+V100+AD100</f>
        <v>0</v>
      </c>
      <c r="D100" s="112">
        <f t="shared" si="12"/>
        <v>0</v>
      </c>
      <c r="E100" s="111">
        <f>SUMIFS(TP!$P:$P,TP!$AI:$AI,$W$7,TP!$R:$R,$X$9,TP!$U:$U,Toimenpiteet!$T100,TP!$W:$W,Toimenpiteet!$X$8,TP!$X:$X,Toimenpiteet!$X$6,TP!$V:$V,Toimenpiteet!$X$7,TP!$AD:$AD,$X$9,TP!$AF:$AF,Toimenpiteet!$Y$6,TP!$Q:$Q,Toimenpiteet!$Y$4,TP!$AG:$AG,Toimenpiteet!$Y$5,TP!$L:$L,Toimenpiteet!$V$2,TP!AL:AL,$AC$4)+W100+AE100</f>
        <v>0</v>
      </c>
      <c r="F100" s="111">
        <f>SUMIFS(TP!$P:$P,TP!$AI:$AI,$W$7,TP!$R:$R,$X$9,TP!$U:$U,Toimenpiteet!$T100,TP!$W:$W,Toimenpiteet!$X$8,TP!$X:$X,Toimenpiteet!$X$6,TP!$V:$V,Toimenpiteet!$Y$7,TP!$AD:$AD,$X$9,TP!$AF:$AF,Toimenpiteet!$Y$6,TP!$Q:$Q,Toimenpiteet!$Y$4,TP!$AG:$AG,Toimenpiteet!$Y$5,TP!$L:$L,Toimenpiteet!$V$2,TP!AL:AL,$AC$4)+X100+AF100</f>
        <v>0</v>
      </c>
      <c r="G100" s="111">
        <f>SUMIFS(TP!$P:$P,TP!$AI:$AI,$W$7,TP!$R:$R,$X$9,TP!$U:$U,Toimenpiteet!$T100,TP!$W:$W,Toimenpiteet!$Y$8,TP!$X:$X,Toimenpiteet!$X$6,TP!$AD:$AD,$X$9,TP!$AF:$AF,Toimenpiteet!$Y$6,TP!$Q:$Q,Toimenpiteet!$Y$4,TP!$AG:$AG,Toimenpiteet!$Y$5,TP!$L:$L,Toimenpiteet!$V$2,TP!AL:AL,$AC$4)+Y100+AG100</f>
        <v>0</v>
      </c>
      <c r="H100" s="113"/>
      <c r="I100" s="114"/>
      <c r="J100" s="115">
        <f>SUMIFS(TP!$P:$P,TP!$AI:$AI,$W$7,TP!$R:$R,$X$9,TP!$U:$U,Toimenpiteet!$T100,TP!$W:$W,Toimenpiteet!$X$8,TP!$X:$X,Toimenpiteet!$X$6,TP!$Z:$Z,1,TP!$AD:$AD,$X$9,TP!$AF:$AF,Toimenpiteet!$Y$6,TP!$Q:$Q,Toimenpiteet!$Y$4,TP!$AG:$AG,Toimenpiteet!$Y$5,TP!$L:$L,Toimenpiteet!$V$2,TP!AL:AL,$AC$4)</f>
        <v>0</v>
      </c>
      <c r="K100" s="111">
        <f>SUMIFS(TP!$P:$P,TP!$AI:$AI,$W$7,TP!$R:$R,$X$9,TP!$U:$U,Toimenpiteet!$T100,TP!$W:$W,Toimenpiteet!$X$8,TP!$X:$X,Toimenpiteet!$X$6,TP!$O:$O,Toimenpiteet!$Z$3,TP!$AD:$AD,$X$9,TP!$AF:$AF,Toimenpiteet!$Y$6,TP!$Q:$Q,Toimenpiteet!$Y$4,TP!$AG:$AG,Toimenpiteet!$Y$5,TP!$L:$L,Toimenpiteet!$V$2,TP!AL:AL,$AC$4)</f>
        <v>0</v>
      </c>
      <c r="L100" s="111">
        <f>SUMIFS(TP!$P:$P,TP!$AI:$AI,$W$7,TP!$R:$R,$X$9,TP!$U:$U,Toimenpiteet!$T100,TP!$W:$W,Toimenpiteet!$X$8,TP!$X:$X,Toimenpiteet!$X$6,TP!$K:$K,Toimenpiteet!$Z$6,TP!$AD:$AD,$X$9,TP!$AF:$AF,Toimenpiteet!$Y$6,TP!$Q:$Q,Toimenpiteet!$Y$4,TP!$AG:$AG,Toimenpiteet!$Y$5,TP!$L:$L,Toimenpiteet!$V$2,TP!AL:AL,$AC$4)</f>
        <v>0</v>
      </c>
      <c r="M100" s="111">
        <f>SUMIFS(TP!$P:$P,TP!$AI:$AI,$W$7,TP!$R:$R,$X$9,TP!$U:$U,Toimenpiteet!$T100,TP!$W:$W,Toimenpiteet!$X$8,TP!$X:$X,Toimenpiteet!$X$6,TP!$K:$K,Toimenpiteet!$Z$7,TP!$AD:$AD,$X$9,TP!$AF:$AF,Toimenpiteet!$Y$6,TP!$Q:$Q,Toimenpiteet!$Y$4,TP!$AG:$AG,Toimenpiteet!$Y$5,TP!$L:$L,Toimenpiteet!$V$2,TP!AL:AL,$AC$4)</f>
        <v>0</v>
      </c>
      <c r="N100" s="111">
        <f>SUMIFS(TP!$P:$P,TP!$AI:$AI,$W$7,TP!$R:$R,$X$9,TP!$U:$U,Toimenpiteet!$T100,TP!$W:$W,Toimenpiteet!$X$8,TP!$X:$X,Toimenpiteet!$X$6,TP!$K:$K,Toimenpiteet!$Z$8,TP!$AD:$AD,$X$9,TP!$AF:$AF,Toimenpiteet!$Y$6,TP!$Q:$Q,Toimenpiteet!$Y$4,TP!$AG:$AG,Toimenpiteet!$Y$5,TP!$L:$L,Toimenpiteet!$V$2,TP!AL:AL,$AC$4)</f>
        <v>0</v>
      </c>
      <c r="O100" s="116">
        <f>SUMIFS(TP!$P:$P,TP!$AI:$AI,$W$7,TP!$R:$R,$X$9,TP!$U:$U,Toimenpiteet!$T100,TP!$W:$W,Toimenpiteet!$X$8,TP!$X:$X,Toimenpiteet!$X$6,TP!$K:$K,Toimenpiteet!$Z$5,TP!$AD:$AD,$X$9,TP!$AF:$AF,Toimenpiteet!$Y$6,TP!$Q:$Q,Toimenpiteet!$Y$4,TP!$AG:$AG,Toimenpiteet!$Y$5,TP!$L:$L,Toimenpiteet!$V$2,TP!AL:AL,$AC$4)</f>
        <v>0</v>
      </c>
      <c r="T100" t="s">
        <v>1242</v>
      </c>
      <c r="V100" s="111">
        <f>SUMIFS(TP!$P:$P,TP!$AI:$AI,$W$7,TP!$R:$R,$X$9,TP!$U:$U,Toimenpiteet!$U100,TP!$W:$W,Toimenpiteet!$X$8,TP!$X:$X,Toimenpiteet!$X$6,TP!$AD:$AD,$X$9,TP!$AF:$AF,Toimenpiteet!$Y$6,TP!$Q:$Q,Toimenpiteet!$Y$4,TP!$AG:$AG,Toimenpiteet!$Y$5,TP!$L:$L,Toimenpiteet!$V$2,TP!AL:AL,$AC$4)</f>
        <v>0</v>
      </c>
      <c r="W100" s="111">
        <f>SUMIFS(TP!$P:$P,TP!$AI:$AI,$W$7,TP!$R:$R,$X$9,TP!$U:$U,Toimenpiteet!$U100,TP!$W:$W,Toimenpiteet!$X$8,TP!$X:$X,Toimenpiteet!$X$6,TP!$V:$V,Toimenpiteet!$X$7,TP!$AD:$AD,$X$9,TP!$AF:$AF,Toimenpiteet!$Y$6,TP!$Q:$Q,Toimenpiteet!$Y$4,TP!$AG:$AG,Toimenpiteet!$Y$5,TP!$L:$L,Toimenpiteet!$V$2,TP!AL:AL,$AC$4)</f>
        <v>0</v>
      </c>
      <c r="X100" s="111">
        <f>SUMIFS(TP!$P:$P,TP!$AI:$AI,$W$7,TP!$R:$R,$X$9,TP!$U:$U,Toimenpiteet!$U100,TP!$W:$W,Toimenpiteet!$X$8,TP!$X:$X,Toimenpiteet!$X$6,TP!$V:$V,Toimenpiteet!$Y$7,TP!$AD:$AD,$X$9,TP!$AF:$AF,Toimenpiteet!$Y$6,TP!$Q:$Q,Toimenpiteet!$Y$4,TP!$AG:$AG,Toimenpiteet!$Y$5,TP!$L:$L,Toimenpiteet!$V$2,TP!AL:AL,$AC$4)</f>
        <v>0</v>
      </c>
      <c r="Y100" s="111">
        <f>SUMIFS(TP!$P:$P,TP!$AI:$AI,$W$7,TP!$R:$R,$X$9,TP!$U:$U,Toimenpiteet!$U100,TP!$W:$W,Toimenpiteet!$Y$8,TP!$X:$X,Toimenpiteet!$X$6,TP!$AD:$AD,$X$9,TP!$AF:$AF,Toimenpiteet!$Y$6,TP!$Q:$Q,Toimenpiteet!$Y$4,TP!$AG:$AG,Toimenpiteet!$Y$5,TP!$L:$L,Toimenpiteet!$V$2,TP!AL:AL,$AC$4)</f>
        <v>0</v>
      </c>
      <c r="AD100" s="111">
        <f>SUMIFS(TP!$P:$P,TP!$AI:$AI,$W$7,TP!$R:$R,$X$9,TP!$U:$U,Toimenpiteet!$AC100,TP!$W:$W,Toimenpiteet!$X$8,TP!$X:$X,Toimenpiteet!$X$6,TP!$AD:$AD,$X$9,TP!$AF:$AF,Toimenpiteet!$Y$6,TP!$Q:$Q,Toimenpiteet!$Y$4,TP!$AG:$AG,Toimenpiteet!$Y$5,TP!$L:$L,Toimenpiteet!$V$2,TP!AL:AL,$AC$4)</f>
        <v>0</v>
      </c>
      <c r="AE100" s="111">
        <f>SUMIFS(TP!$P:$P,TP!$AI:$AI,$W$7,TP!$R:$R,$X$9,TP!$U:$U,Toimenpiteet!$AC100,TP!$W:$W,Toimenpiteet!$X$8,TP!$X:$X,Toimenpiteet!$X$6,TP!$V:$V,Toimenpiteet!$X$7,TP!$AD:$AD,$X$9,TP!$AF:$AF,Toimenpiteet!$Y$6,TP!$Q:$Q,Toimenpiteet!$Y$4,TP!$AG:$AG,Toimenpiteet!$Y$5,TP!$L:$L,Toimenpiteet!$V$2,TP!AL:AL,$AC$4)</f>
        <v>0</v>
      </c>
      <c r="AF100" s="111">
        <f>SUMIFS(TP!$P:$P,TP!$AI:$AI,$W$7,TP!$R:$R,$X$9,TP!$U:$U,Toimenpiteet!$AC100,TP!$W:$W,Toimenpiteet!$X$8,TP!$X:$X,Toimenpiteet!$X$6,TP!$V:$V,Toimenpiteet!$Y$7,TP!$AD:$AD,$X$9,TP!$AF:$AF,Toimenpiteet!$Y$6,TP!$Q:$Q,Toimenpiteet!$Y$4,TP!$AG:$AG,Toimenpiteet!$Y$5,TP!$L:$L,Toimenpiteet!$V$2,TP!AL:AL,$AC$4)</f>
        <v>0</v>
      </c>
      <c r="AG100" s="111">
        <f>SUMIFS(TP!$P:$P,TP!$AI:$AI,$W$7,TP!$R:$R,$X$9,TP!$U:$U,Toimenpiteet!$AC100,TP!$W:$W,Toimenpiteet!$Y$8,TP!$X:$X,Toimenpiteet!$X$6,TP!$AD:$AD,$X$9,TP!$AF:$AF,Toimenpiteet!$Y$6,TP!$Q:$Q,Toimenpiteet!$Y$4,TP!$AG:$AG,Toimenpiteet!$Y$5,TP!$L:$L,Toimenpiteet!$V$2,TP!AL:AL,$AC$4)</f>
        <v>0</v>
      </c>
      <c r="AL100" s="640" t="s">
        <v>1412</v>
      </c>
      <c r="AM100" s="648" t="s">
        <v>1431</v>
      </c>
      <c r="AN100" s="648"/>
      <c r="AO100" t="s">
        <v>1242</v>
      </c>
    </row>
    <row r="101" spans="1:41" x14ac:dyDescent="0.25">
      <c r="A101" s="916"/>
      <c r="B101" s="672" t="s">
        <v>95</v>
      </c>
      <c r="C101" s="111">
        <f>SUMIFS(TP!$P:$P,TP!$AI:$AI,$W$7,TP!$R:$R,$X$9,TP!$U:$U,Toimenpiteet!$T101,TP!$W:$W,Toimenpiteet!$X$8,TP!$X:$X,Toimenpiteet!$X$6,TP!$AD:$AD,$X$9,TP!$AF:$AF,Toimenpiteet!$Y$6,TP!$Q:$Q,Toimenpiteet!$Y$4,TP!$AG:$AG,Toimenpiteet!$Y$5,TP!$L:$L,Toimenpiteet!$V$2,TP!AL:AL,$AC$4)+V101+AD101</f>
        <v>0</v>
      </c>
      <c r="D101" s="112">
        <f t="shared" si="12"/>
        <v>0</v>
      </c>
      <c r="E101" s="111">
        <f>SUMIFS(TP!$P:$P,TP!$AI:$AI,$W$7,TP!$R:$R,$X$9,TP!$U:$U,Toimenpiteet!$T101,TP!$W:$W,Toimenpiteet!$X$8,TP!$X:$X,Toimenpiteet!$X$6,TP!$V:$V,Toimenpiteet!$X$7,TP!$AD:$AD,$X$9,TP!$AF:$AF,Toimenpiteet!$Y$6,TP!$Q:$Q,Toimenpiteet!$Y$4,TP!$AG:$AG,Toimenpiteet!$Y$5,TP!$L:$L,Toimenpiteet!$V$2,TP!AL:AL,$AC$4)+W101+AE101</f>
        <v>0</v>
      </c>
      <c r="F101" s="111">
        <f>SUMIFS(TP!$P:$P,TP!$AI:$AI,$W$7,TP!$R:$R,$X$9,TP!$U:$U,Toimenpiteet!$T101,TP!$W:$W,Toimenpiteet!$X$8,TP!$X:$X,Toimenpiteet!$X$6,TP!$V:$V,Toimenpiteet!$Y$7,TP!$AD:$AD,$X$9,TP!$AF:$AF,Toimenpiteet!$Y$6,TP!$Q:$Q,Toimenpiteet!$Y$4,TP!$AG:$AG,Toimenpiteet!$Y$5,TP!$L:$L,Toimenpiteet!$V$2,TP!AL:AL,$AC$4)+X101+AF101</f>
        <v>0</v>
      </c>
      <c r="G101" s="111">
        <f>SUMIFS(TP!$P:$P,TP!$AI:$AI,$W$7,TP!$R:$R,$X$9,TP!$U:$U,Toimenpiteet!$T101,TP!$W:$W,Toimenpiteet!$Y$8,TP!$X:$X,Toimenpiteet!$X$6,TP!$AD:$AD,$X$9,TP!$AF:$AF,Toimenpiteet!$Y$6,TP!$Q:$Q,Toimenpiteet!$Y$4,TP!$AG:$AG,Toimenpiteet!$Y$5,TP!$L:$L,Toimenpiteet!$V$2,TP!AL:AL,$AC$4)+Y101+AG101</f>
        <v>0</v>
      </c>
      <c r="H101" s="113"/>
      <c r="I101" s="114"/>
      <c r="J101" s="115">
        <f>SUMIFS(TP!$P:$P,TP!$AI:$AI,$W$7,TP!$R:$R,$X$9,TP!$U:$U,Toimenpiteet!$T101,TP!$W:$W,Toimenpiteet!$X$8,TP!$X:$X,Toimenpiteet!$X$6,TP!$Z:$Z,1,TP!$AD:$AD,$X$9,TP!$AF:$AF,Toimenpiteet!$Y$6,TP!$Q:$Q,Toimenpiteet!$Y$4,TP!$AG:$AG,Toimenpiteet!$Y$5,TP!$L:$L,Toimenpiteet!$V$2,TP!AL:AL,$AC$4)</f>
        <v>0</v>
      </c>
      <c r="K101" s="111">
        <f>SUMIFS(TP!$P:$P,TP!$AI:$AI,$W$7,TP!$R:$R,$X$9,TP!$U:$U,Toimenpiteet!$T101,TP!$W:$W,Toimenpiteet!$X$8,TP!$X:$X,Toimenpiteet!$X$6,TP!$O:$O,Toimenpiteet!$Z$3,TP!$AD:$AD,$X$9,TP!$AF:$AF,Toimenpiteet!$Y$6,TP!$Q:$Q,Toimenpiteet!$Y$4,TP!$AG:$AG,Toimenpiteet!$Y$5,TP!$L:$L,Toimenpiteet!$V$2,TP!AL:AL,$AC$4)</f>
        <v>0</v>
      </c>
      <c r="L101" s="111">
        <f>SUMIFS(TP!$P:$P,TP!$AI:$AI,$W$7,TP!$R:$R,$X$9,TP!$U:$U,Toimenpiteet!$T101,TP!$W:$W,Toimenpiteet!$X$8,TP!$X:$X,Toimenpiteet!$X$6,TP!$K:$K,Toimenpiteet!$Z$6,TP!$AD:$AD,$X$9,TP!$AF:$AF,Toimenpiteet!$Y$6,TP!$Q:$Q,Toimenpiteet!$Y$4,TP!$AG:$AG,Toimenpiteet!$Y$5,TP!$L:$L,Toimenpiteet!$V$2,TP!AL:AL,$AC$4)</f>
        <v>0</v>
      </c>
      <c r="M101" s="111">
        <f>SUMIFS(TP!$P:$P,TP!$AI:$AI,$W$7,TP!$R:$R,$X$9,TP!$U:$U,Toimenpiteet!$T101,TP!$W:$W,Toimenpiteet!$X$8,TP!$X:$X,Toimenpiteet!$X$6,TP!$K:$K,Toimenpiteet!$Z$7,TP!$AD:$AD,$X$9,TP!$AF:$AF,Toimenpiteet!$Y$6,TP!$Q:$Q,Toimenpiteet!$Y$4,TP!$AG:$AG,Toimenpiteet!$Y$5,TP!$L:$L,Toimenpiteet!$V$2,TP!AL:AL,$AC$4)</f>
        <v>0</v>
      </c>
      <c r="N101" s="111">
        <f>SUMIFS(TP!$P:$P,TP!$AI:$AI,$W$7,TP!$R:$R,$X$9,TP!$U:$U,Toimenpiteet!$T101,TP!$W:$W,Toimenpiteet!$X$8,TP!$X:$X,Toimenpiteet!$X$6,TP!$K:$K,Toimenpiteet!$Z$8,TP!$AD:$AD,$X$9,TP!$AF:$AF,Toimenpiteet!$Y$6,TP!$Q:$Q,Toimenpiteet!$Y$4,TP!$AG:$AG,Toimenpiteet!$Y$5,TP!$L:$L,Toimenpiteet!$V$2,TP!AL:AL,$AC$4)</f>
        <v>0</v>
      </c>
      <c r="O101" s="116">
        <f>SUMIFS(TP!$P:$P,TP!$AI:$AI,$W$7,TP!$R:$R,$X$9,TP!$U:$U,Toimenpiteet!$T101,TP!$W:$W,Toimenpiteet!$X$8,TP!$X:$X,Toimenpiteet!$X$6,TP!$K:$K,Toimenpiteet!$Z$5,TP!$AD:$AD,$X$9,TP!$AF:$AF,Toimenpiteet!$Y$6,TP!$Q:$Q,Toimenpiteet!$Y$4,TP!$AG:$AG,Toimenpiteet!$Y$5,TP!$L:$L,Toimenpiteet!$V$2,TP!AL:AL,$AC$4)</f>
        <v>0</v>
      </c>
      <c r="T101" s="651" t="s">
        <v>301</v>
      </c>
      <c r="V101" s="111">
        <f>SUMIFS(TP!$P:$P,TP!$AI:$AI,$W$7,TP!$R:$R,$X$9,TP!$U:$U,Toimenpiteet!$U101,TP!$W:$W,Toimenpiteet!$X$8,TP!$X:$X,Toimenpiteet!$X$6,TP!$AD:$AD,$X$9,TP!$AF:$AF,Toimenpiteet!$Y$6,TP!$Q:$Q,Toimenpiteet!$Y$4,TP!$AG:$AG,Toimenpiteet!$Y$5,TP!$L:$L,Toimenpiteet!$V$2,TP!AL:AL,$AC$4)</f>
        <v>0</v>
      </c>
      <c r="W101" s="111">
        <f>SUMIFS(TP!$P:$P,TP!$AI:$AI,$W$7,TP!$R:$R,$X$9,TP!$U:$U,Toimenpiteet!$U101,TP!$W:$W,Toimenpiteet!$X$8,TP!$X:$X,Toimenpiteet!$X$6,TP!$V:$V,Toimenpiteet!$X$7,TP!$AD:$AD,$X$9,TP!$AF:$AF,Toimenpiteet!$Y$6,TP!$Q:$Q,Toimenpiteet!$Y$4,TP!$AG:$AG,Toimenpiteet!$Y$5,TP!$L:$L,Toimenpiteet!$V$2,TP!AL:AL,$AC$4)</f>
        <v>0</v>
      </c>
      <c r="X101" s="111">
        <f>SUMIFS(TP!$P:$P,TP!$AI:$AI,$W$7,TP!$R:$R,$X$9,TP!$U:$U,Toimenpiteet!$U101,TP!$W:$W,Toimenpiteet!$X$8,TP!$X:$X,Toimenpiteet!$X$6,TP!$V:$V,Toimenpiteet!$Y$7,TP!$AD:$AD,$X$9,TP!$AF:$AF,Toimenpiteet!$Y$6,TP!$Q:$Q,Toimenpiteet!$Y$4,TP!$AG:$AG,Toimenpiteet!$Y$5,TP!$L:$L,Toimenpiteet!$V$2,TP!AL:AL,$AC$4)</f>
        <v>0</v>
      </c>
      <c r="Y101" s="111">
        <f>SUMIFS(TP!$P:$P,TP!$AI:$AI,$W$7,TP!$R:$R,$X$9,TP!$U:$U,Toimenpiteet!$U101,TP!$W:$W,Toimenpiteet!$Y$8,TP!$X:$X,Toimenpiteet!$X$6,TP!$AD:$AD,$X$9,TP!$AF:$AF,Toimenpiteet!$Y$6,TP!$Q:$Q,Toimenpiteet!$Y$4,TP!$AG:$AG,Toimenpiteet!$Y$5,TP!$L:$L,Toimenpiteet!$V$2,TP!AL:AL,$AC$4)</f>
        <v>0</v>
      </c>
      <c r="AD101" s="111">
        <f>SUMIFS(TP!$P:$P,TP!$AI:$AI,$W$7,TP!$R:$R,$X$9,TP!$U:$U,Toimenpiteet!$AC101,TP!$W:$W,Toimenpiteet!$X$8,TP!$X:$X,Toimenpiteet!$X$6,TP!$AD:$AD,$X$9,TP!$AF:$AF,Toimenpiteet!$Y$6,TP!$Q:$Q,Toimenpiteet!$Y$4,TP!$AG:$AG,Toimenpiteet!$Y$5,TP!$L:$L,Toimenpiteet!$V$2,TP!AL:AL,$AC$4)</f>
        <v>0</v>
      </c>
      <c r="AE101" s="111">
        <f>SUMIFS(TP!$P:$P,TP!$AI:$AI,$W$7,TP!$R:$R,$X$9,TP!$U:$U,Toimenpiteet!$AC101,TP!$W:$W,Toimenpiteet!$X$8,TP!$X:$X,Toimenpiteet!$X$6,TP!$V:$V,Toimenpiteet!$X$7,TP!$AD:$AD,$X$9,TP!$AF:$AF,Toimenpiteet!$Y$6,TP!$Q:$Q,Toimenpiteet!$Y$4,TP!$AG:$AG,Toimenpiteet!$Y$5,TP!$L:$L,Toimenpiteet!$V$2,TP!AL:AL,$AC$4)</f>
        <v>0</v>
      </c>
      <c r="AF101" s="111">
        <f>SUMIFS(TP!$P:$P,TP!$AI:$AI,$W$7,TP!$R:$R,$X$9,TP!$U:$U,Toimenpiteet!$AC101,TP!$W:$W,Toimenpiteet!$X$8,TP!$X:$X,Toimenpiteet!$X$6,TP!$V:$V,Toimenpiteet!$Y$7,TP!$AD:$AD,$X$9,TP!$AF:$AF,Toimenpiteet!$Y$6,TP!$Q:$Q,Toimenpiteet!$Y$4,TP!$AG:$AG,Toimenpiteet!$Y$5,TP!$L:$L,Toimenpiteet!$V$2,TP!AL:AL,$AC$4)</f>
        <v>0</v>
      </c>
      <c r="AG101" s="111">
        <f>SUMIFS(TP!$P:$P,TP!$AI:$AI,$W$7,TP!$R:$R,$X$9,TP!$U:$U,Toimenpiteet!$AC101,TP!$W:$W,Toimenpiteet!$Y$8,TP!$X:$X,Toimenpiteet!$X$6,TP!$AD:$AD,$X$9,TP!$AF:$AF,Toimenpiteet!$Y$6,TP!$Q:$Q,Toimenpiteet!$Y$4,TP!$AG:$AG,Toimenpiteet!$Y$5,TP!$L:$L,Toimenpiteet!$V$2,TP!AL:AL,$AC$4)</f>
        <v>0</v>
      </c>
      <c r="AL101" s="638"/>
      <c r="AM101" s="646" t="s">
        <v>1367</v>
      </c>
      <c r="AN101" s="646" t="s">
        <v>1367</v>
      </c>
      <c r="AO101" t="s">
        <v>301</v>
      </c>
    </row>
    <row r="102" spans="1:41" x14ac:dyDescent="0.25">
      <c r="A102" s="36"/>
      <c r="B102" s="37" t="str">
        <f>A103</f>
        <v>Työllistymistä tukeva toiminta</v>
      </c>
      <c r="C102" s="105">
        <f>SUM(C103:C111)</f>
        <v>0</v>
      </c>
      <c r="D102" s="106"/>
      <c r="E102" s="105"/>
      <c r="F102" s="105"/>
      <c r="G102" s="105"/>
      <c r="H102" s="107"/>
      <c r="I102" s="108"/>
      <c r="J102" s="107">
        <f t="shared" ref="J102:O102" si="13">SUM(J104:J111)</f>
        <v>0</v>
      </c>
      <c r="K102" s="105">
        <f t="shared" si="13"/>
        <v>0</v>
      </c>
      <c r="L102" s="105">
        <f t="shared" si="13"/>
        <v>0</v>
      </c>
      <c r="M102" s="105">
        <f t="shared" si="13"/>
        <v>0</v>
      </c>
      <c r="N102" s="105">
        <f t="shared" si="13"/>
        <v>0</v>
      </c>
      <c r="O102" s="108">
        <f t="shared" si="13"/>
        <v>0</v>
      </c>
      <c r="T102" s="651"/>
      <c r="V102" s="111">
        <f>SUMIFS(TP!$P:$P,TP!$AI:$AI,$W$7,TP!$R:$R,$X$9,TP!$U:$U,Toimenpiteet!$U102,TP!$W:$W,Toimenpiteet!$X$8,TP!$X:$X,Toimenpiteet!$X$6,TP!$AD:$AD,$X$9,TP!$AF:$AF,Toimenpiteet!$Y$6,TP!$Q:$Q,Toimenpiteet!$Y$4,TP!$AG:$AG,Toimenpiteet!$Y$5,TP!$L:$L,Toimenpiteet!$V$2,TP!AL:AL,$AC$4)</f>
        <v>0</v>
      </c>
      <c r="W102" s="111">
        <f>SUMIFS(TP!$P:$P,TP!$AI:$AI,$W$7,TP!$R:$R,$X$9,TP!$U:$U,Toimenpiteet!$U102,TP!$W:$W,Toimenpiteet!$X$8,TP!$X:$X,Toimenpiteet!$X$6,TP!$V:$V,Toimenpiteet!$X$7,TP!$AD:$AD,$X$9,TP!$AF:$AF,Toimenpiteet!$Y$6,TP!$Q:$Q,Toimenpiteet!$Y$4,TP!$AG:$AG,Toimenpiteet!$Y$5,TP!$L:$L,Toimenpiteet!$V$2,TP!AL:AL,$AC$4)</f>
        <v>0</v>
      </c>
      <c r="X102" s="111">
        <f>SUMIFS(TP!$P:$P,TP!$AI:$AI,$W$7,TP!$R:$R,$X$9,TP!$U:$U,Toimenpiteet!$U102,TP!$W:$W,Toimenpiteet!$X$8,TP!$X:$X,Toimenpiteet!$X$6,TP!$V:$V,Toimenpiteet!$Y$7,TP!$AD:$AD,$X$9,TP!$AF:$AF,Toimenpiteet!$Y$6,TP!$Q:$Q,Toimenpiteet!$Y$4,TP!$AG:$AG,Toimenpiteet!$Y$5,TP!$L:$L,Toimenpiteet!$V$2,TP!AL:AL,$AC$4)</f>
        <v>0</v>
      </c>
      <c r="Y102" s="111">
        <f>SUMIFS(TP!$P:$P,TP!$AI:$AI,$W$7,TP!$R:$R,$X$9,TP!$U:$U,Toimenpiteet!$U102,TP!$W:$W,Toimenpiteet!$Y$8,TP!$X:$X,Toimenpiteet!$X$6,TP!$AD:$AD,$X$9,TP!$AF:$AF,Toimenpiteet!$Y$6,TP!$Q:$Q,Toimenpiteet!$Y$4,TP!$AG:$AG,Toimenpiteet!$Y$5,TP!$L:$L,Toimenpiteet!$V$2,TP!AL:AL,$AC$4)</f>
        <v>0</v>
      </c>
      <c r="AD102" s="111">
        <f>SUMIFS(TP!$P:$P,TP!$AI:$AI,$W$7,TP!$R:$R,$X$9,TP!$U:$U,Toimenpiteet!$AC102,TP!$W:$W,Toimenpiteet!$X$8,TP!$X:$X,Toimenpiteet!$X$6,TP!$AD:$AD,$X$9,TP!$AF:$AF,Toimenpiteet!$Y$6,TP!$Q:$Q,Toimenpiteet!$Y$4,TP!$AG:$AG,Toimenpiteet!$Y$5,TP!$L:$L,Toimenpiteet!$V$2,TP!AL:AL,$AC$4)</f>
        <v>0</v>
      </c>
      <c r="AE102" s="111">
        <f>SUMIFS(TP!$P:$P,TP!$AI:$AI,$W$7,TP!$R:$R,$X$9,TP!$U:$U,Toimenpiteet!$AC102,TP!$W:$W,Toimenpiteet!$X$8,TP!$X:$X,Toimenpiteet!$X$6,TP!$V:$V,Toimenpiteet!$X$7,TP!$AD:$AD,$X$9,TP!$AF:$AF,Toimenpiteet!$Y$6,TP!$Q:$Q,Toimenpiteet!$Y$4,TP!$AG:$AG,Toimenpiteet!$Y$5,TP!$L:$L,Toimenpiteet!$V$2,TP!AL:AL,$AC$4)</f>
        <v>0</v>
      </c>
      <c r="AF102" s="111">
        <f>SUMIFS(TP!$P:$P,TP!$AI:$AI,$W$7,TP!$R:$R,$X$9,TP!$U:$U,Toimenpiteet!$AC102,TP!$W:$W,Toimenpiteet!$X$8,TP!$X:$X,Toimenpiteet!$X$6,TP!$V:$V,Toimenpiteet!$Y$7,TP!$AD:$AD,$X$9,TP!$AF:$AF,Toimenpiteet!$Y$6,TP!$Q:$Q,Toimenpiteet!$Y$4,TP!$AG:$AG,Toimenpiteet!$Y$5,TP!$L:$L,Toimenpiteet!$V$2,TP!AL:AL,$AC$4)</f>
        <v>0</v>
      </c>
      <c r="AG102" s="111">
        <f>SUMIFS(TP!$P:$P,TP!$AI:$AI,$W$7,TP!$R:$R,$X$9,TP!$U:$U,Toimenpiteet!$AC102,TP!$W:$W,Toimenpiteet!$Y$8,TP!$X:$X,Toimenpiteet!$X$6,TP!$AD:$AD,$X$9,TP!$AF:$AF,Toimenpiteet!$Y$6,TP!$Q:$Q,Toimenpiteet!$Y$4,TP!$AG:$AG,Toimenpiteet!$Y$5,TP!$L:$L,Toimenpiteet!$V$2,TP!AL:AL,$AC$4)</f>
        <v>0</v>
      </c>
      <c r="AL102" s="641" t="s">
        <v>1397</v>
      </c>
      <c r="AM102" s="647" t="s">
        <v>1370</v>
      </c>
      <c r="AN102" s="647" t="s">
        <v>586</v>
      </c>
      <c r="AO102" t="s">
        <v>1440</v>
      </c>
    </row>
    <row r="103" spans="1:41" ht="14.45" customHeight="1" x14ac:dyDescent="0.25">
      <c r="A103" s="914" t="s">
        <v>1370</v>
      </c>
      <c r="B103" s="672" t="s">
        <v>1152</v>
      </c>
      <c r="C103" s="111">
        <f>SUMIFS(TP!$P:$P,TP!$AI:$AI,$W$7,TP!$R:$R,$X$9,TP!$U:$U,Toimenpiteet!$T103,TP!$W:$W,Toimenpiteet!$X$8,TP!$X:$X,Toimenpiteet!$X$6,TP!$AD:$AD,$X$9,TP!$AF:$AF,Toimenpiteet!$Y$6,TP!$Q:$Q,Toimenpiteet!$Y$4,TP!$AG:$AG,Toimenpiteet!$Y$5,TP!$L:$L,Toimenpiteet!$V$2,TP!AL:AL,$AC$4)+V103+AD103</f>
        <v>0</v>
      </c>
      <c r="D103" s="112">
        <f t="shared" ref="D103:D111" si="14">IFERROR(C103/$C$54,0)</f>
        <v>0</v>
      </c>
      <c r="E103" s="111">
        <f>SUMIFS(TP!$P:$P,TP!$AI:$AI,$W$7,TP!$R:$R,$X$9,TP!$U:$U,Toimenpiteet!$T103,TP!$W:$W,Toimenpiteet!$X$8,TP!$X:$X,Toimenpiteet!$X$6,TP!$V:$V,Toimenpiteet!$X$7,TP!$AD:$AD,$X$9,TP!$AF:$AF,Toimenpiteet!$Y$6,TP!$Q:$Q,Toimenpiteet!$Y$4,TP!$AG:$AG,Toimenpiteet!$Y$5,TP!$L:$L,Toimenpiteet!$V$2,TP!AL:AL,$AC$4)+W103+AE103</f>
        <v>0</v>
      </c>
      <c r="F103" s="111">
        <f>SUMIFS(TP!$P:$P,TP!$AI:$AI,$W$7,TP!$R:$R,$X$9,TP!$U:$U,Toimenpiteet!$T103,TP!$W:$W,Toimenpiteet!$X$8,TP!$X:$X,Toimenpiteet!$X$6,TP!$V:$V,Toimenpiteet!$Y$7,TP!$AD:$AD,$X$9,TP!$AF:$AF,Toimenpiteet!$Y$6,TP!$Q:$Q,Toimenpiteet!$Y$4,TP!$AG:$AG,Toimenpiteet!$Y$5,TP!$L:$L,Toimenpiteet!$V$2,TP!AL:AL,$AC$4)+X103+AF103</f>
        <v>0</v>
      </c>
      <c r="G103" s="111">
        <f>SUMIFS(TP!$P:$P,TP!$AI:$AI,$W$7,TP!$R:$R,$X$9,TP!$U:$U,Toimenpiteet!$T103,TP!$W:$W,Toimenpiteet!$Y$8,TP!$X:$X,Toimenpiteet!$X$6,TP!$AD:$AD,$X$9,TP!$AF:$AF,Toimenpiteet!$Y$6,TP!$Q:$Q,Toimenpiteet!$Y$4,TP!$AG:$AG,Toimenpiteet!$Y$5,TP!$L:$L,Toimenpiteet!$V$2,TP!AL:AL,$AC$4)+Y103+AG103</f>
        <v>0</v>
      </c>
      <c r="H103" s="113"/>
      <c r="I103" s="114"/>
      <c r="J103" s="115">
        <f>SUMIFS(TP!$P:$P,TP!$AI:$AI,$W$7,TP!$R:$R,$X$9,TP!$U:$U,Toimenpiteet!$T103,TP!$W:$W,Toimenpiteet!$X$8,TP!$X:$X,Toimenpiteet!$X$6,TP!$Z:$Z,1,TP!$AD:$AD,$X$9,TP!$AF:$AF,Toimenpiteet!$Y$6,TP!$Q:$Q,Toimenpiteet!$Y$4,TP!$AG:$AG,Toimenpiteet!$Y$5,TP!$L:$L,Toimenpiteet!$V$2,TP!AL:AL,$AC$4)</f>
        <v>0</v>
      </c>
      <c r="K103" s="111">
        <f>SUMIFS(TP!$P:$P,TP!$AI:$AI,$W$7,TP!$R:$R,$X$9,TP!$U:$U,Toimenpiteet!$T103,TP!$W:$W,Toimenpiteet!$X$8,TP!$X:$X,Toimenpiteet!$X$6,TP!$O:$O,Toimenpiteet!$Z$3,TP!$AD:$AD,$X$9,TP!$AF:$AF,Toimenpiteet!$Y$6,TP!$Q:$Q,Toimenpiteet!$Y$4,TP!$AG:$AG,Toimenpiteet!$Y$5,TP!$L:$L,Toimenpiteet!$V$2,TP!AL:AL,$AC$4)</f>
        <v>0</v>
      </c>
      <c r="L103" s="111">
        <f>SUMIFS(TP!$P:$P,TP!$AI:$AI,$W$7,TP!$R:$R,$X$9,TP!$U:$U,Toimenpiteet!$T103,TP!$W:$W,Toimenpiteet!$X$8,TP!$X:$X,Toimenpiteet!$X$6,TP!$K:$K,Toimenpiteet!$Z$6,TP!$AD:$AD,$X$9,TP!$AF:$AF,Toimenpiteet!$Y$6,TP!$Q:$Q,Toimenpiteet!$Y$4,TP!$AG:$AG,Toimenpiteet!$Y$5,TP!$L:$L,Toimenpiteet!$V$2,TP!AL:AL,$AC$4)</f>
        <v>0</v>
      </c>
      <c r="M103" s="111">
        <f>SUMIFS(TP!$P:$P,TP!$AI:$AI,$W$7,TP!$R:$R,$X$9,TP!$U:$U,Toimenpiteet!$T103,TP!$W:$W,Toimenpiteet!$X$8,TP!$X:$X,Toimenpiteet!$X$6,TP!$K:$K,Toimenpiteet!$Z$7,TP!$AD:$AD,$X$9,TP!$AF:$AF,Toimenpiteet!$Y$6,TP!$Q:$Q,Toimenpiteet!$Y$4,TP!$AG:$AG,Toimenpiteet!$Y$5,TP!$L:$L,Toimenpiteet!$V$2,TP!AL:AL,$AC$4)</f>
        <v>0</v>
      </c>
      <c r="N103" s="111">
        <f>SUMIFS(TP!$P:$P,TP!$AI:$AI,$W$7,TP!$R:$R,$X$9,TP!$U:$U,Toimenpiteet!$T103,TP!$W:$W,Toimenpiteet!$X$8,TP!$X:$X,Toimenpiteet!$X$6,TP!$K:$K,Toimenpiteet!$Z$8,TP!$AD:$AD,$X$9,TP!$AF:$AF,Toimenpiteet!$Y$6,TP!$Q:$Q,Toimenpiteet!$Y$4,TP!$AG:$AG,Toimenpiteet!$Y$5,TP!$L:$L,Toimenpiteet!$V$2,TP!AL:AL,$AC$4)</f>
        <v>0</v>
      </c>
      <c r="O103" s="116">
        <f>SUMIFS(TP!$P:$P,TP!$AI:$AI,$W$7,TP!$R:$R,$X$9,TP!$U:$U,Toimenpiteet!$T103,TP!$W:$W,Toimenpiteet!$X$8,TP!$X:$X,Toimenpiteet!$X$6,TP!$K:$K,Toimenpiteet!$Z$5,TP!$AD:$AD,$X$9,TP!$AF:$AF,Toimenpiteet!$Y$6,TP!$Q:$Q,Toimenpiteet!$Y$4,TP!$AG:$AG,Toimenpiteet!$Y$5,TP!$L:$L,Toimenpiteet!$V$2,TP!AL:AL,$AC$4)</f>
        <v>0</v>
      </c>
      <c r="T103" s="651" t="s">
        <v>275</v>
      </c>
      <c r="V103" s="111">
        <f>SUMIFS(TP!$P:$P,TP!$AI:$AI,$W$7,TP!$R:$R,$X$9,TP!$U:$U,Toimenpiteet!$U103,TP!$W:$W,Toimenpiteet!$X$8,TP!$X:$X,Toimenpiteet!$X$6,TP!$AD:$AD,$X$9,TP!$AF:$AF,Toimenpiteet!$Y$6,TP!$Q:$Q,Toimenpiteet!$Y$4,TP!$AG:$AG,Toimenpiteet!$Y$5,TP!$L:$L,Toimenpiteet!$V$2,TP!AL:AL,$AC$4)</f>
        <v>0</v>
      </c>
      <c r="W103" s="111">
        <f>SUMIFS(TP!$P:$P,TP!$AI:$AI,$W$7,TP!$R:$R,$X$9,TP!$U:$U,Toimenpiteet!$U103,TP!$W:$W,Toimenpiteet!$X$8,TP!$X:$X,Toimenpiteet!$X$6,TP!$V:$V,Toimenpiteet!$X$7,TP!$AD:$AD,$X$9,TP!$AF:$AF,Toimenpiteet!$Y$6,TP!$Q:$Q,Toimenpiteet!$Y$4,TP!$AG:$AG,Toimenpiteet!$Y$5,TP!$L:$L,Toimenpiteet!$V$2,TP!AL:AL,$AC$4)</f>
        <v>0</v>
      </c>
      <c r="X103" s="111">
        <f>SUMIFS(TP!$P:$P,TP!$AI:$AI,$W$7,TP!$R:$R,$X$9,TP!$U:$U,Toimenpiteet!$U103,TP!$W:$W,Toimenpiteet!$X$8,TP!$X:$X,Toimenpiteet!$X$6,TP!$V:$V,Toimenpiteet!$Y$7,TP!$AD:$AD,$X$9,TP!$AF:$AF,Toimenpiteet!$Y$6,TP!$Q:$Q,Toimenpiteet!$Y$4,TP!$AG:$AG,Toimenpiteet!$Y$5,TP!$L:$L,Toimenpiteet!$V$2,TP!AL:AL,$AC$4)</f>
        <v>0</v>
      </c>
      <c r="Y103" s="111">
        <f>SUMIFS(TP!$P:$P,TP!$AI:$AI,$W$7,TP!$R:$R,$X$9,TP!$U:$U,Toimenpiteet!$U103,TP!$W:$W,Toimenpiteet!$Y$8,TP!$X:$X,Toimenpiteet!$X$6,TP!$AD:$AD,$X$9,TP!$AF:$AF,Toimenpiteet!$Y$6,TP!$Q:$Q,Toimenpiteet!$Y$4,TP!$AG:$AG,Toimenpiteet!$Y$5,TP!$L:$L,Toimenpiteet!$V$2,TP!AL:AL,$AC$4)</f>
        <v>0</v>
      </c>
      <c r="AD103" s="111">
        <f>SUMIFS(TP!$P:$P,TP!$AI:$AI,$W$7,TP!$R:$R,$X$9,TP!$U:$U,Toimenpiteet!$AC103,TP!$W:$W,Toimenpiteet!$X$8,TP!$X:$X,Toimenpiteet!$X$6,TP!$AD:$AD,$X$9,TP!$AF:$AF,Toimenpiteet!$Y$6,TP!$Q:$Q,Toimenpiteet!$Y$4,TP!$AG:$AG,Toimenpiteet!$Y$5,TP!$L:$L,Toimenpiteet!$V$2,TP!AL:AL,$AC$4)</f>
        <v>0</v>
      </c>
      <c r="AE103" s="111">
        <f>SUMIFS(TP!$P:$P,TP!$AI:$AI,$W$7,TP!$R:$R,$X$9,TP!$U:$U,Toimenpiteet!$AC103,TP!$W:$W,Toimenpiteet!$X$8,TP!$X:$X,Toimenpiteet!$X$6,TP!$V:$V,Toimenpiteet!$X$7,TP!$AD:$AD,$X$9,TP!$AF:$AF,Toimenpiteet!$Y$6,TP!$Q:$Q,Toimenpiteet!$Y$4,TP!$AG:$AG,Toimenpiteet!$Y$5,TP!$L:$L,Toimenpiteet!$V$2,TP!AL:AL,$AC$4)</f>
        <v>0</v>
      </c>
      <c r="AF103" s="111">
        <f>SUMIFS(TP!$P:$P,TP!$AI:$AI,$W$7,TP!$R:$R,$X$9,TP!$U:$U,Toimenpiteet!$AC103,TP!$W:$W,Toimenpiteet!$X$8,TP!$X:$X,Toimenpiteet!$X$6,TP!$V:$V,Toimenpiteet!$Y$7,TP!$AD:$AD,$X$9,TP!$AF:$AF,Toimenpiteet!$Y$6,TP!$Q:$Q,Toimenpiteet!$Y$4,TP!$AG:$AG,Toimenpiteet!$Y$5,TP!$L:$L,Toimenpiteet!$V$2,TP!AL:AL,$AC$4)</f>
        <v>0</v>
      </c>
      <c r="AG103" s="111">
        <f>SUMIFS(TP!$P:$P,TP!$AI:$AI,$W$7,TP!$R:$R,$X$9,TP!$U:$U,Toimenpiteet!$AC103,TP!$W:$W,Toimenpiteet!$Y$8,TP!$X:$X,Toimenpiteet!$X$6,TP!$AD:$AD,$X$9,TP!$AF:$AF,Toimenpiteet!$Y$6,TP!$Q:$Q,Toimenpiteet!$Y$4,TP!$AG:$AG,Toimenpiteet!$Y$5,TP!$L:$L,Toimenpiteet!$V$2,TP!AL:AL,$AC$4)</f>
        <v>0</v>
      </c>
      <c r="AL103" s="638"/>
      <c r="AM103" s="646" t="s">
        <v>55</v>
      </c>
      <c r="AN103" s="646" t="s">
        <v>55</v>
      </c>
      <c r="AO103" t="s">
        <v>275</v>
      </c>
    </row>
    <row r="104" spans="1:41" x14ac:dyDescent="0.25">
      <c r="A104" s="915"/>
      <c r="B104" s="672" t="s">
        <v>1153</v>
      </c>
      <c r="C104" s="111">
        <f>SUMIFS(TP!$P:$P,TP!$AI:$AI,$W$7,TP!$R:$R,$X$9,TP!$U:$U,Toimenpiteet!$T104,TP!$W:$W,Toimenpiteet!$X$8,TP!$X:$X,Toimenpiteet!$X$6,TP!$AD:$AD,$X$9,TP!$AF:$AF,Toimenpiteet!$Y$6,TP!$Q:$Q,Toimenpiteet!$Y$4,TP!$AG:$AG,Toimenpiteet!$Y$5,TP!$L:$L,Toimenpiteet!$V$2,TP!AL:AL,$AC$4)+V104+AD104</f>
        <v>0</v>
      </c>
      <c r="D104" s="112">
        <f t="shared" si="14"/>
        <v>0</v>
      </c>
      <c r="E104" s="111">
        <f>SUMIFS(TP!$P:$P,TP!$AI:$AI,$W$7,TP!$R:$R,$X$9,TP!$U:$U,Toimenpiteet!$T104,TP!$W:$W,Toimenpiteet!$X$8,TP!$X:$X,Toimenpiteet!$X$6,TP!$V:$V,Toimenpiteet!$X$7,TP!$AD:$AD,$X$9,TP!$AF:$AF,Toimenpiteet!$Y$6,TP!$Q:$Q,Toimenpiteet!$Y$4,TP!$AG:$AG,Toimenpiteet!$Y$5,TP!$L:$L,Toimenpiteet!$V$2,TP!AL:AL,$AC$4)+W104+AE104</f>
        <v>0</v>
      </c>
      <c r="F104" s="111">
        <f>SUMIFS(TP!$P:$P,TP!$AI:$AI,$W$7,TP!$R:$R,$X$9,TP!$U:$U,Toimenpiteet!$T104,TP!$W:$W,Toimenpiteet!$X$8,TP!$X:$X,Toimenpiteet!$X$6,TP!$V:$V,Toimenpiteet!$Y$7,TP!$AD:$AD,$X$9,TP!$AF:$AF,Toimenpiteet!$Y$6,TP!$Q:$Q,Toimenpiteet!$Y$4,TP!$AG:$AG,Toimenpiteet!$Y$5,TP!$L:$L,Toimenpiteet!$V$2,TP!AL:AL,$AC$4)+X104+AF104</f>
        <v>0</v>
      </c>
      <c r="G104" s="111">
        <f>SUMIFS(TP!$P:$P,TP!$AI:$AI,$W$7,TP!$R:$R,$X$9,TP!$U:$U,Toimenpiteet!$T104,TP!$W:$W,Toimenpiteet!$Y$8,TP!$X:$X,Toimenpiteet!$X$6,TP!$AD:$AD,$X$9,TP!$AF:$AF,Toimenpiteet!$Y$6,TP!$Q:$Q,Toimenpiteet!$Y$4,TP!$AG:$AG,Toimenpiteet!$Y$5,TP!$L:$L,Toimenpiteet!$V$2,TP!AL:AL,$AC$4)+Y104+AG104</f>
        <v>0</v>
      </c>
      <c r="H104" s="113"/>
      <c r="I104" s="114"/>
      <c r="J104" s="115">
        <f>SUMIFS(TP!$P:$P,TP!$AI:$AI,$W$7,TP!$R:$R,$X$9,TP!$U:$U,Toimenpiteet!$T104,TP!$W:$W,Toimenpiteet!$X$8,TP!$X:$X,Toimenpiteet!$X$6,TP!$Z:$Z,1,TP!$AD:$AD,$X$9,TP!$AF:$AF,Toimenpiteet!$Y$6,TP!$Q:$Q,Toimenpiteet!$Y$4,TP!$AG:$AG,Toimenpiteet!$Y$5,TP!$L:$L,Toimenpiteet!$V$2,TP!AL:AL,$AC$4)</f>
        <v>0</v>
      </c>
      <c r="K104" s="111">
        <f>SUMIFS(TP!$P:$P,TP!$AI:$AI,$W$7,TP!$R:$R,$X$9,TP!$U:$U,Toimenpiteet!$T104,TP!$W:$W,Toimenpiteet!$X$8,TP!$X:$X,Toimenpiteet!$X$6,TP!$O:$O,Toimenpiteet!$Z$3,TP!$AD:$AD,$X$9,TP!$AF:$AF,Toimenpiteet!$Y$6,TP!$Q:$Q,Toimenpiteet!$Y$4,TP!$AG:$AG,Toimenpiteet!$Y$5,TP!$L:$L,Toimenpiteet!$V$2,TP!AL:AL,$AC$4)</f>
        <v>0</v>
      </c>
      <c r="L104" s="111">
        <f>SUMIFS(TP!$P:$P,TP!$AI:$AI,$W$7,TP!$R:$R,$X$9,TP!$U:$U,Toimenpiteet!$T104,TP!$W:$W,Toimenpiteet!$X$8,TP!$X:$X,Toimenpiteet!$X$6,TP!$K:$K,Toimenpiteet!$Z$6,TP!$AD:$AD,$X$9,TP!$AF:$AF,Toimenpiteet!$Y$6,TP!$Q:$Q,Toimenpiteet!$Y$4,TP!$AG:$AG,Toimenpiteet!$Y$5,TP!$L:$L,Toimenpiteet!$V$2,TP!AL:AL,$AC$4)</f>
        <v>0</v>
      </c>
      <c r="M104" s="111">
        <f>SUMIFS(TP!$P:$P,TP!$AI:$AI,$W$7,TP!$R:$R,$X$9,TP!$U:$U,Toimenpiteet!$T104,TP!$W:$W,Toimenpiteet!$X$8,TP!$X:$X,Toimenpiteet!$X$6,TP!$K:$K,Toimenpiteet!$Z$7,TP!$AD:$AD,$X$9,TP!$AF:$AF,Toimenpiteet!$Y$6,TP!$Q:$Q,Toimenpiteet!$Y$4,TP!$AG:$AG,Toimenpiteet!$Y$5,TP!$L:$L,Toimenpiteet!$V$2,TP!AL:AL,$AC$4)</f>
        <v>0</v>
      </c>
      <c r="N104" s="111">
        <f>SUMIFS(TP!$P:$P,TP!$AI:$AI,$W$7,TP!$R:$R,$X$9,TP!$U:$U,Toimenpiteet!$T104,TP!$W:$W,Toimenpiteet!$X$8,TP!$X:$X,Toimenpiteet!$X$6,TP!$K:$K,Toimenpiteet!$Z$8,TP!$AD:$AD,$X$9,TP!$AF:$AF,Toimenpiteet!$Y$6,TP!$Q:$Q,Toimenpiteet!$Y$4,TP!$AG:$AG,Toimenpiteet!$Y$5,TP!$L:$L,Toimenpiteet!$V$2,TP!AL:AL,$AC$4)</f>
        <v>0</v>
      </c>
      <c r="O104" s="116">
        <f>SUMIFS(TP!$P:$P,TP!$AI:$AI,$W$7,TP!$R:$R,$X$9,TP!$U:$U,Toimenpiteet!$T104,TP!$W:$W,Toimenpiteet!$X$8,TP!$X:$X,Toimenpiteet!$X$6,TP!$K:$K,Toimenpiteet!$Z$5,TP!$AD:$AD,$X$9,TP!$AF:$AF,Toimenpiteet!$Y$6,TP!$Q:$Q,Toimenpiteet!$Y$4,TP!$AG:$AG,Toimenpiteet!$Y$5,TP!$L:$L,Toimenpiteet!$V$2,TP!AL:AL,$AC$4)</f>
        <v>0</v>
      </c>
      <c r="T104" s="653" t="s">
        <v>1136</v>
      </c>
      <c r="U104" s="652" t="s">
        <v>284</v>
      </c>
      <c r="V104" s="111">
        <f>SUMIFS(TP!$P:$P,TP!$AI:$AI,$W$7,TP!$R:$R,$X$9,TP!$U:$U,Toimenpiteet!$U104,TP!$W:$W,Toimenpiteet!$X$8,TP!$X:$X,Toimenpiteet!$X$6,TP!$AD:$AD,$X$9,TP!$AF:$AF,Toimenpiteet!$Y$6,TP!$Q:$Q,Toimenpiteet!$Y$4,TP!$AG:$AG,Toimenpiteet!$Y$5,TP!$L:$L,Toimenpiteet!$V$2,TP!AL:AL,$AC$4)</f>
        <v>0</v>
      </c>
      <c r="W104" s="111">
        <f>SUMIFS(TP!$P:$P,TP!$AI:$AI,$W$7,TP!$R:$R,$X$9,TP!$U:$U,Toimenpiteet!$U104,TP!$W:$W,Toimenpiteet!$X$8,TP!$X:$X,Toimenpiteet!$X$6,TP!$V:$V,Toimenpiteet!$X$7,TP!$AD:$AD,$X$9,TP!$AF:$AF,Toimenpiteet!$Y$6,TP!$Q:$Q,Toimenpiteet!$Y$4,TP!$AG:$AG,Toimenpiteet!$Y$5,TP!$L:$L,Toimenpiteet!$V$2,TP!AL:AL,$AC$4)</f>
        <v>0</v>
      </c>
      <c r="X104" s="111">
        <f>SUMIFS(TP!$P:$P,TP!$AI:$AI,$W$7,TP!$R:$R,$X$9,TP!$U:$U,Toimenpiteet!$U104,TP!$W:$W,Toimenpiteet!$X$8,TP!$X:$X,Toimenpiteet!$X$6,TP!$V:$V,Toimenpiteet!$Y$7,TP!$AD:$AD,$X$9,TP!$AF:$AF,Toimenpiteet!$Y$6,TP!$Q:$Q,Toimenpiteet!$Y$4,TP!$AG:$AG,Toimenpiteet!$Y$5,TP!$L:$L,Toimenpiteet!$V$2,TP!AL:AL,$AC$4)</f>
        <v>0</v>
      </c>
      <c r="Y104" s="111">
        <f>SUMIFS(TP!$P:$P,TP!$AI:$AI,$W$7,TP!$R:$R,$X$9,TP!$U:$U,Toimenpiteet!$U104,TP!$W:$W,Toimenpiteet!$Y$8,TP!$X:$X,Toimenpiteet!$X$6,TP!$AD:$AD,$X$9,TP!$AF:$AF,Toimenpiteet!$Y$6,TP!$Q:$Q,Toimenpiteet!$Y$4,TP!$AG:$AG,Toimenpiteet!$Y$5,TP!$L:$L,Toimenpiteet!$V$2,TP!AL:AL,$AC$4)</f>
        <v>0</v>
      </c>
      <c r="AD104" s="111">
        <f>SUMIFS(TP!$P:$P,TP!$AI:$AI,$W$7,TP!$R:$R,$X$9,TP!$U:$U,Toimenpiteet!$AC104,TP!$W:$W,Toimenpiteet!$X$8,TP!$X:$X,Toimenpiteet!$X$6,TP!$AD:$AD,$X$9,TP!$AF:$AF,Toimenpiteet!$Y$6,TP!$Q:$Q,Toimenpiteet!$Y$4,TP!$AG:$AG,Toimenpiteet!$Y$5,TP!$L:$L,Toimenpiteet!$V$2,TP!AL:AL,$AC$4)</f>
        <v>0</v>
      </c>
      <c r="AE104" s="111">
        <f>SUMIFS(TP!$P:$P,TP!$AI:$AI,$W$7,TP!$R:$R,$X$9,TP!$U:$U,Toimenpiteet!$AC104,TP!$W:$W,Toimenpiteet!$X$8,TP!$X:$X,Toimenpiteet!$X$6,TP!$V:$V,Toimenpiteet!$X$7,TP!$AD:$AD,$X$9,TP!$AF:$AF,Toimenpiteet!$Y$6,TP!$Q:$Q,Toimenpiteet!$Y$4,TP!$AG:$AG,Toimenpiteet!$Y$5,TP!$L:$L,Toimenpiteet!$V$2,TP!AL:AL,$AC$4)</f>
        <v>0</v>
      </c>
      <c r="AF104" s="111">
        <f>SUMIFS(TP!$P:$P,TP!$AI:$AI,$W$7,TP!$R:$R,$X$9,TP!$U:$U,Toimenpiteet!$AC104,TP!$W:$W,Toimenpiteet!$X$8,TP!$X:$X,Toimenpiteet!$X$6,TP!$V:$V,Toimenpiteet!$Y$7,TP!$AD:$AD,$X$9,TP!$AF:$AF,Toimenpiteet!$Y$6,TP!$Q:$Q,Toimenpiteet!$Y$4,TP!$AG:$AG,Toimenpiteet!$Y$5,TP!$L:$L,Toimenpiteet!$V$2,TP!AL:AL,$AC$4)</f>
        <v>0</v>
      </c>
      <c r="AG104" s="111">
        <f>SUMIFS(TP!$P:$P,TP!$AI:$AI,$W$7,TP!$R:$R,$X$9,TP!$U:$U,Toimenpiteet!$AC104,TP!$W:$W,Toimenpiteet!$Y$8,TP!$X:$X,Toimenpiteet!$X$6,TP!$AD:$AD,$X$9,TP!$AF:$AF,Toimenpiteet!$Y$6,TP!$Q:$Q,Toimenpiteet!$Y$4,TP!$AG:$AG,Toimenpiteet!$Y$5,TP!$L:$L,Toimenpiteet!$V$2,TP!AL:AL,$AC$4)</f>
        <v>0</v>
      </c>
      <c r="AL104" s="638"/>
      <c r="AM104" s="646" t="s">
        <v>1432</v>
      </c>
      <c r="AN104" s="646" t="s">
        <v>1432</v>
      </c>
      <c r="AO104" t="s">
        <v>1136</v>
      </c>
    </row>
    <row r="105" spans="1:41" ht="15" customHeight="1" x14ac:dyDescent="0.25">
      <c r="A105" s="915"/>
      <c r="B105" s="672" t="s">
        <v>1154</v>
      </c>
      <c r="C105" s="111">
        <f>SUMIFS(TP!$P:$P,TP!$AI:$AI,$W$7,TP!$R:$R,$X$9,TP!$U:$U,Toimenpiteet!$T105,TP!$W:$W,Toimenpiteet!$X$8,TP!$X:$X,Toimenpiteet!$X$6,TP!$AD:$AD,$X$9,TP!$AF:$AF,Toimenpiteet!$Y$6,TP!$Q:$Q,Toimenpiteet!$Y$4,TP!$AG:$AG,Toimenpiteet!$Y$5,TP!$L:$L,Toimenpiteet!$V$2,TP!AL:AL,$AC$4)+V105+AD105</f>
        <v>0</v>
      </c>
      <c r="D105" s="112">
        <f t="shared" si="14"/>
        <v>0</v>
      </c>
      <c r="E105" s="111">
        <f>SUMIFS(TP!$P:$P,TP!$AI:$AI,$W$7,TP!$R:$R,$X$9,TP!$U:$U,Toimenpiteet!$T105,TP!$W:$W,Toimenpiteet!$X$8,TP!$X:$X,Toimenpiteet!$X$6,TP!$V:$V,Toimenpiteet!$X$7,TP!$AD:$AD,$X$9,TP!$AF:$AF,Toimenpiteet!$Y$6,TP!$Q:$Q,Toimenpiteet!$Y$4,TP!$AG:$AG,Toimenpiteet!$Y$5,TP!$L:$L,Toimenpiteet!$V$2,TP!AL:AL,$AC$4)+W105+AE105</f>
        <v>0</v>
      </c>
      <c r="F105" s="111">
        <f>SUMIFS(TP!$P:$P,TP!$AI:$AI,$W$7,TP!$R:$R,$X$9,TP!$U:$U,Toimenpiteet!$T105,TP!$W:$W,Toimenpiteet!$X$8,TP!$X:$X,Toimenpiteet!$X$6,TP!$V:$V,Toimenpiteet!$Y$7,TP!$AD:$AD,$X$9,TP!$AF:$AF,Toimenpiteet!$Y$6,TP!$Q:$Q,Toimenpiteet!$Y$4,TP!$AG:$AG,Toimenpiteet!$Y$5,TP!$L:$L,Toimenpiteet!$V$2,TP!AL:AL,$AC$4)+X105+AF105</f>
        <v>0</v>
      </c>
      <c r="G105" s="111">
        <f>SUMIFS(TP!$P:$P,TP!$AI:$AI,$W$7,TP!$R:$R,$X$9,TP!$U:$U,Toimenpiteet!$T105,TP!$W:$W,Toimenpiteet!$Y$8,TP!$X:$X,Toimenpiteet!$X$6,TP!$AD:$AD,$X$9,TP!$AF:$AF,Toimenpiteet!$Y$6,TP!$Q:$Q,Toimenpiteet!$Y$4,TP!$AG:$AG,Toimenpiteet!$Y$5,TP!$L:$L,Toimenpiteet!$V$2,TP!AL:AL,$AC$4)+Y105+AG105</f>
        <v>0</v>
      </c>
      <c r="H105" s="113"/>
      <c r="I105" s="114"/>
      <c r="J105" s="115">
        <f>SUMIFS(TP!$P:$P,TP!$AI:$AI,$W$7,TP!$R:$R,$X$9,TP!$U:$U,Toimenpiteet!$T105,TP!$W:$W,Toimenpiteet!$X$8,TP!$X:$X,Toimenpiteet!$X$6,TP!$Z:$Z,1,TP!$AD:$AD,$X$9,TP!$AF:$AF,Toimenpiteet!$Y$6,TP!$Q:$Q,Toimenpiteet!$Y$4,TP!$AG:$AG,Toimenpiteet!$Y$5,TP!$L:$L,Toimenpiteet!$V$2,TP!AL:AL,$AC$4)</f>
        <v>0</v>
      </c>
      <c r="K105" s="111">
        <f>SUMIFS(TP!$P:$P,TP!$AI:$AI,$W$7,TP!$R:$R,$X$9,TP!$U:$U,Toimenpiteet!$T105,TP!$W:$W,Toimenpiteet!$X$8,TP!$X:$X,Toimenpiteet!$X$6,TP!$O:$O,Toimenpiteet!$Z$3,TP!$AD:$AD,$X$9,TP!$AF:$AF,Toimenpiteet!$Y$6,TP!$Q:$Q,Toimenpiteet!$Y$4,TP!$AG:$AG,Toimenpiteet!$Y$5,TP!$L:$L,Toimenpiteet!$V$2,TP!AL:AL,$AC$4)</f>
        <v>0</v>
      </c>
      <c r="L105" s="111">
        <f>SUMIFS(TP!$P:$P,TP!$AI:$AI,$W$7,TP!$R:$R,$X$9,TP!$U:$U,Toimenpiteet!$T105,TP!$W:$W,Toimenpiteet!$X$8,TP!$X:$X,Toimenpiteet!$X$6,TP!$K:$K,Toimenpiteet!$Z$6,TP!$AD:$AD,$X$9,TP!$AF:$AF,Toimenpiteet!$Y$6,TP!$Q:$Q,Toimenpiteet!$Y$4,TP!$AG:$AG,Toimenpiteet!$Y$5,TP!$L:$L,Toimenpiteet!$V$2,TP!AL:AL,$AC$4)</f>
        <v>0</v>
      </c>
      <c r="M105" s="111">
        <f>SUMIFS(TP!$P:$P,TP!$AI:$AI,$W$7,TP!$R:$R,$X$9,TP!$U:$U,Toimenpiteet!$T105,TP!$W:$W,Toimenpiteet!$X$8,TP!$X:$X,Toimenpiteet!$X$6,TP!$K:$K,Toimenpiteet!$Z$7,TP!$AD:$AD,$X$9,TP!$AF:$AF,Toimenpiteet!$Y$6,TP!$Q:$Q,Toimenpiteet!$Y$4,TP!$AG:$AG,Toimenpiteet!$Y$5,TP!$L:$L,Toimenpiteet!$V$2,TP!AL:AL,$AC$4)</f>
        <v>0</v>
      </c>
      <c r="N105" s="111">
        <f>SUMIFS(TP!$P:$P,TP!$AI:$AI,$W$7,TP!$R:$R,$X$9,TP!$U:$U,Toimenpiteet!$T105,TP!$W:$W,Toimenpiteet!$X$8,TP!$X:$X,Toimenpiteet!$X$6,TP!$K:$K,Toimenpiteet!$Z$8,TP!$AD:$AD,$X$9,TP!$AF:$AF,Toimenpiteet!$Y$6,TP!$Q:$Q,Toimenpiteet!$Y$4,TP!$AG:$AG,Toimenpiteet!$Y$5,TP!$L:$L,Toimenpiteet!$V$2,TP!AL:AL,$AC$4)</f>
        <v>0</v>
      </c>
      <c r="O105" s="116">
        <f>SUMIFS(TP!$P:$P,TP!$AI:$AI,$W$7,TP!$R:$R,$X$9,TP!$U:$U,Toimenpiteet!$T105,TP!$W:$W,Toimenpiteet!$X$8,TP!$X:$X,Toimenpiteet!$X$6,TP!$K:$K,Toimenpiteet!$Z$5,TP!$AD:$AD,$X$9,TP!$AF:$AF,Toimenpiteet!$Y$6,TP!$Q:$Q,Toimenpiteet!$Y$4,TP!$AG:$AG,Toimenpiteet!$Y$5,TP!$L:$L,Toimenpiteet!$V$2,TP!AL:AL,$AC$4)</f>
        <v>0</v>
      </c>
      <c r="T105" s="653" t="s">
        <v>1137</v>
      </c>
      <c r="U105" s="652" t="s">
        <v>299</v>
      </c>
      <c r="V105" s="111">
        <f>SUMIFS(TP!$P:$P,TP!$AI:$AI,$W$7,TP!$R:$R,$X$9,TP!$U:$U,Toimenpiteet!$U105,TP!$W:$W,Toimenpiteet!$X$8,TP!$X:$X,Toimenpiteet!$X$6,TP!$AD:$AD,$X$9,TP!$AF:$AF,Toimenpiteet!$Y$6,TP!$Q:$Q,Toimenpiteet!$Y$4,TP!$AG:$AG,Toimenpiteet!$Y$5,TP!$L:$L,Toimenpiteet!$V$2,TP!AL:AL,$AC$4)</f>
        <v>0</v>
      </c>
      <c r="W105" s="111">
        <f>SUMIFS(TP!$P:$P,TP!$AI:$AI,$W$7,TP!$R:$R,$X$9,TP!$U:$U,Toimenpiteet!$U105,TP!$W:$W,Toimenpiteet!$X$8,TP!$X:$X,Toimenpiteet!$X$6,TP!$V:$V,Toimenpiteet!$X$7,TP!$AD:$AD,$X$9,TP!$AF:$AF,Toimenpiteet!$Y$6,TP!$Q:$Q,Toimenpiteet!$Y$4,TP!$AG:$AG,Toimenpiteet!$Y$5,TP!$L:$L,Toimenpiteet!$V$2,TP!AL:AL,$AC$4)</f>
        <v>0</v>
      </c>
      <c r="X105" s="111">
        <f>SUMIFS(TP!$P:$P,TP!$AI:$AI,$W$7,TP!$R:$R,$X$9,TP!$U:$U,Toimenpiteet!$U105,TP!$W:$W,Toimenpiteet!$X$8,TP!$X:$X,Toimenpiteet!$X$6,TP!$V:$V,Toimenpiteet!$Y$7,TP!$AD:$AD,$X$9,TP!$AF:$AF,Toimenpiteet!$Y$6,TP!$Q:$Q,Toimenpiteet!$Y$4,TP!$AG:$AG,Toimenpiteet!$Y$5,TP!$L:$L,Toimenpiteet!$V$2,TP!AL:AL,$AC$4)</f>
        <v>0</v>
      </c>
      <c r="Y105" s="111">
        <f>SUMIFS(TP!$P:$P,TP!$AI:$AI,$W$7,TP!$R:$R,$X$9,TP!$U:$U,Toimenpiteet!$U105,TP!$W:$W,Toimenpiteet!$Y$8,TP!$X:$X,Toimenpiteet!$X$6,TP!$AD:$AD,$X$9,TP!$AF:$AF,Toimenpiteet!$Y$6,TP!$Q:$Q,Toimenpiteet!$Y$4,TP!$AG:$AG,Toimenpiteet!$Y$5,TP!$L:$L,Toimenpiteet!$V$2,TP!AL:AL,$AC$4)</f>
        <v>0</v>
      </c>
      <c r="AD105" s="111">
        <f>SUMIFS(TP!$P:$P,TP!$AI:$AI,$W$7,TP!$R:$R,$X$9,TP!$U:$U,Toimenpiteet!$AC105,TP!$W:$W,Toimenpiteet!$X$8,TP!$X:$X,Toimenpiteet!$X$6,TP!$AD:$AD,$X$9,TP!$AF:$AF,Toimenpiteet!$Y$6,TP!$Q:$Q,Toimenpiteet!$Y$4,TP!$AG:$AG,Toimenpiteet!$Y$5,TP!$L:$L,Toimenpiteet!$V$2,TP!AL:AL,$AC$4)</f>
        <v>0</v>
      </c>
      <c r="AE105" s="111">
        <f>SUMIFS(TP!$P:$P,TP!$AI:$AI,$W$7,TP!$R:$R,$X$9,TP!$U:$U,Toimenpiteet!$AC105,TP!$W:$W,Toimenpiteet!$X$8,TP!$X:$X,Toimenpiteet!$X$6,TP!$V:$V,Toimenpiteet!$X$7,TP!$AD:$AD,$X$9,TP!$AF:$AF,Toimenpiteet!$Y$6,TP!$Q:$Q,Toimenpiteet!$Y$4,TP!$AG:$AG,Toimenpiteet!$Y$5,TP!$L:$L,Toimenpiteet!$V$2,TP!AL:AL,$AC$4)</f>
        <v>0</v>
      </c>
      <c r="AF105" s="111">
        <f>SUMIFS(TP!$P:$P,TP!$AI:$AI,$W$7,TP!$R:$R,$X$9,TP!$U:$U,Toimenpiteet!$AC105,TP!$W:$W,Toimenpiteet!$X$8,TP!$X:$X,Toimenpiteet!$X$6,TP!$V:$V,Toimenpiteet!$Y$7,TP!$AD:$AD,$X$9,TP!$AF:$AF,Toimenpiteet!$Y$6,TP!$Q:$Q,Toimenpiteet!$Y$4,TP!$AG:$AG,Toimenpiteet!$Y$5,TP!$L:$L,Toimenpiteet!$V$2,TP!AL:AL,$AC$4)</f>
        <v>0</v>
      </c>
      <c r="AG105" s="111">
        <f>SUMIFS(TP!$P:$P,TP!$AI:$AI,$W$7,TP!$R:$R,$X$9,TP!$U:$U,Toimenpiteet!$AC105,TP!$W:$W,Toimenpiteet!$Y$8,TP!$X:$X,Toimenpiteet!$X$6,TP!$AD:$AD,$X$9,TP!$AF:$AF,Toimenpiteet!$Y$6,TP!$Q:$Q,Toimenpiteet!$Y$4,TP!$AG:$AG,Toimenpiteet!$Y$5,TP!$L:$L,Toimenpiteet!$V$2,TP!AL:AL,$AC$4)</f>
        <v>0</v>
      </c>
      <c r="AL105" s="638"/>
      <c r="AM105" s="646" t="s">
        <v>1433</v>
      </c>
      <c r="AN105" s="646" t="s">
        <v>1433</v>
      </c>
      <c r="AO105" t="s">
        <v>1137</v>
      </c>
    </row>
    <row r="106" spans="1:41" x14ac:dyDescent="0.25">
      <c r="A106" s="915"/>
      <c r="B106" s="672" t="s">
        <v>76</v>
      </c>
      <c r="C106" s="111">
        <f>SUMIFS(TP!$P:$P,TP!$AI:$AI,$W$7,TP!$R:$R,$X$9,TP!$U:$U,Toimenpiteet!$T106,TP!$W:$W,Toimenpiteet!$X$8,TP!$X:$X,Toimenpiteet!$X$6,TP!$AD:$AD,$X$9,TP!$AF:$AF,Toimenpiteet!$Y$6,TP!$Q:$Q,Toimenpiteet!$Y$4,TP!$AG:$AG,Toimenpiteet!$Y$5,TP!$L:$L,Toimenpiteet!$V$2,TP!AL:AL,$AC$4)+V106+AD106</f>
        <v>0</v>
      </c>
      <c r="D106" s="112">
        <f t="shared" si="14"/>
        <v>0</v>
      </c>
      <c r="E106" s="111">
        <f>SUMIFS(TP!$P:$P,TP!$AI:$AI,$W$7,TP!$R:$R,$X$9,TP!$U:$U,Toimenpiteet!$T106,TP!$W:$W,Toimenpiteet!$X$8,TP!$X:$X,Toimenpiteet!$X$6,TP!$V:$V,Toimenpiteet!$X$7,TP!$AD:$AD,$X$9,TP!$AF:$AF,Toimenpiteet!$Y$6,TP!$Q:$Q,Toimenpiteet!$Y$4,TP!$AG:$AG,Toimenpiteet!$Y$5,TP!$L:$L,Toimenpiteet!$V$2,TP!AL:AL,$AC$4)+W106+AE106</f>
        <v>0</v>
      </c>
      <c r="F106" s="111">
        <f>SUMIFS(TP!$P:$P,TP!$AI:$AI,$W$7,TP!$R:$R,$X$9,TP!$U:$U,Toimenpiteet!$T106,TP!$W:$W,Toimenpiteet!$X$8,TP!$X:$X,Toimenpiteet!$X$6,TP!$V:$V,Toimenpiteet!$Y$7,TP!$AD:$AD,$X$9,TP!$AF:$AF,Toimenpiteet!$Y$6,TP!$Q:$Q,Toimenpiteet!$Y$4,TP!$AG:$AG,Toimenpiteet!$Y$5,TP!$L:$L,Toimenpiteet!$V$2,TP!AL:AL,$AC$4)+X106+AF106</f>
        <v>0</v>
      </c>
      <c r="G106" s="111">
        <f>SUMIFS(TP!$P:$P,TP!$AI:$AI,$W$7,TP!$R:$R,$X$9,TP!$U:$U,Toimenpiteet!$T106,TP!$W:$W,Toimenpiteet!$Y$8,TP!$X:$X,Toimenpiteet!$X$6,TP!$AD:$AD,$X$9,TP!$AF:$AF,Toimenpiteet!$Y$6,TP!$Q:$Q,Toimenpiteet!$Y$4,TP!$AG:$AG,Toimenpiteet!$Y$5,TP!$L:$L,Toimenpiteet!$V$2,TP!AL:AL,$AC$4)+Y106+AG106</f>
        <v>0</v>
      </c>
      <c r="H106" s="113"/>
      <c r="I106" s="114"/>
      <c r="J106" s="115">
        <f>SUMIFS(TP!$P:$P,TP!$AI:$AI,$W$7,TP!$R:$R,$X$9,TP!$U:$U,Toimenpiteet!$T106,TP!$W:$W,Toimenpiteet!$X$8,TP!$X:$X,Toimenpiteet!$X$6,TP!$Z:$Z,1,TP!$AD:$AD,$X$9,TP!$AF:$AF,Toimenpiteet!$Y$6,TP!$Q:$Q,Toimenpiteet!$Y$4,TP!$AG:$AG,Toimenpiteet!$Y$5,TP!$L:$L,Toimenpiteet!$V$2,TP!AL:AL,$AC$4)</f>
        <v>0</v>
      </c>
      <c r="K106" s="111">
        <f>SUMIFS(TP!$P:$P,TP!$AI:$AI,$W$7,TP!$R:$R,$X$9,TP!$U:$U,Toimenpiteet!$T106,TP!$W:$W,Toimenpiteet!$X$8,TP!$X:$X,Toimenpiteet!$X$6,TP!$O:$O,Toimenpiteet!$Z$3,TP!$AD:$AD,$X$9,TP!$AF:$AF,Toimenpiteet!$Y$6,TP!$Q:$Q,Toimenpiteet!$Y$4,TP!$AG:$AG,Toimenpiteet!$Y$5,TP!$L:$L,Toimenpiteet!$V$2,TP!AL:AL,$AC$4)</f>
        <v>0</v>
      </c>
      <c r="L106" s="111">
        <f>SUMIFS(TP!$P:$P,TP!$AI:$AI,$W$7,TP!$R:$R,$X$9,TP!$U:$U,Toimenpiteet!$T106,TP!$W:$W,Toimenpiteet!$X$8,TP!$X:$X,Toimenpiteet!$X$6,TP!$K:$K,Toimenpiteet!$Z$6,TP!$AD:$AD,$X$9,TP!$AF:$AF,Toimenpiteet!$Y$6,TP!$Q:$Q,Toimenpiteet!$Y$4,TP!$AG:$AG,Toimenpiteet!$Y$5,TP!$L:$L,Toimenpiteet!$V$2,TP!AL:AL,$AC$4)</f>
        <v>0</v>
      </c>
      <c r="M106" s="111">
        <f>SUMIFS(TP!$P:$P,TP!$AI:$AI,$W$7,TP!$R:$R,$X$9,TP!$U:$U,Toimenpiteet!$T106,TP!$W:$W,Toimenpiteet!$X$8,TP!$X:$X,Toimenpiteet!$X$6,TP!$K:$K,Toimenpiteet!$Z$7,TP!$AD:$AD,$X$9,TP!$AF:$AF,Toimenpiteet!$Y$6,TP!$Q:$Q,Toimenpiteet!$Y$4,TP!$AG:$AG,Toimenpiteet!$Y$5,TP!$L:$L,Toimenpiteet!$V$2,TP!AL:AL,$AC$4)</f>
        <v>0</v>
      </c>
      <c r="N106" s="111">
        <f>SUMIFS(TP!$P:$P,TP!$AI:$AI,$W$7,TP!$R:$R,$X$9,TP!$U:$U,Toimenpiteet!$T106,TP!$W:$W,Toimenpiteet!$X$8,TP!$X:$X,Toimenpiteet!$X$6,TP!$K:$K,Toimenpiteet!$Z$8,TP!$AD:$AD,$X$9,TP!$AF:$AF,Toimenpiteet!$Y$6,TP!$Q:$Q,Toimenpiteet!$Y$4,TP!$AG:$AG,Toimenpiteet!$Y$5,TP!$L:$L,Toimenpiteet!$V$2,TP!AL:AL,$AC$4)</f>
        <v>0</v>
      </c>
      <c r="O106" s="116">
        <f>SUMIFS(TP!$P:$P,TP!$AI:$AI,$W$7,TP!$R:$R,$X$9,TP!$U:$U,Toimenpiteet!$T106,TP!$W:$W,Toimenpiteet!$X$8,TP!$X:$X,Toimenpiteet!$X$6,TP!$K:$K,Toimenpiteet!$Z$5,TP!$AD:$AD,$X$9,TP!$AF:$AF,Toimenpiteet!$Y$6,TP!$Q:$Q,Toimenpiteet!$Y$4,TP!$AG:$AG,Toimenpiteet!$Y$5,TP!$L:$L,Toimenpiteet!$V$2,TP!AL:AL,$AC$4)</f>
        <v>0</v>
      </c>
      <c r="T106" s="651" t="s">
        <v>517</v>
      </c>
      <c r="U106"/>
      <c r="V106" s="111">
        <f>SUMIFS(TP!$P:$P,TP!$AI:$AI,$W$7,TP!$R:$R,$X$9,TP!$U:$U,Toimenpiteet!$U106,TP!$W:$W,Toimenpiteet!$X$8,TP!$X:$X,Toimenpiteet!$X$6,TP!$AD:$AD,$X$9,TP!$AF:$AF,Toimenpiteet!$Y$6,TP!$Q:$Q,Toimenpiteet!$Y$4,TP!$AG:$AG,Toimenpiteet!$Y$5,TP!$L:$L,Toimenpiteet!$V$2,TP!AL:AL,$AC$4)</f>
        <v>0</v>
      </c>
      <c r="W106" s="111">
        <f>SUMIFS(TP!$P:$P,TP!$AI:$AI,$W$7,TP!$R:$R,$X$9,TP!$U:$U,Toimenpiteet!$U106,TP!$W:$W,Toimenpiteet!$X$8,TP!$X:$X,Toimenpiteet!$X$6,TP!$V:$V,Toimenpiteet!$X$7,TP!$AD:$AD,$X$9,TP!$AF:$AF,Toimenpiteet!$Y$6,TP!$Q:$Q,Toimenpiteet!$Y$4,TP!$AG:$AG,Toimenpiteet!$Y$5,TP!$L:$L,Toimenpiteet!$V$2,TP!AL:AL,$AC$4)</f>
        <v>0</v>
      </c>
      <c r="X106" s="111">
        <f>SUMIFS(TP!$P:$P,TP!$AI:$AI,$W$7,TP!$R:$R,$X$9,TP!$U:$U,Toimenpiteet!$U106,TP!$W:$W,Toimenpiteet!$X$8,TP!$X:$X,Toimenpiteet!$X$6,TP!$V:$V,Toimenpiteet!$Y$7,TP!$AD:$AD,$X$9,TP!$AF:$AF,Toimenpiteet!$Y$6,TP!$Q:$Q,Toimenpiteet!$Y$4,TP!$AG:$AG,Toimenpiteet!$Y$5,TP!$L:$L,Toimenpiteet!$V$2,TP!AL:AL,$AC$4)</f>
        <v>0</v>
      </c>
      <c r="Y106" s="111">
        <f>SUMIFS(TP!$P:$P,TP!$AI:$AI,$W$7,TP!$R:$R,$X$9,TP!$U:$U,Toimenpiteet!$U106,TP!$W:$W,Toimenpiteet!$Y$8,TP!$X:$X,Toimenpiteet!$X$6,TP!$AD:$AD,$X$9,TP!$AF:$AF,Toimenpiteet!$Y$6,TP!$Q:$Q,Toimenpiteet!$Y$4,TP!$AG:$AG,Toimenpiteet!$Y$5,TP!$L:$L,Toimenpiteet!$V$2,TP!AL:AL,$AC$4)</f>
        <v>0</v>
      </c>
      <c r="AD106" s="111">
        <f>SUMIFS(TP!$P:$P,TP!$AI:$AI,$W$7,TP!$R:$R,$X$9,TP!$U:$U,Toimenpiteet!$AC106,TP!$W:$W,Toimenpiteet!$X$8,TP!$X:$X,Toimenpiteet!$X$6,TP!$AD:$AD,$X$9,TP!$AF:$AF,Toimenpiteet!$Y$6,TP!$Q:$Q,Toimenpiteet!$Y$4,TP!$AG:$AG,Toimenpiteet!$Y$5,TP!$L:$L,Toimenpiteet!$V$2,TP!AL:AL,$AC$4)</f>
        <v>0</v>
      </c>
      <c r="AE106" s="111">
        <f>SUMIFS(TP!$P:$P,TP!$AI:$AI,$W$7,TP!$R:$R,$X$9,TP!$U:$U,Toimenpiteet!$AC106,TP!$W:$W,Toimenpiteet!$X$8,TP!$X:$X,Toimenpiteet!$X$6,TP!$V:$V,Toimenpiteet!$X$7,TP!$AD:$AD,$X$9,TP!$AF:$AF,Toimenpiteet!$Y$6,TP!$Q:$Q,Toimenpiteet!$Y$4,TP!$AG:$AG,Toimenpiteet!$Y$5,TP!$L:$L,Toimenpiteet!$V$2,TP!AL:AL,$AC$4)</f>
        <v>0</v>
      </c>
      <c r="AF106" s="111">
        <f>SUMIFS(TP!$P:$P,TP!$AI:$AI,$W$7,TP!$R:$R,$X$9,TP!$U:$U,Toimenpiteet!$AC106,TP!$W:$W,Toimenpiteet!$X$8,TP!$X:$X,Toimenpiteet!$X$6,TP!$V:$V,Toimenpiteet!$Y$7,TP!$AD:$AD,$X$9,TP!$AF:$AF,Toimenpiteet!$Y$6,TP!$Q:$Q,Toimenpiteet!$Y$4,TP!$AG:$AG,Toimenpiteet!$Y$5,TP!$L:$L,Toimenpiteet!$V$2,TP!AL:AL,$AC$4)</f>
        <v>0</v>
      </c>
      <c r="AG106" s="111">
        <f>SUMIFS(TP!$P:$P,TP!$AI:$AI,$W$7,TP!$R:$R,$X$9,TP!$U:$U,Toimenpiteet!$AC106,TP!$W:$W,Toimenpiteet!$Y$8,TP!$X:$X,Toimenpiteet!$X$6,TP!$AD:$AD,$X$9,TP!$AF:$AF,Toimenpiteet!$Y$6,TP!$Q:$Q,Toimenpiteet!$Y$4,TP!$AG:$AG,Toimenpiteet!$Y$5,TP!$L:$L,Toimenpiteet!$V$2,TP!AL:AL,$AC$4)</f>
        <v>0</v>
      </c>
      <c r="AL106" s="638"/>
      <c r="AM106" s="646" t="s">
        <v>36</v>
      </c>
      <c r="AN106" s="646" t="s">
        <v>36</v>
      </c>
      <c r="AO106" t="s">
        <v>517</v>
      </c>
    </row>
    <row r="107" spans="1:41" x14ac:dyDescent="0.25">
      <c r="A107" s="915"/>
      <c r="B107" s="672" t="s">
        <v>1458</v>
      </c>
      <c r="C107" s="111">
        <f>SUMIFS(TP!$P:$P,TP!$AI:$AI,$W$7,TP!$R:$R,$X$9,TP!$U:$U,Toimenpiteet!$T107,TP!$W:$W,Toimenpiteet!$X$8,TP!$X:$X,Toimenpiteet!$X$6,TP!$AD:$AD,$X$9,TP!$AF:$AF,Toimenpiteet!$Y$6,TP!$Q:$Q,Toimenpiteet!$Y$4,TP!$AG:$AG,Toimenpiteet!$Y$5,TP!$L:$L,Toimenpiteet!$V$2,TP!AL:AL,$AC$4)+V107+AD107</f>
        <v>0</v>
      </c>
      <c r="D107" s="112">
        <f t="shared" si="14"/>
        <v>0</v>
      </c>
      <c r="E107" s="111">
        <f>SUMIFS(TP!$P:$P,TP!$AI:$AI,$W$7,TP!$R:$R,$X$9,TP!$U:$U,Toimenpiteet!$T107,TP!$W:$W,Toimenpiteet!$X$8,TP!$X:$X,Toimenpiteet!$X$6,TP!$V:$V,Toimenpiteet!$X$7,TP!$AD:$AD,$X$9,TP!$AF:$AF,Toimenpiteet!$Y$6,TP!$Q:$Q,Toimenpiteet!$Y$4,TP!$AG:$AG,Toimenpiteet!$Y$5,TP!$L:$L,Toimenpiteet!$V$2,TP!AL:AL,$AC$4)+W107+AE107</f>
        <v>0</v>
      </c>
      <c r="F107" s="111">
        <f>SUMIFS(TP!$P:$P,TP!$AI:$AI,$W$7,TP!$R:$R,$X$9,TP!$U:$U,Toimenpiteet!$T107,TP!$W:$W,Toimenpiteet!$X$8,TP!$X:$X,Toimenpiteet!$X$6,TP!$V:$V,Toimenpiteet!$Y$7,TP!$AD:$AD,$X$9,TP!$AF:$AF,Toimenpiteet!$Y$6,TP!$Q:$Q,Toimenpiteet!$Y$4,TP!$AG:$AG,Toimenpiteet!$Y$5,TP!$L:$L,Toimenpiteet!$V$2,TP!AL:AL,$AC$4)+X107+AF107</f>
        <v>0</v>
      </c>
      <c r="G107" s="111">
        <f>SUMIFS(TP!$P:$P,TP!$AI:$AI,$W$7,TP!$R:$R,$X$9,TP!$U:$U,Toimenpiteet!$T107,TP!$W:$W,Toimenpiteet!$Y$8,TP!$X:$X,Toimenpiteet!$X$6,TP!$AD:$AD,$X$9,TP!$AF:$AF,Toimenpiteet!$Y$6,TP!$Q:$Q,Toimenpiteet!$Y$4,TP!$AG:$AG,Toimenpiteet!$Y$5,TP!$L:$L,Toimenpiteet!$V$2,TP!AL:AL,$AC$4)+Y107+AG107</f>
        <v>0</v>
      </c>
      <c r="H107" s="113"/>
      <c r="I107" s="114"/>
      <c r="J107" s="115">
        <f>SUMIFS(TP!$P:$P,TP!$AI:$AI,$W$7,TP!$R:$R,$X$9,TP!$U:$U,Toimenpiteet!$T107,TP!$W:$W,Toimenpiteet!$X$8,TP!$X:$X,Toimenpiteet!$X$6,TP!$Z:$Z,1,TP!$AD:$AD,$X$9,TP!$AF:$AF,Toimenpiteet!$Y$6,TP!$Q:$Q,Toimenpiteet!$Y$4,TP!$AG:$AG,Toimenpiteet!$Y$5,TP!$L:$L,Toimenpiteet!$V$2,TP!AL:AL,$AC$4)</f>
        <v>0</v>
      </c>
      <c r="K107" s="111">
        <f>SUMIFS(TP!$P:$P,TP!$AI:$AI,$W$7,TP!$R:$R,$X$9,TP!$U:$U,Toimenpiteet!$T107,TP!$W:$W,Toimenpiteet!$X$8,TP!$X:$X,Toimenpiteet!$X$6,TP!$O:$O,Toimenpiteet!$Z$3,TP!$AD:$AD,$X$9,TP!$AF:$AF,Toimenpiteet!$Y$6,TP!$Q:$Q,Toimenpiteet!$Y$4,TP!$AG:$AG,Toimenpiteet!$Y$5,TP!$L:$L,Toimenpiteet!$V$2,TP!AL:AL,$AC$4)</f>
        <v>0</v>
      </c>
      <c r="L107" s="111">
        <f>SUMIFS(TP!$P:$P,TP!$AI:$AI,$W$7,TP!$R:$R,$X$9,TP!$U:$U,Toimenpiteet!$T107,TP!$W:$W,Toimenpiteet!$X$8,TP!$X:$X,Toimenpiteet!$X$6,TP!$K:$K,Toimenpiteet!$Z$6,TP!$AD:$AD,$X$9,TP!$AF:$AF,Toimenpiteet!$Y$6,TP!$Q:$Q,Toimenpiteet!$Y$4,TP!$AG:$AG,Toimenpiteet!$Y$5,TP!$L:$L,Toimenpiteet!$V$2,TP!AL:AL,$AC$4)</f>
        <v>0</v>
      </c>
      <c r="M107" s="111">
        <f>SUMIFS(TP!$P:$P,TP!$AI:$AI,$W$7,TP!$R:$R,$X$9,TP!$U:$U,Toimenpiteet!$T107,TP!$W:$W,Toimenpiteet!$X$8,TP!$X:$X,Toimenpiteet!$X$6,TP!$K:$K,Toimenpiteet!$Z$7,TP!$AD:$AD,$X$9,TP!$AF:$AF,Toimenpiteet!$Y$6,TP!$Q:$Q,Toimenpiteet!$Y$4,TP!$AG:$AG,Toimenpiteet!$Y$5,TP!$L:$L,Toimenpiteet!$V$2,TP!AL:AL,$AC$4)</f>
        <v>0</v>
      </c>
      <c r="N107" s="111">
        <f>SUMIFS(TP!$P:$P,TP!$AI:$AI,$W$7,TP!$R:$R,$X$9,TP!$U:$U,Toimenpiteet!$T107,TP!$W:$W,Toimenpiteet!$X$8,TP!$X:$X,Toimenpiteet!$X$6,TP!$K:$K,Toimenpiteet!$Z$8,TP!$AD:$AD,$X$9,TP!$AF:$AF,Toimenpiteet!$Y$6,TP!$Q:$Q,Toimenpiteet!$Y$4,TP!$AG:$AG,Toimenpiteet!$Y$5,TP!$L:$L,Toimenpiteet!$V$2,TP!AL:AL,$AC$4)</f>
        <v>0</v>
      </c>
      <c r="O107" s="116">
        <f>SUMIFS(TP!$P:$P,TP!$AI:$AI,$W$7,TP!$R:$R,$X$9,TP!$U:$U,Toimenpiteet!$T107,TP!$W:$W,Toimenpiteet!$X$8,TP!$X:$X,Toimenpiteet!$X$6,TP!$K:$K,Toimenpiteet!$Z$5,TP!$AD:$AD,$X$9,TP!$AF:$AF,Toimenpiteet!$Y$6,TP!$Q:$Q,Toimenpiteet!$Y$4,TP!$AG:$AG,Toimenpiteet!$Y$5,TP!$L:$L,Toimenpiteet!$V$2,TP!AL:AL,$AC$4)</f>
        <v>0</v>
      </c>
      <c r="T107" t="s">
        <v>1224</v>
      </c>
      <c r="U107" s="549" t="s">
        <v>271</v>
      </c>
      <c r="V107" s="111">
        <f>SUMIFS(TP!$P:$P,TP!$AI:$AI,$W$7,TP!$R:$R,$X$9,TP!$U:$U,Toimenpiteet!$U107,TP!$W:$W,Toimenpiteet!$X$8,TP!$X:$X,Toimenpiteet!$X$6,TP!$AD:$AD,$X$9,TP!$AF:$AF,Toimenpiteet!$Y$6,TP!$Q:$Q,Toimenpiteet!$Y$4,TP!$AG:$AG,Toimenpiteet!$Y$5,TP!$L:$L,Toimenpiteet!$V$2,TP!AL:AL,$AC$4)</f>
        <v>0</v>
      </c>
      <c r="W107" s="111">
        <f>SUMIFS(TP!$P:$P,TP!$AI:$AI,$W$7,TP!$R:$R,$X$9,TP!$U:$U,Toimenpiteet!$U107,TP!$W:$W,Toimenpiteet!$X$8,TP!$X:$X,Toimenpiteet!$X$6,TP!$V:$V,Toimenpiteet!$X$7,TP!$AD:$AD,$X$9,TP!$AF:$AF,Toimenpiteet!$Y$6,TP!$Q:$Q,Toimenpiteet!$Y$4,TP!$AG:$AG,Toimenpiteet!$Y$5,TP!$L:$L,Toimenpiteet!$V$2,TP!AL:AL,$AC$4)</f>
        <v>0</v>
      </c>
      <c r="X107" s="111">
        <f>SUMIFS(TP!$P:$P,TP!$AI:$AI,$W$7,TP!$R:$R,$X$9,TP!$U:$U,Toimenpiteet!$U107,TP!$W:$W,Toimenpiteet!$X$8,TP!$X:$X,Toimenpiteet!$X$6,TP!$V:$V,Toimenpiteet!$Y$7,TP!$AD:$AD,$X$9,TP!$AF:$AF,Toimenpiteet!$Y$6,TP!$Q:$Q,Toimenpiteet!$Y$4,TP!$AG:$AG,Toimenpiteet!$Y$5,TP!$L:$L,Toimenpiteet!$V$2,TP!AL:AL,$AC$4)</f>
        <v>0</v>
      </c>
      <c r="Y107" s="111">
        <f>SUMIFS(TP!$P:$P,TP!$AI:$AI,$W$7,TP!$R:$R,$X$9,TP!$U:$U,Toimenpiteet!$U107,TP!$W:$W,Toimenpiteet!$Y$8,TP!$X:$X,Toimenpiteet!$X$6,TP!$AD:$AD,$X$9,TP!$AF:$AF,Toimenpiteet!$Y$6,TP!$Q:$Q,Toimenpiteet!$Y$4,TP!$AG:$AG,Toimenpiteet!$Y$5,TP!$L:$L,Toimenpiteet!$V$2,TP!AL:AL,$AC$4)</f>
        <v>0</v>
      </c>
      <c r="AD107" s="111">
        <f>SUMIFS(TP!$P:$P,TP!$AI:$AI,$W$7,TP!$R:$R,$X$9,TP!$U:$U,Toimenpiteet!$AC107,TP!$W:$W,Toimenpiteet!$X$8,TP!$X:$X,Toimenpiteet!$X$6,TP!$AD:$AD,$X$9,TP!$AF:$AF,Toimenpiteet!$Y$6,TP!$Q:$Q,Toimenpiteet!$Y$4,TP!$AG:$AG,Toimenpiteet!$Y$5,TP!$L:$L,Toimenpiteet!$V$2,TP!AL:AL,$AC$4)</f>
        <v>0</v>
      </c>
      <c r="AE107" s="111">
        <f>SUMIFS(TP!$P:$P,TP!$AI:$AI,$W$7,TP!$R:$R,$X$9,TP!$U:$U,Toimenpiteet!$AC107,TP!$W:$W,Toimenpiteet!$X$8,TP!$X:$X,Toimenpiteet!$X$6,TP!$V:$V,Toimenpiteet!$X$7,TP!$AD:$AD,$X$9,TP!$AF:$AF,Toimenpiteet!$Y$6,TP!$Q:$Q,Toimenpiteet!$Y$4,TP!$AG:$AG,Toimenpiteet!$Y$5,TP!$L:$L,Toimenpiteet!$V$2,TP!AL:AL,$AC$4)</f>
        <v>0</v>
      </c>
      <c r="AF107" s="111">
        <f>SUMIFS(TP!$P:$P,TP!$AI:$AI,$W$7,TP!$R:$R,$X$9,TP!$U:$U,Toimenpiteet!$AC107,TP!$W:$W,Toimenpiteet!$X$8,TP!$X:$X,Toimenpiteet!$X$6,TP!$V:$V,Toimenpiteet!$Y$7,TP!$AD:$AD,$X$9,TP!$AF:$AF,Toimenpiteet!$Y$6,TP!$Q:$Q,Toimenpiteet!$Y$4,TP!$AG:$AG,Toimenpiteet!$Y$5,TP!$L:$L,Toimenpiteet!$V$2,TP!AL:AL,$AC$4)</f>
        <v>0</v>
      </c>
      <c r="AG107" s="111">
        <f>SUMIFS(TP!$P:$P,TP!$AI:$AI,$W$7,TP!$R:$R,$X$9,TP!$U:$U,Toimenpiteet!$AC107,TP!$W:$W,Toimenpiteet!$Y$8,TP!$X:$X,Toimenpiteet!$X$6,TP!$AD:$AD,$X$9,TP!$AF:$AF,Toimenpiteet!$Y$6,TP!$Q:$Q,Toimenpiteet!$Y$4,TP!$AG:$AG,Toimenpiteet!$Y$5,TP!$L:$L,Toimenpiteet!$V$2,TP!AL:AL,$AC$4)</f>
        <v>0</v>
      </c>
      <c r="AL107" s="643" t="s">
        <v>1397</v>
      </c>
      <c r="AM107" s="645" t="s">
        <v>1434</v>
      </c>
      <c r="AN107" s="645" t="s">
        <v>56</v>
      </c>
      <c r="AO107" t="s">
        <v>1224</v>
      </c>
    </row>
    <row r="108" spans="1:41" x14ac:dyDescent="0.25">
      <c r="A108" s="915"/>
      <c r="B108" s="672" t="s">
        <v>1435</v>
      </c>
      <c r="C108" s="111">
        <f>SUMIFS(TP!$P:$P,TP!$AI:$AI,$W$7,TP!$R:$R,$X$9,TP!$U:$U,Toimenpiteet!$T108,TP!$W:$W,Toimenpiteet!$X$8,TP!$X:$X,Toimenpiteet!$X$6,TP!$AD:$AD,$X$9,TP!$AF:$AF,Toimenpiteet!$Y$6,TP!$Q:$Q,Toimenpiteet!$Y$4,TP!$AG:$AG,Toimenpiteet!$Y$5,TP!$L:$L,Toimenpiteet!$V$2,TP!AL:AL,$AC$4)+V108+AD108</f>
        <v>0</v>
      </c>
      <c r="D108" s="112">
        <f t="shared" si="14"/>
        <v>0</v>
      </c>
      <c r="E108" s="111">
        <f>SUMIFS(TP!$P:$P,TP!$AI:$AI,$W$7,TP!$R:$R,$X$9,TP!$U:$U,Toimenpiteet!$T108,TP!$W:$W,Toimenpiteet!$X$8,TP!$X:$X,Toimenpiteet!$X$6,TP!$V:$V,Toimenpiteet!$X$7,TP!$AD:$AD,$X$9,TP!$AF:$AF,Toimenpiteet!$Y$6,TP!$Q:$Q,Toimenpiteet!$Y$4,TP!$AG:$AG,Toimenpiteet!$Y$5,TP!$L:$L,Toimenpiteet!$V$2,TP!AL:AL,$AC$4)+W108+AE108</f>
        <v>0</v>
      </c>
      <c r="F108" s="111">
        <f>SUMIFS(TP!$P:$P,TP!$AI:$AI,$W$7,TP!$R:$R,$X$9,TP!$U:$U,Toimenpiteet!$T108,TP!$W:$W,Toimenpiteet!$X$8,TP!$X:$X,Toimenpiteet!$X$6,TP!$V:$V,Toimenpiteet!$Y$7,TP!$AD:$AD,$X$9,TP!$AF:$AF,Toimenpiteet!$Y$6,TP!$Q:$Q,Toimenpiteet!$Y$4,TP!$AG:$AG,Toimenpiteet!$Y$5,TP!$L:$L,Toimenpiteet!$V$2,TP!AL:AL,$AC$4)+X108+AF108</f>
        <v>0</v>
      </c>
      <c r="G108" s="111">
        <f>SUMIFS(TP!$P:$P,TP!$AI:$AI,$W$7,TP!$R:$R,$X$9,TP!$U:$U,Toimenpiteet!$T108,TP!$W:$W,Toimenpiteet!$Y$8,TP!$X:$X,Toimenpiteet!$X$6,TP!$AD:$AD,$X$9,TP!$AF:$AF,Toimenpiteet!$Y$6,TP!$Q:$Q,Toimenpiteet!$Y$4,TP!$AG:$AG,Toimenpiteet!$Y$5,TP!$L:$L,Toimenpiteet!$V$2,TP!AL:AL,$AC$4)+Y108+AG108</f>
        <v>0</v>
      </c>
      <c r="H108" s="113"/>
      <c r="I108" s="114"/>
      <c r="J108" s="115">
        <f>SUMIFS(TP!$P:$P,TP!$AI:$AI,$W$7,TP!$R:$R,$X$9,TP!$U:$U,Toimenpiteet!$T108,TP!$W:$W,Toimenpiteet!$X$8,TP!$X:$X,Toimenpiteet!$X$6,TP!$Z:$Z,1,TP!$AD:$AD,$X$9,TP!$AF:$AF,Toimenpiteet!$Y$6,TP!$Q:$Q,Toimenpiteet!$Y$4,TP!$AG:$AG,Toimenpiteet!$Y$5,TP!$L:$L,Toimenpiteet!$V$2,TP!AL:AL,$AC$4)</f>
        <v>0</v>
      </c>
      <c r="K108" s="111">
        <f>SUMIFS(TP!$P:$P,TP!$AI:$AI,$W$7,TP!$R:$R,$X$9,TP!$U:$U,Toimenpiteet!$T108,TP!$W:$W,Toimenpiteet!$X$8,TP!$X:$X,Toimenpiteet!$X$6,TP!$O:$O,Toimenpiteet!$Z$3,TP!$AD:$AD,$X$9,TP!$AF:$AF,Toimenpiteet!$Y$6,TP!$Q:$Q,Toimenpiteet!$Y$4,TP!$AG:$AG,Toimenpiteet!$Y$5,TP!$L:$L,Toimenpiteet!$V$2,TP!AL:AL,$AC$4)</f>
        <v>0</v>
      </c>
      <c r="L108" s="111">
        <f>SUMIFS(TP!$P:$P,TP!$AI:$AI,$W$7,TP!$R:$R,$X$9,TP!$U:$U,Toimenpiteet!$T108,TP!$W:$W,Toimenpiteet!$X$8,TP!$X:$X,Toimenpiteet!$X$6,TP!$K:$K,Toimenpiteet!$Z$6,TP!$AD:$AD,$X$9,TP!$AF:$AF,Toimenpiteet!$Y$6,TP!$Q:$Q,Toimenpiteet!$Y$4,TP!$AG:$AG,Toimenpiteet!$Y$5,TP!$L:$L,Toimenpiteet!$V$2,TP!AL:AL,$AC$4)</f>
        <v>0</v>
      </c>
      <c r="M108" s="111">
        <f>SUMIFS(TP!$P:$P,TP!$AI:$AI,$W$7,TP!$R:$R,$X$9,TP!$U:$U,Toimenpiteet!$T108,TP!$W:$W,Toimenpiteet!$X$8,TP!$X:$X,Toimenpiteet!$X$6,TP!$K:$K,Toimenpiteet!$Z$7,TP!$AD:$AD,$X$9,TP!$AF:$AF,Toimenpiteet!$Y$6,TP!$Q:$Q,Toimenpiteet!$Y$4,TP!$AG:$AG,Toimenpiteet!$Y$5,TP!$L:$L,Toimenpiteet!$V$2,TP!AL:AL,$AC$4)</f>
        <v>0</v>
      </c>
      <c r="N108" s="111">
        <f>SUMIFS(TP!$P:$P,TP!$AI:$AI,$W$7,TP!$R:$R,$X$9,TP!$U:$U,Toimenpiteet!$T108,TP!$W:$W,Toimenpiteet!$X$8,TP!$X:$X,Toimenpiteet!$X$6,TP!$K:$K,Toimenpiteet!$Z$8,TP!$AD:$AD,$X$9,TP!$AF:$AF,Toimenpiteet!$Y$6,TP!$Q:$Q,Toimenpiteet!$Y$4,TP!$AG:$AG,Toimenpiteet!$Y$5,TP!$L:$L,Toimenpiteet!$V$2,TP!AL:AL,$AC$4)</f>
        <v>0</v>
      </c>
      <c r="O108" s="116">
        <f>SUMIFS(TP!$P:$P,TP!$AI:$AI,$W$7,TP!$R:$R,$X$9,TP!$U:$U,Toimenpiteet!$T108,TP!$W:$W,Toimenpiteet!$X$8,TP!$X:$X,Toimenpiteet!$X$6,TP!$K:$K,Toimenpiteet!$Z$5,TP!$AD:$AD,$X$9,TP!$AF:$AF,Toimenpiteet!$Y$6,TP!$Q:$Q,Toimenpiteet!$Y$4,TP!$AG:$AG,Toimenpiteet!$Y$5,TP!$L:$L,Toimenpiteet!$V$2,TP!AL:AL,$AC$4)</f>
        <v>0</v>
      </c>
      <c r="T108" t="s">
        <v>1241</v>
      </c>
      <c r="U108" s="652" t="s">
        <v>1138</v>
      </c>
      <c r="V108" s="111">
        <f>SUMIFS(TP!$P:$P,TP!$AI:$AI,$W$7,TP!$R:$R,$X$9,TP!$U:$U,Toimenpiteet!$U108,TP!$W:$W,Toimenpiteet!$X$8,TP!$X:$X,Toimenpiteet!$X$6,TP!$AD:$AD,$X$9,TP!$AF:$AF,Toimenpiteet!$Y$6,TP!$Q:$Q,Toimenpiteet!$Y$4,TP!$AG:$AG,Toimenpiteet!$Y$5,TP!$L:$L,Toimenpiteet!$V$2,TP!AL:AL,$AC$4)</f>
        <v>0</v>
      </c>
      <c r="W108" s="111">
        <f>SUMIFS(TP!$P:$P,TP!$AI:$AI,$W$7,TP!$R:$R,$X$9,TP!$U:$U,Toimenpiteet!$U108,TP!$W:$W,Toimenpiteet!$X$8,TP!$X:$X,Toimenpiteet!$X$6,TP!$V:$V,Toimenpiteet!$X$7,TP!$AD:$AD,$X$9,TP!$AF:$AF,Toimenpiteet!$Y$6,TP!$Q:$Q,Toimenpiteet!$Y$4,TP!$AG:$AG,Toimenpiteet!$Y$5,TP!$L:$L,Toimenpiteet!$V$2,TP!AL:AL,$AC$4)</f>
        <v>0</v>
      </c>
      <c r="X108" s="111">
        <f>SUMIFS(TP!$P:$P,TP!$AI:$AI,$W$7,TP!$R:$R,$X$9,TP!$U:$U,Toimenpiteet!$U108,TP!$W:$W,Toimenpiteet!$X$8,TP!$X:$X,Toimenpiteet!$X$6,TP!$V:$V,Toimenpiteet!$Y$7,TP!$AD:$AD,$X$9,TP!$AF:$AF,Toimenpiteet!$Y$6,TP!$Q:$Q,Toimenpiteet!$Y$4,TP!$AG:$AG,Toimenpiteet!$Y$5,TP!$L:$L,Toimenpiteet!$V$2,TP!AL:AL,$AC$4)</f>
        <v>0</v>
      </c>
      <c r="Y108" s="111">
        <f>SUMIFS(TP!$P:$P,TP!$AI:$AI,$W$7,TP!$R:$R,$X$9,TP!$U:$U,Toimenpiteet!$U108,TP!$W:$W,Toimenpiteet!$Y$8,TP!$X:$X,Toimenpiteet!$X$6,TP!$AD:$AD,$X$9,TP!$AF:$AF,Toimenpiteet!$Y$6,TP!$Q:$Q,Toimenpiteet!$Y$4,TP!$AG:$AG,Toimenpiteet!$Y$5,TP!$L:$L,Toimenpiteet!$V$2,TP!AL:AL,$AC$4)</f>
        <v>0</v>
      </c>
      <c r="AC108" s="652" t="s">
        <v>283</v>
      </c>
      <c r="AD108" s="111">
        <f>SUMIFS(TP!$P:$P,TP!$AI:$AI,$W$7,TP!$R:$R,$X$9,TP!$U:$U,Toimenpiteet!$AC108,TP!$W:$W,Toimenpiteet!$X$8,TP!$X:$X,Toimenpiteet!$X$6,TP!$AD:$AD,$X$9,TP!$AF:$AF,Toimenpiteet!$Y$6,TP!$Q:$Q,Toimenpiteet!$Y$4,TP!$AG:$AG,Toimenpiteet!$Y$5,TP!$L:$L,Toimenpiteet!$V$2,TP!AL:AL,$AC$4)</f>
        <v>0</v>
      </c>
      <c r="AE108" s="111">
        <f>SUMIFS(TP!$P:$P,TP!$AI:$AI,$W$7,TP!$R:$R,$X$9,TP!$U:$U,Toimenpiteet!$AC108,TP!$W:$W,Toimenpiteet!$X$8,TP!$X:$X,Toimenpiteet!$X$6,TP!$V:$V,Toimenpiteet!$X$7,TP!$AD:$AD,$X$9,TP!$AF:$AF,Toimenpiteet!$Y$6,TP!$Q:$Q,Toimenpiteet!$Y$4,TP!$AG:$AG,Toimenpiteet!$Y$5,TP!$L:$L,Toimenpiteet!$V$2,TP!AL:AL,$AC$4)</f>
        <v>0</v>
      </c>
      <c r="AF108" s="111">
        <f>SUMIFS(TP!$P:$P,TP!$AI:$AI,$W$7,TP!$R:$R,$X$9,TP!$U:$U,Toimenpiteet!$AC108,TP!$W:$W,Toimenpiteet!$X$8,TP!$X:$X,Toimenpiteet!$X$6,TP!$V:$V,Toimenpiteet!$Y$7,TP!$AD:$AD,$X$9,TP!$AF:$AF,Toimenpiteet!$Y$6,TP!$Q:$Q,Toimenpiteet!$Y$4,TP!$AG:$AG,Toimenpiteet!$Y$5,TP!$L:$L,Toimenpiteet!$V$2,TP!AL:AL,$AC$4)</f>
        <v>0</v>
      </c>
      <c r="AG108" s="111">
        <f>SUMIFS(TP!$P:$P,TP!$AI:$AI,$W$7,TP!$R:$R,$X$9,TP!$U:$U,Toimenpiteet!$AC108,TP!$W:$W,Toimenpiteet!$Y$8,TP!$X:$X,Toimenpiteet!$X$6,TP!$AD:$AD,$X$9,TP!$AF:$AF,Toimenpiteet!$Y$6,TP!$Q:$Q,Toimenpiteet!$Y$4,TP!$AG:$AG,Toimenpiteet!$Y$5,TP!$L:$L,Toimenpiteet!$V$2,TP!AL:AL,$AC$4)</f>
        <v>0</v>
      </c>
      <c r="AL108" s="643" t="s">
        <v>1397</v>
      </c>
      <c r="AM108" s="645" t="s">
        <v>1435</v>
      </c>
      <c r="AN108" s="645" t="s">
        <v>1134</v>
      </c>
      <c r="AO108" t="s">
        <v>1241</v>
      </c>
    </row>
    <row r="109" spans="1:41" x14ac:dyDescent="0.25">
      <c r="A109" s="915"/>
      <c r="B109" s="672" t="s">
        <v>1613</v>
      </c>
      <c r="C109" s="111">
        <f>SUMIFS(TP!$P:$P,TP!$AI:$AI,$W$7,TP!$R:$R,$X$9,TP!$U:$U,Toimenpiteet!$T109,TP!$W:$W,Toimenpiteet!$X$8,TP!$X:$X,Toimenpiteet!$X$6,TP!$AD:$AD,$X$9,TP!$AF:$AF,Toimenpiteet!$Y$6,TP!$Q:$Q,Toimenpiteet!$Y$4,TP!$AG:$AG,Toimenpiteet!$Y$5,TP!$L:$L,Toimenpiteet!$V$2,TP!AL:AL,$AC$4)+V109+AD109</f>
        <v>0</v>
      </c>
      <c r="D109" s="112">
        <f t="shared" si="14"/>
        <v>0</v>
      </c>
      <c r="E109" s="111">
        <f>SUMIFS(TP!$P:$P,TP!$AI:$AI,$W$7,TP!$R:$R,$X$9,TP!$U:$U,Toimenpiteet!$T109,TP!$W:$W,Toimenpiteet!$X$8,TP!$X:$X,Toimenpiteet!$X$6,TP!$V:$V,Toimenpiteet!$X$7,TP!$AD:$AD,$X$9,TP!$AF:$AF,Toimenpiteet!$Y$6,TP!$Q:$Q,Toimenpiteet!$Y$4,TP!$AG:$AG,Toimenpiteet!$Y$5,TP!$L:$L,Toimenpiteet!$V$2,TP!AL:AL,$AC$4)+W109+AE109</f>
        <v>0</v>
      </c>
      <c r="F109" s="111">
        <f>SUMIFS(TP!$P:$P,TP!$AI:$AI,$W$7,TP!$R:$R,$X$9,TP!$U:$U,Toimenpiteet!$T109,TP!$W:$W,Toimenpiteet!$X$8,TP!$X:$X,Toimenpiteet!$X$6,TP!$V:$V,Toimenpiteet!$Y$7,TP!$AD:$AD,$X$9,TP!$AF:$AF,Toimenpiteet!$Y$6,TP!$Q:$Q,Toimenpiteet!$Y$4,TP!$AG:$AG,Toimenpiteet!$Y$5,TP!$L:$L,Toimenpiteet!$V$2,TP!AL:AL,$AC$4)+X109+AF109</f>
        <v>0</v>
      </c>
      <c r="G109" s="111">
        <f>SUMIFS(TP!$P:$P,TP!$AI:$AI,$W$7,TP!$R:$R,$X$9,TP!$U:$U,Toimenpiteet!$T109,TP!$W:$W,Toimenpiteet!$Y$8,TP!$X:$X,Toimenpiteet!$X$6,TP!$AD:$AD,$X$9,TP!$AF:$AF,Toimenpiteet!$Y$6,TP!$Q:$Q,Toimenpiteet!$Y$4,TP!$AG:$AG,Toimenpiteet!$Y$5,TP!$L:$L,Toimenpiteet!$V$2,TP!AL:AL,$AC$4)+Y109+AG109</f>
        <v>0</v>
      </c>
      <c r="H109" s="113"/>
      <c r="I109" s="114"/>
      <c r="J109" s="115">
        <f>SUMIFS(TP!$P:$P,TP!$AI:$AI,$W$7,TP!$R:$R,$X$9,TP!$U:$U,Toimenpiteet!$T109,TP!$W:$W,Toimenpiteet!$X$8,TP!$X:$X,Toimenpiteet!$X$6,TP!$Z:$Z,1,TP!$AD:$AD,$X$9,TP!$AF:$AF,Toimenpiteet!$Y$6,TP!$Q:$Q,Toimenpiteet!$Y$4,TP!$AG:$AG,Toimenpiteet!$Y$5,TP!$L:$L,Toimenpiteet!$V$2,TP!AL:AL,$AC$4)</f>
        <v>0</v>
      </c>
      <c r="K109" s="111">
        <f>SUMIFS(TP!$P:$P,TP!$AI:$AI,$W$7,TP!$R:$R,$X$9,TP!$U:$U,Toimenpiteet!$T109,TP!$W:$W,Toimenpiteet!$X$8,TP!$X:$X,Toimenpiteet!$X$6,TP!$O:$O,Toimenpiteet!$Z$3,TP!$AD:$AD,$X$9,TP!$AF:$AF,Toimenpiteet!$Y$6,TP!$Q:$Q,Toimenpiteet!$Y$4,TP!$AG:$AG,Toimenpiteet!$Y$5,TP!$L:$L,Toimenpiteet!$V$2,TP!AL:AL,$AC$4)</f>
        <v>0</v>
      </c>
      <c r="L109" s="111">
        <f>SUMIFS(TP!$P:$P,TP!$AI:$AI,$W$7,TP!$R:$R,$X$9,TP!$U:$U,Toimenpiteet!$T109,TP!$W:$W,Toimenpiteet!$X$8,TP!$X:$X,Toimenpiteet!$X$6,TP!$K:$K,Toimenpiteet!$Z$6,TP!$AD:$AD,$X$9,TP!$AF:$AF,Toimenpiteet!$Y$6,TP!$Q:$Q,Toimenpiteet!$Y$4,TP!$AG:$AG,Toimenpiteet!$Y$5,TP!$L:$L,Toimenpiteet!$V$2,TP!AL:AL,$AC$4)</f>
        <v>0</v>
      </c>
      <c r="M109" s="111">
        <f>SUMIFS(TP!$P:$P,TP!$AI:$AI,$W$7,TP!$R:$R,$X$9,TP!$U:$U,Toimenpiteet!$T109,TP!$W:$W,Toimenpiteet!$X$8,TP!$X:$X,Toimenpiteet!$X$6,TP!$K:$K,Toimenpiteet!$Z$7,TP!$AD:$AD,$X$9,TP!$AF:$AF,Toimenpiteet!$Y$6,TP!$Q:$Q,Toimenpiteet!$Y$4,TP!$AG:$AG,Toimenpiteet!$Y$5,TP!$L:$L,Toimenpiteet!$V$2,TP!AL:AL,$AC$4)</f>
        <v>0</v>
      </c>
      <c r="N109" s="111">
        <f>SUMIFS(TP!$P:$P,TP!$AI:$AI,$W$7,TP!$R:$R,$X$9,TP!$U:$U,Toimenpiteet!$T109,TP!$W:$W,Toimenpiteet!$X$8,TP!$X:$X,Toimenpiteet!$X$6,TP!$K:$K,Toimenpiteet!$Z$8,TP!$AD:$AD,$X$9,TP!$AF:$AF,Toimenpiteet!$Y$6,TP!$Q:$Q,Toimenpiteet!$Y$4,TP!$AG:$AG,Toimenpiteet!$Y$5,TP!$L:$L,Toimenpiteet!$V$2,TP!AL:AL,$AC$4)</f>
        <v>0</v>
      </c>
      <c r="O109" s="116">
        <f>SUMIFS(TP!$P:$P,TP!$AI:$AI,$W$7,TP!$R:$R,$X$9,TP!$U:$U,Toimenpiteet!$T109,TP!$W:$W,Toimenpiteet!$X$8,TP!$X:$X,Toimenpiteet!$X$6,TP!$K:$K,Toimenpiteet!$Z$5,TP!$AD:$AD,$X$9,TP!$AF:$AF,Toimenpiteet!$Y$6,TP!$Q:$Q,Toimenpiteet!$Y$4,TP!$AG:$AG,Toimenpiteet!$Y$5,TP!$L:$L,Toimenpiteet!$V$2,TP!AL:AL,$AC$4)</f>
        <v>0</v>
      </c>
      <c r="T109" s="653" t="s">
        <v>1135</v>
      </c>
      <c r="U109"/>
      <c r="V109" s="111">
        <f>SUMIFS(TP!$P:$P,TP!$AI:$AI,$W$7,TP!$R:$R,$X$9,TP!$U:$U,Toimenpiteet!$U109,TP!$W:$W,Toimenpiteet!$X$8,TP!$X:$X,Toimenpiteet!$X$6,TP!$AD:$AD,$X$9,TP!$AF:$AF,Toimenpiteet!$Y$6,TP!$Q:$Q,Toimenpiteet!$Y$4,TP!$AG:$AG,Toimenpiteet!$Y$5,TP!$L:$L,Toimenpiteet!$V$2,TP!AL:AL,$AC$4)</f>
        <v>0</v>
      </c>
      <c r="W109" s="111">
        <f>SUMIFS(TP!$P:$P,TP!$AI:$AI,$W$7,TP!$R:$R,$X$9,TP!$U:$U,Toimenpiteet!$U109,TP!$W:$W,Toimenpiteet!$X$8,TP!$X:$X,Toimenpiteet!$X$6,TP!$V:$V,Toimenpiteet!$X$7,TP!$AD:$AD,$X$9,TP!$AF:$AF,Toimenpiteet!$Y$6,TP!$Q:$Q,Toimenpiteet!$Y$4,TP!$AG:$AG,Toimenpiteet!$Y$5,TP!$L:$L,Toimenpiteet!$V$2,TP!AL:AL,$AC$4)</f>
        <v>0</v>
      </c>
      <c r="X109" s="111">
        <f>SUMIFS(TP!$P:$P,TP!$AI:$AI,$W$7,TP!$R:$R,$X$9,TP!$U:$U,Toimenpiteet!$U109,TP!$W:$W,Toimenpiteet!$X$8,TP!$X:$X,Toimenpiteet!$X$6,TP!$V:$V,Toimenpiteet!$Y$7,TP!$AD:$AD,$X$9,TP!$AF:$AF,Toimenpiteet!$Y$6,TP!$Q:$Q,Toimenpiteet!$Y$4,TP!$AG:$AG,Toimenpiteet!$Y$5,TP!$L:$L,Toimenpiteet!$V$2,TP!AL:AL,$AC$4)</f>
        <v>0</v>
      </c>
      <c r="Y109" s="111">
        <f>SUMIFS(TP!$P:$P,TP!$AI:$AI,$W$7,TP!$R:$R,$X$9,TP!$U:$U,Toimenpiteet!$U109,TP!$W:$W,Toimenpiteet!$Y$8,TP!$X:$X,Toimenpiteet!$X$6,TP!$AD:$AD,$X$9,TP!$AF:$AF,Toimenpiteet!$Y$6,TP!$Q:$Q,Toimenpiteet!$Y$4,TP!$AG:$AG,Toimenpiteet!$Y$5,TP!$L:$L,Toimenpiteet!$V$2,TP!AL:AL,$AC$4)</f>
        <v>0</v>
      </c>
      <c r="AD109" s="111">
        <f>SUMIFS(TP!$P:$P,TP!$AI:$AI,$W$7,TP!$R:$R,$X$9,TP!$U:$U,Toimenpiteet!$AC109,TP!$W:$W,Toimenpiteet!$X$8,TP!$X:$X,Toimenpiteet!$X$6,TP!$AD:$AD,$X$9,TP!$AF:$AF,Toimenpiteet!$Y$6,TP!$Q:$Q,Toimenpiteet!$Y$4,TP!$AG:$AG,Toimenpiteet!$Y$5,TP!$L:$L,Toimenpiteet!$V$2,TP!AL:AL,$AC$4)</f>
        <v>0</v>
      </c>
      <c r="AE109" s="111">
        <f>SUMIFS(TP!$P:$P,TP!$AI:$AI,$W$7,TP!$R:$R,$X$9,TP!$U:$U,Toimenpiteet!$AC109,TP!$W:$W,Toimenpiteet!$X$8,TP!$X:$X,Toimenpiteet!$X$6,TP!$V:$V,Toimenpiteet!$X$7,TP!$AD:$AD,$X$9,TP!$AF:$AF,Toimenpiteet!$Y$6,TP!$Q:$Q,Toimenpiteet!$Y$4,TP!$AG:$AG,Toimenpiteet!$Y$5,TP!$L:$L,Toimenpiteet!$V$2,TP!AL:AL,$AC$4)</f>
        <v>0</v>
      </c>
      <c r="AF109" s="111">
        <f>SUMIFS(TP!$P:$P,TP!$AI:$AI,$W$7,TP!$R:$R,$X$9,TP!$U:$U,Toimenpiteet!$AC109,TP!$W:$W,Toimenpiteet!$X$8,TP!$X:$X,Toimenpiteet!$X$6,TP!$V:$V,Toimenpiteet!$Y$7,TP!$AD:$AD,$X$9,TP!$AF:$AF,Toimenpiteet!$Y$6,TP!$Q:$Q,Toimenpiteet!$Y$4,TP!$AG:$AG,Toimenpiteet!$Y$5,TP!$L:$L,Toimenpiteet!$V$2,TP!AL:AL,$AC$4)</f>
        <v>0</v>
      </c>
      <c r="AG109" s="111">
        <f>SUMIFS(TP!$P:$P,TP!$AI:$AI,$W$7,TP!$R:$R,$X$9,TP!$U:$U,Toimenpiteet!$AC109,TP!$W:$W,Toimenpiteet!$Y$8,TP!$X:$X,Toimenpiteet!$X$6,TP!$AD:$AD,$X$9,TP!$AF:$AF,Toimenpiteet!$Y$6,TP!$Q:$Q,Toimenpiteet!$Y$4,TP!$AG:$AG,Toimenpiteet!$Y$5,TP!$L:$L,Toimenpiteet!$V$2,TP!AL:AL,$AC$4)</f>
        <v>0</v>
      </c>
      <c r="AL109" s="638"/>
      <c r="AM109" s="646" t="s">
        <v>1074</v>
      </c>
      <c r="AN109" s="646" t="s">
        <v>1074</v>
      </c>
      <c r="AO109" t="s">
        <v>1135</v>
      </c>
    </row>
    <row r="110" spans="1:41" x14ac:dyDescent="0.25">
      <c r="A110" s="915"/>
      <c r="B110" s="672" t="s">
        <v>1459</v>
      </c>
      <c r="C110" s="111">
        <f>SUMIFS(TP!$P:$P,TP!$AI:$AI,$W$7,TP!$R:$R,$X$9,TP!$U:$U,Toimenpiteet!$T110,TP!$W:$W,Toimenpiteet!$X$8,TP!$X:$X,Toimenpiteet!$X$6,TP!$AD:$AD,$X$9,TP!$AF:$AF,Toimenpiteet!$Y$6,TP!$Q:$Q,Toimenpiteet!$Y$4,TP!$AG:$AG,Toimenpiteet!$Y$5,TP!$L:$L,Toimenpiteet!$V$2,TP!AL:AL,$AC$4)+V110+AD110</f>
        <v>0</v>
      </c>
      <c r="D110" s="112">
        <f t="shared" si="14"/>
        <v>0</v>
      </c>
      <c r="E110" s="111">
        <f>SUMIFS(TP!$P:$P,TP!$AI:$AI,$W$7,TP!$R:$R,$X$9,TP!$U:$U,Toimenpiteet!$T110,TP!$W:$W,Toimenpiteet!$X$8,TP!$X:$X,Toimenpiteet!$X$6,TP!$V:$V,Toimenpiteet!$X$7,TP!$AD:$AD,$X$9,TP!$AF:$AF,Toimenpiteet!$Y$6,TP!$Q:$Q,Toimenpiteet!$Y$4,TP!$AG:$AG,Toimenpiteet!$Y$5,TP!$L:$L,Toimenpiteet!$V$2,TP!AL:AL,$AC$4)+W110+AE110</f>
        <v>0</v>
      </c>
      <c r="F110" s="111">
        <f>SUMIFS(TP!$P:$P,TP!$AI:$AI,$W$7,TP!$R:$R,$X$9,TP!$U:$U,Toimenpiteet!$T110,TP!$W:$W,Toimenpiteet!$X$8,TP!$X:$X,Toimenpiteet!$X$6,TP!$V:$V,Toimenpiteet!$Y$7,TP!$AD:$AD,$X$9,TP!$AF:$AF,Toimenpiteet!$Y$6,TP!$Q:$Q,Toimenpiteet!$Y$4,TP!$AG:$AG,Toimenpiteet!$Y$5,TP!$L:$L,Toimenpiteet!$V$2,TP!AL:AL,$AC$4)+X110+AF110</f>
        <v>0</v>
      </c>
      <c r="G110" s="111">
        <f>SUMIFS(TP!$P:$P,TP!$AI:$AI,$W$7,TP!$R:$R,$X$9,TP!$U:$U,Toimenpiteet!$T110,TP!$W:$W,Toimenpiteet!$Y$8,TP!$X:$X,Toimenpiteet!$X$6,TP!$AD:$AD,$X$9,TP!$AF:$AF,Toimenpiteet!$Y$6,TP!$Q:$Q,Toimenpiteet!$Y$4,TP!$AG:$AG,Toimenpiteet!$Y$5,TP!$L:$L,Toimenpiteet!$V$2,TP!AL:AL,$AC$4)+Y110+AG110</f>
        <v>0</v>
      </c>
      <c r="H110" s="113"/>
      <c r="I110" s="114"/>
      <c r="J110" s="115">
        <f>SUMIFS(TP!$P:$P,TP!$AI:$AI,$W$7,TP!$R:$R,$X$9,TP!$U:$U,Toimenpiteet!$T110,TP!$W:$W,Toimenpiteet!$X$8,TP!$X:$X,Toimenpiteet!$X$6,TP!$Z:$Z,1,TP!$AD:$AD,$X$9,TP!$AF:$AF,Toimenpiteet!$Y$6,TP!$Q:$Q,Toimenpiteet!$Y$4,TP!$AG:$AG,Toimenpiteet!$Y$5,TP!$L:$L,Toimenpiteet!$V$2,TP!AL:AL,$AC$4)</f>
        <v>0</v>
      </c>
      <c r="K110" s="111">
        <f>SUMIFS(TP!$P:$P,TP!$AI:$AI,$W$7,TP!$R:$R,$X$9,TP!$U:$U,Toimenpiteet!$T110,TP!$W:$W,Toimenpiteet!$X$8,TP!$X:$X,Toimenpiteet!$X$6,TP!$O:$O,Toimenpiteet!$Z$3,TP!$AD:$AD,$X$9,TP!$AF:$AF,Toimenpiteet!$Y$6,TP!$Q:$Q,Toimenpiteet!$Y$4,TP!$AG:$AG,Toimenpiteet!$Y$5,TP!$L:$L,Toimenpiteet!$V$2,TP!AL:AL,$AC$4)</f>
        <v>0</v>
      </c>
      <c r="L110" s="111">
        <f>SUMIFS(TP!$P:$P,TP!$AI:$AI,$W$7,TP!$R:$R,$X$9,TP!$U:$U,Toimenpiteet!$T110,TP!$W:$W,Toimenpiteet!$X$8,TP!$X:$X,Toimenpiteet!$X$6,TP!$K:$K,Toimenpiteet!$Z$6,TP!$AD:$AD,$X$9,TP!$AF:$AF,Toimenpiteet!$Y$6,TP!$Q:$Q,Toimenpiteet!$Y$4,TP!$AG:$AG,Toimenpiteet!$Y$5,TP!$L:$L,Toimenpiteet!$V$2,TP!AL:AL,$AC$4)</f>
        <v>0</v>
      </c>
      <c r="M110" s="111">
        <f>SUMIFS(TP!$P:$P,TP!$AI:$AI,$W$7,TP!$R:$R,$X$9,TP!$U:$U,Toimenpiteet!$T110,TP!$W:$W,Toimenpiteet!$X$8,TP!$X:$X,Toimenpiteet!$X$6,TP!$K:$K,Toimenpiteet!$Z$7,TP!$AD:$AD,$X$9,TP!$AF:$AF,Toimenpiteet!$Y$6,TP!$Q:$Q,Toimenpiteet!$Y$4,TP!$AG:$AG,Toimenpiteet!$Y$5,TP!$L:$L,Toimenpiteet!$V$2,TP!AL:AL,$AC$4)</f>
        <v>0</v>
      </c>
      <c r="N110" s="111">
        <f>SUMIFS(TP!$P:$P,TP!$AI:$AI,$W$7,TP!$R:$R,$X$9,TP!$U:$U,Toimenpiteet!$T110,TP!$W:$W,Toimenpiteet!$X$8,TP!$X:$X,Toimenpiteet!$X$6,TP!$K:$K,Toimenpiteet!$Z$8,TP!$AD:$AD,$X$9,TP!$AF:$AF,Toimenpiteet!$Y$6,TP!$Q:$Q,Toimenpiteet!$Y$4,TP!$AG:$AG,Toimenpiteet!$Y$5,TP!$L:$L,Toimenpiteet!$V$2,TP!AL:AL,$AC$4)</f>
        <v>0</v>
      </c>
      <c r="O110" s="116">
        <f>SUMIFS(TP!$P:$P,TP!$AI:$AI,$W$7,TP!$R:$R,$X$9,TP!$U:$U,Toimenpiteet!$T110,TP!$W:$W,Toimenpiteet!$X$8,TP!$X:$X,Toimenpiteet!$X$6,TP!$K:$K,Toimenpiteet!$Z$5,TP!$AD:$AD,$X$9,TP!$AF:$AF,Toimenpiteet!$Y$6,TP!$Q:$Q,Toimenpiteet!$Y$4,TP!$AG:$AG,Toimenpiteet!$Y$5,TP!$L:$L,Toimenpiteet!$V$2,TP!AL:AL,$AC$4)</f>
        <v>0</v>
      </c>
      <c r="T110" t="s">
        <v>1234</v>
      </c>
      <c r="U110" s="652" t="s">
        <v>1139</v>
      </c>
      <c r="V110" s="111">
        <f>SUMIFS(TP!$P:$P,TP!$AI:$AI,$W$7,TP!$R:$R,$X$9,TP!$U:$U,Toimenpiteet!$U110,TP!$W:$W,Toimenpiteet!$X$8,TP!$X:$X,Toimenpiteet!$X$6,TP!$AD:$AD,$X$9,TP!$AF:$AF,Toimenpiteet!$Y$6,TP!$Q:$Q,Toimenpiteet!$Y$4,TP!$AG:$AG,Toimenpiteet!$Y$5,TP!$L:$L,Toimenpiteet!$V$2,TP!AL:AL,$AC$4)</f>
        <v>0</v>
      </c>
      <c r="W110" s="111">
        <f>SUMIFS(TP!$P:$P,TP!$AI:$AI,$W$7,TP!$R:$R,$X$9,TP!$U:$U,Toimenpiteet!$U110,TP!$W:$W,Toimenpiteet!$X$8,TP!$X:$X,Toimenpiteet!$X$6,TP!$V:$V,Toimenpiteet!$X$7,TP!$AD:$AD,$X$9,TP!$AF:$AF,Toimenpiteet!$Y$6,TP!$Q:$Q,Toimenpiteet!$Y$4,TP!$AG:$AG,Toimenpiteet!$Y$5,TP!$L:$L,Toimenpiteet!$V$2,TP!AL:AL,$AC$4)</f>
        <v>0</v>
      </c>
      <c r="X110" s="111">
        <f>SUMIFS(TP!$P:$P,TP!$AI:$AI,$W$7,TP!$R:$R,$X$9,TP!$U:$U,Toimenpiteet!$U110,TP!$W:$W,Toimenpiteet!$X$8,TP!$X:$X,Toimenpiteet!$X$6,TP!$V:$V,Toimenpiteet!$Y$7,TP!$AD:$AD,$X$9,TP!$AF:$AF,Toimenpiteet!$Y$6,TP!$Q:$Q,Toimenpiteet!$Y$4,TP!$AG:$AG,Toimenpiteet!$Y$5,TP!$L:$L,Toimenpiteet!$V$2,TP!AL:AL,$AC$4)</f>
        <v>0</v>
      </c>
      <c r="Y110" s="111">
        <f>SUMIFS(TP!$P:$P,TP!$AI:$AI,$W$7,TP!$R:$R,$X$9,TP!$U:$U,Toimenpiteet!$U110,TP!$W:$W,Toimenpiteet!$Y$8,TP!$X:$X,Toimenpiteet!$X$6,TP!$AD:$AD,$X$9,TP!$AF:$AF,Toimenpiteet!$Y$6,TP!$Q:$Q,Toimenpiteet!$Y$4,TP!$AG:$AG,Toimenpiteet!$Y$5,TP!$L:$L,Toimenpiteet!$V$2,TP!AL:AL,$AC$4)</f>
        <v>0</v>
      </c>
      <c r="AC110" s="652" t="s">
        <v>277</v>
      </c>
      <c r="AD110" s="111">
        <f>SUMIFS(TP!$P:$P,TP!$AI:$AI,$W$7,TP!$R:$R,$X$9,TP!$U:$U,Toimenpiteet!$AC110,TP!$W:$W,Toimenpiteet!$X$8,TP!$X:$X,Toimenpiteet!$X$6,TP!$AD:$AD,$X$9,TP!$AF:$AF,Toimenpiteet!$Y$6,TP!$Q:$Q,Toimenpiteet!$Y$4,TP!$AG:$AG,Toimenpiteet!$Y$5,TP!$L:$L,Toimenpiteet!$V$2,TP!AL:AL,$AC$4)</f>
        <v>0</v>
      </c>
      <c r="AE110" s="111">
        <f>SUMIFS(TP!$P:$P,TP!$AI:$AI,$W$7,TP!$R:$R,$X$9,TP!$U:$U,Toimenpiteet!$AC110,TP!$W:$W,Toimenpiteet!$X$8,TP!$X:$X,Toimenpiteet!$X$6,TP!$V:$V,Toimenpiteet!$X$7,TP!$AD:$AD,$X$9,TP!$AF:$AF,Toimenpiteet!$Y$6,TP!$Q:$Q,Toimenpiteet!$Y$4,TP!$AG:$AG,Toimenpiteet!$Y$5,TP!$L:$L,Toimenpiteet!$V$2,TP!AL:AL,$AC$4)</f>
        <v>0</v>
      </c>
      <c r="AF110" s="111">
        <f>SUMIFS(TP!$P:$P,TP!$AI:$AI,$W$7,TP!$R:$R,$X$9,TP!$U:$U,Toimenpiteet!$AC110,TP!$W:$W,Toimenpiteet!$X$8,TP!$X:$X,Toimenpiteet!$X$6,TP!$V:$V,Toimenpiteet!$Y$7,TP!$AD:$AD,$X$9,TP!$AF:$AF,Toimenpiteet!$Y$6,TP!$Q:$Q,Toimenpiteet!$Y$4,TP!$AG:$AG,Toimenpiteet!$Y$5,TP!$L:$L,Toimenpiteet!$V$2,TP!AL:AL,$AC$4)</f>
        <v>0</v>
      </c>
      <c r="AG110" s="111">
        <f>SUMIFS(TP!$P:$P,TP!$AI:$AI,$W$7,TP!$R:$R,$X$9,TP!$U:$U,Toimenpiteet!$AC110,TP!$W:$W,Toimenpiteet!$Y$8,TP!$X:$X,Toimenpiteet!$X$6,TP!$AD:$AD,$X$9,TP!$AF:$AF,Toimenpiteet!$Y$6,TP!$Q:$Q,Toimenpiteet!$Y$4,TP!$AG:$AG,Toimenpiteet!$Y$5,TP!$L:$L,Toimenpiteet!$V$2,TP!AL:AL,$AC$4)</f>
        <v>0</v>
      </c>
      <c r="AL110" s="643" t="s">
        <v>1397</v>
      </c>
      <c r="AM110" s="645" t="s">
        <v>1436</v>
      </c>
      <c r="AN110" s="645" t="s">
        <v>1371</v>
      </c>
      <c r="AO110" t="s">
        <v>1234</v>
      </c>
    </row>
    <row r="111" spans="1:41" x14ac:dyDescent="0.25">
      <c r="A111" s="916"/>
      <c r="B111" s="672" t="s">
        <v>688</v>
      </c>
      <c r="C111" s="111">
        <f>SUMIFS(TP!$P:$P,TP!$AI:$AI,$W$7,TP!$R:$R,$X$9,TP!$U:$U,Toimenpiteet!$T111,TP!$W:$W,Toimenpiteet!$X$8,TP!$X:$X,Toimenpiteet!$X$6,TP!$AD:$AD,$X$9,TP!$AF:$AF,Toimenpiteet!$Y$6,TP!$Q:$Q,Toimenpiteet!$Y$4,TP!$AG:$AG,Toimenpiteet!$Y$5,TP!$L:$L,Toimenpiteet!$V$2,TP!AL:AL,$AC$4)+V111+AD111</f>
        <v>0</v>
      </c>
      <c r="D111" s="112">
        <f t="shared" si="14"/>
        <v>0</v>
      </c>
      <c r="E111" s="111">
        <f>SUMIFS(TP!$P:$P,TP!$AI:$AI,$W$7,TP!$R:$R,$X$9,TP!$U:$U,Toimenpiteet!$T111,TP!$W:$W,Toimenpiteet!$X$8,TP!$X:$X,Toimenpiteet!$X$6,TP!$V:$V,Toimenpiteet!$X$7,TP!$AD:$AD,$X$9,TP!$AF:$AF,Toimenpiteet!$Y$6,TP!$Q:$Q,Toimenpiteet!$Y$4,TP!$AG:$AG,Toimenpiteet!$Y$5,TP!$L:$L,Toimenpiteet!$V$2,TP!AL:AL,$AC$4)+W111+AE111</f>
        <v>0</v>
      </c>
      <c r="F111" s="111">
        <f>SUMIFS(TP!$P:$P,TP!$AI:$AI,$W$7,TP!$R:$R,$X$9,TP!$U:$U,Toimenpiteet!$T111,TP!$W:$W,Toimenpiteet!$X$8,TP!$X:$X,Toimenpiteet!$X$6,TP!$V:$V,Toimenpiteet!$Y$7,TP!$AD:$AD,$X$9,TP!$AF:$AF,Toimenpiteet!$Y$6,TP!$Q:$Q,Toimenpiteet!$Y$4,TP!$AG:$AG,Toimenpiteet!$Y$5,TP!$L:$L,Toimenpiteet!$V$2,TP!AL:AL,$AC$4)+X111+AF111</f>
        <v>0</v>
      </c>
      <c r="G111" s="111">
        <f>SUMIFS(TP!$P:$P,TP!$AI:$AI,$W$7,TP!$R:$R,$X$9,TP!$U:$U,Toimenpiteet!$T111,TP!$W:$W,Toimenpiteet!$Y$8,TP!$X:$X,Toimenpiteet!$X$6,TP!$AD:$AD,$X$9,TP!$AF:$AF,Toimenpiteet!$Y$6,TP!$Q:$Q,Toimenpiteet!$Y$4,TP!$AG:$AG,Toimenpiteet!$Y$5,TP!$L:$L,Toimenpiteet!$V$2,TP!AL:AL,$AC$4)+Y111+AG111</f>
        <v>0</v>
      </c>
      <c r="H111" s="113"/>
      <c r="I111" s="114"/>
      <c r="J111" s="115">
        <f>SUMIFS(TP!$P:$P,TP!$AI:$AI,$W$7,TP!$R:$R,$X$9,TP!$U:$U,Toimenpiteet!$T111,TP!$W:$W,Toimenpiteet!$X$8,TP!$X:$X,Toimenpiteet!$X$6,TP!$Z:$Z,1,TP!$AD:$AD,$X$9,TP!$AF:$AF,Toimenpiteet!$Y$6,TP!$Q:$Q,Toimenpiteet!$Y$4,TP!$AG:$AG,Toimenpiteet!$Y$5,TP!$L:$L,Toimenpiteet!$V$2,TP!AL:AL,$AC$4)</f>
        <v>0</v>
      </c>
      <c r="K111" s="111">
        <f>SUMIFS(TP!$P:$P,TP!$AI:$AI,$W$7,TP!$R:$R,$X$9,TP!$U:$U,Toimenpiteet!$T111,TP!$W:$W,Toimenpiteet!$X$8,TP!$X:$X,Toimenpiteet!$X$6,TP!$O:$O,Toimenpiteet!$Z$3,TP!$AD:$AD,$X$9,TP!$AF:$AF,Toimenpiteet!$Y$6,TP!$Q:$Q,Toimenpiteet!$Y$4,TP!$AG:$AG,Toimenpiteet!$Y$5,TP!$L:$L,Toimenpiteet!$V$2,TP!AL:AL,$AC$4)</f>
        <v>0</v>
      </c>
      <c r="L111" s="111">
        <f>SUMIFS(TP!$P:$P,TP!$AI:$AI,$W$7,TP!$R:$R,$X$9,TP!$U:$U,Toimenpiteet!$T111,TP!$W:$W,Toimenpiteet!$X$8,TP!$X:$X,Toimenpiteet!$X$6,TP!$K:$K,Toimenpiteet!$Z$6,TP!$AD:$AD,$X$9,TP!$AF:$AF,Toimenpiteet!$Y$6,TP!$Q:$Q,Toimenpiteet!$Y$4,TP!$AG:$AG,Toimenpiteet!$Y$5,TP!$L:$L,Toimenpiteet!$V$2,TP!AL:AL,$AC$4)</f>
        <v>0</v>
      </c>
      <c r="M111" s="111">
        <f>SUMIFS(TP!$P:$P,TP!$AI:$AI,$W$7,TP!$R:$R,$X$9,TP!$U:$U,Toimenpiteet!$T111,TP!$W:$W,Toimenpiteet!$X$8,TP!$X:$X,Toimenpiteet!$X$6,TP!$K:$K,Toimenpiteet!$Z$7,TP!$AD:$AD,$X$9,TP!$AF:$AF,Toimenpiteet!$Y$6,TP!$Q:$Q,Toimenpiteet!$Y$4,TP!$AG:$AG,Toimenpiteet!$Y$5,TP!$L:$L,Toimenpiteet!$V$2,TP!AL:AL,$AC$4)</f>
        <v>0</v>
      </c>
      <c r="N111" s="111">
        <f>SUMIFS(TP!$P:$P,TP!$AI:$AI,$W$7,TP!$R:$R,$X$9,TP!$U:$U,Toimenpiteet!$T111,TP!$W:$W,Toimenpiteet!$X$8,TP!$X:$X,Toimenpiteet!$X$6,TP!$K:$K,Toimenpiteet!$Z$8,TP!$AD:$AD,$X$9,TP!$AF:$AF,Toimenpiteet!$Y$6,TP!$Q:$Q,Toimenpiteet!$Y$4,TP!$AG:$AG,Toimenpiteet!$Y$5,TP!$L:$L,Toimenpiteet!$V$2,TP!AL:AL,$AC$4)</f>
        <v>0</v>
      </c>
      <c r="O111" s="116">
        <f>SUMIFS(TP!$P:$P,TP!$AI:$AI,$W$7,TP!$R:$R,$X$9,TP!$U:$U,Toimenpiteet!$T111,TP!$W:$W,Toimenpiteet!$X$8,TP!$X:$X,Toimenpiteet!$X$6,TP!$K:$K,Toimenpiteet!$Z$5,TP!$AD:$AD,$X$9,TP!$AF:$AF,Toimenpiteet!$Y$6,TP!$Q:$Q,Toimenpiteet!$Y$4,TP!$AG:$AG,Toimenpiteet!$Y$5,TP!$L:$L,Toimenpiteet!$V$2,TP!AL:AL,$AC$4)</f>
        <v>0</v>
      </c>
      <c r="T111" s="653" t="s">
        <v>1140</v>
      </c>
      <c r="U111" s="652" t="s">
        <v>280</v>
      </c>
      <c r="V111" s="111">
        <f>SUMIFS(TP!$P:$P,TP!$AI:$AI,$W$7,TP!$R:$R,$X$9,TP!$U:$U,Toimenpiteet!$U111,TP!$W:$W,Toimenpiteet!$X$8,TP!$X:$X,Toimenpiteet!$X$6,TP!$AD:$AD,$X$9,TP!$AF:$AF,Toimenpiteet!$Y$6,TP!$Q:$Q,Toimenpiteet!$Y$4,TP!$AG:$AG,Toimenpiteet!$Y$5,TP!$L:$L,Toimenpiteet!$V$2,TP!AL:AL,$AC$4)</f>
        <v>0</v>
      </c>
      <c r="W111" s="111">
        <f>SUMIFS(TP!$P:$P,TP!$AI:$AI,$W$7,TP!$R:$R,$X$9,TP!$U:$U,Toimenpiteet!$U111,TP!$W:$W,Toimenpiteet!$X$8,TP!$X:$X,Toimenpiteet!$X$6,TP!$V:$V,Toimenpiteet!$X$7,TP!$AD:$AD,$X$9,TP!$AF:$AF,Toimenpiteet!$Y$6,TP!$Q:$Q,Toimenpiteet!$Y$4,TP!$AG:$AG,Toimenpiteet!$Y$5,TP!$L:$L,Toimenpiteet!$V$2,TP!AL:AL,$AC$4)</f>
        <v>0</v>
      </c>
      <c r="X111" s="111">
        <f>SUMIFS(TP!$P:$P,TP!$AI:$AI,$W$7,TP!$R:$R,$X$9,TP!$U:$U,Toimenpiteet!$U111,TP!$W:$W,Toimenpiteet!$X$8,TP!$X:$X,Toimenpiteet!$X$6,TP!$V:$V,Toimenpiteet!$Y$7,TP!$AD:$AD,$X$9,TP!$AF:$AF,Toimenpiteet!$Y$6,TP!$Q:$Q,Toimenpiteet!$Y$4,TP!$AG:$AG,Toimenpiteet!$Y$5,TP!$L:$L,Toimenpiteet!$V$2,TP!AL:AL,$AC$4)</f>
        <v>0</v>
      </c>
      <c r="Y111" s="111">
        <f>SUMIFS(TP!$P:$P,TP!$AI:$AI,$W$7,TP!$R:$R,$X$9,TP!$U:$U,Toimenpiteet!$U111,TP!$W:$W,Toimenpiteet!$Y$8,TP!$X:$X,Toimenpiteet!$X$6,TP!$AD:$AD,$X$9,TP!$AF:$AF,Toimenpiteet!$Y$6,TP!$Q:$Q,Toimenpiteet!$Y$4,TP!$AG:$AG,Toimenpiteet!$Y$5,TP!$L:$L,Toimenpiteet!$V$2,TP!AL:AL,$AC$4)</f>
        <v>0</v>
      </c>
      <c r="AD111" s="111">
        <f>SUMIFS(TP!$P:$P,TP!$AI:$AI,$W$7,TP!$R:$R,$X$9,TP!$U:$U,Toimenpiteet!$AC111,TP!$W:$W,Toimenpiteet!$X$8,TP!$X:$X,Toimenpiteet!$X$6,TP!$AD:$AD,$X$9,TP!$AF:$AF,Toimenpiteet!$Y$6,TP!$Q:$Q,Toimenpiteet!$Y$4,TP!$AG:$AG,Toimenpiteet!$Y$5,TP!$L:$L,Toimenpiteet!$V$2,TP!AL:AL,$AC$4)</f>
        <v>0</v>
      </c>
      <c r="AE111" s="111">
        <f>SUMIFS(TP!$P:$P,TP!$AI:$AI,$W$7,TP!$R:$R,$X$9,TP!$U:$U,Toimenpiteet!$AC111,TP!$W:$W,Toimenpiteet!$X$8,TP!$X:$X,Toimenpiteet!$X$6,TP!$V:$V,Toimenpiteet!$X$7,TP!$AD:$AD,$X$9,TP!$AF:$AF,Toimenpiteet!$Y$6,TP!$Q:$Q,Toimenpiteet!$Y$4,TP!$AG:$AG,Toimenpiteet!$Y$5,TP!$L:$L,Toimenpiteet!$V$2,TP!AL:AL,$AC$4)</f>
        <v>0</v>
      </c>
      <c r="AF111" s="111">
        <f>SUMIFS(TP!$P:$P,TP!$AI:$AI,$W$7,TP!$R:$R,$X$9,TP!$U:$U,Toimenpiteet!$AC111,TP!$W:$W,Toimenpiteet!$X$8,TP!$X:$X,Toimenpiteet!$X$6,TP!$V:$V,Toimenpiteet!$Y$7,TP!$AD:$AD,$X$9,TP!$AF:$AF,Toimenpiteet!$Y$6,TP!$Q:$Q,Toimenpiteet!$Y$4,TP!$AG:$AG,Toimenpiteet!$Y$5,TP!$L:$L,Toimenpiteet!$V$2,TP!AL:AL,$AC$4)</f>
        <v>0</v>
      </c>
      <c r="AG111" s="111">
        <f>SUMIFS(TP!$P:$P,TP!$AI:$AI,$W$7,TP!$R:$R,$X$9,TP!$U:$U,Toimenpiteet!$AC111,TP!$W:$W,Toimenpiteet!$Y$8,TP!$X:$X,Toimenpiteet!$X$6,TP!$AD:$AD,$X$9,TP!$AF:$AF,Toimenpiteet!$Y$6,TP!$Q:$Q,Toimenpiteet!$Y$4,TP!$AG:$AG,Toimenpiteet!$Y$5,TP!$L:$L,Toimenpiteet!$V$2,TP!AL:AL,$AC$4)</f>
        <v>0</v>
      </c>
      <c r="AL111" s="638"/>
      <c r="AM111" s="646" t="s">
        <v>1372</v>
      </c>
      <c r="AN111" s="646" t="s">
        <v>1372</v>
      </c>
      <c r="AO111" t="s">
        <v>1140</v>
      </c>
    </row>
    <row r="112" spans="1:41" x14ac:dyDescent="0.25">
      <c r="A112" s="36"/>
      <c r="B112" s="37" t="str">
        <f>A113</f>
        <v>Muut toimenpiteet</v>
      </c>
      <c r="C112" s="105">
        <f>SUM(C113:C118)</f>
        <v>0</v>
      </c>
      <c r="D112" s="105"/>
      <c r="E112" s="105"/>
      <c r="F112" s="105"/>
      <c r="G112" s="105"/>
      <c r="H112" s="107"/>
      <c r="I112" s="108"/>
      <c r="J112" s="107">
        <f t="shared" ref="J112:O112" si="15">SUM(J113:J118)</f>
        <v>0</v>
      </c>
      <c r="K112" s="105">
        <f t="shared" si="15"/>
        <v>0</v>
      </c>
      <c r="L112" s="105">
        <f t="shared" si="15"/>
        <v>0</v>
      </c>
      <c r="M112" s="105">
        <f t="shared" si="15"/>
        <v>0</v>
      </c>
      <c r="N112" s="105">
        <f t="shared" si="15"/>
        <v>0</v>
      </c>
      <c r="O112" s="108">
        <f t="shared" si="15"/>
        <v>0</v>
      </c>
      <c r="T112"/>
      <c r="V112" s="111">
        <f>SUMIFS(TP!$P:$P,TP!$AI:$AI,$W$7,TP!$R:$R,$X$9,TP!$U:$U,Toimenpiteet!$U112,TP!$W:$W,Toimenpiteet!$X$8,TP!$X:$X,Toimenpiteet!$X$6,TP!$AD:$AD,$X$9,TP!$AF:$AF,Toimenpiteet!$Y$6,TP!$Q:$Q,Toimenpiteet!$Y$4,TP!$AG:$AG,Toimenpiteet!$Y$5,TP!$L:$L,Toimenpiteet!$V$2,TP!AL:AL,$AC$4)</f>
        <v>0</v>
      </c>
      <c r="W112" s="111">
        <f>SUMIFS(TP!$P:$P,TP!$AI:$AI,$W$7,TP!$R:$R,$X$9,TP!$U:$U,Toimenpiteet!$U112,TP!$W:$W,Toimenpiteet!$X$8,TP!$X:$X,Toimenpiteet!$X$6,TP!$V:$V,Toimenpiteet!$X$7,TP!$AD:$AD,$X$9,TP!$AF:$AF,Toimenpiteet!$Y$6,TP!$Q:$Q,Toimenpiteet!$Y$4,TP!$AG:$AG,Toimenpiteet!$Y$5,TP!$L:$L,Toimenpiteet!$V$2,TP!AL:AL,$AC$4)</f>
        <v>0</v>
      </c>
      <c r="X112" s="111">
        <f>SUMIFS(TP!$P:$P,TP!$AI:$AI,$W$7,TP!$R:$R,$X$9,TP!$U:$U,Toimenpiteet!$U112,TP!$W:$W,Toimenpiteet!$X$8,TP!$X:$X,Toimenpiteet!$X$6,TP!$V:$V,Toimenpiteet!$Y$7,TP!$AD:$AD,$X$9,TP!$AF:$AF,Toimenpiteet!$Y$6,TP!$Q:$Q,Toimenpiteet!$Y$4,TP!$AG:$AG,Toimenpiteet!$Y$5,TP!$L:$L,Toimenpiteet!$V$2,TP!AL:AL,$AC$4)</f>
        <v>0</v>
      </c>
      <c r="Y112" s="111">
        <f>SUMIFS(TP!$P:$P,TP!$AI:$AI,$W$7,TP!$R:$R,$X$9,TP!$U:$U,Toimenpiteet!$U112,TP!$W:$W,Toimenpiteet!$Y$8,TP!$X:$X,Toimenpiteet!$X$6,TP!$AD:$AD,$X$9,TP!$AF:$AF,Toimenpiteet!$Y$6,TP!$Q:$Q,Toimenpiteet!$Y$4,TP!$AG:$AG,Toimenpiteet!$Y$5,TP!$L:$L,Toimenpiteet!$V$2,TP!AL:AL,$AC$4)</f>
        <v>0</v>
      </c>
      <c r="AD112" s="111">
        <f>SUMIFS(TP!$P:$P,TP!$AI:$AI,$W$7,TP!$R:$R,$X$9,TP!$U:$U,Toimenpiteet!$AC112,TP!$W:$W,Toimenpiteet!$X$8,TP!$X:$X,Toimenpiteet!$X$6,TP!$AD:$AD,$X$9,TP!$AF:$AF,Toimenpiteet!$Y$6,TP!$Q:$Q,Toimenpiteet!$Y$4,TP!$AG:$AG,Toimenpiteet!$Y$5,TP!$L:$L,Toimenpiteet!$V$2,TP!AL:AL,$AC$4)</f>
        <v>0</v>
      </c>
      <c r="AE112" s="111">
        <f>SUMIFS(TP!$P:$P,TP!$AI:$AI,$W$7,TP!$R:$R,$X$9,TP!$U:$U,Toimenpiteet!$AC112,TP!$W:$W,Toimenpiteet!$X$8,TP!$X:$X,Toimenpiteet!$X$6,TP!$V:$V,Toimenpiteet!$X$7,TP!$AD:$AD,$X$9,TP!$AF:$AF,Toimenpiteet!$Y$6,TP!$Q:$Q,Toimenpiteet!$Y$4,TP!$AG:$AG,Toimenpiteet!$Y$5,TP!$L:$L,Toimenpiteet!$V$2,TP!AL:AL,$AC$4)</f>
        <v>0</v>
      </c>
      <c r="AF112" s="111">
        <f>SUMIFS(TP!$P:$P,TP!$AI:$AI,$W$7,TP!$R:$R,$X$9,TP!$U:$U,Toimenpiteet!$AC112,TP!$W:$W,Toimenpiteet!$X$8,TP!$X:$X,Toimenpiteet!$X$6,TP!$V:$V,Toimenpiteet!$Y$7,TP!$AD:$AD,$X$9,TP!$AF:$AF,Toimenpiteet!$Y$6,TP!$Q:$Q,Toimenpiteet!$Y$4,TP!$AG:$AG,Toimenpiteet!$Y$5,TP!$L:$L,Toimenpiteet!$V$2,TP!AL:AL,$AC$4)</f>
        <v>0</v>
      </c>
      <c r="AG112" s="111">
        <f>SUMIFS(TP!$P:$P,TP!$AI:$AI,$W$7,TP!$R:$R,$X$9,TP!$U:$U,Toimenpiteet!$AC112,TP!$W:$W,Toimenpiteet!$Y$8,TP!$X:$X,Toimenpiteet!$X$6,TP!$AD:$AD,$X$9,TP!$AF:$AF,Toimenpiteet!$Y$6,TP!$Q:$Q,Toimenpiteet!$Y$4,TP!$AG:$AG,Toimenpiteet!$Y$5,TP!$L:$L,Toimenpiteet!$V$2,TP!AL:AL,$AC$4)</f>
        <v>0</v>
      </c>
      <c r="AL112" s="639"/>
      <c r="AM112" s="644" t="s">
        <v>94</v>
      </c>
      <c r="AN112" s="644" t="s">
        <v>94</v>
      </c>
      <c r="AO112" t="s">
        <v>1441</v>
      </c>
    </row>
    <row r="113" spans="1:41" x14ac:dyDescent="0.25">
      <c r="A113" s="917" t="s">
        <v>94</v>
      </c>
      <c r="B113" s="672" t="s">
        <v>138</v>
      </c>
      <c r="C113" s="111">
        <f>SUMIFS(TP!$P:$P,TP!$AI:$AI,$W$7,TP!$R:$R,$X$9,TP!$U:$U,Toimenpiteet!$T113,TP!$W:$W,Toimenpiteet!$X$8,TP!$X:$X,Toimenpiteet!$X$6,TP!$AD:$AD,$X$9,TP!$AF:$AF,Toimenpiteet!$Y$6,TP!$Q:$Q,Toimenpiteet!$Y$4,TP!$AG:$AG,Toimenpiteet!$Y$5,TP!$L:$L,Toimenpiteet!$V$2,TP!AL:AL,$AC$4)+V113+AD113</f>
        <v>0</v>
      </c>
      <c r="D113" s="112">
        <f t="shared" ref="D113:D118" si="16">IFERROR(C113/$C$54,0)</f>
        <v>0</v>
      </c>
      <c r="E113" s="111">
        <f>SUMIFS(TP!$P:$P,TP!$AI:$AI,$W$7,TP!$R:$R,$X$9,TP!$U:$U,Toimenpiteet!$T113,TP!$W:$W,Toimenpiteet!$X$8,TP!$X:$X,Toimenpiteet!$X$6,TP!$V:$V,Toimenpiteet!$X$7,TP!$AD:$AD,$X$9,TP!$AF:$AF,Toimenpiteet!$Y$6,TP!$Q:$Q,Toimenpiteet!$Y$4,TP!$AG:$AG,Toimenpiteet!$Y$5,TP!$L:$L,Toimenpiteet!$V$2,TP!AL:AL,$AC$4)+W113+AE113</f>
        <v>0</v>
      </c>
      <c r="F113" s="111">
        <f>SUMIFS(TP!$P:$P,TP!$AI:$AI,$W$7,TP!$R:$R,$X$9,TP!$U:$U,Toimenpiteet!$T113,TP!$W:$W,Toimenpiteet!$X$8,TP!$X:$X,Toimenpiteet!$X$6,TP!$V:$V,Toimenpiteet!$Y$7,TP!$AD:$AD,$X$9,TP!$AF:$AF,Toimenpiteet!$Y$6,TP!$Q:$Q,Toimenpiteet!$Y$4,TP!$AG:$AG,Toimenpiteet!$Y$5,TP!$L:$L,Toimenpiteet!$V$2,TP!AL:AL,$AC$4)+X113+AF113</f>
        <v>0</v>
      </c>
      <c r="G113" s="111">
        <f>SUMIFS(TP!$P:$P,TP!$AI:$AI,$W$7,TP!$R:$R,$X$9,TP!$U:$U,Toimenpiteet!$T113,TP!$W:$W,Toimenpiteet!$Y$8,TP!$X:$X,Toimenpiteet!$X$6,TP!$AD:$AD,$X$9,TP!$AF:$AF,Toimenpiteet!$Y$6,TP!$Q:$Q,Toimenpiteet!$Y$4,TP!$AG:$AG,Toimenpiteet!$Y$5,TP!$L:$L,Toimenpiteet!$V$2,TP!AL:AL,$AC$4)+Y113+AG113</f>
        <v>0</v>
      </c>
      <c r="H113" s="113"/>
      <c r="I113" s="114"/>
      <c r="J113" s="115">
        <f>SUMIFS(TP!$P:$P,TP!$AI:$AI,$W$7,TP!$R:$R,$X$9,TP!$U:$U,Toimenpiteet!$T113,TP!$W:$W,Toimenpiteet!$X$8,TP!$X:$X,Toimenpiteet!$X$6,TP!$Z:$Z,1,TP!$AD:$AD,$X$9,TP!$AF:$AF,Toimenpiteet!$Y$6,TP!$Q:$Q,Toimenpiteet!$Y$4,TP!$AG:$AG,Toimenpiteet!$Y$5,TP!$L:$L,Toimenpiteet!$V$2,TP!AL:AL,$AC$4)</f>
        <v>0</v>
      </c>
      <c r="K113" s="111">
        <f>SUMIFS(TP!$P:$P,TP!$AI:$AI,$W$7,TP!$R:$R,$X$9,TP!$U:$U,Toimenpiteet!$T113,TP!$W:$W,Toimenpiteet!$X$8,TP!$X:$X,Toimenpiteet!$X$6,TP!$O:$O,Toimenpiteet!$Z$3,TP!$AD:$AD,$X$9,TP!$AF:$AF,Toimenpiteet!$Y$6,TP!$Q:$Q,Toimenpiteet!$Y$4,TP!$AG:$AG,Toimenpiteet!$Y$5,TP!$L:$L,Toimenpiteet!$V$2,TP!AL:AL,$AC$4)</f>
        <v>0</v>
      </c>
      <c r="L113" s="111">
        <f>SUMIFS(TP!$P:$P,TP!$AI:$AI,$W$7,TP!$R:$R,$X$9,TP!$U:$U,Toimenpiteet!$T113,TP!$W:$W,Toimenpiteet!$X$8,TP!$X:$X,Toimenpiteet!$X$6,TP!$K:$K,Toimenpiteet!$Z$6,TP!$AD:$AD,$X$9,TP!$AF:$AF,Toimenpiteet!$Y$6,TP!$Q:$Q,Toimenpiteet!$Y$4,TP!$AG:$AG,Toimenpiteet!$Y$5,TP!$L:$L,Toimenpiteet!$V$2,TP!AL:AL,$AC$4)</f>
        <v>0</v>
      </c>
      <c r="M113" s="111">
        <f>SUMIFS(TP!$P:$P,TP!$AI:$AI,$W$7,TP!$R:$R,$X$9,TP!$U:$U,Toimenpiteet!$T113,TP!$W:$W,Toimenpiteet!$X$8,TP!$X:$X,Toimenpiteet!$X$6,TP!$K:$K,Toimenpiteet!$Z$7,TP!$AD:$AD,$X$9,TP!$AF:$AF,Toimenpiteet!$Y$6,TP!$Q:$Q,Toimenpiteet!$Y$4,TP!$AG:$AG,Toimenpiteet!$Y$5,TP!$L:$L,Toimenpiteet!$V$2,TP!AL:AL,$AC$4)</f>
        <v>0</v>
      </c>
      <c r="N113" s="111">
        <f>SUMIFS(TP!$P:$P,TP!$AI:$AI,$W$7,TP!$R:$R,$X$9,TP!$U:$U,Toimenpiteet!$T113,TP!$W:$W,Toimenpiteet!$X$8,TP!$X:$X,Toimenpiteet!$X$6,TP!$K:$K,Toimenpiteet!$Z$8,TP!$AD:$AD,$X$9,TP!$AF:$AF,Toimenpiteet!$Y$6,TP!$Q:$Q,Toimenpiteet!$Y$4,TP!$AG:$AG,Toimenpiteet!$Y$5,TP!$L:$L,Toimenpiteet!$V$2,TP!AL:AL,$AC$4)</f>
        <v>0</v>
      </c>
      <c r="O113" s="116">
        <f>SUMIFS(TP!$P:$P,TP!$AI:$AI,$W$7,TP!$R:$R,$X$9,TP!$U:$U,Toimenpiteet!$T113,TP!$W:$W,Toimenpiteet!$X$8,TP!$X:$X,Toimenpiteet!$X$6,TP!$K:$K,Toimenpiteet!$Z$5,TP!$AD:$AD,$X$9,TP!$AF:$AF,Toimenpiteet!$Y$6,TP!$Q:$Q,Toimenpiteet!$Y$4,TP!$AG:$AG,Toimenpiteet!$Y$5,TP!$L:$L,Toimenpiteet!$V$2,TP!AL:AL,$AC$4)</f>
        <v>0</v>
      </c>
      <c r="T113" s="651" t="s">
        <v>519</v>
      </c>
      <c r="V113" s="111">
        <f>SUMIFS(TP!$P:$P,TP!$AI:$AI,$W$7,TP!$R:$R,$X$9,TP!$U:$U,Toimenpiteet!$U113,TP!$W:$W,Toimenpiteet!$X$8,TP!$X:$X,Toimenpiteet!$X$6,TP!$AD:$AD,$X$9,TP!$AF:$AF,Toimenpiteet!$Y$6,TP!$Q:$Q,Toimenpiteet!$Y$4,TP!$AG:$AG,Toimenpiteet!$Y$5,TP!$L:$L,Toimenpiteet!$V$2,TP!AL:AL,$AC$4)</f>
        <v>0</v>
      </c>
      <c r="W113" s="111">
        <f>SUMIFS(TP!$P:$P,TP!$AI:$AI,$W$7,TP!$R:$R,$X$9,TP!$U:$U,Toimenpiteet!$U113,TP!$W:$W,Toimenpiteet!$X$8,TP!$X:$X,Toimenpiteet!$X$6,TP!$V:$V,Toimenpiteet!$X$7,TP!$AD:$AD,$X$9,TP!$AF:$AF,Toimenpiteet!$Y$6,TP!$Q:$Q,Toimenpiteet!$Y$4,TP!$AG:$AG,Toimenpiteet!$Y$5,TP!$L:$L,Toimenpiteet!$V$2,TP!AL:AL,$AC$4)</f>
        <v>0</v>
      </c>
      <c r="X113" s="111">
        <f>SUMIFS(TP!$P:$P,TP!$AI:$AI,$W$7,TP!$R:$R,$X$9,TP!$U:$U,Toimenpiteet!$U113,TP!$W:$W,Toimenpiteet!$X$8,TP!$X:$X,Toimenpiteet!$X$6,TP!$V:$V,Toimenpiteet!$Y$7,TP!$AD:$AD,$X$9,TP!$AF:$AF,Toimenpiteet!$Y$6,TP!$Q:$Q,Toimenpiteet!$Y$4,TP!$AG:$AG,Toimenpiteet!$Y$5,TP!$L:$L,Toimenpiteet!$V$2,TP!AL:AL,$AC$4)</f>
        <v>0</v>
      </c>
      <c r="Y113" s="111">
        <f>SUMIFS(TP!$P:$P,TP!$AI:$AI,$W$7,TP!$R:$R,$X$9,TP!$U:$U,Toimenpiteet!$U113,TP!$W:$W,Toimenpiteet!$Y$8,TP!$X:$X,Toimenpiteet!$X$6,TP!$AD:$AD,$X$9,TP!$AF:$AF,Toimenpiteet!$Y$6,TP!$Q:$Q,Toimenpiteet!$Y$4,TP!$AG:$AG,Toimenpiteet!$Y$5,TP!$L:$L,Toimenpiteet!$V$2,TP!AL:AL,$AC$4)</f>
        <v>0</v>
      </c>
      <c r="AD113" s="111">
        <f>SUMIFS(TP!$P:$P,TP!$AI:$AI,$W$7,TP!$R:$R,$X$9,TP!$U:$U,Toimenpiteet!$AC113,TP!$W:$W,Toimenpiteet!$X$8,TP!$X:$X,Toimenpiteet!$X$6,TP!$AD:$AD,$X$9,TP!$AF:$AF,Toimenpiteet!$Y$6,TP!$Q:$Q,Toimenpiteet!$Y$4,TP!$AG:$AG,Toimenpiteet!$Y$5,TP!$L:$L,Toimenpiteet!$V$2,TP!AL:AL,$AC$4)</f>
        <v>0</v>
      </c>
      <c r="AE113" s="111">
        <f>SUMIFS(TP!$P:$P,TP!$AI:$AI,$W$7,TP!$R:$R,$X$9,TP!$U:$U,Toimenpiteet!$AC113,TP!$W:$W,Toimenpiteet!$X$8,TP!$X:$X,Toimenpiteet!$X$6,TP!$V:$V,Toimenpiteet!$X$7,TP!$AD:$AD,$X$9,TP!$AF:$AF,Toimenpiteet!$Y$6,TP!$Q:$Q,Toimenpiteet!$Y$4,TP!$AG:$AG,Toimenpiteet!$Y$5,TP!$L:$L,Toimenpiteet!$V$2,TP!AL:AL,$AC$4)</f>
        <v>0</v>
      </c>
      <c r="AF113" s="111">
        <f>SUMIFS(TP!$P:$P,TP!$AI:$AI,$W$7,TP!$R:$R,$X$9,TP!$U:$U,Toimenpiteet!$AC113,TP!$W:$W,Toimenpiteet!$X$8,TP!$X:$X,Toimenpiteet!$X$6,TP!$V:$V,Toimenpiteet!$Y$7,TP!$AD:$AD,$X$9,TP!$AF:$AF,Toimenpiteet!$Y$6,TP!$Q:$Q,Toimenpiteet!$Y$4,TP!$AG:$AG,Toimenpiteet!$Y$5,TP!$L:$L,Toimenpiteet!$V$2,TP!AL:AL,$AC$4)</f>
        <v>0</v>
      </c>
      <c r="AG113" s="111">
        <f>SUMIFS(TP!$P:$P,TP!$AI:$AI,$W$7,TP!$R:$R,$X$9,TP!$U:$U,Toimenpiteet!$AC113,TP!$W:$W,Toimenpiteet!$Y$8,TP!$X:$X,Toimenpiteet!$X$6,TP!$AD:$AD,$X$9,TP!$AF:$AF,Toimenpiteet!$Y$6,TP!$Q:$Q,Toimenpiteet!$Y$4,TP!$AG:$AG,Toimenpiteet!$Y$5,TP!$L:$L,Toimenpiteet!$V$2,TP!AL:AL,$AC$4)</f>
        <v>0</v>
      </c>
      <c r="AL113" s="638"/>
      <c r="AM113" s="646" t="s">
        <v>14</v>
      </c>
      <c r="AN113" s="646" t="s">
        <v>14</v>
      </c>
      <c r="AO113" t="s">
        <v>519</v>
      </c>
    </row>
    <row r="114" spans="1:41" ht="15" customHeight="1" x14ac:dyDescent="0.25">
      <c r="A114" s="918"/>
      <c r="B114" s="672" t="s">
        <v>1155</v>
      </c>
      <c r="C114" s="111">
        <f>SUMIFS(TP!$P:$P,TP!$AI:$AI,$W$7,TP!$R:$R,$X$9,TP!$U:$U,Toimenpiteet!$T114,TP!$W:$W,Toimenpiteet!$X$8,TP!$X:$X,Toimenpiteet!$X$6,TP!$AD:$AD,$X$9,TP!$AF:$AF,Toimenpiteet!$Y$6,TP!$Q:$Q,Toimenpiteet!$Y$4,TP!$AG:$AG,Toimenpiteet!$Y$5,TP!$L:$L,Toimenpiteet!$V$2,TP!AL:AL,$AC$4)+V114+AD114</f>
        <v>0</v>
      </c>
      <c r="D114" s="112">
        <f t="shared" si="16"/>
        <v>0</v>
      </c>
      <c r="E114" s="111">
        <f>SUMIFS(TP!$P:$P,TP!$AI:$AI,$W$7,TP!$R:$R,$X$9,TP!$U:$U,Toimenpiteet!$T114,TP!$W:$W,Toimenpiteet!$X$8,TP!$X:$X,Toimenpiteet!$X$6,TP!$V:$V,Toimenpiteet!$X$7,TP!$AD:$AD,$X$9,TP!$AF:$AF,Toimenpiteet!$Y$6,TP!$Q:$Q,Toimenpiteet!$Y$4,TP!$AG:$AG,Toimenpiteet!$Y$5,TP!$L:$L,Toimenpiteet!$V$2,TP!AL:AL,$AC$4)+W114+AE114</f>
        <v>0</v>
      </c>
      <c r="F114" s="111">
        <f>SUMIFS(TP!$P:$P,TP!$AI:$AI,$W$7,TP!$R:$R,$X$9,TP!$U:$U,Toimenpiteet!$T114,TP!$W:$W,Toimenpiteet!$X$8,TP!$X:$X,Toimenpiteet!$X$6,TP!$V:$V,Toimenpiteet!$Y$7,TP!$AD:$AD,$X$9,TP!$AF:$AF,Toimenpiteet!$Y$6,TP!$Q:$Q,Toimenpiteet!$Y$4,TP!$AG:$AG,Toimenpiteet!$Y$5,TP!$L:$L,Toimenpiteet!$V$2,TP!AL:AL,$AC$4)+X114+AF114</f>
        <v>0</v>
      </c>
      <c r="G114" s="111">
        <f>SUMIFS(TP!$P:$P,TP!$AI:$AI,$W$7,TP!$R:$R,$X$9,TP!$U:$U,Toimenpiteet!$T114,TP!$W:$W,Toimenpiteet!$Y$8,TP!$X:$X,Toimenpiteet!$X$6,TP!$AD:$AD,$X$9,TP!$AF:$AF,Toimenpiteet!$Y$6,TP!$Q:$Q,Toimenpiteet!$Y$4,TP!$AG:$AG,Toimenpiteet!$Y$5,TP!$L:$L,Toimenpiteet!$V$2,TP!AL:AL,$AC$4)+Y114+AG114</f>
        <v>0</v>
      </c>
      <c r="H114" s="113"/>
      <c r="I114" s="114"/>
      <c r="J114" s="115">
        <f>SUMIFS(TP!$P:$P,TP!$AI:$AI,$W$7,TP!$R:$R,$X$9,TP!$U:$U,Toimenpiteet!$T114,TP!$W:$W,Toimenpiteet!$X$8,TP!$X:$X,Toimenpiteet!$X$6,TP!$Z:$Z,1,TP!$AD:$AD,$X$9,TP!$AF:$AF,Toimenpiteet!$Y$6,TP!$Q:$Q,Toimenpiteet!$Y$4,TP!$AG:$AG,Toimenpiteet!$Y$5,TP!$L:$L,Toimenpiteet!$V$2,TP!AL:AL,$AC$4)</f>
        <v>0</v>
      </c>
      <c r="K114" s="111">
        <f>SUMIFS(TP!$P:$P,TP!$AI:$AI,$W$7,TP!$R:$R,$X$9,TP!$U:$U,Toimenpiteet!$T114,TP!$W:$W,Toimenpiteet!$X$8,TP!$X:$X,Toimenpiteet!$X$6,TP!$O:$O,Toimenpiteet!$Z$3,TP!$AD:$AD,$X$9,TP!$AF:$AF,Toimenpiteet!$Y$6,TP!$Q:$Q,Toimenpiteet!$Y$4,TP!$AG:$AG,Toimenpiteet!$Y$5,TP!$L:$L,Toimenpiteet!$V$2,TP!AL:AL,$AC$4)</f>
        <v>0</v>
      </c>
      <c r="L114" s="111">
        <f>SUMIFS(TP!$P:$P,TP!$AI:$AI,$W$7,TP!$R:$R,$X$9,TP!$U:$U,Toimenpiteet!$T114,TP!$W:$W,Toimenpiteet!$X$8,TP!$X:$X,Toimenpiteet!$X$6,TP!$K:$K,Toimenpiteet!$Z$6,TP!$AD:$AD,$X$9,TP!$AF:$AF,Toimenpiteet!$Y$6,TP!$Q:$Q,Toimenpiteet!$Y$4,TP!$AG:$AG,Toimenpiteet!$Y$5,TP!$L:$L,Toimenpiteet!$V$2,TP!AL:AL,$AC$4)</f>
        <v>0</v>
      </c>
      <c r="M114" s="111">
        <f>SUMIFS(TP!$P:$P,TP!$AI:$AI,$W$7,TP!$R:$R,$X$9,TP!$U:$U,Toimenpiteet!$T114,TP!$W:$W,Toimenpiteet!$X$8,TP!$X:$X,Toimenpiteet!$X$6,TP!$K:$K,Toimenpiteet!$Z$7,TP!$AD:$AD,$X$9,TP!$AF:$AF,Toimenpiteet!$Y$6,TP!$Q:$Q,Toimenpiteet!$Y$4,TP!$AG:$AG,Toimenpiteet!$Y$5,TP!$L:$L,Toimenpiteet!$V$2,TP!AL:AL,$AC$4)</f>
        <v>0</v>
      </c>
      <c r="N114" s="111">
        <f>SUMIFS(TP!$P:$P,TP!$AI:$AI,$W$7,TP!$R:$R,$X$9,TP!$U:$U,Toimenpiteet!$T114,TP!$W:$W,Toimenpiteet!$X$8,TP!$X:$X,Toimenpiteet!$X$6,TP!$K:$K,Toimenpiteet!$Z$8,TP!$AD:$AD,$X$9,TP!$AF:$AF,Toimenpiteet!$Y$6,TP!$Q:$Q,Toimenpiteet!$Y$4,TP!$AG:$AG,Toimenpiteet!$Y$5,TP!$L:$L,Toimenpiteet!$V$2,TP!AL:AL,$AC$4)</f>
        <v>0</v>
      </c>
      <c r="O114" s="116">
        <f>SUMIFS(TP!$P:$P,TP!$AI:$AI,$W$7,TP!$R:$R,$X$9,TP!$U:$U,Toimenpiteet!$T114,TP!$W:$W,Toimenpiteet!$X$8,TP!$X:$X,Toimenpiteet!$X$6,TP!$K:$K,Toimenpiteet!$Z$5,TP!$AD:$AD,$X$9,TP!$AF:$AF,Toimenpiteet!$Y$6,TP!$Q:$Q,Toimenpiteet!$Y$4,TP!$AG:$AG,Toimenpiteet!$Y$5,TP!$L:$L,Toimenpiteet!$V$2,TP!AL:AL,$AC$4)</f>
        <v>0</v>
      </c>
      <c r="T114" s="651" t="s">
        <v>291</v>
      </c>
      <c r="V114" s="111">
        <f>SUMIFS(TP!$P:$P,TP!$AI:$AI,$W$7,TP!$R:$R,$X$9,TP!$U:$U,Toimenpiteet!$U114,TP!$W:$W,Toimenpiteet!$X$8,TP!$X:$X,Toimenpiteet!$X$6,TP!$AD:$AD,$X$9,TP!$AF:$AF,Toimenpiteet!$Y$6,TP!$Q:$Q,Toimenpiteet!$Y$4,TP!$AG:$AG,Toimenpiteet!$Y$5,TP!$L:$L,Toimenpiteet!$V$2,TP!AL:AL,$AC$4)</f>
        <v>0</v>
      </c>
      <c r="W114" s="111">
        <f>SUMIFS(TP!$P:$P,TP!$AI:$AI,$W$7,TP!$R:$R,$X$9,TP!$U:$U,Toimenpiteet!$U114,TP!$W:$W,Toimenpiteet!$X$8,TP!$X:$X,Toimenpiteet!$X$6,TP!$V:$V,Toimenpiteet!$X$7,TP!$AD:$AD,$X$9,TP!$AF:$AF,Toimenpiteet!$Y$6,TP!$Q:$Q,Toimenpiteet!$Y$4,TP!$AG:$AG,Toimenpiteet!$Y$5,TP!$L:$L,Toimenpiteet!$V$2,TP!AL:AL,$AC$4)</f>
        <v>0</v>
      </c>
      <c r="X114" s="111">
        <f>SUMIFS(TP!$P:$P,TP!$AI:$AI,$W$7,TP!$R:$R,$X$9,TP!$U:$U,Toimenpiteet!$U114,TP!$W:$W,Toimenpiteet!$X$8,TP!$X:$X,Toimenpiteet!$X$6,TP!$V:$V,Toimenpiteet!$Y$7,TP!$AD:$AD,$X$9,TP!$AF:$AF,Toimenpiteet!$Y$6,TP!$Q:$Q,Toimenpiteet!$Y$4,TP!$AG:$AG,Toimenpiteet!$Y$5,TP!$L:$L,Toimenpiteet!$V$2,TP!AL:AL,$AC$4)</f>
        <v>0</v>
      </c>
      <c r="Y114" s="111">
        <f>SUMIFS(TP!$P:$P,TP!$AI:$AI,$W$7,TP!$R:$R,$X$9,TP!$U:$U,Toimenpiteet!$U114,TP!$W:$W,Toimenpiteet!$Y$8,TP!$X:$X,Toimenpiteet!$X$6,TP!$AD:$AD,$X$9,TP!$AF:$AF,Toimenpiteet!$Y$6,TP!$Q:$Q,Toimenpiteet!$Y$4,TP!$AG:$AG,Toimenpiteet!$Y$5,TP!$L:$L,Toimenpiteet!$V$2,TP!AL:AL,$AC$4)</f>
        <v>0</v>
      </c>
      <c r="AD114" s="111">
        <f>SUMIFS(TP!$P:$P,TP!$AI:$AI,$W$7,TP!$R:$R,$X$9,TP!$U:$U,Toimenpiteet!$AC114,TP!$W:$W,Toimenpiteet!$X$8,TP!$X:$X,Toimenpiteet!$X$6,TP!$AD:$AD,$X$9,TP!$AF:$AF,Toimenpiteet!$Y$6,TP!$Q:$Q,Toimenpiteet!$Y$4,TP!$AG:$AG,Toimenpiteet!$Y$5,TP!$L:$L,Toimenpiteet!$V$2,TP!AL:AL,$AC$4)</f>
        <v>0</v>
      </c>
      <c r="AE114" s="111">
        <f>SUMIFS(TP!$P:$P,TP!$AI:$AI,$W$7,TP!$R:$R,$X$9,TP!$U:$U,Toimenpiteet!$AC114,TP!$W:$W,Toimenpiteet!$X$8,TP!$X:$X,Toimenpiteet!$X$6,TP!$V:$V,Toimenpiteet!$X$7,TP!$AD:$AD,$X$9,TP!$AF:$AF,Toimenpiteet!$Y$6,TP!$Q:$Q,Toimenpiteet!$Y$4,TP!$AG:$AG,Toimenpiteet!$Y$5,TP!$L:$L,Toimenpiteet!$V$2,TP!AL:AL,$AC$4)</f>
        <v>0</v>
      </c>
      <c r="AF114" s="111">
        <f>SUMIFS(TP!$P:$P,TP!$AI:$AI,$W$7,TP!$R:$R,$X$9,TP!$U:$U,Toimenpiteet!$AC114,TP!$W:$W,Toimenpiteet!$X$8,TP!$X:$X,Toimenpiteet!$X$6,TP!$V:$V,Toimenpiteet!$Y$7,TP!$AD:$AD,$X$9,TP!$AF:$AF,Toimenpiteet!$Y$6,TP!$Q:$Q,Toimenpiteet!$Y$4,TP!$AG:$AG,Toimenpiteet!$Y$5,TP!$L:$L,Toimenpiteet!$V$2,TP!AL:AL,$AC$4)</f>
        <v>0</v>
      </c>
      <c r="AG114" s="111">
        <f>SUMIFS(TP!$P:$P,TP!$AI:$AI,$W$7,TP!$R:$R,$X$9,TP!$U:$U,Toimenpiteet!$AC114,TP!$W:$W,Toimenpiteet!$Y$8,TP!$X:$X,Toimenpiteet!$X$6,TP!$AD:$AD,$X$9,TP!$AF:$AF,Toimenpiteet!$Y$6,TP!$Q:$Q,Toimenpiteet!$Y$4,TP!$AG:$AG,Toimenpiteet!$Y$5,TP!$L:$L,Toimenpiteet!$V$2,TP!AL:AL,$AC$4)</f>
        <v>0</v>
      </c>
      <c r="AM114" s="646" t="s">
        <v>58</v>
      </c>
      <c r="AN114" s="646" t="s">
        <v>58</v>
      </c>
      <c r="AO114" t="s">
        <v>291</v>
      </c>
    </row>
    <row r="115" spans="1:41" x14ac:dyDescent="0.25">
      <c r="A115" s="918"/>
      <c r="B115" s="672" t="s">
        <v>691</v>
      </c>
      <c r="C115" s="111">
        <f>SUMIFS(TP!$P:$P,TP!$AI:$AI,$W$7,TP!$R:$R,$X$9,TP!$U:$U,Toimenpiteet!$T115,TP!$W:$W,Toimenpiteet!$X$8,TP!$X:$X,Toimenpiteet!$X$6,TP!$AD:$AD,$X$9,TP!$AF:$AF,Toimenpiteet!$Y$6,TP!$Q:$Q,Toimenpiteet!$Y$4,TP!$AG:$AG,Toimenpiteet!$Y$5,TP!$L:$L,Toimenpiteet!$V$2,TP!AL:AL,$AC$4)+V115+AD115</f>
        <v>0</v>
      </c>
      <c r="D115" s="112">
        <f t="shared" si="16"/>
        <v>0</v>
      </c>
      <c r="E115" s="111">
        <f>SUMIFS(TP!$P:$P,TP!$AI:$AI,$W$7,TP!$R:$R,$X$9,TP!$U:$U,Toimenpiteet!$T115,TP!$W:$W,Toimenpiteet!$X$8,TP!$X:$X,Toimenpiteet!$X$6,TP!$V:$V,Toimenpiteet!$X$7,TP!$AD:$AD,$X$9,TP!$AF:$AF,Toimenpiteet!$Y$6,TP!$Q:$Q,Toimenpiteet!$Y$4,TP!$AG:$AG,Toimenpiteet!$Y$5,TP!$L:$L,Toimenpiteet!$V$2,TP!AL:AL,$AC$4)+W115+AE115</f>
        <v>0</v>
      </c>
      <c r="F115" s="111">
        <f>SUMIFS(TP!$P:$P,TP!$AI:$AI,$W$7,TP!$R:$R,$X$9,TP!$U:$U,Toimenpiteet!$T115,TP!$W:$W,Toimenpiteet!$X$8,TP!$X:$X,Toimenpiteet!$X$6,TP!$V:$V,Toimenpiteet!$Y$7,TP!$AD:$AD,$X$9,TP!$AF:$AF,Toimenpiteet!$Y$6,TP!$Q:$Q,Toimenpiteet!$Y$4,TP!$AG:$AG,Toimenpiteet!$Y$5,TP!$L:$L,Toimenpiteet!$V$2,TP!AL:AL,$AC$4)+X115+AF115</f>
        <v>0</v>
      </c>
      <c r="G115" s="111">
        <f>SUMIFS(TP!$P:$P,TP!$AI:$AI,$W$7,TP!$R:$R,$X$9,TP!$U:$U,Toimenpiteet!$T115,TP!$W:$W,Toimenpiteet!$Y$8,TP!$X:$X,Toimenpiteet!$X$6,TP!$AD:$AD,$X$9,TP!$AF:$AF,Toimenpiteet!$Y$6,TP!$Q:$Q,Toimenpiteet!$Y$4,TP!$AG:$AG,Toimenpiteet!$Y$5,TP!$L:$L,Toimenpiteet!$V$2,TP!AL:AL,$AC$4)+Y115+AG115</f>
        <v>0</v>
      </c>
      <c r="H115" s="113"/>
      <c r="I115" s="114"/>
      <c r="J115" s="115">
        <f>SUMIFS(TP!$P:$P,TP!$AI:$AI,$W$7,TP!$R:$R,$X$9,TP!$U:$U,Toimenpiteet!$T115,TP!$W:$W,Toimenpiteet!$X$8,TP!$X:$X,Toimenpiteet!$X$6,TP!$Z:$Z,1,TP!$AD:$AD,$X$9,TP!$AF:$AF,Toimenpiteet!$Y$6,TP!$Q:$Q,Toimenpiteet!$Y$4,TP!$AG:$AG,Toimenpiteet!$Y$5,TP!$L:$L,Toimenpiteet!$V$2,TP!AL:AL,$AC$4)</f>
        <v>0</v>
      </c>
      <c r="K115" s="111">
        <f>SUMIFS(TP!$P:$P,TP!$AI:$AI,$W$7,TP!$R:$R,$X$9,TP!$U:$U,Toimenpiteet!$T115,TP!$W:$W,Toimenpiteet!$X$8,TP!$X:$X,Toimenpiteet!$X$6,TP!$O:$O,Toimenpiteet!$Z$3,TP!$AD:$AD,$X$9,TP!$AF:$AF,Toimenpiteet!$Y$6,TP!$Q:$Q,Toimenpiteet!$Y$4,TP!$AG:$AG,Toimenpiteet!$Y$5,TP!$L:$L,Toimenpiteet!$V$2,TP!AL:AL,$AC$4)</f>
        <v>0</v>
      </c>
      <c r="L115" s="111">
        <f>SUMIFS(TP!$P:$P,TP!$AI:$AI,$W$7,TP!$R:$R,$X$9,TP!$U:$U,Toimenpiteet!$T115,TP!$W:$W,Toimenpiteet!$X$8,TP!$X:$X,Toimenpiteet!$X$6,TP!$K:$K,Toimenpiteet!$Z$6,TP!$AD:$AD,$X$9,TP!$AF:$AF,Toimenpiteet!$Y$6,TP!$Q:$Q,Toimenpiteet!$Y$4,TP!$AG:$AG,Toimenpiteet!$Y$5,TP!$L:$L,Toimenpiteet!$V$2,TP!AL:AL,$AC$4)</f>
        <v>0</v>
      </c>
      <c r="M115" s="111">
        <f>SUMIFS(TP!$P:$P,TP!$AI:$AI,$W$7,TP!$R:$R,$X$9,TP!$U:$U,Toimenpiteet!$T115,TP!$W:$W,Toimenpiteet!$X$8,TP!$X:$X,Toimenpiteet!$X$6,TP!$K:$K,Toimenpiteet!$Z$7,TP!$AD:$AD,$X$9,TP!$AF:$AF,Toimenpiteet!$Y$6,TP!$Q:$Q,Toimenpiteet!$Y$4,TP!$AG:$AG,Toimenpiteet!$Y$5,TP!$L:$L,Toimenpiteet!$V$2,TP!AL:AL,$AC$4)</f>
        <v>0</v>
      </c>
      <c r="N115" s="111">
        <f>SUMIFS(TP!$P:$P,TP!$AI:$AI,$W$7,TP!$R:$R,$X$9,TP!$U:$U,Toimenpiteet!$T115,TP!$W:$W,Toimenpiteet!$X$8,TP!$X:$X,Toimenpiteet!$X$6,TP!$K:$K,Toimenpiteet!$Z$8,TP!$AD:$AD,$X$9,TP!$AF:$AF,Toimenpiteet!$Y$6,TP!$Q:$Q,Toimenpiteet!$Y$4,TP!$AG:$AG,Toimenpiteet!$Y$5,TP!$L:$L,Toimenpiteet!$V$2,TP!AL:AL,$AC$4)</f>
        <v>0</v>
      </c>
      <c r="O115" s="116">
        <f>SUMIFS(TP!$P:$P,TP!$AI:$AI,$W$7,TP!$R:$R,$X$9,TP!$U:$U,Toimenpiteet!$T115,TP!$W:$W,Toimenpiteet!$X$8,TP!$X:$X,Toimenpiteet!$X$6,TP!$K:$K,Toimenpiteet!$Z$5,TP!$AD:$AD,$X$9,TP!$AF:$AF,Toimenpiteet!$Y$6,TP!$Q:$Q,Toimenpiteet!$Y$4,TP!$AG:$AG,Toimenpiteet!$Y$5,TP!$L:$L,Toimenpiteet!$V$2,TP!AL:AL,$AC$4)</f>
        <v>0</v>
      </c>
      <c r="T115" s="651" t="s">
        <v>294</v>
      </c>
      <c r="V115" s="111">
        <f>SUMIFS(TP!$P:$P,TP!$AI:$AI,$W$7,TP!$R:$R,$X$9,TP!$U:$U,Toimenpiteet!$U115,TP!$W:$W,Toimenpiteet!$X$8,TP!$X:$X,Toimenpiteet!$X$6,TP!$AD:$AD,$X$9,TP!$AF:$AF,Toimenpiteet!$Y$6,TP!$Q:$Q,Toimenpiteet!$Y$4,TP!$AG:$AG,Toimenpiteet!$Y$5,TP!$L:$L,Toimenpiteet!$V$2,TP!AL:AL,$AC$4)</f>
        <v>0</v>
      </c>
      <c r="W115" s="111">
        <f>SUMIFS(TP!$P:$P,TP!$AI:$AI,$W$7,TP!$R:$R,$X$9,TP!$U:$U,Toimenpiteet!$U115,TP!$W:$W,Toimenpiteet!$X$8,TP!$X:$X,Toimenpiteet!$X$6,TP!$V:$V,Toimenpiteet!$X$7,TP!$AD:$AD,$X$9,TP!$AF:$AF,Toimenpiteet!$Y$6,TP!$Q:$Q,Toimenpiteet!$Y$4,TP!$AG:$AG,Toimenpiteet!$Y$5,TP!$L:$L,Toimenpiteet!$V$2,TP!AL:AL,$AC$4)</f>
        <v>0</v>
      </c>
      <c r="X115" s="111">
        <f>SUMIFS(TP!$P:$P,TP!$AI:$AI,$W$7,TP!$R:$R,$X$9,TP!$U:$U,Toimenpiteet!$U115,TP!$W:$W,Toimenpiteet!$X$8,TP!$X:$X,Toimenpiteet!$X$6,TP!$V:$V,Toimenpiteet!$Y$7,TP!$AD:$AD,$X$9,TP!$AF:$AF,Toimenpiteet!$Y$6,TP!$Q:$Q,Toimenpiteet!$Y$4,TP!$AG:$AG,Toimenpiteet!$Y$5,TP!$L:$L,Toimenpiteet!$V$2,TP!AL:AL,$AC$4)</f>
        <v>0</v>
      </c>
      <c r="Y115" s="111">
        <f>SUMIFS(TP!$P:$P,TP!$AI:$AI,$W$7,TP!$R:$R,$X$9,TP!$U:$U,Toimenpiteet!$U115,TP!$W:$W,Toimenpiteet!$Y$8,TP!$X:$X,Toimenpiteet!$X$6,TP!$AD:$AD,$X$9,TP!$AF:$AF,Toimenpiteet!$Y$6,TP!$Q:$Q,Toimenpiteet!$Y$4,TP!$AG:$AG,Toimenpiteet!$Y$5,TP!$L:$L,Toimenpiteet!$V$2,TP!AL:AL,$AC$4)</f>
        <v>0</v>
      </c>
      <c r="AD115" s="111">
        <f>SUMIFS(TP!$P:$P,TP!$AI:$AI,$W$7,TP!$R:$R,$X$9,TP!$U:$U,Toimenpiteet!$AC115,TP!$W:$W,Toimenpiteet!$X$8,TP!$X:$X,Toimenpiteet!$X$6,TP!$AD:$AD,$X$9,TP!$AF:$AF,Toimenpiteet!$Y$6,TP!$Q:$Q,Toimenpiteet!$Y$4,TP!$AG:$AG,Toimenpiteet!$Y$5,TP!$L:$L,Toimenpiteet!$V$2,TP!AL:AL,$AC$4)</f>
        <v>0</v>
      </c>
      <c r="AE115" s="111">
        <f>SUMIFS(TP!$P:$P,TP!$AI:$AI,$W$7,TP!$R:$R,$X$9,TP!$U:$U,Toimenpiteet!$AC115,TP!$W:$W,Toimenpiteet!$X$8,TP!$X:$X,Toimenpiteet!$X$6,TP!$V:$V,Toimenpiteet!$X$7,TP!$AD:$AD,$X$9,TP!$AF:$AF,Toimenpiteet!$Y$6,TP!$Q:$Q,Toimenpiteet!$Y$4,TP!$AG:$AG,Toimenpiteet!$Y$5,TP!$L:$L,Toimenpiteet!$V$2,TP!AL:AL,$AC$4)</f>
        <v>0</v>
      </c>
      <c r="AF115" s="111">
        <f>SUMIFS(TP!$P:$P,TP!$AI:$AI,$W$7,TP!$R:$R,$X$9,TP!$U:$U,Toimenpiteet!$AC115,TP!$W:$W,Toimenpiteet!$X$8,TP!$X:$X,Toimenpiteet!$X$6,TP!$V:$V,Toimenpiteet!$Y$7,TP!$AD:$AD,$X$9,TP!$AF:$AF,Toimenpiteet!$Y$6,TP!$Q:$Q,Toimenpiteet!$Y$4,TP!$AG:$AG,Toimenpiteet!$Y$5,TP!$L:$L,Toimenpiteet!$V$2,TP!AL:AL,$AC$4)</f>
        <v>0</v>
      </c>
      <c r="AG115" s="111">
        <f>SUMIFS(TP!$P:$P,TP!$AI:$AI,$W$7,TP!$R:$R,$X$9,TP!$U:$U,Toimenpiteet!$AC115,TP!$W:$W,Toimenpiteet!$Y$8,TP!$X:$X,Toimenpiteet!$X$6,TP!$AD:$AD,$X$9,TP!$AF:$AF,Toimenpiteet!$Y$6,TP!$Q:$Q,Toimenpiteet!$Y$4,TP!$AG:$AG,Toimenpiteet!$Y$5,TP!$L:$L,Toimenpiteet!$V$2,TP!AL:AL,$AC$4)</f>
        <v>0</v>
      </c>
      <c r="AL115" s="638"/>
      <c r="AM115" s="646" t="s">
        <v>59</v>
      </c>
      <c r="AN115" s="646" t="s">
        <v>59</v>
      </c>
      <c r="AO115" t="s">
        <v>294</v>
      </c>
    </row>
    <row r="116" spans="1:41" x14ac:dyDescent="0.25">
      <c r="A116" s="918"/>
      <c r="B116" s="672" t="s">
        <v>692</v>
      </c>
      <c r="C116" s="111">
        <f>SUMIFS(TP!$P:$P,TP!$AI:$AI,$W$7,TP!$R:$R,$X$9,TP!$U:$U,Toimenpiteet!$T116,TP!$W:$W,Toimenpiteet!$X$8,TP!$X:$X,Toimenpiteet!$X$6,TP!$AD:$AD,$X$9,TP!$AF:$AF,Toimenpiteet!$Y$6,TP!$Q:$Q,Toimenpiteet!$Y$4,TP!$AG:$AG,Toimenpiteet!$Y$5,TP!$L:$L,Toimenpiteet!$V$2,TP!AL:AL,$AC$4)+V116+AD116</f>
        <v>0</v>
      </c>
      <c r="D116" s="112">
        <f t="shared" si="16"/>
        <v>0</v>
      </c>
      <c r="E116" s="111">
        <f>SUMIFS(TP!$P:$P,TP!$AI:$AI,$W$7,TP!$R:$R,$X$9,TP!$U:$U,Toimenpiteet!$T116,TP!$W:$W,Toimenpiteet!$X$8,TP!$X:$X,Toimenpiteet!$X$6,TP!$V:$V,Toimenpiteet!$X$7,TP!$AD:$AD,$X$9,TP!$AF:$AF,Toimenpiteet!$Y$6,TP!$Q:$Q,Toimenpiteet!$Y$4,TP!$AG:$AG,Toimenpiteet!$Y$5,TP!$L:$L,Toimenpiteet!$V$2,TP!AL:AL,$AC$4)+W116+AE116</f>
        <v>0</v>
      </c>
      <c r="F116" s="111">
        <f>SUMIFS(TP!$P:$P,TP!$AI:$AI,$W$7,TP!$R:$R,$X$9,TP!$U:$U,Toimenpiteet!$T116,TP!$W:$W,Toimenpiteet!$X$8,TP!$X:$X,Toimenpiteet!$X$6,TP!$V:$V,Toimenpiteet!$Y$7,TP!$AD:$AD,$X$9,TP!$AF:$AF,Toimenpiteet!$Y$6,TP!$Q:$Q,Toimenpiteet!$Y$4,TP!$AG:$AG,Toimenpiteet!$Y$5,TP!$L:$L,Toimenpiteet!$V$2,TP!AL:AL,$AC$4)+X116+AF116</f>
        <v>0</v>
      </c>
      <c r="G116" s="111">
        <f>SUMIFS(TP!$P:$P,TP!$AI:$AI,$W$7,TP!$R:$R,$X$9,TP!$U:$U,Toimenpiteet!$T116,TP!$W:$W,Toimenpiteet!$Y$8,TP!$X:$X,Toimenpiteet!$X$6,TP!$AD:$AD,$X$9,TP!$AF:$AF,Toimenpiteet!$Y$6,TP!$Q:$Q,Toimenpiteet!$Y$4,TP!$AG:$AG,Toimenpiteet!$Y$5,TP!$L:$L,Toimenpiteet!$V$2,TP!AL:AL,$AC$4)+Y116+AG116</f>
        <v>0</v>
      </c>
      <c r="H116" s="113"/>
      <c r="I116" s="114"/>
      <c r="J116" s="115">
        <f>SUMIFS(TP!$P:$P,TP!$AI:$AI,$W$7,TP!$R:$R,$X$9,TP!$U:$U,Toimenpiteet!$T116,TP!$W:$W,Toimenpiteet!$X$8,TP!$X:$X,Toimenpiteet!$X$6,TP!$Z:$Z,1,TP!$AD:$AD,$X$9,TP!$AF:$AF,Toimenpiteet!$Y$6,TP!$Q:$Q,Toimenpiteet!$Y$4,TP!$AG:$AG,Toimenpiteet!$Y$5,TP!$L:$L,Toimenpiteet!$V$2,TP!AL:AL,$AC$4)</f>
        <v>0</v>
      </c>
      <c r="K116" s="111">
        <f>SUMIFS(TP!$P:$P,TP!$AI:$AI,$W$7,TP!$R:$R,$X$9,TP!$U:$U,Toimenpiteet!$T116,TP!$W:$W,Toimenpiteet!$X$8,TP!$X:$X,Toimenpiteet!$X$6,TP!$O:$O,Toimenpiteet!$Z$3,TP!$AD:$AD,$X$9,TP!$AF:$AF,Toimenpiteet!$Y$6,TP!$Q:$Q,Toimenpiteet!$Y$4,TP!$AG:$AG,Toimenpiteet!$Y$5,TP!$L:$L,Toimenpiteet!$V$2,TP!AL:AL,$AC$4)</f>
        <v>0</v>
      </c>
      <c r="L116" s="111">
        <f>SUMIFS(TP!$P:$P,TP!$AI:$AI,$W$7,TP!$R:$R,$X$9,TP!$U:$U,Toimenpiteet!$T116,TP!$W:$W,Toimenpiteet!$X$8,TP!$X:$X,Toimenpiteet!$X$6,TP!$K:$K,Toimenpiteet!$Z$6,TP!$AD:$AD,$X$9,TP!$AF:$AF,Toimenpiteet!$Y$6,TP!$Q:$Q,Toimenpiteet!$Y$4,TP!$AG:$AG,Toimenpiteet!$Y$5,TP!$L:$L,Toimenpiteet!$V$2,TP!AL:AL,$AC$4)</f>
        <v>0</v>
      </c>
      <c r="M116" s="111">
        <f>SUMIFS(TP!$P:$P,TP!$AI:$AI,$W$7,TP!$R:$R,$X$9,TP!$U:$U,Toimenpiteet!$T116,TP!$W:$W,Toimenpiteet!$X$8,TP!$X:$X,Toimenpiteet!$X$6,TP!$K:$K,Toimenpiteet!$Z$7,TP!$AD:$AD,$X$9,TP!$AF:$AF,Toimenpiteet!$Y$6,TP!$Q:$Q,Toimenpiteet!$Y$4,TP!$AG:$AG,Toimenpiteet!$Y$5,TP!$L:$L,Toimenpiteet!$V$2,TP!AL:AL,$AC$4)</f>
        <v>0</v>
      </c>
      <c r="N116" s="111">
        <f>SUMIFS(TP!$P:$P,TP!$AI:$AI,$W$7,TP!$R:$R,$X$9,TP!$U:$U,Toimenpiteet!$T116,TP!$W:$W,Toimenpiteet!$X$8,TP!$X:$X,Toimenpiteet!$X$6,TP!$K:$K,Toimenpiteet!$Z$8,TP!$AD:$AD,$X$9,TP!$AF:$AF,Toimenpiteet!$Y$6,TP!$Q:$Q,Toimenpiteet!$Y$4,TP!$AG:$AG,Toimenpiteet!$Y$5,TP!$L:$L,Toimenpiteet!$V$2,TP!AL:AL,$AC$4)</f>
        <v>0</v>
      </c>
      <c r="O116" s="116">
        <f>SUMIFS(TP!$P:$P,TP!$AI:$AI,$W$7,TP!$R:$R,$X$9,TP!$U:$U,Toimenpiteet!$T116,TP!$W:$W,Toimenpiteet!$X$8,TP!$X:$X,Toimenpiteet!$X$6,TP!$K:$K,Toimenpiteet!$Z$5,TP!$AD:$AD,$X$9,TP!$AF:$AF,Toimenpiteet!$Y$6,TP!$Q:$Q,Toimenpiteet!$Y$4,TP!$AG:$AG,Toimenpiteet!$Y$5,TP!$L:$L,Toimenpiteet!$V$2,TP!AL:AL,$AC$4)</f>
        <v>0</v>
      </c>
      <c r="T116" s="651" t="s">
        <v>520</v>
      </c>
      <c r="V116" s="111">
        <f>SUMIFS(TP!$P:$P,TP!$AI:$AI,$W$7,TP!$R:$R,$X$9,TP!$U:$U,Toimenpiteet!$U116,TP!$W:$W,Toimenpiteet!$X$8,TP!$X:$X,Toimenpiteet!$X$6,TP!$AD:$AD,$X$9,TP!$AF:$AF,Toimenpiteet!$Y$6,TP!$Q:$Q,Toimenpiteet!$Y$4,TP!$AG:$AG,Toimenpiteet!$Y$5,TP!$L:$L,Toimenpiteet!$V$2,TP!AL:AL,$AC$4)</f>
        <v>0</v>
      </c>
      <c r="W116" s="111">
        <f>SUMIFS(TP!$P:$P,TP!$AI:$AI,$W$7,TP!$R:$R,$X$9,TP!$U:$U,Toimenpiteet!$U116,TP!$W:$W,Toimenpiteet!$X$8,TP!$X:$X,Toimenpiteet!$X$6,TP!$V:$V,Toimenpiteet!$X$7,TP!$AD:$AD,$X$9,TP!$AF:$AF,Toimenpiteet!$Y$6,TP!$Q:$Q,Toimenpiteet!$Y$4,TP!$AG:$AG,Toimenpiteet!$Y$5,TP!$L:$L,Toimenpiteet!$V$2,TP!AL:AL,$AC$4)</f>
        <v>0</v>
      </c>
      <c r="X116" s="111">
        <f>SUMIFS(TP!$P:$P,TP!$AI:$AI,$W$7,TP!$R:$R,$X$9,TP!$U:$U,Toimenpiteet!$U116,TP!$W:$W,Toimenpiteet!$X$8,TP!$X:$X,Toimenpiteet!$X$6,TP!$V:$V,Toimenpiteet!$Y$7,TP!$AD:$AD,$X$9,TP!$AF:$AF,Toimenpiteet!$Y$6,TP!$Q:$Q,Toimenpiteet!$Y$4,TP!$AG:$AG,Toimenpiteet!$Y$5,TP!$L:$L,Toimenpiteet!$V$2,TP!AL:AL,$AC$4)</f>
        <v>0</v>
      </c>
      <c r="Y116" s="111">
        <f>SUMIFS(TP!$P:$P,TP!$AI:$AI,$W$7,TP!$R:$R,$X$9,TP!$U:$U,Toimenpiteet!$U116,TP!$W:$W,Toimenpiteet!$Y$8,TP!$X:$X,Toimenpiteet!$X$6,TP!$AD:$AD,$X$9,TP!$AF:$AF,Toimenpiteet!$Y$6,TP!$Q:$Q,Toimenpiteet!$Y$4,TP!$AG:$AG,Toimenpiteet!$Y$5,TP!$L:$L,Toimenpiteet!$V$2,TP!AL:AL,$AC$4)</f>
        <v>0</v>
      </c>
      <c r="AD116" s="111">
        <f>SUMIFS(TP!$P:$P,TP!$AI:$AI,$W$7,TP!$R:$R,$X$9,TP!$U:$U,Toimenpiteet!$AC116,TP!$W:$W,Toimenpiteet!$X$8,TP!$X:$X,Toimenpiteet!$X$6,TP!$AD:$AD,$X$9,TP!$AF:$AF,Toimenpiteet!$Y$6,TP!$Q:$Q,Toimenpiteet!$Y$4,TP!$AG:$AG,Toimenpiteet!$Y$5,TP!$L:$L,Toimenpiteet!$V$2,TP!AL:AL,$AC$4)</f>
        <v>0</v>
      </c>
      <c r="AE116" s="111">
        <f>SUMIFS(TP!$P:$P,TP!$AI:$AI,$W$7,TP!$R:$R,$X$9,TP!$U:$U,Toimenpiteet!$AC116,TP!$W:$W,Toimenpiteet!$X$8,TP!$X:$X,Toimenpiteet!$X$6,TP!$V:$V,Toimenpiteet!$X$7,TP!$AD:$AD,$X$9,TP!$AF:$AF,Toimenpiteet!$Y$6,TP!$Q:$Q,Toimenpiteet!$Y$4,TP!$AG:$AG,Toimenpiteet!$Y$5,TP!$L:$L,Toimenpiteet!$V$2,TP!AL:AL,$AC$4)</f>
        <v>0</v>
      </c>
      <c r="AF116" s="111">
        <f>SUMIFS(TP!$P:$P,TP!$AI:$AI,$W$7,TP!$R:$R,$X$9,TP!$U:$U,Toimenpiteet!$AC116,TP!$W:$W,Toimenpiteet!$X$8,TP!$X:$X,Toimenpiteet!$X$6,TP!$V:$V,Toimenpiteet!$Y$7,TP!$AD:$AD,$X$9,TP!$AF:$AF,Toimenpiteet!$Y$6,TP!$Q:$Q,Toimenpiteet!$Y$4,TP!$AG:$AG,Toimenpiteet!$Y$5,TP!$L:$L,Toimenpiteet!$V$2,TP!AL:AL,$AC$4)</f>
        <v>0</v>
      </c>
      <c r="AG116" s="111">
        <f>SUMIFS(TP!$P:$P,TP!$AI:$AI,$W$7,TP!$R:$R,$X$9,TP!$U:$U,Toimenpiteet!$AC116,TP!$W:$W,Toimenpiteet!$Y$8,TP!$X:$X,Toimenpiteet!$X$6,TP!$AD:$AD,$X$9,TP!$AF:$AF,Toimenpiteet!$Y$6,TP!$Q:$Q,Toimenpiteet!$Y$4,TP!$AG:$AG,Toimenpiteet!$Y$5,TP!$L:$L,Toimenpiteet!$V$2,TP!AL:AL,$AC$4)</f>
        <v>0</v>
      </c>
      <c r="AL116" s="638"/>
      <c r="AM116" s="646" t="s">
        <v>33</v>
      </c>
      <c r="AN116" s="646" t="s">
        <v>33</v>
      </c>
      <c r="AO116" t="s">
        <v>520</v>
      </c>
    </row>
    <row r="117" spans="1:41" x14ac:dyDescent="0.25">
      <c r="A117" s="918"/>
      <c r="B117" s="672" t="s">
        <v>1156</v>
      </c>
      <c r="C117" s="111">
        <f>SUMIFS(TP!$P:$P,TP!$AI:$AI,$W$7,TP!$R:$R,$X$9,TP!$U:$U,Toimenpiteet!$T117,TP!$W:$W,Toimenpiteet!$X$8,TP!$X:$X,Toimenpiteet!$X$6,TP!$AD:$AD,$X$9,TP!$AF:$AF,Toimenpiteet!$Y$6,TP!$Q:$Q,Toimenpiteet!$Y$4,TP!$AG:$AG,Toimenpiteet!$Y$5,TP!$L:$L,Toimenpiteet!$V$2,TP!AL:AL,$AC$4)+V117+AD117</f>
        <v>0</v>
      </c>
      <c r="D117" s="112">
        <f t="shared" si="16"/>
        <v>0</v>
      </c>
      <c r="E117" s="111">
        <f>SUMIFS(TP!$P:$P,TP!$AI:$AI,$W$7,TP!$R:$R,$X$9,TP!$U:$U,Toimenpiteet!$T117,TP!$W:$W,Toimenpiteet!$X$8,TP!$X:$X,Toimenpiteet!$X$6,TP!$V:$V,Toimenpiteet!$X$7,TP!$AD:$AD,$X$9,TP!$AF:$AF,Toimenpiteet!$Y$6,TP!$Q:$Q,Toimenpiteet!$Y$4,TP!$AG:$AG,Toimenpiteet!$Y$5,TP!$L:$L,Toimenpiteet!$V$2,TP!AL:AL,$AC$4)+W117+AE117</f>
        <v>0</v>
      </c>
      <c r="F117" s="111">
        <f>SUMIFS(TP!$P:$P,TP!$AI:$AI,$W$7,TP!$R:$R,$X$9,TP!$U:$U,Toimenpiteet!$T117,TP!$W:$W,Toimenpiteet!$X$8,TP!$X:$X,Toimenpiteet!$X$6,TP!$V:$V,Toimenpiteet!$Y$7,TP!$AD:$AD,$X$9,TP!$AF:$AF,Toimenpiteet!$Y$6,TP!$Q:$Q,Toimenpiteet!$Y$4,TP!$AG:$AG,Toimenpiteet!$Y$5,TP!$L:$L,Toimenpiteet!$V$2,TP!AL:AL,$AC$4)+X117+AF117</f>
        <v>0</v>
      </c>
      <c r="G117" s="111">
        <f>SUMIFS(TP!$P:$P,TP!$AI:$AI,$W$7,TP!$R:$R,$X$9,TP!$U:$U,Toimenpiteet!$T117,TP!$W:$W,Toimenpiteet!$Y$8,TP!$X:$X,Toimenpiteet!$X$6,TP!$AD:$AD,$X$9,TP!$AF:$AF,Toimenpiteet!$Y$6,TP!$Q:$Q,Toimenpiteet!$Y$4,TP!$AG:$AG,Toimenpiteet!$Y$5,TP!$L:$L,Toimenpiteet!$V$2,TP!AL:AL,$AC$4)+Y117+AG117</f>
        <v>0</v>
      </c>
      <c r="H117" s="113"/>
      <c r="I117" s="114"/>
      <c r="J117" s="115">
        <f>SUMIFS(TP!$P:$P,TP!$AI:$AI,$W$7,TP!$R:$R,$X$9,TP!$U:$U,Toimenpiteet!$T117,TP!$W:$W,Toimenpiteet!$X$8,TP!$X:$X,Toimenpiteet!$X$6,TP!$Z:$Z,1,TP!$AD:$AD,$X$9,TP!$AF:$AF,Toimenpiteet!$Y$6,TP!$Q:$Q,Toimenpiteet!$Y$4,TP!$AG:$AG,Toimenpiteet!$Y$5,TP!$L:$L,Toimenpiteet!$V$2,TP!AL:AL,$AC$4)</f>
        <v>0</v>
      </c>
      <c r="K117" s="111">
        <f>SUMIFS(TP!$P:$P,TP!$AI:$AI,$W$7,TP!$R:$R,$X$9,TP!$U:$U,Toimenpiteet!$T117,TP!$W:$W,Toimenpiteet!$X$8,TP!$X:$X,Toimenpiteet!$X$6,TP!$O:$O,Toimenpiteet!$Z$3,TP!$AD:$AD,$X$9,TP!$AF:$AF,Toimenpiteet!$Y$6,TP!$Q:$Q,Toimenpiteet!$Y$4,TP!$AG:$AG,Toimenpiteet!$Y$5,TP!$L:$L,Toimenpiteet!$V$2,TP!AL:AL,$AC$4)</f>
        <v>0</v>
      </c>
      <c r="L117" s="111">
        <f>SUMIFS(TP!$P:$P,TP!$AI:$AI,$W$7,TP!$R:$R,$X$9,TP!$U:$U,Toimenpiteet!$T117,TP!$W:$W,Toimenpiteet!$X$8,TP!$X:$X,Toimenpiteet!$X$6,TP!$K:$K,Toimenpiteet!$Z$6,TP!$AD:$AD,$X$9,TP!$AF:$AF,Toimenpiteet!$Y$6,TP!$Q:$Q,Toimenpiteet!$Y$4,TP!$AG:$AG,Toimenpiteet!$Y$5,TP!$L:$L,Toimenpiteet!$V$2,TP!AL:AL,$AC$4)</f>
        <v>0</v>
      </c>
      <c r="M117" s="111">
        <f>SUMIFS(TP!$P:$P,TP!$AI:$AI,$W$7,TP!$R:$R,$X$9,TP!$U:$U,Toimenpiteet!$T117,TP!$W:$W,Toimenpiteet!$X$8,TP!$X:$X,Toimenpiteet!$X$6,TP!$K:$K,Toimenpiteet!$Z$7,TP!$AD:$AD,$X$9,TP!$AF:$AF,Toimenpiteet!$Y$6,TP!$Q:$Q,Toimenpiteet!$Y$4,TP!$AG:$AG,Toimenpiteet!$Y$5,TP!$L:$L,Toimenpiteet!$V$2,TP!AL:AL,$AC$4)</f>
        <v>0</v>
      </c>
      <c r="N117" s="111">
        <f>SUMIFS(TP!$P:$P,TP!$AI:$AI,$W$7,TP!$R:$R,$X$9,TP!$U:$U,Toimenpiteet!$T117,TP!$W:$W,Toimenpiteet!$X$8,TP!$X:$X,Toimenpiteet!$X$6,TP!$K:$K,Toimenpiteet!$Z$8,TP!$AD:$AD,$X$9,TP!$AF:$AF,Toimenpiteet!$Y$6,TP!$Q:$Q,Toimenpiteet!$Y$4,TP!$AG:$AG,Toimenpiteet!$Y$5,TP!$L:$L,Toimenpiteet!$V$2,TP!AL:AL,$AC$4)</f>
        <v>0</v>
      </c>
      <c r="O117" s="116">
        <f>SUMIFS(TP!$P:$P,TP!$AI:$AI,$W$7,TP!$R:$R,$X$9,TP!$U:$U,Toimenpiteet!$T117,TP!$W:$W,Toimenpiteet!$X$8,TP!$X:$X,Toimenpiteet!$X$6,TP!$K:$K,Toimenpiteet!$Z$5,TP!$AD:$AD,$X$9,TP!$AF:$AF,Toimenpiteet!$Y$6,TP!$Q:$Q,Toimenpiteet!$Y$4,TP!$AG:$AG,Toimenpiteet!$Y$5,TP!$L:$L,Toimenpiteet!$V$2,TP!AL:AL,$AC$4)</f>
        <v>0</v>
      </c>
      <c r="T117" s="651" t="s">
        <v>292</v>
      </c>
      <c r="V117" s="111">
        <f>SUMIFS(TP!$P:$P,TP!$AI:$AI,$W$7,TP!$R:$R,$X$9,TP!$U:$U,Toimenpiteet!$U117,TP!$W:$W,Toimenpiteet!$X$8,TP!$X:$X,Toimenpiteet!$X$6,TP!$AD:$AD,$X$9,TP!$AF:$AF,Toimenpiteet!$Y$6,TP!$Q:$Q,Toimenpiteet!$Y$4,TP!$AG:$AG,Toimenpiteet!$Y$5,TP!$L:$L,Toimenpiteet!$V$2,TP!AL:AL,$AC$4)</f>
        <v>0</v>
      </c>
      <c r="W117" s="111">
        <f>SUMIFS(TP!$P:$P,TP!$AI:$AI,$W$7,TP!$R:$R,$X$9,TP!$U:$U,Toimenpiteet!$U117,TP!$W:$W,Toimenpiteet!$X$8,TP!$X:$X,Toimenpiteet!$X$6,TP!$V:$V,Toimenpiteet!$X$7,TP!$AD:$AD,$X$9,TP!$AF:$AF,Toimenpiteet!$Y$6,TP!$Q:$Q,Toimenpiteet!$Y$4,TP!$AG:$AG,Toimenpiteet!$Y$5,TP!$L:$L,Toimenpiteet!$V$2,TP!AL:AL,$AC$4)</f>
        <v>0</v>
      </c>
      <c r="X117" s="111">
        <f>SUMIFS(TP!$P:$P,TP!$AI:$AI,$W$7,TP!$R:$R,$X$9,TP!$U:$U,Toimenpiteet!$U117,TP!$W:$W,Toimenpiteet!$X$8,TP!$X:$X,Toimenpiteet!$X$6,TP!$V:$V,Toimenpiteet!$Y$7,TP!$AD:$AD,$X$9,TP!$AF:$AF,Toimenpiteet!$Y$6,TP!$Q:$Q,Toimenpiteet!$Y$4,TP!$AG:$AG,Toimenpiteet!$Y$5,TP!$L:$L,Toimenpiteet!$V$2,TP!AL:AL,$AC$4)</f>
        <v>0</v>
      </c>
      <c r="Y117" s="111">
        <f>SUMIFS(TP!$P:$P,TP!$AI:$AI,$W$7,TP!$R:$R,$X$9,TP!$U:$U,Toimenpiteet!$U117,TP!$W:$W,Toimenpiteet!$Y$8,TP!$X:$X,Toimenpiteet!$X$6,TP!$AD:$AD,$X$9,TP!$AF:$AF,Toimenpiteet!$Y$6,TP!$Q:$Q,Toimenpiteet!$Y$4,TP!$AG:$AG,Toimenpiteet!$Y$5,TP!$L:$L,Toimenpiteet!$V$2,TP!AL:AL,$AC$4)</f>
        <v>0</v>
      </c>
      <c r="AD117" s="111">
        <f>SUMIFS(TP!$P:$P,TP!$AI:$AI,$W$7,TP!$R:$R,$X$9,TP!$U:$U,Toimenpiteet!$AC117,TP!$W:$W,Toimenpiteet!$X$8,TP!$X:$X,Toimenpiteet!$X$6,TP!$AD:$AD,$X$9,TP!$AF:$AF,Toimenpiteet!$Y$6,TP!$Q:$Q,Toimenpiteet!$Y$4,TP!$AG:$AG,Toimenpiteet!$Y$5,TP!$L:$L,Toimenpiteet!$V$2,TP!AL:AL,$AC$4)</f>
        <v>0</v>
      </c>
      <c r="AE117" s="111">
        <f>SUMIFS(TP!$P:$P,TP!$AI:$AI,$W$7,TP!$R:$R,$X$9,TP!$U:$U,Toimenpiteet!$AC117,TP!$W:$W,Toimenpiteet!$X$8,TP!$X:$X,Toimenpiteet!$X$6,TP!$V:$V,Toimenpiteet!$X$7,TP!$AD:$AD,$X$9,TP!$AF:$AF,Toimenpiteet!$Y$6,TP!$Q:$Q,Toimenpiteet!$Y$4,TP!$AG:$AG,Toimenpiteet!$Y$5,TP!$L:$L,Toimenpiteet!$V$2,TP!AL:AL,$AC$4)</f>
        <v>0</v>
      </c>
      <c r="AF117" s="111">
        <f>SUMIFS(TP!$P:$P,TP!$AI:$AI,$W$7,TP!$R:$R,$X$9,TP!$U:$U,Toimenpiteet!$AC117,TP!$W:$W,Toimenpiteet!$X$8,TP!$X:$X,Toimenpiteet!$X$6,TP!$V:$V,Toimenpiteet!$Y$7,TP!$AD:$AD,$X$9,TP!$AF:$AF,Toimenpiteet!$Y$6,TP!$Q:$Q,Toimenpiteet!$Y$4,TP!$AG:$AG,Toimenpiteet!$Y$5,TP!$L:$L,Toimenpiteet!$V$2,TP!AL:AL,$AC$4)</f>
        <v>0</v>
      </c>
      <c r="AG117" s="111">
        <f>SUMIFS(TP!$P:$P,TP!$AI:$AI,$W$7,TP!$R:$R,$X$9,TP!$U:$U,Toimenpiteet!$AC117,TP!$W:$W,Toimenpiteet!$Y$8,TP!$X:$X,Toimenpiteet!$X$6,TP!$AD:$AD,$X$9,TP!$AF:$AF,Toimenpiteet!$Y$6,TP!$Q:$Q,Toimenpiteet!$Y$4,TP!$AG:$AG,Toimenpiteet!$Y$5,TP!$L:$L,Toimenpiteet!$V$2,TP!AL:AL,$AC$4)</f>
        <v>0</v>
      </c>
      <c r="AL117" s="638"/>
      <c r="AM117" s="646" t="s">
        <v>60</v>
      </c>
      <c r="AN117" s="646" t="s">
        <v>60</v>
      </c>
      <c r="AO117" t="s">
        <v>292</v>
      </c>
    </row>
    <row r="118" spans="1:41" x14ac:dyDescent="0.25">
      <c r="A118" s="918"/>
      <c r="B118" s="672" t="s">
        <v>94</v>
      </c>
      <c r="C118" s="111">
        <f>SUMIFS(TP!$P:$P,TP!$AI:$AI,$W$7,TP!$R:$R,$X$9,TP!$U:$U,Toimenpiteet!$T118,TP!$W:$W,Toimenpiteet!$X$8,TP!$X:$X,Toimenpiteet!$X$6,TP!$AD:$AD,$X$9,TP!$AF:$AF,Toimenpiteet!$Y$6,TP!$Q:$Q,Toimenpiteet!$Y$4,TP!$AG:$AG,Toimenpiteet!$Y$5,TP!$L:$L,Toimenpiteet!$V$2,TP!AL:AL,$AC$4)+V118+AD118</f>
        <v>0</v>
      </c>
      <c r="D118" s="112">
        <f t="shared" si="16"/>
        <v>0</v>
      </c>
      <c r="E118" s="111">
        <f>SUMIFS(TP!$P:$P,TP!$AI:$AI,$W$7,TP!$R:$R,$X$9,TP!$U:$U,Toimenpiteet!$T118,TP!$W:$W,Toimenpiteet!$X$8,TP!$X:$X,Toimenpiteet!$X$6,TP!$V:$V,Toimenpiteet!$X$7,TP!$AD:$AD,$X$9,TP!$AF:$AF,Toimenpiteet!$Y$6,TP!$Q:$Q,Toimenpiteet!$Y$4,TP!$AG:$AG,Toimenpiteet!$Y$5,TP!$L:$L,Toimenpiteet!$V$2,TP!AL:AL,$AC$4)+W118+AE118</f>
        <v>0</v>
      </c>
      <c r="F118" s="111">
        <f>SUMIFS(TP!$P:$P,TP!$AI:$AI,$W$7,TP!$R:$R,$X$9,TP!$U:$U,Toimenpiteet!$T118,TP!$W:$W,Toimenpiteet!$X$8,TP!$X:$X,Toimenpiteet!$X$6,TP!$V:$V,Toimenpiteet!$Y$7,TP!$AD:$AD,$X$9,TP!$AF:$AF,Toimenpiteet!$Y$6,TP!$Q:$Q,Toimenpiteet!$Y$4,TP!$AG:$AG,Toimenpiteet!$Y$5,TP!$L:$L,Toimenpiteet!$V$2,TP!AL:AL,$AC$4)+X118+AF118</f>
        <v>0</v>
      </c>
      <c r="G118" s="111">
        <f>SUMIFS(TP!$P:$P,TP!$AI:$AI,$W$7,TP!$R:$R,$X$9,TP!$U:$U,Toimenpiteet!$T118,TP!$W:$W,Toimenpiteet!$Y$8,TP!$X:$X,Toimenpiteet!$X$6,TP!$AD:$AD,$X$9,TP!$AF:$AF,Toimenpiteet!$Y$6,TP!$Q:$Q,Toimenpiteet!$Y$4,TP!$AG:$AG,Toimenpiteet!$Y$5,TP!$L:$L,Toimenpiteet!$V$2,TP!AL:AL,$AC$4)+Y118+AG118</f>
        <v>0</v>
      </c>
      <c r="H118" s="113"/>
      <c r="I118" s="114"/>
      <c r="J118" s="115">
        <f>SUMIFS(TP!$P:$P,TP!$AI:$AI,$W$7,TP!$R:$R,$X$9,TP!$U:$U,Toimenpiteet!$T118,TP!$W:$W,Toimenpiteet!$X$8,TP!$X:$X,Toimenpiteet!$X$6,TP!$Z:$Z,1,TP!$AD:$AD,$X$9,TP!$AF:$AF,Toimenpiteet!$Y$6,TP!$Q:$Q,Toimenpiteet!$Y$4,TP!$AG:$AG,Toimenpiteet!$Y$5,TP!$L:$L,Toimenpiteet!$V$2,TP!AL:AL,$AC$4)</f>
        <v>0</v>
      </c>
      <c r="K118" s="111">
        <f>SUMIFS(TP!$P:$P,TP!$AI:$AI,$W$7,TP!$R:$R,$X$9,TP!$U:$U,Toimenpiteet!$T118,TP!$W:$W,Toimenpiteet!$X$8,TP!$X:$X,Toimenpiteet!$X$6,TP!$O:$O,Toimenpiteet!$Z$3,TP!$AD:$AD,$X$9,TP!$AF:$AF,Toimenpiteet!$Y$6,TP!$Q:$Q,Toimenpiteet!$Y$4,TP!$AG:$AG,Toimenpiteet!$Y$5,TP!$L:$L,Toimenpiteet!$V$2,TP!AL:AL,$AC$4)</f>
        <v>0</v>
      </c>
      <c r="L118" s="111">
        <f>SUMIFS(TP!$P:$P,TP!$AI:$AI,$W$7,TP!$R:$R,$X$9,TP!$U:$U,Toimenpiteet!$T118,TP!$W:$W,Toimenpiteet!$X$8,TP!$X:$X,Toimenpiteet!$X$6,TP!$K:$K,Toimenpiteet!$Z$6,TP!$AD:$AD,$X$9,TP!$AF:$AF,Toimenpiteet!$Y$6,TP!$Q:$Q,Toimenpiteet!$Y$4,TP!$AG:$AG,Toimenpiteet!$Y$5,TP!$L:$L,Toimenpiteet!$V$2,TP!AL:AL,$AC$4)</f>
        <v>0</v>
      </c>
      <c r="M118" s="111">
        <f>SUMIFS(TP!$P:$P,TP!$AI:$AI,$W$7,TP!$R:$R,$X$9,TP!$U:$U,Toimenpiteet!$T118,TP!$W:$W,Toimenpiteet!$X$8,TP!$X:$X,Toimenpiteet!$X$6,TP!$K:$K,Toimenpiteet!$Z$7,TP!$AD:$AD,$X$9,TP!$AF:$AF,Toimenpiteet!$Y$6,TP!$Q:$Q,Toimenpiteet!$Y$4,TP!$AG:$AG,Toimenpiteet!$Y$5,TP!$L:$L,Toimenpiteet!$V$2,TP!AL:AL,$AC$4)</f>
        <v>0</v>
      </c>
      <c r="N118" s="111">
        <f>SUMIFS(TP!$P:$P,TP!$AI:$AI,$W$7,TP!$R:$R,$X$9,TP!$U:$U,Toimenpiteet!$T118,TP!$W:$W,Toimenpiteet!$X$8,TP!$X:$X,Toimenpiteet!$X$6,TP!$K:$K,Toimenpiteet!$Z$8,TP!$AD:$AD,$X$9,TP!$AF:$AF,Toimenpiteet!$Y$6,TP!$Q:$Q,Toimenpiteet!$Y$4,TP!$AG:$AG,Toimenpiteet!$Y$5,TP!$L:$L,Toimenpiteet!$V$2,TP!AL:AL,$AC$4)</f>
        <v>0</v>
      </c>
      <c r="O118" s="116">
        <f>SUMIFS(TP!$P:$P,TP!$AI:$AI,$W$7,TP!$R:$R,$X$9,TP!$U:$U,Toimenpiteet!$T118,TP!$W:$W,Toimenpiteet!$X$8,TP!$X:$X,Toimenpiteet!$X$6,TP!$K:$K,Toimenpiteet!$Z$5,TP!$AD:$AD,$X$9,TP!$AF:$AF,Toimenpiteet!$Y$6,TP!$Q:$Q,Toimenpiteet!$Y$4,TP!$AG:$AG,Toimenpiteet!$Y$5,TP!$L:$L,Toimenpiteet!$V$2,TP!AL:AL,$AC$4)</f>
        <v>0</v>
      </c>
      <c r="T118" s="651" t="s">
        <v>281</v>
      </c>
      <c r="V118" s="111">
        <f>SUMIFS(TP!$P:$P,TP!$AI:$AI,$W$7,TP!$R:$R,$X$9,TP!$U:$U,Toimenpiteet!$U118,TP!$W:$W,Toimenpiteet!$X$8,TP!$X:$X,Toimenpiteet!$X$6,TP!$AD:$AD,$X$9,TP!$AF:$AF,Toimenpiteet!$Y$6,TP!$Q:$Q,Toimenpiteet!$Y$4,TP!$AG:$AG,Toimenpiteet!$Y$5,TP!$L:$L,Toimenpiteet!$V$2,TP!AL:AL,$AC$4)</f>
        <v>0</v>
      </c>
      <c r="W118" s="111">
        <f>SUMIFS(TP!$P:$P,TP!$AI:$AI,$W$7,TP!$R:$R,$X$9,TP!$U:$U,Toimenpiteet!$U118,TP!$W:$W,Toimenpiteet!$X$8,TP!$X:$X,Toimenpiteet!$X$6,TP!$V:$V,Toimenpiteet!$X$7,TP!$AD:$AD,$X$9,TP!$AF:$AF,Toimenpiteet!$Y$6,TP!$Q:$Q,Toimenpiteet!$Y$4,TP!$AG:$AG,Toimenpiteet!$Y$5,TP!$L:$L,Toimenpiteet!$V$2,TP!AL:AL,$AC$4)</f>
        <v>0</v>
      </c>
      <c r="X118" s="111">
        <f>SUMIFS(TP!$P:$P,TP!$AI:$AI,$W$7,TP!$R:$R,$X$9,TP!$U:$U,Toimenpiteet!$U118,TP!$W:$W,Toimenpiteet!$X$8,TP!$X:$X,Toimenpiteet!$X$6,TP!$V:$V,Toimenpiteet!$Y$7,TP!$AD:$AD,$X$9,TP!$AF:$AF,Toimenpiteet!$Y$6,TP!$Q:$Q,Toimenpiteet!$Y$4,TP!$AG:$AG,Toimenpiteet!$Y$5,TP!$L:$L,Toimenpiteet!$V$2,TP!AL:AL,$AC$4)</f>
        <v>0</v>
      </c>
      <c r="Y118" s="111">
        <f>SUMIFS(TP!$P:$P,TP!$AI:$AI,$W$7,TP!$R:$R,$X$9,TP!$U:$U,Toimenpiteet!$U118,TP!$W:$W,Toimenpiteet!$Y$8,TP!$X:$X,Toimenpiteet!$X$6,TP!$AD:$AD,$X$9,TP!$AF:$AF,Toimenpiteet!$Y$6,TP!$Q:$Q,Toimenpiteet!$Y$4,TP!$AG:$AG,Toimenpiteet!$Y$5,TP!$L:$L,Toimenpiteet!$V$2,TP!AL:AL,$AC$4)</f>
        <v>0</v>
      </c>
      <c r="AD118" s="111">
        <f>SUMIFS(TP!$P:$P,TP!$AI:$AI,$W$7,TP!$R:$R,$X$9,TP!$U:$U,Toimenpiteet!$AC118,TP!$W:$W,Toimenpiteet!$X$8,TP!$X:$X,Toimenpiteet!$X$6,TP!$AD:$AD,$X$9,TP!$AF:$AF,Toimenpiteet!$Y$6,TP!$Q:$Q,Toimenpiteet!$Y$4,TP!$AG:$AG,Toimenpiteet!$Y$5,TP!$L:$L,Toimenpiteet!$V$2,TP!AL:AL,$AC$4)</f>
        <v>0</v>
      </c>
      <c r="AE118" s="111">
        <f>SUMIFS(TP!$P:$P,TP!$AI:$AI,$W$7,TP!$R:$R,$X$9,TP!$U:$U,Toimenpiteet!$AC118,TP!$W:$W,Toimenpiteet!$X$8,TP!$X:$X,Toimenpiteet!$X$6,TP!$V:$V,Toimenpiteet!$X$7,TP!$AD:$AD,$X$9,TP!$AF:$AF,Toimenpiteet!$Y$6,TP!$Q:$Q,Toimenpiteet!$Y$4,TP!$AG:$AG,Toimenpiteet!$Y$5,TP!$L:$L,Toimenpiteet!$V$2,TP!AL:AL,$AC$4)</f>
        <v>0</v>
      </c>
      <c r="AF118" s="111">
        <f>SUMIFS(TP!$P:$P,TP!$AI:$AI,$W$7,TP!$R:$R,$X$9,TP!$U:$U,Toimenpiteet!$AC118,TP!$W:$W,Toimenpiteet!$X$8,TP!$X:$X,Toimenpiteet!$X$6,TP!$V:$V,Toimenpiteet!$Y$7,TP!$AD:$AD,$X$9,TP!$AF:$AF,Toimenpiteet!$Y$6,TP!$Q:$Q,Toimenpiteet!$Y$4,TP!$AG:$AG,Toimenpiteet!$Y$5,TP!$L:$L,Toimenpiteet!$V$2,TP!AL:AL,$AC$4)</f>
        <v>0</v>
      </c>
      <c r="AG118" s="111">
        <f>SUMIFS(TP!$P:$P,TP!$AI:$AI,$W$7,TP!$R:$R,$X$9,TP!$U:$U,Toimenpiteet!$AC118,TP!$W:$W,Toimenpiteet!$Y$8,TP!$X:$X,Toimenpiteet!$X$6,TP!$AD:$AD,$X$9,TP!$AF:$AF,Toimenpiteet!$Y$6,TP!$Q:$Q,Toimenpiteet!$Y$4,TP!$AG:$AG,Toimenpiteet!$Y$5,TP!$L:$L,Toimenpiteet!$V$2,TP!AL:AL,$AC$4)</f>
        <v>0</v>
      </c>
      <c r="AL118" s="638"/>
      <c r="AM118" s="646" t="s">
        <v>61</v>
      </c>
      <c r="AN118" s="646" t="s">
        <v>61</v>
      </c>
      <c r="AO118" t="s">
        <v>281</v>
      </c>
    </row>
    <row r="119" spans="1:41" x14ac:dyDescent="0.25">
      <c r="A119" s="523" t="s">
        <v>1113</v>
      </c>
      <c r="B119" s="30"/>
      <c r="C119" s="125">
        <f>C112+C102+C92+C86+C75+C59</f>
        <v>0</v>
      </c>
      <c r="D119" s="126"/>
      <c r="E119" s="30"/>
      <c r="F119" s="30"/>
      <c r="G119" s="30"/>
      <c r="H119" s="29"/>
      <c r="I119" s="31"/>
      <c r="J119" s="29"/>
      <c r="K119" s="30"/>
      <c r="L119" s="30"/>
      <c r="M119" s="30"/>
      <c r="N119" s="30"/>
      <c r="O119" s="31"/>
      <c r="T119"/>
      <c r="AL119" s="638"/>
    </row>
    <row r="126" spans="1:41" ht="86.25" customHeight="1" x14ac:dyDescent="0.25"/>
    <row r="127" spans="1:41" ht="142.5" customHeight="1" x14ac:dyDescent="0.25"/>
    <row r="129" spans="1:13" ht="18.600000000000001" customHeight="1" x14ac:dyDescent="0.25">
      <c r="A129" s="899" t="str">
        <f>Y12&amp;A60&amp;X10&amp;X12</f>
        <v xml:space="preserve">KAIKKI: Etsivän nuorisotyön asiakkuuteen liittyvät toimenpiteet - 01.01.2025-30.04.2025 (Yksi esiintymä) </v>
      </c>
      <c r="B129" s="900"/>
      <c r="C129" s="900"/>
      <c r="D129" s="900"/>
      <c r="E129" s="900"/>
      <c r="F129" s="900"/>
      <c r="G129" s="901"/>
      <c r="H129" s="899" t="str">
        <f>Y12&amp;A76&amp;X10&amp;X12</f>
        <v xml:space="preserve">KAIKKI: Sosiaalityö ja terveydenhuolto - 01.01.2025-30.04.2025 (Yksi esiintymä) </v>
      </c>
      <c r="I129" s="900"/>
      <c r="J129" s="900"/>
      <c r="K129" s="900"/>
      <c r="L129" s="900"/>
      <c r="M129" s="901"/>
    </row>
    <row r="130" spans="1:13" x14ac:dyDescent="0.25">
      <c r="A130" s="902"/>
      <c r="B130" s="903"/>
      <c r="C130" s="903"/>
      <c r="D130" s="903"/>
      <c r="E130" s="903"/>
      <c r="F130" s="903"/>
      <c r="G130" s="904"/>
      <c r="H130" s="902"/>
      <c r="I130" s="903"/>
      <c r="J130" s="903"/>
      <c r="K130" s="903"/>
      <c r="L130" s="903"/>
      <c r="M130" s="904"/>
    </row>
    <row r="149" spans="1:13" x14ac:dyDescent="0.25">
      <c r="A149" s="899" t="str">
        <f>Y12&amp;A87&amp;X10&amp;X12</f>
        <v xml:space="preserve">KAIKKI: Nuoriso- ja vapaa-ajantoiminta ja 3.sektori - 01.01.2025-30.04.2025 (Yksi esiintymä) </v>
      </c>
      <c r="B149" s="900"/>
      <c r="C149" s="900"/>
      <c r="D149" s="900"/>
      <c r="E149" s="900"/>
      <c r="F149" s="900"/>
      <c r="G149" s="901"/>
      <c r="H149" s="899" t="str">
        <f>Y12&amp;A93&amp;X10&amp;X12</f>
        <v xml:space="preserve">KAIKKI: Opinnot - 01.01.2025-30.04.2025 (Yksi esiintymä) </v>
      </c>
      <c r="I149" s="900"/>
      <c r="J149" s="900"/>
      <c r="K149" s="900"/>
      <c r="L149" s="900"/>
      <c r="M149" s="901"/>
    </row>
    <row r="150" spans="1:13" x14ac:dyDescent="0.25">
      <c r="A150" s="902"/>
      <c r="B150" s="903"/>
      <c r="C150" s="903"/>
      <c r="D150" s="903"/>
      <c r="E150" s="903"/>
      <c r="F150" s="903"/>
      <c r="G150" s="904"/>
      <c r="H150" s="902"/>
      <c r="I150" s="903"/>
      <c r="J150" s="903"/>
      <c r="K150" s="903"/>
      <c r="L150" s="903"/>
      <c r="M150" s="904"/>
    </row>
    <row r="169" spans="1:13" x14ac:dyDescent="0.25">
      <c r="A169" s="899" t="str">
        <f>Y12&amp;A103&amp;X10&amp;X12</f>
        <v xml:space="preserve">KAIKKI: Työllistymistä tukeva toiminta - 01.01.2025-30.04.2025 (Yksi esiintymä) </v>
      </c>
      <c r="B169" s="900"/>
      <c r="C169" s="900"/>
      <c r="D169" s="900"/>
      <c r="E169" s="900"/>
      <c r="F169" s="900"/>
      <c r="G169" s="901"/>
      <c r="H169" s="899" t="str">
        <f>Y12&amp;A113&amp;X10&amp;X12</f>
        <v xml:space="preserve">KAIKKI: Muut toimenpiteet - 01.01.2025-30.04.2025 (Yksi esiintymä) </v>
      </c>
      <c r="I169" s="900"/>
      <c r="J169" s="900"/>
      <c r="K169" s="900"/>
      <c r="L169" s="900"/>
      <c r="M169" s="901"/>
    </row>
    <row r="170" spans="1:13" x14ac:dyDescent="0.25">
      <c r="A170" s="902"/>
      <c r="B170" s="903"/>
      <c r="C170" s="903"/>
      <c r="D170" s="903"/>
      <c r="E170" s="903"/>
      <c r="F170" s="903"/>
      <c r="G170" s="904"/>
      <c r="H170" s="902"/>
      <c r="I170" s="903"/>
      <c r="J170" s="903"/>
      <c r="K170" s="903"/>
      <c r="L170" s="903"/>
      <c r="M170" s="904"/>
    </row>
    <row r="190" spans="1:1" x14ac:dyDescent="0.25">
      <c r="A190" s="353" t="s">
        <v>746</v>
      </c>
    </row>
  </sheetData>
  <mergeCells count="26">
    <mergeCell ref="A103:A111"/>
    <mergeCell ref="A113:A118"/>
    <mergeCell ref="A93:A101"/>
    <mergeCell ref="A53:A56"/>
    <mergeCell ref="A76:A85"/>
    <mergeCell ref="A60:A72"/>
    <mergeCell ref="A87:A91"/>
    <mergeCell ref="C53:D53"/>
    <mergeCell ref="C58:G58"/>
    <mergeCell ref="C54:D54"/>
    <mergeCell ref="C56:D56"/>
    <mergeCell ref="C55:D55"/>
    <mergeCell ref="A169:G170"/>
    <mergeCell ref="H169:M170"/>
    <mergeCell ref="A129:G130"/>
    <mergeCell ref="H129:M130"/>
    <mergeCell ref="A149:G150"/>
    <mergeCell ref="H149:M150"/>
    <mergeCell ref="H2:I7"/>
    <mergeCell ref="N53:N58"/>
    <mergeCell ref="O53:O58"/>
    <mergeCell ref="K53:K58"/>
    <mergeCell ref="H53:I56"/>
    <mergeCell ref="J53:J58"/>
    <mergeCell ref="L53:L58"/>
    <mergeCell ref="M53:M58"/>
  </mergeCells>
  <dataValidations count="4">
    <dataValidation type="date" allowBlank="1" showInputMessage="1" showErrorMessage="1" error="Kirjoita päivämäärä muodossa _x000a_pp.kk.vvvv_x000a__x000a_Päivämäärän on oltava _x000a_suurempi kuin 01.01.2008 ja _x000a_pienempi kuin 31.12.2020" sqref="A2:A3" xr:uid="{00000000-0002-0000-0400-000000000000}">
      <formula1>39448</formula1>
      <formula2>44196</formula2>
    </dataValidation>
    <dataValidation type="list" allowBlank="1" showInputMessage="1" showErrorMessage="1" sqref="A7" xr:uid="{00000000-0002-0000-0400-000001000000}">
      <formula1>$Y$1:$Y$2</formula1>
    </dataValidation>
    <dataValidation type="list" allowBlank="1" showInputMessage="1" showErrorMessage="1" sqref="A6" xr:uid="{42386533-E276-4C66-8EF3-83E4A7C9DB0F}">
      <formula1>$Y$1:$Y$3</formula1>
    </dataValidation>
    <dataValidation type="list" allowBlank="1" showInputMessage="1" showErrorMessage="1" sqref="A8" xr:uid="{B1D3A96B-7762-459E-9AB8-55C11EE1A0CA}">
      <formula1>$AC$2:$AC$3</formula1>
    </dataValidation>
  </dataValidations>
  <hyperlinks>
    <hyperlink ref="A2" location="Asiakastilastot!A2" display="Asiakastilastot!A2" xr:uid="{00000000-0004-0000-0400-000000000000}"/>
    <hyperlink ref="A3" location="Asiakastilastot!A3" display="Asiakastilastot!A3" xr:uid="{00000000-0004-0000-0400-000001000000}"/>
    <hyperlink ref="A190" location="Toimenpiteet!A1" display="Sivun alkuun" xr:uid="{00000000-0004-0000-0400-000002000000}"/>
  </hyperlinks>
  <pageMargins left="0.70866141732283472" right="0.70866141732283472" top="0.74803149606299213" bottom="0.83333333333333337" header="0" footer="0"/>
  <pageSetup paperSize="9" scale="75" orientation="portrait" r:id="rId1"/>
  <headerFooter>
    <oddFooter>&amp;L 
Etsivä org
Etsivätie 1
01000, E-kunta&amp;C&amp;G&amp;R&amp;P/&amp;N</oddFooter>
  </headerFooter>
  <rowBreaks count="1" manualBreakCount="1">
    <brk id="119" max="16383" man="1"/>
  </rowBreaks>
  <colBreaks count="1" manualBreakCount="1">
    <brk id="7" max="1048575" man="1"/>
  </colBreaks>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400-000002000000}">
          <x14:formula1>
            <xm:f>Parkki!$O$53:$O$82</xm:f>
          </x14:formula1>
          <xm:sqref>A5</xm:sqref>
        </x14:dataValidation>
        <x14:dataValidation type="list" allowBlank="1" showInputMessage="1" showErrorMessage="1" xr:uid="{233425D3-A4C8-46C6-8F97-C0A5E6636B1B}">
          <x14:formula1>
            <xm:f>Parkki!$O$19:$O$48</xm:f>
          </x14:formula1>
          <xm:sqref>A9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ul8">
    <pageSetUpPr fitToPage="1"/>
  </sheetPr>
  <dimension ref="A1:BE164"/>
  <sheetViews>
    <sheetView showGridLines="0" zoomScaleNormal="100" workbookViewId="0">
      <selection activeCell="A7" sqref="A7"/>
    </sheetView>
  </sheetViews>
  <sheetFormatPr defaultColWidth="9.140625" defaultRowHeight="12.75" x14ac:dyDescent="0.2"/>
  <cols>
    <col min="1" max="1" width="25.5703125" style="27" bestFit="1" customWidth="1"/>
    <col min="2" max="2" width="51.28515625" style="27" customWidth="1"/>
    <col min="3" max="7" width="11.5703125" style="27" customWidth="1"/>
    <col min="8" max="12" width="13.42578125" style="27" customWidth="1"/>
    <col min="13" max="17" width="9.140625" style="88" customWidth="1"/>
    <col min="18" max="18" width="9.140625" style="27"/>
    <col min="19" max="21" width="9.140625" style="27" customWidth="1"/>
    <col min="22" max="22" width="9.140625" style="27" hidden="1" customWidth="1"/>
    <col min="23" max="23" width="38.7109375" style="27" hidden="1" customWidth="1"/>
    <col min="24" max="24" width="42.7109375" style="27" hidden="1" customWidth="1"/>
    <col min="25" max="25" width="29.140625" style="27" hidden="1" customWidth="1"/>
    <col min="26" max="26" width="30.5703125" style="27" hidden="1" customWidth="1"/>
    <col min="27" max="39" width="9.140625" style="27" hidden="1" customWidth="1"/>
    <col min="40" max="40" width="38.7109375" style="27" hidden="1" customWidth="1"/>
    <col min="41" max="41" width="36.28515625" style="27" hidden="1" customWidth="1"/>
    <col min="42" max="42" width="16" style="27" hidden="1" customWidth="1"/>
    <col min="43" max="54" width="9.140625" style="27" hidden="1" customWidth="1"/>
    <col min="55" max="58" width="9.140625" style="27" customWidth="1"/>
    <col min="59" max="16384" width="9.140625" style="27"/>
  </cols>
  <sheetData>
    <row r="1" spans="1:56" customFormat="1" ht="15.75" thickBot="1" x14ac:dyDescent="0.3">
      <c r="A1" s="306" t="s">
        <v>624</v>
      </c>
      <c r="M1" s="51"/>
      <c r="N1" s="51"/>
      <c r="O1" s="51"/>
      <c r="P1" s="51"/>
      <c r="Q1" s="51"/>
      <c r="V1" s="143" t="s">
        <v>623</v>
      </c>
      <c r="W1" s="143" t="s">
        <v>623</v>
      </c>
      <c r="X1" s="143" t="s">
        <v>623</v>
      </c>
      <c r="Y1" s="179" t="s">
        <v>625</v>
      </c>
      <c r="Z1" s="143" t="s">
        <v>623</v>
      </c>
      <c r="AA1" s="143" t="s">
        <v>623</v>
      </c>
      <c r="AB1" s="143" t="s">
        <v>623</v>
      </c>
      <c r="AC1" s="143" t="s">
        <v>623</v>
      </c>
      <c r="AD1" s="143" t="s">
        <v>623</v>
      </c>
      <c r="AE1" s="143" t="s">
        <v>623</v>
      </c>
      <c r="AF1" s="143" t="s">
        <v>623</v>
      </c>
      <c r="AG1" s="143" t="s">
        <v>623</v>
      </c>
      <c r="AH1" s="143" t="s">
        <v>623</v>
      </c>
      <c r="AI1" s="681" t="s">
        <v>623</v>
      </c>
      <c r="AJ1" s="681" t="s">
        <v>623</v>
      </c>
      <c r="AK1" s="681" t="s">
        <v>623</v>
      </c>
      <c r="AL1" s="681" t="s">
        <v>623</v>
      </c>
      <c r="AM1" s="143"/>
      <c r="AN1" s="143" t="s">
        <v>623</v>
      </c>
      <c r="AO1" s="143" t="s">
        <v>623</v>
      </c>
      <c r="AP1" s="143" t="s">
        <v>623</v>
      </c>
      <c r="AQ1" s="143" t="s">
        <v>623</v>
      </c>
      <c r="AR1" s="143" t="s">
        <v>623</v>
      </c>
      <c r="AS1" s="143" t="s">
        <v>623</v>
      </c>
      <c r="AT1" s="143" t="s">
        <v>623</v>
      </c>
      <c r="AU1" s="143" t="s">
        <v>623</v>
      </c>
      <c r="AV1" s="143" t="s">
        <v>623</v>
      </c>
      <c r="AW1" s="143" t="s">
        <v>623</v>
      </c>
      <c r="AX1" s="143" t="s">
        <v>623</v>
      </c>
      <c r="AY1" s="143" t="s">
        <v>623</v>
      </c>
      <c r="AZ1" s="143" t="s">
        <v>623</v>
      </c>
      <c r="BA1" s="143" t="s">
        <v>623</v>
      </c>
      <c r="BB1" s="143" t="s">
        <v>623</v>
      </c>
    </row>
    <row r="2" spans="1:56" customFormat="1" ht="15" x14ac:dyDescent="0.25">
      <c r="A2" s="305">
        <f>Asiakastilastot!$A$2</f>
        <v>45658</v>
      </c>
      <c r="B2" t="s">
        <v>670</v>
      </c>
      <c r="M2" s="51"/>
      <c r="N2" s="51"/>
      <c r="O2" s="51"/>
      <c r="P2" s="51"/>
      <c r="Q2" s="51"/>
      <c r="V2" s="181" t="str">
        <f>IF(A7="","*",INDEX(AE5:AE55,MATCH(A7,AD5:AD55,0)))</f>
        <v>*</v>
      </c>
      <c r="W2" s="182" t="s">
        <v>720</v>
      </c>
      <c r="X2" s="183" t="s">
        <v>568</v>
      </c>
      <c r="Y2" s="179" t="s">
        <v>626</v>
      </c>
      <c r="Z2" s="327" t="s">
        <v>763</v>
      </c>
      <c r="AA2" s="177" t="s">
        <v>639</v>
      </c>
      <c r="AB2" s="44" t="s">
        <v>638</v>
      </c>
      <c r="AC2" s="177" t="s">
        <v>639</v>
      </c>
      <c r="AD2" s="44" t="s">
        <v>1601</v>
      </c>
      <c r="AL2" s="15"/>
      <c r="AM2" s="765"/>
    </row>
    <row r="3" spans="1:56" customFormat="1" ht="15" x14ac:dyDescent="0.25">
      <c r="A3" s="305">
        <f>Asiakastilastot!$A$3</f>
        <v>45777</v>
      </c>
      <c r="B3" t="s">
        <v>671</v>
      </c>
      <c r="M3" s="51"/>
      <c r="N3" s="51"/>
      <c r="O3" s="51"/>
      <c r="P3" s="51"/>
      <c r="Q3" s="51"/>
      <c r="W3" s="184" t="s">
        <v>910</v>
      </c>
      <c r="X3" s="185" t="s">
        <v>205</v>
      </c>
      <c r="Y3" s="179" t="s">
        <v>819</v>
      </c>
      <c r="Z3" s="327" t="s">
        <v>764</v>
      </c>
      <c r="AA3" s="177" t="s">
        <v>635</v>
      </c>
      <c r="AB3" s="44" t="e">
        <f>INDEX(Data_Omakoodi!K:K,MATCH($AB$2,Data_Omakoodi!$I:$I,0))</f>
        <v>#N/A</v>
      </c>
      <c r="AC3" s="177" t="s">
        <v>635</v>
      </c>
      <c r="AD3" s="44" t="e">
        <f>INDEX(Data_Omakoodi!K:K,MATCH($AD$2,Data_Omakoodi!$I:$I,0))</f>
        <v>#N/A</v>
      </c>
      <c r="AG3" t="s">
        <v>1521</v>
      </c>
      <c r="AH3" s="176" t="s">
        <v>1649</v>
      </c>
      <c r="AI3" s="15"/>
      <c r="AJ3" t="s">
        <v>1522</v>
      </c>
      <c r="AK3" s="176" t="s">
        <v>1648</v>
      </c>
      <c r="AL3" s="15"/>
      <c r="AM3" s="765"/>
    </row>
    <row r="4" spans="1:56" customFormat="1" ht="15" x14ac:dyDescent="0.25">
      <c r="A4" s="200" t="s">
        <v>720</v>
      </c>
      <c r="B4" t="s">
        <v>771</v>
      </c>
      <c r="M4" s="51"/>
      <c r="N4" s="51"/>
      <c r="O4" s="51"/>
      <c r="P4" s="51"/>
      <c r="Q4" s="51"/>
      <c r="W4" s="184" t="s">
        <v>722</v>
      </c>
      <c r="X4" s="185" t="s">
        <v>230</v>
      </c>
      <c r="Z4" s="382" t="s">
        <v>1032</v>
      </c>
      <c r="AA4" s="177" t="s">
        <v>640</v>
      </c>
      <c r="AB4" s="44" t="str">
        <f>IFERROR(MATCH($AB$2,Data_Omakoodi!$I:$I,0),"")</f>
        <v/>
      </c>
      <c r="AC4" s="177" t="s">
        <v>640</v>
      </c>
      <c r="AD4" s="44" t="str">
        <f>IFERROR(MATCH($AD$2,Data_Omakoodi!$I:$I,0),"")</f>
        <v/>
      </c>
      <c r="AG4" s="739"/>
      <c r="AH4" s="739" t="s">
        <v>1523</v>
      </c>
      <c r="AI4" s="15"/>
      <c r="AJ4" s="739"/>
      <c r="AK4" s="739" t="s">
        <v>1523</v>
      </c>
      <c r="AL4" s="15"/>
      <c r="AM4" s="765"/>
    </row>
    <row r="5" spans="1:56" customFormat="1" ht="15.75" thickBot="1" x14ac:dyDescent="0.3">
      <c r="A5" s="201" t="s">
        <v>719</v>
      </c>
      <c r="B5" t="s">
        <v>579</v>
      </c>
      <c r="M5" s="51"/>
      <c r="N5" s="51"/>
      <c r="O5" s="51"/>
      <c r="P5" s="51"/>
      <c r="Q5" s="51"/>
      <c r="W5" s="186" t="s">
        <v>723</v>
      </c>
      <c r="X5" s="187" t="s">
        <v>212</v>
      </c>
      <c r="Y5" s="181" t="str">
        <f>IF(A6="","*",IF(A6=Y1,"*",IF(A6=Y3,X9,"*")))</f>
        <v>*</v>
      </c>
      <c r="AA5" s="177" t="s">
        <v>568</v>
      </c>
      <c r="AB5" s="44" t="s">
        <v>719</v>
      </c>
      <c r="AC5" s="177" t="s">
        <v>568</v>
      </c>
      <c r="AD5" s="44" t="s">
        <v>1524</v>
      </c>
      <c r="AE5" s="177" t="s">
        <v>568</v>
      </c>
      <c r="AG5" s="739" t="str">
        <f>TEXT(AD5,"@")</f>
        <v>Kaikki yksiköt</v>
      </c>
      <c r="AH5" s="739">
        <f>IF(AG5&lt;&gt;"",ROW(),"")</f>
        <v>5</v>
      </c>
      <c r="AJ5" s="739" t="str">
        <f>TEXT(AB5,"@")</f>
        <v>Kaikki kunnat</v>
      </c>
      <c r="AK5" s="739">
        <f>IF(AJ5&lt;&gt;"",ROW(),"")</f>
        <v>5</v>
      </c>
      <c r="AL5" s="15"/>
      <c r="AM5" s="765"/>
    </row>
    <row r="6" spans="1:56" customFormat="1" ht="15" x14ac:dyDescent="0.25">
      <c r="A6" s="200" t="s">
        <v>625</v>
      </c>
      <c r="B6" t="s">
        <v>799</v>
      </c>
      <c r="M6" s="51"/>
      <c r="N6" s="51"/>
      <c r="O6" s="51"/>
      <c r="P6" s="51"/>
      <c r="Q6" s="51"/>
      <c r="X6" s="181" t="str">
        <f>IF(A4="","*",INDEX($X$2:X5,MATCH($A$4,$W$2:$W$5,0)))</f>
        <v>*</v>
      </c>
      <c r="Y6" s="181" t="str">
        <f>IF(A5="","*",INDEX(AA5:AA55,MATCH(A5,AB5:AB55,0)))</f>
        <v>*</v>
      </c>
      <c r="AA6" s="177" t="s">
        <v>644</v>
      </c>
      <c r="AB6" s="188" t="s">
        <v>643</v>
      </c>
      <c r="AC6" s="177" t="s">
        <v>644</v>
      </c>
      <c r="AD6" s="188" t="s">
        <v>1525</v>
      </c>
      <c r="AE6" s="177" t="s">
        <v>644</v>
      </c>
      <c r="AG6" s="739" t="str">
        <f t="shared" ref="AG6:AG55" si="0">TEXT(AD6,"@")</f>
        <v>Ei yksiköitä</v>
      </c>
      <c r="AH6" s="739">
        <f t="shared" ref="AH6:AH55" si="1">IF(AG6&lt;&gt;"",ROW(),"")</f>
        <v>6</v>
      </c>
      <c r="AJ6" s="739" t="str">
        <f t="shared" ref="AJ6:AJ55" si="2">TEXT(AB6,"@")</f>
        <v>Ei kuntaluokkaa</v>
      </c>
      <c r="AK6" s="739">
        <f t="shared" ref="AK6:AK55" si="3">IF(AJ6&lt;&gt;"",ROW(),"")</f>
        <v>6</v>
      </c>
      <c r="AL6" s="15"/>
      <c r="AM6" s="765"/>
    </row>
    <row r="7" spans="1:56" ht="15" x14ac:dyDescent="0.25">
      <c r="A7" s="493" t="s">
        <v>1524</v>
      </c>
      <c r="B7" s="51" t="s">
        <v>1557</v>
      </c>
      <c r="W7" s="181" t="str">
        <f>IF(A6=Y2,"OK","*")</f>
        <v>*</v>
      </c>
      <c r="X7" s="28" t="s">
        <v>207</v>
      </c>
      <c r="Y7" s="484" t="s">
        <v>213</v>
      </c>
      <c r="Z7" s="2" t="s">
        <v>961</v>
      </c>
      <c r="AA7" s="177" t="s">
        <v>62</v>
      </c>
      <c r="AB7" s="188" t="s">
        <v>641</v>
      </c>
      <c r="AC7" s="177" t="s">
        <v>62</v>
      </c>
      <c r="AD7" s="188" t="s">
        <v>1526</v>
      </c>
      <c r="AE7" s="177" t="s">
        <v>62</v>
      </c>
      <c r="AG7" s="739" t="str">
        <f t="shared" si="0"/>
        <v>Muut yksiköt</v>
      </c>
      <c r="AH7" s="739">
        <f t="shared" si="1"/>
        <v>7</v>
      </c>
      <c r="AI7"/>
      <c r="AJ7" s="739" t="str">
        <f t="shared" si="2"/>
        <v>Muut kunnat</v>
      </c>
      <c r="AK7" s="739">
        <f t="shared" si="3"/>
        <v>7</v>
      </c>
      <c r="AL7" s="15"/>
      <c r="AM7" s="765"/>
    </row>
    <row r="8" spans="1:56" ht="15" x14ac:dyDescent="0.25">
      <c r="X8" s="35" t="s">
        <v>546</v>
      </c>
      <c r="Y8" s="35" t="s">
        <v>593</v>
      </c>
      <c r="AA8" s="176" t="str">
        <f>IFERROR(IF(INDEX(Data_Omakoodi!H:H,MATCH($AK$3&amp;$AL8,Data_Omakoodi!A:A,0))="P","",$AK$3&amp;$AL8),$AK$3&amp;$AL8)</f>
        <v>ComboBox_EtKuntakoodi_00000001</v>
      </c>
      <c r="AB8" s="44" t="str">
        <f>IFERROR(INDEX(Data_Omakoodi!E:E,MATCH(AA8,Data_Omakoodi!A:A,0)),"")</f>
        <v/>
      </c>
      <c r="AC8" t="str">
        <f>IFERROR(IF(INDEX(Data_Omakoodi!H:H,MATCH($AH$3&amp;$AL8,Data_Omakoodi!A:A,0))="P","",$AH$3&amp;$AL8),$AH$3&amp;$AL8)</f>
        <v>ComboBox_TyHlo_yksikko_00000001</v>
      </c>
      <c r="AD8" s="44" t="str">
        <f>IFERROR(INDEX(Data_Omakoodi!E:E,MATCH(AC8,Data_Omakoodi!A:A,0)),"")</f>
        <v/>
      </c>
      <c r="AE8" t="str">
        <f>IFERROR(IF(INDEX(Data_Omakoodi!H:H,MATCH($AH$3&amp;$AL8,Data_Omakoodi!A:A,0))="P","",$AH$3&amp;$AL8),$AH$3&amp;$AL8)</f>
        <v>ComboBox_TyHlo_yksikko_00000001</v>
      </c>
      <c r="AF8" t="s">
        <v>1527</v>
      </c>
      <c r="AG8" s="739" t="str">
        <f>TEXT(AD8,"@")</f>
        <v/>
      </c>
      <c r="AH8" s="739" t="str">
        <f t="shared" si="1"/>
        <v/>
      </c>
      <c r="AI8"/>
      <c r="AJ8" s="739" t="str">
        <f t="shared" si="2"/>
        <v/>
      </c>
      <c r="AK8" s="739" t="str">
        <f t="shared" si="3"/>
        <v/>
      </c>
      <c r="AL8" s="370" t="s">
        <v>1639</v>
      </c>
      <c r="AM8" s="765"/>
    </row>
    <row r="9" spans="1:56" ht="15" x14ac:dyDescent="0.25">
      <c r="X9" s="178" t="s">
        <v>486</v>
      </c>
      <c r="AA9" s="176" t="str">
        <f>IFERROR(IF(INDEX(Data_Omakoodi!H:H,MATCH($AK$3&amp;$AL9,Data_Omakoodi!A:A,0))="P","",$AK$3&amp;$AL9),$AK$3&amp;$AL9)</f>
        <v>ComboBox_EtKuntakoodi_00000002</v>
      </c>
      <c r="AB9" s="44" t="str">
        <f>IFERROR(INDEX(Data_Omakoodi!E:E,MATCH(AA9,Data_Omakoodi!A:A,0)),"")</f>
        <v/>
      </c>
      <c r="AC9" t="str">
        <f>IFERROR(IF(INDEX(Data_Omakoodi!H:H,MATCH($AH$3&amp;$AL9,Data_Omakoodi!A:A,0))="P","",$AH$3&amp;$AL9),$AH$3&amp;$AL9)</f>
        <v>ComboBox_TyHlo_yksikko_00000002</v>
      </c>
      <c r="AD9" s="44" t="str">
        <f>IFERROR(INDEX(Data_Omakoodi!E:E,MATCH(AC9,Data_Omakoodi!A:A,0)),"")</f>
        <v/>
      </c>
      <c r="AE9" t="str">
        <f>IFERROR(IF(INDEX(Data_Omakoodi!H:H,MATCH($AH$3&amp;$AL9,Data_Omakoodi!A:A,0))="P","",$AH$3&amp;$AL9),$AH$3&amp;$AL9)</f>
        <v>ComboBox_TyHlo_yksikko_00000002</v>
      </c>
      <c r="AF9" t="s">
        <v>1528</v>
      </c>
      <c r="AG9" s="739" t="str">
        <f t="shared" si="0"/>
        <v/>
      </c>
      <c r="AH9" s="739" t="str">
        <f t="shared" si="1"/>
        <v/>
      </c>
      <c r="AI9"/>
      <c r="AJ9" s="739" t="str">
        <f t="shared" si="2"/>
        <v/>
      </c>
      <c r="AK9" s="739" t="str">
        <f t="shared" si="3"/>
        <v/>
      </c>
      <c r="AL9" s="370" t="s">
        <v>1640</v>
      </c>
      <c r="AM9" s="765"/>
    </row>
    <row r="10" spans="1:56" ht="15" x14ac:dyDescent="0.25">
      <c r="X10" s="221" t="str">
        <f>" - "&amp;TEXT($A$2,$X$11)&amp;"-"&amp;TEXT($A$3,$X$11)&amp;" "</f>
        <v xml:space="preserve"> - 01.01.2025-30.04.2025 </v>
      </c>
      <c r="AA10" s="176" t="str">
        <f>IFERROR(IF(INDEX(Data_Omakoodi!H:H,MATCH($AK$3&amp;$AL10,Data_Omakoodi!A:A,0))="P","",$AK$3&amp;$AL10),$AK$3&amp;$AL10)</f>
        <v>ComboBox_EtKuntakoodi_00000003</v>
      </c>
      <c r="AB10" s="44" t="str">
        <f>IFERROR(INDEX(Data_Omakoodi!E:E,MATCH(AA10,Data_Omakoodi!A:A,0)),"")</f>
        <v/>
      </c>
      <c r="AC10" t="str">
        <f>IFERROR(IF(INDEX(Data_Omakoodi!H:H,MATCH($AH$3&amp;$AL10,Data_Omakoodi!A:A,0))="P","",$AH$3&amp;$AL10),$AH$3&amp;$AL10)</f>
        <v>ComboBox_TyHlo_yksikko_00000003</v>
      </c>
      <c r="AD10" s="44" t="str">
        <f>IFERROR(INDEX(Data_Omakoodi!E:E,MATCH(AC10,Data_Omakoodi!A:A,0)),"")</f>
        <v/>
      </c>
      <c r="AE10" t="str">
        <f>IFERROR(IF(INDEX(Data_Omakoodi!H:H,MATCH($AH$3&amp;$AL10,Data_Omakoodi!A:A,0))="P","",$AH$3&amp;$AL10),$AH$3&amp;$AL10)</f>
        <v>ComboBox_TyHlo_yksikko_00000003</v>
      </c>
      <c r="AF10" t="s">
        <v>1529</v>
      </c>
      <c r="AG10" s="739" t="str">
        <f t="shared" si="0"/>
        <v/>
      </c>
      <c r="AH10" s="739" t="str">
        <f t="shared" si="1"/>
        <v/>
      </c>
      <c r="AI10"/>
      <c r="AJ10" s="739" t="str">
        <f t="shared" si="2"/>
        <v/>
      </c>
      <c r="AK10" s="739" t="str">
        <f t="shared" si="3"/>
        <v/>
      </c>
      <c r="AL10" s="370" t="s">
        <v>1641</v>
      </c>
      <c r="AM10" s="765"/>
      <c r="AO10" s="146">
        <f>SUMIFS(AS!$W:$W,AS!$BO:$BO,$W$7,AS!$AB:$AB,AS!$AA$1,AS!$AV:$AV,$X$5,AS!$I:$I,$X$7,AS!$AH:$AH,$X$8,AS!BG:BG,AS!$BA$1,AS!$AX:$AX,$AT25,AS!$AW:$AW,$Y$6,AS!$X:$X,$Y$5)</f>
        <v>0</v>
      </c>
    </row>
    <row r="11" spans="1:56" ht="15" x14ac:dyDescent="0.25">
      <c r="A11" s="163" t="str">
        <f>Y12&amp;AN65&amp;X10&amp;W12</f>
        <v xml:space="preserve">KAIKKI: Yhteistyön päättämisen syy  - 01.01.2025-30.04.2025 </v>
      </c>
      <c r="M11" s="27"/>
      <c r="N11" s="27"/>
      <c r="O11" s="27"/>
      <c r="P11" s="27"/>
      <c r="Q11" s="27"/>
      <c r="X11" s="222" t="s">
        <v>675</v>
      </c>
      <c r="Y11" s="222" t="s">
        <v>676</v>
      </c>
      <c r="AA11" s="176" t="str">
        <f>IFERROR(IF(INDEX(Data_Omakoodi!H:H,MATCH($AK$3&amp;$AL11,Data_Omakoodi!A:A,0))="P","",$AK$3&amp;$AL11),$AK$3&amp;$AL11)</f>
        <v>ComboBox_EtKuntakoodi_00000004</v>
      </c>
      <c r="AB11" s="44" t="str">
        <f>IFERROR(INDEX(Data_Omakoodi!E:E,MATCH(AA11,Data_Omakoodi!A:A,0)),"")</f>
        <v/>
      </c>
      <c r="AC11" t="str">
        <f>IFERROR(IF(INDEX(Data_Omakoodi!H:H,MATCH($AH$3&amp;$AL11,Data_Omakoodi!A:A,0))="P","",$AH$3&amp;$AL11),$AH$3&amp;$AL11)</f>
        <v>ComboBox_TyHlo_yksikko_00000004</v>
      </c>
      <c r="AD11" s="44" t="str">
        <f>IFERROR(INDEX(Data_Omakoodi!E:E,MATCH(AC11,Data_Omakoodi!A:A,0)),"")</f>
        <v/>
      </c>
      <c r="AE11" t="str">
        <f>IFERROR(IF(INDEX(Data_Omakoodi!H:H,MATCH($AH$3&amp;$AL11,Data_Omakoodi!A:A,0))="P","",$AH$3&amp;$AL11),$AH$3&amp;$AL11)</f>
        <v>ComboBox_TyHlo_yksikko_00000004</v>
      </c>
      <c r="AF11" t="s">
        <v>1530</v>
      </c>
      <c r="AG11" s="739" t="str">
        <f t="shared" si="0"/>
        <v/>
      </c>
      <c r="AH11" s="739" t="str">
        <f t="shared" si="1"/>
        <v/>
      </c>
      <c r="AI11"/>
      <c r="AJ11" s="739" t="str">
        <f t="shared" si="2"/>
        <v/>
      </c>
      <c r="AK11" s="739" t="str">
        <f t="shared" si="3"/>
        <v/>
      </c>
      <c r="AL11" s="370" t="s">
        <v>1642</v>
      </c>
      <c r="AM11" s="765"/>
      <c r="AO11" s="27" t="s">
        <v>1395</v>
      </c>
    </row>
    <row r="12" spans="1:56" ht="38.25" x14ac:dyDescent="0.25">
      <c r="A12" s="940" t="s">
        <v>774</v>
      </c>
      <c r="B12" s="941"/>
      <c r="C12" s="939" t="s">
        <v>114</v>
      </c>
      <c r="D12" s="939"/>
      <c r="E12" s="345" t="s">
        <v>132</v>
      </c>
      <c r="F12" s="346" t="s">
        <v>133</v>
      </c>
      <c r="G12" s="345" t="s">
        <v>134</v>
      </c>
      <c r="H12" s="166"/>
      <c r="I12" s="166"/>
      <c r="J12" s="166"/>
      <c r="K12" s="166"/>
      <c r="L12" s="167"/>
      <c r="M12" s="27"/>
      <c r="N12" s="27"/>
      <c r="O12" s="27"/>
      <c r="P12" s="27"/>
      <c r="Q12" s="27"/>
      <c r="W12" s="221" t="str">
        <f>IF(A5=AB5,"","("&amp;A5&amp;") ")&amp;IF(A7=AD5,"","("&amp;A7&amp;")")</f>
        <v/>
      </c>
      <c r="X12" s="628" t="str">
        <f>IF(A4=W2,IF(A5=AB5,"","("&amp;A5&amp;")"),IF(A5=AB5,"("&amp;A4&amp;")","("&amp;A4&amp;"/"&amp;A5&amp;")"))</f>
        <v/>
      </c>
      <c r="Y12" s="221" t="str">
        <f>IF($A$6=$Y$2,$Z$3,IF(A6=Y1,$Z$2,Z4))</f>
        <v xml:space="preserve">KAIKKI: </v>
      </c>
      <c r="AA12" s="176" t="str">
        <f>IFERROR(IF(INDEX(Data_Omakoodi!H:H,MATCH($AK$3&amp;$AL12,Data_Omakoodi!A:A,0))="P","",$AK$3&amp;$AL12),$AK$3&amp;$AL12)</f>
        <v>ComboBox_EtKuntakoodi_00000005</v>
      </c>
      <c r="AB12" s="44" t="str">
        <f>IFERROR(INDEX(Data_Omakoodi!E:E,MATCH(AA12,Data_Omakoodi!A:A,0)),"")</f>
        <v/>
      </c>
      <c r="AC12" t="str">
        <f>IFERROR(IF(INDEX(Data_Omakoodi!H:H,MATCH($AH$3&amp;$AL12,Data_Omakoodi!A:A,0))="P","",$AH$3&amp;$AL12),$AH$3&amp;$AL12)</f>
        <v>ComboBox_TyHlo_yksikko_00000005</v>
      </c>
      <c r="AD12" s="44" t="str">
        <f>IFERROR(INDEX(Data_Omakoodi!E:E,MATCH(AC12,Data_Omakoodi!A:A,0)),"")</f>
        <v/>
      </c>
      <c r="AE12" t="str">
        <f>IFERROR(IF(INDEX(Data_Omakoodi!H:H,MATCH($AH$3&amp;$AL12,Data_Omakoodi!A:A,0))="P","",$AH$3&amp;$AL12),$AH$3&amp;$AL12)</f>
        <v>ComboBox_TyHlo_yksikko_00000005</v>
      </c>
      <c r="AF12" t="s">
        <v>1531</v>
      </c>
      <c r="AG12" s="739" t="str">
        <f t="shared" si="0"/>
        <v/>
      </c>
      <c r="AH12" s="739" t="str">
        <f t="shared" si="1"/>
        <v/>
      </c>
      <c r="AI12"/>
      <c r="AJ12" s="739" t="str">
        <f t="shared" si="2"/>
        <v/>
      </c>
      <c r="AK12" s="739" t="str">
        <f t="shared" si="3"/>
        <v/>
      </c>
      <c r="AL12" s="370" t="s">
        <v>1643</v>
      </c>
      <c r="AM12" s="765"/>
      <c r="BA12"/>
      <c r="BB12"/>
      <c r="BC12"/>
      <c r="BD12"/>
    </row>
    <row r="13" spans="1:56" ht="15" x14ac:dyDescent="0.25">
      <c r="A13" s="942"/>
      <c r="B13" s="943"/>
      <c r="C13" s="345" t="s">
        <v>106</v>
      </c>
      <c r="D13" s="345" t="s">
        <v>176</v>
      </c>
      <c r="E13" s="345" t="s">
        <v>106</v>
      </c>
      <c r="F13" s="345" t="s">
        <v>106</v>
      </c>
      <c r="G13" s="345" t="s">
        <v>106</v>
      </c>
      <c r="H13" s="168"/>
      <c r="I13" s="168"/>
      <c r="J13" s="168"/>
      <c r="K13" s="168"/>
      <c r="L13" s="169"/>
      <c r="M13"/>
      <c r="N13"/>
      <c r="O13" s="27"/>
      <c r="P13" s="27"/>
      <c r="Q13" s="27"/>
      <c r="AA13" s="176" t="str">
        <f>IFERROR(IF(INDEX(Data_Omakoodi!H:H,MATCH($AK$3&amp;$AL13,Data_Omakoodi!A:A,0))="P","",$AK$3&amp;$AL13),$AK$3&amp;$AL13)</f>
        <v>ComboBox_EtKuntakoodi_00000006</v>
      </c>
      <c r="AB13" s="44" t="str">
        <f>IFERROR(INDEX(Data_Omakoodi!E:E,MATCH(AA13,Data_Omakoodi!A:A,0)),"")</f>
        <v/>
      </c>
      <c r="AC13" t="str">
        <f>IFERROR(IF(INDEX(Data_Omakoodi!H:H,MATCH($AH$3&amp;$AL13,Data_Omakoodi!A:A,0))="P","",$AH$3&amp;$AL13),$AH$3&amp;$AL13)</f>
        <v>ComboBox_TyHlo_yksikko_00000006</v>
      </c>
      <c r="AD13" s="44" t="str">
        <f>IFERROR(INDEX(Data_Omakoodi!E:E,MATCH(AC13,Data_Omakoodi!A:A,0)),"")</f>
        <v/>
      </c>
      <c r="AE13" t="str">
        <f>IFERROR(IF(INDEX(Data_Omakoodi!H:H,MATCH($AH$3&amp;$AL13,Data_Omakoodi!A:A,0))="P","",$AH$3&amp;$AL13),$AH$3&amp;$AL13)</f>
        <v>ComboBox_TyHlo_yksikko_00000006</v>
      </c>
      <c r="AF13" t="s">
        <v>1532</v>
      </c>
      <c r="AG13" s="739" t="str">
        <f t="shared" si="0"/>
        <v/>
      </c>
      <c r="AH13" s="739" t="str">
        <f t="shared" si="1"/>
        <v/>
      </c>
      <c r="AI13"/>
      <c r="AJ13" s="739" t="str">
        <f t="shared" si="2"/>
        <v/>
      </c>
      <c r="AK13" s="739" t="str">
        <f t="shared" si="3"/>
        <v/>
      </c>
      <c r="AL13" s="370" t="s">
        <v>1644</v>
      </c>
      <c r="AM13" s="765"/>
      <c r="AN13" s="629" t="s">
        <v>521</v>
      </c>
      <c r="BA13"/>
      <c r="BB13"/>
      <c r="BC13"/>
      <c r="BD13"/>
    </row>
    <row r="14" spans="1:56" ht="15" customHeight="1" x14ac:dyDescent="0.25">
      <c r="A14" s="624" t="s">
        <v>182</v>
      </c>
      <c r="B14" s="297" t="s">
        <v>824</v>
      </c>
      <c r="C14" s="292">
        <f>SUMIFS(AS!$W:$W,AS!$BO:$BO,$W$7,AS!$AB:$AB,AS!$AA$1,AS!$AV:$AV,$X$3,AS!$AH:$AH,$X$8,AS!BB:BB,AS!$BA$1,AS!$AW:$AW,'Päättäminen, tila, kesto'!$Y$6,AS!$X:$X,'Päättäminen, tila, kesto'!$Y$5,AS!$K:$K,'Päättäminen, tila, kesto'!$V$2)</f>
        <v>0</v>
      </c>
      <c r="D14" s="293" t="str">
        <f>IFERROR(C14/C$17,"-")</f>
        <v>-</v>
      </c>
      <c r="E14" s="292">
        <f>SUMIFS(AS!$W:$W,AS!$BO:$BO,$W$7,AS!$AB:$AB,AS!$AA$1,AS!$AV:$AV,$X$3,AS!$I:$I,$X$7,AS!$AH:$AH,$X$8,AS!$BB:$BB,AS!$BA$1,AS!$AW:$AW,'Päättäminen, tila, kesto'!$Y$6,AS!$X:$X,'Päättäminen, tila, kesto'!$Y$5,AS!$K:$K,'Päättäminen, tila, kesto'!$V$2)</f>
        <v>0</v>
      </c>
      <c r="F14" s="292">
        <f>SUMIFS(AS!$W:$W,AS!$BO:$BO,$W$7,AS!$AB:$AB,AS!$AA$1,AS!$AV:$AV,$X$3,AS!$I:$I,$Y$7,AS!$AH:$AH,$X$8,AS!$BB:$BB,AS!$BA$1,AS!$AW:$AW,'Päättäminen, tila, kesto'!$Y$6,AS!$X:$X,'Päättäminen, tila, kesto'!$Y$5,AS!$K:$K,'Päättäminen, tila, kesto'!$V$2)</f>
        <v>0</v>
      </c>
      <c r="G14" s="292">
        <f>SUMIFS(AS!$W:$W,AS!$BO:$BO,$W$7,AS!$AB:$AB,AS!$AA$1,AS!$AV:$AV,$X$3,AS!$AH:$AH,$Y$8,AS!$BB:$BB,AS!$BA$1,AS!$AW:$AW,'Päättäminen, tila, kesto'!$Y$6,AS!$X:$X,'Päättäminen, tila, kesto'!$Y$5,AS!$K:$K,'Päättäminen, tila, kesto'!$V$2)</f>
        <v>0</v>
      </c>
      <c r="H14" s="294"/>
      <c r="I14" s="295"/>
      <c r="J14" s="295"/>
      <c r="K14" s="295"/>
      <c r="L14" s="296"/>
      <c r="M14" s="387" t="s">
        <v>824</v>
      </c>
      <c r="N14" s="388">
        <f>E14</f>
        <v>0</v>
      </c>
      <c r="O14" s="388">
        <f>F14</f>
        <v>0</v>
      </c>
      <c r="P14" s="27"/>
      <c r="Q14" s="27"/>
      <c r="AA14" s="176" t="str">
        <f>IFERROR(IF(INDEX(Data_Omakoodi!H:H,MATCH($AK$3&amp;$AL14,Data_Omakoodi!A:A,0))="P","",$AK$3&amp;$AL14),$AK$3&amp;$AL14)</f>
        <v>ComboBox_EtKuntakoodi_00000007</v>
      </c>
      <c r="AB14" s="44" t="str">
        <f>IFERROR(INDEX(Data_Omakoodi!E:E,MATCH(AA14,Data_Omakoodi!A:A,0)),"")</f>
        <v/>
      </c>
      <c r="AC14" t="str">
        <f>IFERROR(IF(INDEX(Data_Omakoodi!H:H,MATCH($AH$3&amp;$AL14,Data_Omakoodi!A:A,0))="P","",$AH$3&amp;$AL14),$AH$3&amp;$AL14)</f>
        <v>ComboBox_TyHlo_yksikko_00000007</v>
      </c>
      <c r="AD14" s="44" t="str">
        <f>IFERROR(INDEX(Data_Omakoodi!E:E,MATCH(AC14,Data_Omakoodi!A:A,0)),"")</f>
        <v/>
      </c>
      <c r="AE14" t="str">
        <f>IFERROR(IF(INDEX(Data_Omakoodi!H:H,MATCH($AH$3&amp;$AL14,Data_Omakoodi!A:A,0))="P","",$AH$3&amp;$AL14),$AH$3&amp;$AL14)</f>
        <v>ComboBox_TyHlo_yksikko_00000007</v>
      </c>
      <c r="AF14" t="s">
        <v>1533</v>
      </c>
      <c r="AG14" s="739" t="str">
        <f t="shared" si="0"/>
        <v/>
      </c>
      <c r="AH14" s="739" t="str">
        <f t="shared" si="1"/>
        <v/>
      </c>
      <c r="AI14"/>
      <c r="AJ14" s="739" t="str">
        <f t="shared" si="2"/>
        <v/>
      </c>
      <c r="AK14" s="739" t="str">
        <f t="shared" si="3"/>
        <v/>
      </c>
      <c r="AL14" s="370" t="s">
        <v>1645</v>
      </c>
      <c r="AM14" s="765"/>
      <c r="AN14" s="629" t="s">
        <v>331</v>
      </c>
      <c r="BA14"/>
      <c r="BB14"/>
      <c r="BC14"/>
      <c r="BD14"/>
    </row>
    <row r="15" spans="1:56" ht="15" x14ac:dyDescent="0.25">
      <c r="A15" s="626"/>
      <c r="B15" s="297" t="s">
        <v>1382</v>
      </c>
      <c r="C15" s="292">
        <f>SUMIFS(AS!$W:$W,AS!$BO:$BO,$W$7,AS!$AB:$AB,AS!$AA$1,AS!$AV:$AV,$X$3,AS!$AH:$AH,$X$8,AS!BB:BB,AS!$BA$1,AS!$AW:$AW,'Päättäminen, tila, kesto'!$Y$6,AS!$X:$X,'Päättäminen, tila, kesto'!$Y$5,AS!$K:$K,'Päättäminen, tila, kesto'!$V$2,AS!$AX:$AX,AN15)</f>
        <v>0</v>
      </c>
      <c r="D15" s="293" t="str">
        <f>IFERROR(C15/C$17,"-")</f>
        <v>-</v>
      </c>
      <c r="E15" s="292">
        <f>SUMIFS(AS!$W:$W,AS!$BO:$BO,$W$7,AS!$AB:$AB,AS!$AA$1,AS!$AV:$AV,$X$3,AS!$I:$I,$X$7,AS!$AH:$AH,$X$8,AS!$BB:$BB,AS!$BA$1,AS!$AW:$AW,'Päättäminen, tila, kesto'!$Y$6,AS!$X:$X,'Päättäminen, tila, kesto'!$Y$5,AS!$K:$K,'Päättäminen, tila, kesto'!$V$2,AS!$AX:$AX,AN15)</f>
        <v>0</v>
      </c>
      <c r="F15" s="292">
        <f>SUMIFS(AS!$W:$W,AS!$BO:$BO,$W$7,AS!$AB:$AB,AS!$AA$1,AS!$AV:$AV,$X$3,AS!$I:$I,$Y$7,AS!$AH:$AH,$X$8,AS!$BB:$BB,AS!$BA$1,AS!$AW:$AW,'Päättäminen, tila, kesto'!$Y$6,AS!$X:$X,'Päättäminen, tila, kesto'!$Y$5,AS!$K:$K,'Päättäminen, tila, kesto'!$V$2,AS!$AX:$AX,AN15)</f>
        <v>0</v>
      </c>
      <c r="G15" s="292">
        <f>SUMIFS(AS!$W:$W,AS!$BO:$BO,$W$7,AS!$AB:$AB,AS!$AA$1,AS!$AV:$AV,$X$3,AS!$AH:$AH,$Y$8,AS!$BB:$BB,AS!$BA$1,AS!$AW:$AW,'Päättäminen, tila, kesto'!$Y$6,AS!$X:$X,'Päättäminen, tila, kesto'!$Y$5,AS!$K:$K,'Päättäminen, tila, kesto'!$V$2,AS!$AX:$AX,AN15)</f>
        <v>0</v>
      </c>
      <c r="H15" s="294"/>
      <c r="I15" s="295"/>
      <c r="J15" s="295"/>
      <c r="K15" s="295"/>
      <c r="L15" s="296"/>
      <c r="M15" s="387" t="s">
        <v>1382</v>
      </c>
      <c r="N15" s="388">
        <f t="shared" ref="N15:N61" si="4">E15</f>
        <v>0</v>
      </c>
      <c r="O15" s="388">
        <f t="shared" ref="O15:O61" si="5">F15</f>
        <v>0</v>
      </c>
      <c r="P15" s="27"/>
      <c r="Q15" s="27"/>
      <c r="AA15" s="176" t="str">
        <f>IFERROR(IF(INDEX(Data_Omakoodi!H:H,MATCH($AK$3&amp;$AL15,Data_Omakoodi!A:A,0))="P","",$AK$3&amp;$AL15),$AK$3&amp;$AL15)</f>
        <v>ComboBox_EtKuntakoodi_00000008</v>
      </c>
      <c r="AB15" s="44" t="str">
        <f>IFERROR(INDEX(Data_Omakoodi!E:E,MATCH(AA15,Data_Omakoodi!A:A,0)),"")</f>
        <v/>
      </c>
      <c r="AC15" t="str">
        <f>IFERROR(IF(INDEX(Data_Omakoodi!H:H,MATCH($AH$3&amp;$AL15,Data_Omakoodi!A:A,0))="P","",$AH$3&amp;$AL15),$AH$3&amp;$AL15)</f>
        <v>ComboBox_TyHlo_yksikko_00000008</v>
      </c>
      <c r="AD15" s="44" t="str">
        <f>IFERROR(INDEX(Data_Omakoodi!E:E,MATCH(AC15,Data_Omakoodi!A:A,0)),"")</f>
        <v/>
      </c>
      <c r="AE15" t="str">
        <f>IFERROR(IF(INDEX(Data_Omakoodi!H:H,MATCH($AH$3&amp;$AL15,Data_Omakoodi!A:A,0))="P","",$AH$3&amp;$AL15),$AH$3&amp;$AL15)</f>
        <v>ComboBox_TyHlo_yksikko_00000008</v>
      </c>
      <c r="AF15" t="s">
        <v>1534</v>
      </c>
      <c r="AG15" s="739" t="str">
        <f t="shared" si="0"/>
        <v/>
      </c>
      <c r="AH15" s="739" t="str">
        <f t="shared" si="1"/>
        <v/>
      </c>
      <c r="AI15"/>
      <c r="AJ15" s="739" t="str">
        <f t="shared" si="2"/>
        <v/>
      </c>
      <c r="AK15" s="739" t="str">
        <f t="shared" si="3"/>
        <v/>
      </c>
      <c r="AL15" s="370" t="s">
        <v>1646</v>
      </c>
      <c r="AM15" s="765"/>
      <c r="AN15" s="630" t="s">
        <v>1365</v>
      </c>
      <c r="BA15"/>
      <c r="BB15"/>
      <c r="BC15"/>
      <c r="BD15"/>
    </row>
    <row r="16" spans="1:56" ht="15" x14ac:dyDescent="0.25">
      <c r="A16" s="626"/>
      <c r="B16" s="297" t="s">
        <v>1361</v>
      </c>
      <c r="C16" s="292">
        <f>SUMIFS(AS!$W:$W,AS!$BO:$BO,$W$7,AS!$AB:$AB,AS!$AA$1,AS!$AV:$AV,$X$3,AS!$AH:$AH,$X$8,AS!BB:BB,AS!$BA$1,AS!$AW:$AW,'Päättäminen, tila, kesto'!$Y$6,AS!$X:$X,'Päättäminen, tila, kesto'!$Y$5,AS!$K:$K,'Päättäminen, tila, kesto'!$V$2,AS!$AX:$AX,AN16)</f>
        <v>0</v>
      </c>
      <c r="D16" s="293" t="str">
        <f>IFERROR(C16/C$17,"-")</f>
        <v>-</v>
      </c>
      <c r="E16" s="292">
        <f>SUMIFS(AS!$W:$W,AS!$BO:$BO,$W$7,AS!$AB:$AB,AS!$AA$1,AS!$AV:$AV,$X$3,AS!$I:$I,$X$7,AS!$AH:$AH,$X$8,AS!$BB:$BB,AS!$BA$1,AS!$AW:$AW,'Päättäminen, tila, kesto'!$Y$6,AS!$X:$X,'Päättäminen, tila, kesto'!$Y$5,AS!$K:$K,'Päättäminen, tila, kesto'!$V$2,AS!$AX:$AX,AN16)</f>
        <v>0</v>
      </c>
      <c r="F16" s="292">
        <f>SUMIFS(AS!$W:$W,AS!$BO:$BO,$W$7,AS!$AB:$AB,AS!$AA$1,AS!$AV:$AV,$X$3,AS!$I:$I,$Y$7,AS!$AH:$AH,$X$8,AS!$BB:$BB,AS!$BA$1,AS!$AW:$AW,'Päättäminen, tila, kesto'!$Y$6,AS!$X:$X,'Päättäminen, tila, kesto'!$Y$5,AS!$K:$K,'Päättäminen, tila, kesto'!$V$2,AS!$AX:$AX,AN16)</f>
        <v>0</v>
      </c>
      <c r="G16" s="292">
        <f>SUMIFS(AS!$W:$W,AS!$BO:$BO,$W$7,AS!$AB:$AB,AS!$AA$1,AS!$AV:$AV,$X$3,AS!$AH:$AH,$Y$8,AS!$BB:$BB,AS!$BA$1,AS!$AW:$AW,'Päättäminen, tila, kesto'!$Y$6,AS!$X:$X,'Päättäminen, tila, kesto'!$Y$5,AS!$K:$K,'Päättäminen, tila, kesto'!$V$2,AS!$AX:$AX,AN16)</f>
        <v>0</v>
      </c>
      <c r="H16" s="294"/>
      <c r="I16" s="295"/>
      <c r="J16" s="295"/>
      <c r="K16" s="295"/>
      <c r="L16" s="296"/>
      <c r="M16" s="387" t="s">
        <v>1361</v>
      </c>
      <c r="N16" s="388">
        <f t="shared" si="4"/>
        <v>0</v>
      </c>
      <c r="O16" s="388">
        <f t="shared" si="5"/>
        <v>0</v>
      </c>
      <c r="P16" s="27"/>
      <c r="Q16" s="27"/>
      <c r="AA16" s="176" t="str">
        <f>IFERROR(IF(INDEX(Data_Omakoodi!H:H,MATCH($AK$3&amp;$AL16,Data_Omakoodi!A:A,0))="P","",$AK$3&amp;$AL16),$AK$3&amp;$AL16)</f>
        <v>ComboBox_EtKuntakoodi_00000009</v>
      </c>
      <c r="AB16" s="44" t="str">
        <f>IFERROR(INDEX(Data_Omakoodi!E:E,MATCH(AA16,Data_Omakoodi!A:A,0)),"")</f>
        <v/>
      </c>
      <c r="AC16" t="str">
        <f>IFERROR(IF(INDEX(Data_Omakoodi!H:H,MATCH($AH$3&amp;$AL16,Data_Omakoodi!A:A,0))="P","",$AH$3&amp;$AL16),$AH$3&amp;$AL16)</f>
        <v>ComboBox_TyHlo_yksikko_00000009</v>
      </c>
      <c r="AD16" s="44" t="str">
        <f>IFERROR(INDEX(Data_Omakoodi!E:E,MATCH(AC16,Data_Omakoodi!A:A,0)),"")</f>
        <v/>
      </c>
      <c r="AE16" t="str">
        <f>IFERROR(IF(INDEX(Data_Omakoodi!H:H,MATCH($AH$3&amp;$AL16,Data_Omakoodi!A:A,0))="P","",$AH$3&amp;$AL16),$AH$3&amp;$AL16)</f>
        <v>ComboBox_TyHlo_yksikko_00000009</v>
      </c>
      <c r="AF16" t="s">
        <v>1535</v>
      </c>
      <c r="AG16" s="739" t="str">
        <f t="shared" si="0"/>
        <v/>
      </c>
      <c r="AH16" s="739" t="str">
        <f t="shared" si="1"/>
        <v/>
      </c>
      <c r="AI16"/>
      <c r="AJ16" s="739" t="str">
        <f t="shared" si="2"/>
        <v/>
      </c>
      <c r="AK16" s="739" t="str">
        <f t="shared" si="3"/>
        <v/>
      </c>
      <c r="AL16" s="370" t="s">
        <v>1647</v>
      </c>
      <c r="AM16" s="765"/>
      <c r="AN16" s="630" t="s">
        <v>1364</v>
      </c>
      <c r="BA16"/>
      <c r="BB16"/>
      <c r="BC16"/>
      <c r="BD16"/>
    </row>
    <row r="17" spans="1:57" ht="15" x14ac:dyDescent="0.25">
      <c r="A17" s="625"/>
      <c r="B17" s="85" t="s">
        <v>114</v>
      </c>
      <c r="C17" s="203">
        <f>SUM(C14:C16)</f>
        <v>0</v>
      </c>
      <c r="D17" s="204">
        <f>SUM(D14:D16)</f>
        <v>0</v>
      </c>
      <c r="E17" s="203">
        <f>SUM(E14:E16)</f>
        <v>0</v>
      </c>
      <c r="F17" s="203">
        <f t="shared" ref="F17:G17" si="6">SUM(F14:F16)</f>
        <v>0</v>
      </c>
      <c r="G17" s="203">
        <f t="shared" si="6"/>
        <v>0</v>
      </c>
      <c r="H17" s="205"/>
      <c r="I17" s="206"/>
      <c r="J17" s="206"/>
      <c r="K17" s="206"/>
      <c r="L17" s="207"/>
      <c r="M17" s="387"/>
      <c r="N17" s="388"/>
      <c r="O17" s="388"/>
      <c r="P17" s="27"/>
      <c r="Q17" s="27"/>
      <c r="AA17" s="176" t="str">
        <f>IFERROR(IF(INDEX(Data_Omakoodi!H:H,MATCH($AK$3&amp;$AL17,Data_Omakoodi!A:A,0))="P","",$AK$3&amp;$AL17),$AK$3&amp;$AL17)</f>
        <v>ComboBox_EtKuntakoodi_00000010</v>
      </c>
      <c r="AB17" s="44" t="str">
        <f>IFERROR(INDEX(Data_Omakoodi!E:E,MATCH(AA17,Data_Omakoodi!A:A,0)),"")</f>
        <v/>
      </c>
      <c r="AC17" t="str">
        <f>IFERROR(IF(INDEX(Data_Omakoodi!H:H,MATCH($AH$3&amp;$AL17,Data_Omakoodi!A:A,0))="P","",$AH$3&amp;$AL17),$AH$3&amp;$AL17)</f>
        <v>ComboBox_TyHlo_yksikko_00000010</v>
      </c>
      <c r="AD17" s="44" t="str">
        <f>IFERROR(INDEX(Data_Omakoodi!E:E,MATCH(AC17,Data_Omakoodi!A:A,0)),"")</f>
        <v/>
      </c>
      <c r="AE17" t="str">
        <f>IFERROR(IF(INDEX(Data_Omakoodi!H:H,MATCH($AH$3&amp;$AL17,Data_Omakoodi!A:A,0))="P","",$AH$3&amp;$AL17),$AH$3&amp;$AL17)</f>
        <v>ComboBox_TyHlo_yksikko_00000010</v>
      </c>
      <c r="AF17" t="s">
        <v>1536</v>
      </c>
      <c r="AG17" s="739" t="str">
        <f t="shared" si="0"/>
        <v/>
      </c>
      <c r="AH17" s="739" t="str">
        <f t="shared" si="1"/>
        <v/>
      </c>
      <c r="AI17"/>
      <c r="AJ17" s="739" t="str">
        <f t="shared" si="2"/>
        <v/>
      </c>
      <c r="AK17" s="739" t="str">
        <f t="shared" si="3"/>
        <v/>
      </c>
      <c r="AL17">
        <v>10</v>
      </c>
      <c r="AM17" s="765"/>
      <c r="AN17" s="629" t="s">
        <v>522</v>
      </c>
      <c r="BA17"/>
      <c r="BB17"/>
      <c r="BC17"/>
      <c r="BD17"/>
    </row>
    <row r="18" spans="1:57" ht="15" x14ac:dyDescent="0.25">
      <c r="A18" s="624" t="s">
        <v>183</v>
      </c>
      <c r="B18" s="298" t="s">
        <v>179</v>
      </c>
      <c r="C18" s="148">
        <f>SUMIFS(AS!$W:$W,AS!$BO:$BO,$W$7,AS!$AB:$AB,AS!$AA$1,AS!$AV:$AV,$X$4,AS!$AH:$AH,$X$8,AS!$BB:$BB,AS!$BA$1,AS!$AX:$AX,'Päättäminen, tila, kesto'!$AN18,AS!$AW:$AW,'Päättäminen, tila, kesto'!$Y$6,AS!$X:$X,'Päättäminen, tila, kesto'!$Y$5,AS!$K:$K,'Päättäminen, tila, kesto'!$V$2)</f>
        <v>0</v>
      </c>
      <c r="D18" s="202" t="str">
        <f>IFERROR(C18/C$22,"-")</f>
        <v>-</v>
      </c>
      <c r="E18" s="148">
        <f>SUMIFS(AS!$W:$W,AS!$BO:$BO,$W$7,AS!$AB:$AB,AS!$AA$1,AS!$AV:$AV,$X$4,AS!$I:$I,$X$7,AS!$AH:$AH,$X$8,AS!$BB:$BB,AS!$BA$1,AS!$AX:$AX,'Päättäminen, tila, kesto'!$AN18,AS!$AW:$AW,'Päättäminen, tila, kesto'!$Y$6,AS!$X:$X,'Päättäminen, tila, kesto'!$Y$5,AS!$K:$K,'Päättäminen, tila, kesto'!$V$2)</f>
        <v>0</v>
      </c>
      <c r="F18" s="148">
        <f>SUMIFS(AS!$W:$W,AS!$BO:$BO,$W$7,AS!$AB:$AB,AS!$AA$1,AS!$AV:$AV,$X$4,AS!$I:$I,$Y$7,AS!$AH:$AH,$X$8,AS!$BB:$BB,AS!$BA$1,AS!$AX:$AX,'Päättäminen, tila, kesto'!$AN18,AS!$AW:$AW,'Päättäminen, tila, kesto'!$Y$6,AS!$X:$X,'Päättäminen, tila, kesto'!$Y$5,AS!$K:$K,'Päättäminen, tila, kesto'!$V$2)</f>
        <v>0</v>
      </c>
      <c r="G18" s="148">
        <f>SUMIFS(AS!$W:$W,AS!$BO:$BO,$W$7,AS!$AB:$AB,AS!$AA$1,AS!$AV:$AV,$X$4,AS!$AH:$AH,$Y$8,AS!$BB:$BB,AS!$BA$1,AS!$AX:$AX,'Päättäminen, tila, kesto'!$AN18,AS!$AW:$AW,'Päättäminen, tila, kesto'!$Y$6,AS!$X:$X,'Päättäminen, tila, kesto'!$Y$5,AS!$K:$K,'Päättäminen, tila, kesto'!$V$2)</f>
        <v>0</v>
      </c>
      <c r="H18" s="208"/>
      <c r="I18" s="209"/>
      <c r="J18" s="209"/>
      <c r="K18" s="209"/>
      <c r="L18" s="210"/>
      <c r="M18" s="387" t="s">
        <v>179</v>
      </c>
      <c r="N18" s="388">
        <f t="shared" si="4"/>
        <v>0</v>
      </c>
      <c r="O18" s="388">
        <f t="shared" si="5"/>
        <v>0</v>
      </c>
      <c r="P18" s="27"/>
      <c r="Q18" s="27"/>
      <c r="AA18" s="176" t="str">
        <f>IFERROR(IF(INDEX(Data_Omakoodi!H:H,MATCH($AK$3&amp;$AL18,Data_Omakoodi!A:A,0))="P","",$AK$3&amp;$AL18),$AK$3&amp;$AL18)</f>
        <v>ComboBox_EtKuntakoodi_00000011</v>
      </c>
      <c r="AB18" s="44" t="str">
        <f>IFERROR(INDEX(Data_Omakoodi!E:E,MATCH(AA18,Data_Omakoodi!A:A,0)),"")</f>
        <v/>
      </c>
      <c r="AC18" t="str">
        <f>IFERROR(IF(INDEX(Data_Omakoodi!H:H,MATCH($AH$3&amp;$AL18,Data_Omakoodi!A:A,0))="P","",$AH$3&amp;$AL18),$AH$3&amp;$AL18)</f>
        <v>ComboBox_TyHlo_yksikko_00000011</v>
      </c>
      <c r="AD18" s="44" t="str">
        <f>IFERROR(INDEX(Data_Omakoodi!E:E,MATCH(AC18,Data_Omakoodi!A:A,0)),"")</f>
        <v/>
      </c>
      <c r="AE18" t="str">
        <f>IFERROR(IF(INDEX(Data_Omakoodi!H:H,MATCH($AH$3&amp;$AL18,Data_Omakoodi!A:A,0))="P","",$AH$3&amp;$AL18),$AH$3&amp;$AL18)</f>
        <v>ComboBox_TyHlo_yksikko_00000011</v>
      </c>
      <c r="AF18" t="s">
        <v>1537</v>
      </c>
      <c r="AG18" s="739" t="str">
        <f t="shared" si="0"/>
        <v/>
      </c>
      <c r="AH18" s="739" t="str">
        <f t="shared" si="1"/>
        <v/>
      </c>
      <c r="AI18"/>
      <c r="AJ18" s="739" t="str">
        <f t="shared" si="2"/>
        <v/>
      </c>
      <c r="AK18" s="739" t="str">
        <f t="shared" si="3"/>
        <v/>
      </c>
      <c r="AL18">
        <v>11</v>
      </c>
      <c r="AM18" s="765"/>
      <c r="AN18" s="629" t="s">
        <v>224</v>
      </c>
      <c r="BA18"/>
      <c r="BB18"/>
      <c r="BC18"/>
      <c r="BD18"/>
    </row>
    <row r="19" spans="1:57" ht="15" x14ac:dyDescent="0.25">
      <c r="A19" s="626"/>
      <c r="B19" s="298" t="s">
        <v>180</v>
      </c>
      <c r="C19" s="148">
        <f>SUMIFS(AS!$W:$W,AS!$BO:$BO,$W$7,AS!$AB:$AB,AS!$AA$1,AS!$AV:$AV,$X$4,AS!$AH:$AH,$X$8,AS!$BB:$BB,AS!$BA$1,AS!$AX:$AX,'Päättäminen, tila, kesto'!$AN19,AS!$AW:$AW,'Päättäminen, tila, kesto'!$Y$6,AS!$X:$X,'Päättäminen, tila, kesto'!$Y$5,AS!$K:$K,'Päättäminen, tila, kesto'!$V$2)</f>
        <v>0</v>
      </c>
      <c r="D19" s="202" t="str">
        <f>IFERROR(C19/C$22,"-")</f>
        <v>-</v>
      </c>
      <c r="E19" s="148">
        <f>SUMIFS(AS!$W:$W,AS!$BO:$BO,$W$7,AS!$AB:$AB,AS!$AA$1,AS!$AV:$AV,$X$4,AS!$I:$I,$X$7,AS!$AH:$AH,$X$8,AS!BB:BB,AS!$BA$1,AS!$AX:$AX,'Päättäminen, tila, kesto'!$AN19,AS!$AW:$AW,'Päättäminen, tila, kesto'!$Y$6,AS!$X:$X,'Päättäminen, tila, kesto'!$Y$5,AS!$K:$K,'Päättäminen, tila, kesto'!$V$2)</f>
        <v>0</v>
      </c>
      <c r="F19" s="148">
        <f>SUMIFS(AS!$W:$W,AS!$BO:$BO,$W$7,AS!$AB:$AB,AS!$AA$1,AS!$AV:$AV,$X$4,AS!$I:$I,$Y$7,AS!$AH:$AH,$X$8,AS!BB:BB,AS!$BA$1,AS!$AX:$AX,'Päättäminen, tila, kesto'!$AN19,AS!$AW:$AW,'Päättäminen, tila, kesto'!$Y$6,AS!$X:$X,'Päättäminen, tila, kesto'!$Y$5,AS!$K:$K,'Päättäminen, tila, kesto'!$V$2)</f>
        <v>0</v>
      </c>
      <c r="G19" s="148">
        <f>SUMIFS(AS!$W:$W,AS!$BO:$BO,$W$7,AS!$AB:$AB,AS!$AA$1,AS!$AV:$AV,$X$4,AS!$AH:$AH,$Y$8,AS!BB:BB,AS!$BA$1,AS!$AX:$AX,'Päättäminen, tila, kesto'!$AN19,AS!$AW:$AW,'Päättäminen, tila, kesto'!$Y$6,AS!$X:$X,'Päättäminen, tila, kesto'!$Y$5,AS!$K:$K,'Päättäminen, tila, kesto'!$V$2)</f>
        <v>0</v>
      </c>
      <c r="H19" s="208"/>
      <c r="I19" s="209"/>
      <c r="J19" s="209"/>
      <c r="K19" s="209"/>
      <c r="L19" s="210"/>
      <c r="M19" s="387" t="s">
        <v>180</v>
      </c>
      <c r="N19" s="388">
        <f t="shared" si="4"/>
        <v>0</v>
      </c>
      <c r="O19" s="388">
        <f t="shared" si="5"/>
        <v>0</v>
      </c>
      <c r="P19" s="27"/>
      <c r="Q19" s="27"/>
      <c r="AA19" s="176" t="str">
        <f>IFERROR(IF(INDEX(Data_Omakoodi!H:H,MATCH($AK$3&amp;$AL19,Data_Omakoodi!A:A,0))="P","",$AK$3&amp;$AL19),$AK$3&amp;$AL19)</f>
        <v>ComboBox_EtKuntakoodi_00000012</v>
      </c>
      <c r="AB19" s="44" t="str">
        <f>IFERROR(INDEX(Data_Omakoodi!E:E,MATCH(AA19,Data_Omakoodi!A:A,0)),"")</f>
        <v/>
      </c>
      <c r="AC19" t="str">
        <f>IFERROR(IF(INDEX(Data_Omakoodi!H:H,MATCH($AH$3&amp;$AL19,Data_Omakoodi!A:A,0))="P","",$AH$3&amp;$AL19),$AH$3&amp;$AL19)</f>
        <v>ComboBox_TyHlo_yksikko_00000012</v>
      </c>
      <c r="AD19" s="44" t="str">
        <f>IFERROR(INDEX(Data_Omakoodi!E:E,MATCH(AC19,Data_Omakoodi!A:A,0)),"")</f>
        <v/>
      </c>
      <c r="AE19" t="str">
        <f>IFERROR(IF(INDEX(Data_Omakoodi!H:H,MATCH($AH$3&amp;$AL19,Data_Omakoodi!A:A,0))="P","",$AH$3&amp;$AL19),$AH$3&amp;$AL19)</f>
        <v>ComboBox_TyHlo_yksikko_00000012</v>
      </c>
      <c r="AF19" t="s">
        <v>1538</v>
      </c>
      <c r="AG19" s="739" t="str">
        <f t="shared" si="0"/>
        <v/>
      </c>
      <c r="AH19" s="739" t="str">
        <f t="shared" si="1"/>
        <v/>
      </c>
      <c r="AI19"/>
      <c r="AJ19" s="739" t="str">
        <f t="shared" si="2"/>
        <v/>
      </c>
      <c r="AK19" s="739" t="str">
        <f t="shared" si="3"/>
        <v/>
      </c>
      <c r="AL19">
        <v>12</v>
      </c>
      <c r="AM19" s="765"/>
      <c r="AN19" s="629" t="s">
        <v>210</v>
      </c>
      <c r="BA19"/>
      <c r="BB19"/>
      <c r="BC19"/>
      <c r="BD19"/>
    </row>
    <row r="20" spans="1:57" ht="15" x14ac:dyDescent="0.25">
      <c r="A20" s="626"/>
      <c r="B20" s="298" t="s">
        <v>960</v>
      </c>
      <c r="C20" s="148">
        <f>SUMIFS(AS!$W:$W,AS!$BO:$BO,$W$7,AS!$AB:$AB,AS!$AA$1,AS!$AV:$AV,$X$4,AS!$AH:$AH,$X$8,AS!$BB:$BB,AS!$BA$1,AS!$AX:$AX,'Päättäminen, tila, kesto'!$AO20,AS!$AW:$AW,'Päättäminen, tila, kesto'!$Y$6,AS!$X:$X,'Päättäminen, tila, kesto'!$Y$5,AS!$K:$K,'Päättäminen, tila, kesto'!$V$2)+SUMIFS(AS!$W:$W,AS!$BO:$BO,$W$7,AS!$AB:$AB,AS!$AA$1,AS!$AV:$AV,$X$4,AS!$AH:$AH,$X$8,AS!$BB:$BB,AS!$BA$1,AS!$AX:$AX,'Päättäminen, tila, kesto'!$AN20,AS!$AW:$AW,'Päättäminen, tila, kesto'!$Y$6,AS!$X:$X,'Päättäminen, tila, kesto'!$Y$5,AS!$K:$K,'Päättäminen, tila, kesto'!$V$2)</f>
        <v>0</v>
      </c>
      <c r="D20" s="202" t="str">
        <f>IFERROR(C20/C$22,"-")</f>
        <v>-</v>
      </c>
      <c r="E20" s="148">
        <f>SUMIFS(AS!$W:$W,AS!$BO:$BO,$W$7,AS!$AB:$AB,AS!$AA$1,AS!$AV:$AV,$X$4,AS!$I:$I,$X$7,AS!$AH:$AH,$X$8,AS!BB:BB,AS!$BA$1,AS!$AX:$AX,'Päättäminen, tila, kesto'!$AO20,AS!$AW:$AW,'Päättäminen, tila, kesto'!$Y$6,AS!$X:$X,'Päättäminen, tila, kesto'!$Y$5,AS!$K:$K,'Päättäminen, tila, kesto'!$V$2)+SUMIFS(AS!$W:$W,AS!$BO:$BO,$W$7,AS!$AB:$AB,AS!$AA$1,AS!$AV:$AV,$X$4,AS!$I:$I,$X$7,AS!$AH:$AH,$X$8,AS!BB:BB,AS!$BA$1,AS!$AX:$AX,'Päättäminen, tila, kesto'!$AN20,AS!$AW:$AW,'Päättäminen, tila, kesto'!$Y$6,AS!$X:$X,'Päättäminen, tila, kesto'!$Y$5,AS!$K:$K,'Päättäminen, tila, kesto'!$V$2)</f>
        <v>0</v>
      </c>
      <c r="F20" s="148">
        <f>SUMIFS(AS!$W:$W,AS!$BO:$BO,$W$7,AS!$AB:$AB,AS!$AA$1,AS!$AV:$AV,$X$4,AS!$I:$I,$Y$7,AS!$AH:$AH,$X$8,AS!BB:BB,AS!$BA$1,AS!$AX:$AX,'Päättäminen, tila, kesto'!$AO20,AS!$AW:$AW,'Päättäminen, tila, kesto'!$Y$6,AS!$X:$X,'Päättäminen, tila, kesto'!$Y$5,AS!$K:$K,'Päättäminen, tila, kesto'!$V$2)+SUMIFS(AS!$W:$W,AS!$BO:$BO,$W$7,AS!$AB:$AB,AS!$AA$1,AS!$AV:$AV,$X$4,AS!$I:$I,$Y$7,AS!$AH:$AH,$X$8,AS!BB:BB,AS!$BA$1,AS!$AX:$AX,'Päättäminen, tila, kesto'!$AN20,AS!$AW:$AW,'Päättäminen, tila, kesto'!$Y$6,AS!$X:$X,'Päättäminen, tila, kesto'!$Y$5,AS!$K:$K,'Päättäminen, tila, kesto'!$V$2)</f>
        <v>0</v>
      </c>
      <c r="G20" s="148">
        <f>SUMIFS(AS!$W:$W,AS!$BO:$BO,$W$7,AS!$AB:$AB,AS!$AA$1,AS!$AV:$AV,$X$4,AS!$AH:$AH,$Y$8,AS!BB:BB,AS!$BA$1,AS!$AX:$AX,'Päättäminen, tila, kesto'!$AO20,AS!$AW:$AW,'Päättäminen, tila, kesto'!$Y$6,AS!$X:$X,'Päättäminen, tila, kesto'!$Y$5,AS!$K:$K,'Päättäminen, tila, kesto'!$V$2)+SUMIFS(AS!$W:$W,AS!$BO:$BO,$W$7,AS!$AB:$AB,AS!$AA$1,AS!$AV:$AV,$X$4,AS!$AH:$AH,$Y$8,AS!BB:BB,AS!$BA$1,AS!$AX:$AX,'Päättäminen, tila, kesto'!$AN20,AS!$AW:$AW,'Päättäminen, tila, kesto'!$Y$6,AS!$X:$X,'Päättäminen, tila, kesto'!$Y$5,AS!$K:$K,'Päättäminen, tila, kesto'!$V$2)</f>
        <v>0</v>
      </c>
      <c r="H20" s="208"/>
      <c r="I20" s="209"/>
      <c r="J20" s="209"/>
      <c r="K20" s="209"/>
      <c r="L20" s="210"/>
      <c r="M20" s="387" t="s">
        <v>960</v>
      </c>
      <c r="N20" s="388">
        <f t="shared" si="4"/>
        <v>0</v>
      </c>
      <c r="O20" s="388">
        <f t="shared" si="5"/>
        <v>0</v>
      </c>
      <c r="P20" s="27"/>
      <c r="Q20" s="27"/>
      <c r="AA20" s="176" t="str">
        <f>IFERROR(IF(INDEX(Data_Omakoodi!H:H,MATCH($AK$3&amp;$AL20,Data_Omakoodi!A:A,0))="P","",$AK$3&amp;$AL20),$AK$3&amp;$AL20)</f>
        <v>ComboBox_EtKuntakoodi_00000013</v>
      </c>
      <c r="AB20" s="44" t="str">
        <f>IFERROR(INDEX(Data_Omakoodi!E:E,MATCH(AA20,Data_Omakoodi!A:A,0)),"")</f>
        <v/>
      </c>
      <c r="AC20" t="str">
        <f>IFERROR(IF(INDEX(Data_Omakoodi!H:H,MATCH($AH$3&amp;$AL20,Data_Omakoodi!A:A,0))="P","",$AH$3&amp;$AL20),$AH$3&amp;$AL20)</f>
        <v>ComboBox_TyHlo_yksikko_00000013</v>
      </c>
      <c r="AD20" s="44" t="str">
        <f>IFERROR(INDEX(Data_Omakoodi!E:E,MATCH(AC20,Data_Omakoodi!A:A,0)),"")</f>
        <v/>
      </c>
      <c r="AE20" t="str">
        <f>IFERROR(IF(INDEX(Data_Omakoodi!H:H,MATCH($AH$3&amp;$AL20,Data_Omakoodi!A:A,0))="P","",$AH$3&amp;$AL20),$AH$3&amp;$AL20)</f>
        <v>ComboBox_TyHlo_yksikko_00000013</v>
      </c>
      <c r="AF20" t="s">
        <v>1539</v>
      </c>
      <c r="AG20" s="739" t="str">
        <f t="shared" si="0"/>
        <v/>
      </c>
      <c r="AH20" s="739" t="str">
        <f t="shared" si="1"/>
        <v/>
      </c>
      <c r="AI20"/>
      <c r="AJ20" s="739" t="str">
        <f t="shared" si="2"/>
        <v/>
      </c>
      <c r="AK20" s="739" t="str">
        <f t="shared" si="3"/>
        <v/>
      </c>
      <c r="AL20">
        <v>13</v>
      </c>
      <c r="AM20" s="765"/>
      <c r="AN20" s="629" t="s">
        <v>220</v>
      </c>
      <c r="AO20" s="627" t="s">
        <v>958</v>
      </c>
      <c r="BA20"/>
      <c r="BB20"/>
      <c r="BC20"/>
      <c r="BD20"/>
    </row>
    <row r="21" spans="1:57" ht="13.5" customHeight="1" x14ac:dyDescent="0.25">
      <c r="A21" s="626"/>
      <c r="B21" s="298" t="s">
        <v>63</v>
      </c>
      <c r="C21" s="148">
        <f>SUMIFS(AS!$W:$W,AS!$BO:$BO,$W$7,AS!$AB:$AB,AS!$AA$1,AS!$AV:$AV,$X$4,AS!$AH:$AH,$X$8,AS!BB:BB,AS!$BA$1,AS!$AW:$AW,'Päättäminen, tila, kesto'!$Y$6,AS!$X:$X,'Päättäminen, tila, kesto'!$Y$5,AS!$K:$K,'Päättäminen, tila, kesto'!$V$2)-C65</f>
        <v>0</v>
      </c>
      <c r="D21" s="202" t="str">
        <f>IFERROR(C21/C$22,"-")</f>
        <v>-</v>
      </c>
      <c r="E21" s="148">
        <f>SUMIFS(AS!$W:$W,AS!$BO:$BO,$W$7,AS!$AB:$AB,AS!$AA$1,AS!$AV:$AV,$X$4,AS!$I:$I,$X$7,AS!$AH:$AH,$X$8,AS!$BB:$BB,AS!$BA$1,AS!$AW:$AW,'Päättäminen, tila, kesto'!$Y$6,AS!$X:$X,'Päättäminen, tila, kesto'!$Y$5,AS!$K:$K,'Päättäminen, tila, kesto'!$V$2)-E65</f>
        <v>0</v>
      </c>
      <c r="F21" s="148">
        <f>SUMIFS(AS!$W:$W,AS!$BO:$BO,$W$7,AS!$AB:$AB,AS!$AA$1,AS!$AV:$AV,$X$4,AS!$I:$I,$Y$7,AS!$AH:$AH,$X$8,AS!$BB:$BB,AS!$BA$1,AS!$AW:$AW,'Päättäminen, tila, kesto'!$Y$6,AS!$X:$X,'Päättäminen, tila, kesto'!$Y$5,AS!$K:$K,'Päättäminen, tila, kesto'!$V$2)-F65</f>
        <v>0</v>
      </c>
      <c r="G21" s="148">
        <f>SUMIFS(AS!$W:$W,AS!$BO:$BO,$W$7,AS!$AB:$AB,AS!$AA$1,AS!$AV:$AV,$X$4,AS!$AH:$AH,$Y$8,AS!$BB:$BB,AS!$BA$1,AS!$AW:$AW,'Päättäminen, tila, kesto'!$Y$6,AS!$X:$X,'Päättäminen, tila, kesto'!$Y$5,AS!$K:$K,'Päättäminen, tila, kesto'!$V$2)-G65</f>
        <v>0</v>
      </c>
      <c r="H21" s="208"/>
      <c r="I21" s="209"/>
      <c r="J21" s="209"/>
      <c r="K21" s="209"/>
      <c r="L21" s="210"/>
      <c r="M21" s="387" t="s">
        <v>63</v>
      </c>
      <c r="N21" s="388">
        <f t="shared" si="4"/>
        <v>0</v>
      </c>
      <c r="O21" s="388">
        <f t="shared" si="5"/>
        <v>0</v>
      </c>
      <c r="P21" s="27"/>
      <c r="Q21" s="27"/>
      <c r="AA21" s="176" t="str">
        <f>IFERROR(IF(INDEX(Data_Omakoodi!H:H,MATCH($AK$3&amp;$AL21,Data_Omakoodi!A:A,0))="P","",$AK$3&amp;$AL21),$AK$3&amp;$AL21)</f>
        <v>ComboBox_EtKuntakoodi_00000014</v>
      </c>
      <c r="AB21" s="44" t="str">
        <f>IFERROR(INDEX(Data_Omakoodi!E:E,MATCH(AA21,Data_Omakoodi!A:A,0)),"")</f>
        <v/>
      </c>
      <c r="AC21" t="str">
        <f>IFERROR(IF(INDEX(Data_Omakoodi!H:H,MATCH($AH$3&amp;$AL21,Data_Omakoodi!A:A,0))="P","",$AH$3&amp;$AL21),$AH$3&amp;$AL21)</f>
        <v>ComboBox_TyHlo_yksikko_00000014</v>
      </c>
      <c r="AD21" s="44" t="str">
        <f>IFERROR(INDEX(Data_Omakoodi!E:E,MATCH(AC21,Data_Omakoodi!A:A,0)),"")</f>
        <v/>
      </c>
      <c r="AE21" t="str">
        <f>IFERROR(IF(INDEX(Data_Omakoodi!H:H,MATCH($AH$3&amp;$AL21,Data_Omakoodi!A:A,0))="P","",$AH$3&amp;$AL21),$AH$3&amp;$AL21)</f>
        <v>ComboBox_TyHlo_yksikko_00000014</v>
      </c>
      <c r="AF21" t="s">
        <v>1540</v>
      </c>
      <c r="AG21" s="739" t="str">
        <f t="shared" si="0"/>
        <v/>
      </c>
      <c r="AH21" s="739" t="str">
        <f t="shared" si="1"/>
        <v/>
      </c>
      <c r="AI21"/>
      <c r="AJ21" s="739" t="str">
        <f t="shared" si="2"/>
        <v/>
      </c>
      <c r="AK21" s="739" t="str">
        <f t="shared" si="3"/>
        <v/>
      </c>
      <c r="AL21">
        <v>14</v>
      </c>
      <c r="AM21" s="765"/>
      <c r="AN21" s="629" t="s">
        <v>753</v>
      </c>
      <c r="BA21"/>
      <c r="BB21"/>
      <c r="BC21"/>
      <c r="BD21"/>
    </row>
    <row r="22" spans="1:57" ht="15" x14ac:dyDescent="0.25">
      <c r="A22" s="625"/>
      <c r="B22" s="85" t="s">
        <v>114</v>
      </c>
      <c r="C22" s="203">
        <f>SUM(C18:C21)</f>
        <v>0</v>
      </c>
      <c r="D22" s="204">
        <f>SUM(D18:D21)</f>
        <v>0</v>
      </c>
      <c r="E22" s="203">
        <f>SUM(E18:E21)</f>
        <v>0</v>
      </c>
      <c r="F22" s="203">
        <f>SUM(F18:F21)</f>
        <v>0</v>
      </c>
      <c r="G22" s="203">
        <f>SUM(G18:G21)</f>
        <v>0</v>
      </c>
      <c r="H22" s="211"/>
      <c r="I22" s="212"/>
      <c r="J22" s="212"/>
      <c r="K22" s="212"/>
      <c r="L22" s="213"/>
      <c r="M22" s="387"/>
      <c r="N22" s="388"/>
      <c r="O22" s="388"/>
      <c r="P22" s="27"/>
      <c r="Q22" s="27"/>
      <c r="AA22" s="176" t="str">
        <f>IFERROR(IF(INDEX(Data_Omakoodi!H:H,MATCH($AK$3&amp;$AL22,Data_Omakoodi!A:A,0))="P","",$AK$3&amp;$AL22),$AK$3&amp;$AL22)</f>
        <v>ComboBox_EtKuntakoodi_00000015</v>
      </c>
      <c r="AB22" s="44" t="str">
        <f>IFERROR(INDEX(Data_Omakoodi!E:E,MATCH(AA22,Data_Omakoodi!A:A,0)),"")</f>
        <v/>
      </c>
      <c r="AC22" t="str">
        <f>IFERROR(IF(INDEX(Data_Omakoodi!H:H,MATCH($AH$3&amp;$AL22,Data_Omakoodi!A:A,0))="P","",$AH$3&amp;$AL22),$AH$3&amp;$AL22)</f>
        <v>ComboBox_TyHlo_yksikko_00000015</v>
      </c>
      <c r="AD22" s="44" t="str">
        <f>IFERROR(INDEX(Data_Omakoodi!E:E,MATCH(AC22,Data_Omakoodi!A:A,0)),"")</f>
        <v/>
      </c>
      <c r="AE22" t="str">
        <f>IFERROR(IF(INDEX(Data_Omakoodi!H:H,MATCH($AH$3&amp;$AL22,Data_Omakoodi!A:A,0))="P","",$AH$3&amp;$AL22),$AH$3&amp;$AL22)</f>
        <v>ComboBox_TyHlo_yksikko_00000015</v>
      </c>
      <c r="AF22" t="s">
        <v>1541</v>
      </c>
      <c r="AG22" s="739" t="str">
        <f t="shared" si="0"/>
        <v/>
      </c>
      <c r="AH22" s="739" t="str">
        <f t="shared" si="1"/>
        <v/>
      </c>
      <c r="AI22"/>
      <c r="AJ22" s="739" t="str">
        <f t="shared" si="2"/>
        <v/>
      </c>
      <c r="AK22" s="739" t="str">
        <f t="shared" si="3"/>
        <v/>
      </c>
      <c r="AL22">
        <v>15</v>
      </c>
      <c r="AM22" s="765"/>
      <c r="AN22" s="629" t="s">
        <v>523</v>
      </c>
      <c r="BA22"/>
      <c r="BB22"/>
      <c r="BC22"/>
      <c r="BD22"/>
    </row>
    <row r="23" spans="1:57" ht="15" x14ac:dyDescent="0.25">
      <c r="A23" s="624" t="s">
        <v>184</v>
      </c>
      <c r="B23" s="299" t="s">
        <v>79</v>
      </c>
      <c r="C23" s="343">
        <f>SUM(C24:C27)</f>
        <v>0</v>
      </c>
      <c r="D23" s="344" t="str">
        <f>IFERROR(C23/C$62,"-")</f>
        <v>-</v>
      </c>
      <c r="E23" s="343">
        <f>SUM(E24:E27)</f>
        <v>0</v>
      </c>
      <c r="F23" s="343">
        <f>SUM(F24:F27)</f>
        <v>0</v>
      </c>
      <c r="G23" s="343">
        <f>SUM(G24:G27)</f>
        <v>0</v>
      </c>
      <c r="H23" s="214"/>
      <c r="I23" s="215"/>
      <c r="J23" s="215"/>
      <c r="K23" s="215"/>
      <c r="L23" s="216"/>
      <c r="M23" s="387"/>
      <c r="N23" s="388"/>
      <c r="O23" s="388"/>
      <c r="P23" s="27"/>
      <c r="Q23" s="27"/>
      <c r="AA23" s="176" t="str">
        <f>IFERROR(IF(INDEX(Data_Omakoodi!H:H,MATCH($AK$3&amp;$AL23,Data_Omakoodi!A:A,0))="P","",$AK$3&amp;$AL23),$AK$3&amp;$AL23)</f>
        <v>ComboBox_EtKuntakoodi_00000016</v>
      </c>
      <c r="AB23" s="44" t="str">
        <f>IFERROR(INDEX(Data_Omakoodi!E:E,MATCH(AA23,Data_Omakoodi!A:A,0)),"")</f>
        <v/>
      </c>
      <c r="AC23" t="str">
        <f>IFERROR(IF(INDEX(Data_Omakoodi!H:H,MATCH($AH$3&amp;$AL23,Data_Omakoodi!A:A,0))="P","",$AH$3&amp;$AL23),$AH$3&amp;$AL23)</f>
        <v>ComboBox_TyHlo_yksikko_00000016</v>
      </c>
      <c r="AD23" s="44" t="str">
        <f>IFERROR(INDEX(Data_Omakoodi!E:E,MATCH(AC23,Data_Omakoodi!A:A,0)),"")</f>
        <v/>
      </c>
      <c r="AE23" t="str">
        <f>IFERROR(IF(INDEX(Data_Omakoodi!H:H,MATCH($AH$3&amp;$AL23,Data_Omakoodi!A:A,0))="P","",$AH$3&amp;$AL23),$AH$3&amp;$AL23)</f>
        <v>ComboBox_TyHlo_yksikko_00000016</v>
      </c>
      <c r="AF23" t="s">
        <v>1542</v>
      </c>
      <c r="AG23" s="739" t="str">
        <f t="shared" si="0"/>
        <v/>
      </c>
      <c r="AH23" s="739" t="str">
        <f t="shared" si="1"/>
        <v/>
      </c>
      <c r="AI23"/>
      <c r="AJ23" s="739" t="str">
        <f t="shared" si="2"/>
        <v/>
      </c>
      <c r="AK23" s="739" t="str">
        <f t="shared" si="3"/>
        <v/>
      </c>
      <c r="AL23">
        <v>16</v>
      </c>
      <c r="AM23" s="765"/>
      <c r="AN23" s="629" t="s">
        <v>532</v>
      </c>
      <c r="AP23" s="27" t="s">
        <v>1394</v>
      </c>
      <c r="AQ23" s="346" t="s">
        <v>132</v>
      </c>
      <c r="AR23" s="346" t="s">
        <v>133</v>
      </c>
      <c r="AS23" s="346" t="s">
        <v>134</v>
      </c>
      <c r="AU23" s="27" t="s">
        <v>1394</v>
      </c>
      <c r="AV23" s="346" t="s">
        <v>132</v>
      </c>
      <c r="AW23" s="346" t="s">
        <v>133</v>
      </c>
      <c r="AX23" s="346" t="s">
        <v>134</v>
      </c>
      <c r="BA23"/>
      <c r="BB23"/>
      <c r="BC23"/>
      <c r="BD23"/>
    </row>
    <row r="24" spans="1:57" ht="15" x14ac:dyDescent="0.25">
      <c r="A24" s="626"/>
      <c r="B24" s="298" t="s">
        <v>1250</v>
      </c>
      <c r="C24" s="148">
        <f>SUMIFS(AS!$W:$W,AS!$BO:$BO,$W$7,AS!$AB:$AB,AS!$AA$1,AS!$AV:$AV,$X$5,AS!$AH:$AH,$X$8,AS!$BB:$BB,AS!$BA$1,AS!$AX:$AX,'Päättäminen, tila, kesto'!$AN24,AS!$AW:$AW,'Päättäminen, tila, kesto'!$Y$6,AS!$X:$X,'Päättäminen, tila, kesto'!$Y$5,AS!$K:$K,'Päättäminen, tila, kesto'!$V$2)+AP24+AU24</f>
        <v>0</v>
      </c>
      <c r="D24" s="330" t="str">
        <f>IFERROR(C24/C$62,"-")</f>
        <v>-</v>
      </c>
      <c r="E24" s="148">
        <f>SUMIFS(AS!$W:$W,AS!$BO:$BO,$W$7,AS!$AB:$AB,AS!$AA$1,AS!$AV:$AV,$X$5,AS!$I:$I,$X$7,AS!$AH:$AH,$X$8,AS!BB:BB,AS!$BA$1,AS!$AX:$AX,'Päättäminen, tila, kesto'!$AN24,AS!$AW:$AW,'Päättäminen, tila, kesto'!$Y$6,AS!$X:$X,'Päättäminen, tila, kesto'!$Y$5,AS!$K:$K,'Päättäminen, tila, kesto'!$V$2)+AQ24+AV24</f>
        <v>0</v>
      </c>
      <c r="F24" s="148">
        <f>SUMIFS(AS!$W:$W,AS!$BO:$BO,$W$7,AS!$AB:$AB,AS!$AA$1,AS!$AV:$AV,$X$5,AS!$I:$I,$Y$7,AS!$AH:$AH,$X$8,AS!BB:BB,AS!$BA$1,AS!$AX:$AX,'Päättäminen, tila, kesto'!$AN24,AS!$AW:$AW,'Päättäminen, tila, kesto'!$Y$6,AS!$X:$X,'Päättäminen, tila, kesto'!$Y$5,AS!$K:$K,'Päättäminen, tila, kesto'!$V$2)+AR24+AW24</f>
        <v>0</v>
      </c>
      <c r="G24" s="148">
        <f>SUMIFS(AS!$W:$W,AS!$BO:$BO,$W$7,AS!$AB:$AB,AS!$AA$1,AS!$AV:$AV,$X$5,AS!$AH:$AH,$Y$8,AS!BB:BB,AS!$BA$1,AS!$AX:$AX,'Päättäminen, tila, kesto'!$AN24,AS!$AW:$AW,'Päättäminen, tila, kesto'!$Y$6,AS!$X:$X,'Päättäminen, tila, kesto'!$Y$5,AS!$K:$K,'Päättäminen, tila, kesto'!$V$2)+AS24+AX24</f>
        <v>0</v>
      </c>
      <c r="H24" s="217"/>
      <c r="I24" s="218"/>
      <c r="J24" s="218"/>
      <c r="K24" s="218"/>
      <c r="L24" s="219"/>
      <c r="M24" s="387" t="s">
        <v>1250</v>
      </c>
      <c r="N24" s="388">
        <f t="shared" si="4"/>
        <v>0</v>
      </c>
      <c r="O24" s="388">
        <f t="shared" si="5"/>
        <v>0</v>
      </c>
      <c r="P24" s="27"/>
      <c r="Q24" s="27"/>
      <c r="AA24" s="176" t="str">
        <f>IFERROR(IF(INDEX(Data_Omakoodi!H:H,MATCH($AK$3&amp;$AL24,Data_Omakoodi!A:A,0))="P","",$AK$3&amp;$AL24),$AK$3&amp;$AL24)</f>
        <v>ComboBox_EtKuntakoodi_00000017</v>
      </c>
      <c r="AB24" s="44" t="str">
        <f>IFERROR(INDEX(Data_Omakoodi!E:E,MATCH(AA24,Data_Omakoodi!A:A,0)),"")</f>
        <v/>
      </c>
      <c r="AC24" t="str">
        <f>IFERROR(IF(INDEX(Data_Omakoodi!H:H,MATCH($AH$3&amp;$AL24,Data_Omakoodi!A:A,0))="P","",$AH$3&amp;$AL24),$AH$3&amp;$AL24)</f>
        <v>ComboBox_TyHlo_yksikko_00000017</v>
      </c>
      <c r="AD24" s="44" t="str">
        <f>IFERROR(INDEX(Data_Omakoodi!E:E,MATCH(AC24,Data_Omakoodi!A:A,0)),"")</f>
        <v/>
      </c>
      <c r="AE24" t="str">
        <f>IFERROR(IF(INDEX(Data_Omakoodi!H:H,MATCH($AH$3&amp;$AL24,Data_Omakoodi!A:A,0))="P","",$AH$3&amp;$AL24),$AH$3&amp;$AL24)</f>
        <v>ComboBox_TyHlo_yksikko_00000017</v>
      </c>
      <c r="AF24" t="s">
        <v>1543</v>
      </c>
      <c r="AG24" s="739" t="str">
        <f t="shared" si="0"/>
        <v/>
      </c>
      <c r="AH24" s="739" t="str">
        <f t="shared" si="1"/>
        <v/>
      </c>
      <c r="AI24"/>
      <c r="AJ24" s="739" t="str">
        <f t="shared" si="2"/>
        <v/>
      </c>
      <c r="AK24" s="739" t="str">
        <f t="shared" si="3"/>
        <v/>
      </c>
      <c r="AL24">
        <v>17</v>
      </c>
      <c r="AM24" s="765"/>
      <c r="AN24" s="630" t="s">
        <v>1375</v>
      </c>
      <c r="AP24" s="27">
        <f>SUMIFS(AS!$W:$W,AS!$BO:$BO,$W$7,AS!$AB:$AB,AS!$AA$1,AS!$AV:$AV,$X$5,AS!$AH:$AH,$X$8,AS!$BB:$BB,AS!$BA$1,AS!$AX:$AX,'Päättäminen, tila, kesto'!$AO24,AS!$AW:$AW,'Päättäminen, tila, kesto'!$Y$6,AS!$X:$X,'Päättäminen, tila, kesto'!$Y$5,AS!$K:$K,'Päättäminen, tila, kesto'!$V$2)</f>
        <v>0</v>
      </c>
      <c r="AQ24" s="27">
        <f>SUMIFS(AS!$W:$W,AS!$BO:$BO,$W$7,AS!$AB:$AB,AS!$AA$1,AS!$AV:$AV,$X$5,AS!$I:$I,$X$7,AS!$AH:$AH,$X$8,AS!$BB:$BB,AS!$BA$1,AS!$AX:$AX,'Päättäminen, tila, kesto'!$AO24,AS!$AW:$AW,'Päättäminen, tila, kesto'!$Y$6,AS!$X:$X,'Päättäminen, tila, kesto'!$Y$5,AS!$K:$K,'Päättäminen, tila, kesto'!$V$2)</f>
        <v>0</v>
      </c>
      <c r="AR24" s="27">
        <f>SUMIFS(AS!$W:$W,AS!$BO:$BO,$W$7,AS!$AB:$AB,AS!$AA$1,AS!$AV:$AV,$X$5,AS!$I:$I,$Y$7,AS!$AH:$AH,$X$8,AS!$BB:$BB,AS!$BA$1,AS!$AX:$AX,'Päättäminen, tila, kesto'!$AO24,AS!$AW:$AW,'Päättäminen, tila, kesto'!$Y$6,AS!$X:$X,'Päättäminen, tila, kesto'!$Y$5,AS!$K:$K,'Päättäminen, tila, kesto'!$V$2)</f>
        <v>0</v>
      </c>
      <c r="AS24" s="27">
        <f>SUMIFS(AS!$W:$W,AS!$BO:$BO,$W$7,AS!$AB:$AB,AS!$AA$1,AS!$AV:$AV,$X$5,AS!$AH:$AH,$Y$8,AS!$BB:$BB,AS!$BA$1,AS!$AX:$AX,'Päättäminen, tila, kesto'!$AO24,AS!$AW:$AW,'Päättäminen, tila, kesto'!$Y$6,AS!$X:$X,'Päättäminen, tila, kesto'!$Y$5,AS!$K:$K,'Päättäminen, tila, kesto'!$V$2)</f>
        <v>0</v>
      </c>
      <c r="AU24" s="27">
        <f>SUMIFS(AS!$W:$W,AS!$BO:$BO,$W$7,AS!$AB:$AB,AS!$AA$1,AS!$AV:$AV,$X$5,AS!$AH:$AH,$X$8,AS!$BB:$BB,AS!$BA$1,AS!$AX:$AX,'Päättäminen, tila, kesto'!$AT24,AS!$AW:$AW,'Päättäminen, tila, kesto'!$Y$6,AS!$X:$X,'Päättäminen, tila, kesto'!$Y$5,AS!$K:$K,'Päättäminen, tila, kesto'!$V$2)</f>
        <v>0</v>
      </c>
      <c r="AV24" s="27">
        <f>SUMIFS(AS!$W:$W,AS!$BO:$BO,$W$7,AS!$AB:$AB,AS!$AA$1,AS!$AV:$AV,$X$5,AS!$I:$I,$X$7,AS!$AH:$AH,$X$8,AS!$BB:$BB,AS!$BA$1,AS!$AX:$AX,'Päättäminen, tila, kesto'!$AT24,AS!$AW:$AW,'Päättäminen, tila, kesto'!$Y$6,AS!$X:$X,'Päättäminen, tila, kesto'!$Y$5,AS!$K:$K,'Päättäminen, tila, kesto'!$V$2)</f>
        <v>0</v>
      </c>
      <c r="AW24" s="27">
        <f>SUMIFS(AS!$W:$W,AS!$BO:$BO,$W$7,AS!$AB:$AB,AS!$AA$1,AS!$AV:$AV,$X$5,AS!$I:$I,$Y$7,AS!$AH:$AH,$X$8,AS!$BB:$BB,AS!$BA$1,AS!$AX:$AX,'Päättäminen, tila, kesto'!$AT24,AS!$AW:$AW,'Päättäminen, tila, kesto'!$Y$6,AS!$X:$X,'Päättäminen, tila, kesto'!$Y$5,AS!$K:$K,'Päättäminen, tila, kesto'!$V$2)</f>
        <v>0</v>
      </c>
      <c r="AX24" s="27">
        <f>SUMIFS(AS!$W:$W,AS!$BO:$BO,$W$7,AS!$AB:$AB,AS!$AA$1,AS!$AV:$AV,$X$5,AS!$AH:$AH,$Y$8,AS!$BB:$BB,AS!$BA$1,AS!$AX:$AX,'Päättäminen, tila, kesto'!$AT24,AS!$AW:$AW,'Päättäminen, tila, kesto'!$Y$6,AS!$X:$X,'Päättäminen, tila, kesto'!$Y$5,AS!$K:$K,'Päättäminen, tila, kesto'!$V$2)</f>
        <v>0</v>
      </c>
      <c r="BA24"/>
      <c r="BB24"/>
      <c r="BC24"/>
      <c r="BD24"/>
      <c r="BE24" s="623"/>
    </row>
    <row r="25" spans="1:57" ht="15" x14ac:dyDescent="0.25">
      <c r="A25" s="626"/>
      <c r="B25" s="298" t="s">
        <v>1383</v>
      </c>
      <c r="C25" s="713">
        <f>SUMIFS(AS!$W:$W,AS!$BO:$BO,$W$7,AS!$AB:$AB,AS!$AA$1,AS!$AV:$AV,$X$5,AS!$AH:$AH,$X$8,AS!$BB:$BB,AS!$BA$1,AS!$AX:$AX,'Päättäminen, tila, kesto'!$AN25,AS!$AW:$AW,'Päättäminen, tila, kesto'!$Y$6,AS!$X:$X,'Päättäminen, tila, kesto'!$Y$5,AS!$K:$K,'Päättäminen, tila, kesto'!$V$2)+AP25+AU25</f>
        <v>0</v>
      </c>
      <c r="D25" s="714" t="str">
        <f t="shared" ref="D25:D27" si="7">IFERROR(C25/C$62,"-")</f>
        <v>-</v>
      </c>
      <c r="E25" s="713">
        <f>SUMIFS(AS!$W:$W,AS!$BO:$BO,$W$7,AS!$AB:$AB,AS!$AA$1,AS!$AV:$AV,$X$5,AS!$I:$I,$X$7,AS!$AH:$AH,$X$8,AS!BB:BB,AS!$BA$1,AS!$AX:$AX,'Päättäminen, tila, kesto'!$AN25,AS!$AW:$AW,'Päättäminen, tila, kesto'!$Y$6,AS!$X:$X,'Päättäminen, tila, kesto'!$Y$5,AS!$K:$K,'Päättäminen, tila, kesto'!$V$2)+AQ25+AV25</f>
        <v>0</v>
      </c>
      <c r="F25" s="713">
        <f>SUMIFS(AS!$W:$W,AS!$BO:$BO,$W$7,AS!$AB:$AB,AS!$AA$1,AS!$AV:$AV,$X$5,AS!$I:$I,$Y$7,AS!$AH:$AH,$X$8,AS!BB:BB,AS!$BA$1,AS!$AX:$AX,'Päättäminen, tila, kesto'!$AN25,AS!$AW:$AW,'Päättäminen, tila, kesto'!$Y$6,AS!$X:$X,'Päättäminen, tila, kesto'!$Y$5,AS!$K:$K,'Päättäminen, tila, kesto'!$V$2)+AR25+AW25</f>
        <v>0</v>
      </c>
      <c r="G25" s="712">
        <f>SUMIFS(AS!$W:$W,AS!$BO:$BO,$W$7,AS!$AB:$AB,AS!$AA$1,AS!$AV:$AV,$X$5,AS!$AH:$AH,$Y$8,AS!BB:BB,AS!$BA$1,AS!$AX:$AX,'Päättäminen, tila, kesto'!$AN25,AS!$AW:$AW,'Päättäminen, tila, kesto'!$Y$6,AS!$X:$X,'Päättäminen, tila, kesto'!$Y$5,AS!$K:$K,'Päättäminen, tila, kesto'!$V$2)+AS25+AX25</f>
        <v>0</v>
      </c>
      <c r="H25" s="217"/>
      <c r="I25" s="218"/>
      <c r="J25" s="218"/>
      <c r="K25" s="218"/>
      <c r="L25" s="219"/>
      <c r="M25" s="387" t="s">
        <v>1383</v>
      </c>
      <c r="N25" s="388">
        <f t="shared" si="4"/>
        <v>0</v>
      </c>
      <c r="O25" s="388">
        <f t="shared" si="5"/>
        <v>0</v>
      </c>
      <c r="P25" s="27"/>
      <c r="Q25" s="27"/>
      <c r="AA25" s="176" t="str">
        <f>IFERROR(IF(INDEX(Data_Omakoodi!H:H,MATCH($AK$3&amp;$AL25,Data_Omakoodi!A:A,0))="P","",$AK$3&amp;$AL25),$AK$3&amp;$AL25)</f>
        <v>ComboBox_EtKuntakoodi_00000018</v>
      </c>
      <c r="AB25" s="44" t="str">
        <f>IFERROR(INDEX(Data_Omakoodi!E:E,MATCH(AA25,Data_Omakoodi!A:A,0)),"")</f>
        <v/>
      </c>
      <c r="AC25" t="str">
        <f>IFERROR(IF(INDEX(Data_Omakoodi!H:H,MATCH($AH$3&amp;$AL25,Data_Omakoodi!A:A,0))="P","",$AH$3&amp;$AL25),$AH$3&amp;$AL25)</f>
        <v>ComboBox_TyHlo_yksikko_00000018</v>
      </c>
      <c r="AD25" s="44" t="str">
        <f>IFERROR(INDEX(Data_Omakoodi!E:E,MATCH(AC25,Data_Omakoodi!A:A,0)),"")</f>
        <v/>
      </c>
      <c r="AE25" t="str">
        <f>IFERROR(IF(INDEX(Data_Omakoodi!H:H,MATCH($AH$3&amp;$AL25,Data_Omakoodi!A:A,0))="P","",$AH$3&amp;$AL25),$AH$3&amp;$AL25)</f>
        <v>ComboBox_TyHlo_yksikko_00000018</v>
      </c>
      <c r="AF25" t="s">
        <v>1544</v>
      </c>
      <c r="AG25" s="739" t="str">
        <f t="shared" si="0"/>
        <v/>
      </c>
      <c r="AH25" s="739" t="str">
        <f t="shared" si="1"/>
        <v/>
      </c>
      <c r="AI25"/>
      <c r="AJ25" s="739" t="str">
        <f t="shared" si="2"/>
        <v/>
      </c>
      <c r="AK25" s="739" t="str">
        <f t="shared" si="3"/>
        <v/>
      </c>
      <c r="AL25">
        <v>18</v>
      </c>
      <c r="AM25" s="765"/>
      <c r="AN25" s="630" t="s">
        <v>1376</v>
      </c>
      <c r="AO25" s="627" t="s">
        <v>238</v>
      </c>
      <c r="AP25" s="27">
        <f>SUMIFS(AS!$W:$W,AS!$BO:$BO,$W$7,AS!$AB:$AB,AS!$AA$1,AS!$AV:$AV,$X$5,AS!$AH:$AH,$X$8,AS!$BB:$BB,AS!$BA$1,AS!$AX:$AX,'Päättäminen, tila, kesto'!$AO25,AS!$AW:$AW,'Päättäminen, tila, kesto'!$Y$6,AS!$X:$X,'Päättäminen, tila, kesto'!$Y$5,AS!$K:$K,'Päättäminen, tila, kesto'!$V$2)</f>
        <v>0</v>
      </c>
      <c r="AQ25" s="27">
        <f>SUMIFS(AS!$W:$W,AS!$BO:$BO,$W$7,AS!$AB:$AB,AS!$AA$1,AS!$AV:$AV,$X$5,AS!$I:$I,$X$7,AS!$AH:$AH,$X$8,AS!BB:BB,AS!$BA$1,AS!$AX:$AX,'Päättäminen, tila, kesto'!$AO25,AS!$AW:$AW,'Päättäminen, tila, kesto'!$Y$6,AS!$X:$X,'Päättäminen, tila, kesto'!$Y$5,AS!$K:$K,'Päättäminen, tila, kesto'!$V$2)</f>
        <v>0</v>
      </c>
      <c r="AR25" s="27">
        <f>SUMIFS(AS!$W:$W,AS!$BO:$BO,$W$7,AS!$AB:$AB,AS!$AA$1,AS!$AV:$AV,$X$5,AS!$I:$I,$Y$7,AS!$AH:$AH,$X$8,AS!BB:BB,AS!$BA$1,AS!$AX:$AX,'Päättäminen, tila, kesto'!$AO25,AS!$AW:$AW,'Päättäminen, tila, kesto'!$Y$6,AS!$X:$X,'Päättäminen, tila, kesto'!$Y$5,AS!$K:$K,'Päättäminen, tila, kesto'!$V$2)</f>
        <v>0</v>
      </c>
      <c r="AS25" s="27">
        <f>SUMIFS(AS!$W:$W,AS!$BO:$BO,$W$7,AS!$AB:$AB,AS!$AA$1,AS!$AV:$AV,$X$5,AS!$AH:$AH,$Y$8,AS!BB:BB,AS!$BA$1,AS!$AX:$AX,'Päättäminen, tila, kesto'!$AO25,AS!$AW:$AW,'Päättäminen, tila, kesto'!$Y$6,AS!$X:$X,'Päättäminen, tila, kesto'!$Y$5,AS!$K:$K,'Päättäminen, tila, kesto'!$V$2)</f>
        <v>0</v>
      </c>
      <c r="AT25" s="513" t="s">
        <v>239</v>
      </c>
      <c r="AU25" s="27">
        <f>SUMIFS(AS!$W:$W,AS!$BO:$BO,$W$7,AS!$AB:$AB,AS!$AA$1,AS!$AV:$AV,$X$5,AS!$AH:$AH,$X$8,AS!$BB:$BB,AS!$BA$1,AS!$AX:$AX,'Päättäminen, tila, kesto'!$AT25,AS!$AW:$AW,'Päättäminen, tila, kesto'!$Y$6,AS!$X:$X,'Päättäminen, tila, kesto'!$Y$5,AS!$K:$K,'Päättäminen, tila, kesto'!$V$2)</f>
        <v>0</v>
      </c>
      <c r="AV25" s="27">
        <f>SUMIFS(AS!$W:$W,AS!$BO:$BO,$W$7,AS!$AB:$AB,AS!$AA$1,AS!$AV:$AV,$X$5,AS!$I:$I,$X$7,AS!$AH:$AH,$X$8,AS!$BB:$BB,AS!$BA$1,AS!$AX:$AX,'Päättäminen, tila, kesto'!$AT25,AS!$AW:$AW,'Päättäminen, tila, kesto'!$Y$6,AS!$X:$X,'Päättäminen, tila, kesto'!$Y$5,AS!$K:$K,'Päättäminen, tila, kesto'!$V$2)</f>
        <v>0</v>
      </c>
      <c r="AW25" s="27">
        <f>SUMIFS(AS!$W:$W,AS!$BO:$BO,$W$7,AS!$AB:$AB,AS!$AA$1,AS!$AV:$AV,$X$5,AS!$I:$I,$Y$7,AS!$AH:$AH,$X$8,AS!$BB:$BB,AS!$BA$1,AS!$AX:$AX,'Päättäminen, tila, kesto'!$AT25,AS!$AW:$AW,'Päättäminen, tila, kesto'!$Y$6,AS!$X:$X,'Päättäminen, tila, kesto'!$Y$5,AS!$K:$K,'Päättäminen, tila, kesto'!$V$2)</f>
        <v>0</v>
      </c>
      <c r="AX25" s="27">
        <f>SUMIFS(AS!$W:$W,AS!$BO:$BO,$W$7,AS!$AB:$AB,AS!$AA$1,AS!$AV:$AV,$X$5,AS!$AH:$AH,$Y$8,AS!$BB:$BB,AS!$BA$1,AS!$AX:$AX,'Päättäminen, tila, kesto'!$AT25,AS!$AW:$AW,'Päättäminen, tila, kesto'!$Y$6,AS!$X:$X,'Päättäminen, tila, kesto'!$Y$5,AS!$K:$K,'Päättäminen, tila, kesto'!$V$2)</f>
        <v>0</v>
      </c>
      <c r="BA25"/>
      <c r="BB25"/>
      <c r="BC25"/>
      <c r="BD25"/>
    </row>
    <row r="26" spans="1:57" ht="15" x14ac:dyDescent="0.25">
      <c r="A26" s="626"/>
      <c r="B26" s="298" t="s">
        <v>1384</v>
      </c>
      <c r="C26" s="148">
        <f>SUMIFS(AS!$W:$W,AS!$BO:$BO,$W$7,AS!$AB:$AB,AS!$AA$1,AS!$AV:$AV,$X$5,AS!$AH:$AH,$X$8,AS!$BB:$BB,AS!$BA$1,AS!$AX:$AX,'Päättäminen, tila, kesto'!$AN26,AS!$AW:$AW,'Päättäminen, tila, kesto'!$Y$6,AS!$X:$X,'Päättäminen, tila, kesto'!$Y$5,AS!$K:$K,'Päättäminen, tila, kesto'!$V$2)+AP26+AU26</f>
        <v>0</v>
      </c>
      <c r="D26" s="330" t="str">
        <f t="shared" si="7"/>
        <v>-</v>
      </c>
      <c r="E26" s="148">
        <f>SUMIFS(AS!$W:$W,AS!$BO:$BO,$W$7,AS!$AB:$AB,AS!$AA$1,AS!$AV:$AV,$X$5,AS!$I:$I,$X$7,AS!$AH:$AH,$X$8,AS!BB:BB,AS!$BA$1,AS!$AX:$AX,'Päättäminen, tila, kesto'!$AN26,AS!$AW:$AW,'Päättäminen, tila, kesto'!$Y$6,AS!$X:$X,'Päättäminen, tila, kesto'!$Y$5,AS!$K:$K,'Päättäminen, tila, kesto'!$V$2)+AQ26+AV26</f>
        <v>0</v>
      </c>
      <c r="F26" s="148">
        <f>SUMIFS(AS!$W:$W,AS!$BO:$BO,$W$7,AS!$AB:$AB,AS!$AA$1,AS!$AV:$AV,$X$5,AS!$I:$I,$Y$7,AS!$AH:$AH,$X$8,AS!BB:BB,AS!$BA$1,AS!$AX:$AX,'Päättäminen, tila, kesto'!$AN26,AS!$AW:$AW,'Päättäminen, tila, kesto'!$Y$6,AS!$X:$X,'Päättäminen, tila, kesto'!$Y$5,AS!$K:$K,'Päättäminen, tila, kesto'!$V$2)+AR26+AW26</f>
        <v>0</v>
      </c>
      <c r="G26" s="148">
        <f>SUMIFS(AS!$W:$W,AS!$BO:$BO,$W$7,AS!$AB:$AB,AS!$AA$1,AS!$AV:$AV,$X$5,AS!$AH:$AH,$Y$8,AS!BB:BB,AS!$BA$1,AS!$AX:$AX,'Päättäminen, tila, kesto'!$AN26,AS!$AW:$AW,'Päättäminen, tila, kesto'!$Y$6,AS!$X:$X,'Päättäminen, tila, kesto'!$Y$5,AS!$K:$K,'Päättäminen, tila, kesto'!$V$2)+AS26+AX26</f>
        <v>0</v>
      </c>
      <c r="H26" s="217"/>
      <c r="I26" s="218"/>
      <c r="J26" s="218"/>
      <c r="K26" s="218"/>
      <c r="L26" s="219"/>
      <c r="M26" s="387" t="s">
        <v>1384</v>
      </c>
      <c r="N26" s="388">
        <f t="shared" si="4"/>
        <v>0</v>
      </c>
      <c r="O26" s="388">
        <f t="shared" si="5"/>
        <v>0</v>
      </c>
      <c r="P26" s="27"/>
      <c r="Q26" s="27"/>
      <c r="AA26" s="176" t="str">
        <f>IFERROR(IF(INDEX(Data_Omakoodi!H:H,MATCH($AK$3&amp;$AL26,Data_Omakoodi!A:A,0))="P","",$AK$3&amp;$AL26),$AK$3&amp;$AL26)</f>
        <v>ComboBox_EtKuntakoodi_00000019</v>
      </c>
      <c r="AB26" s="44" t="str">
        <f>IFERROR(INDEX(Data_Omakoodi!E:E,MATCH(AA26,Data_Omakoodi!A:A,0)),"")</f>
        <v/>
      </c>
      <c r="AC26" t="str">
        <f>IFERROR(IF(INDEX(Data_Omakoodi!H:H,MATCH($AH$3&amp;$AL26,Data_Omakoodi!A:A,0))="P","",$AH$3&amp;$AL26),$AH$3&amp;$AL26)</f>
        <v>ComboBox_TyHlo_yksikko_00000019</v>
      </c>
      <c r="AD26" s="44" t="str">
        <f>IFERROR(INDEX(Data_Omakoodi!E:E,MATCH(AC26,Data_Omakoodi!A:A,0)),"")</f>
        <v/>
      </c>
      <c r="AE26" t="str">
        <f>IFERROR(IF(INDEX(Data_Omakoodi!H:H,MATCH($AH$3&amp;$AL26,Data_Omakoodi!A:A,0))="P","",$AH$3&amp;$AL26),$AH$3&amp;$AL26)</f>
        <v>ComboBox_TyHlo_yksikko_00000019</v>
      </c>
      <c r="AF26" t="s">
        <v>1545</v>
      </c>
      <c r="AG26" s="739" t="str">
        <f t="shared" si="0"/>
        <v/>
      </c>
      <c r="AH26" s="739" t="str">
        <f t="shared" si="1"/>
        <v/>
      </c>
      <c r="AI26"/>
      <c r="AJ26" s="739" t="str">
        <f t="shared" si="2"/>
        <v/>
      </c>
      <c r="AK26" s="739" t="str">
        <f t="shared" si="3"/>
        <v/>
      </c>
      <c r="AL26">
        <v>19</v>
      </c>
      <c r="AM26" s="765"/>
      <c r="AN26" s="630" t="s">
        <v>1377</v>
      </c>
      <c r="AP26" s="27">
        <f>SUMIFS(AS!$W:$W,AS!$BO:$BO,$W$7,AS!$AB:$AB,AS!$AA$1,AS!$AV:$AV,$X$5,AS!$AH:$AH,$X$8,AS!$BB:$BB,AS!$BA$1,AS!$AX:$AX,'Päättäminen, tila, kesto'!$AO26,AS!$AW:$AW,'Päättäminen, tila, kesto'!$Y$6,AS!$X:$X,'Päättäminen, tila, kesto'!$Y$5,AS!$K:$K,'Päättäminen, tila, kesto'!$V$2)</f>
        <v>0</v>
      </c>
      <c r="AQ26" s="27">
        <f>SUMIFS(AS!$W:$W,AS!$BO:$BO,$W$7,AS!$AB:$AB,AS!$AA$1,AS!$AV:$AV,$X$5,AS!$I:$I,$X$7,AS!$AH:$AH,$X$8,AS!BB:BB,AS!$BA$1,AS!$AX:$AX,'Päättäminen, tila, kesto'!$AO26,AS!$AW:$AW,'Päättäminen, tila, kesto'!$Y$6,AS!$X:$X,'Päättäminen, tila, kesto'!$Y$5,AS!$K:$K,'Päättäminen, tila, kesto'!$V$2)</f>
        <v>0</v>
      </c>
      <c r="AR26" s="27">
        <f>SUMIFS(AS!$W:$W,AS!$BO:$BO,$W$7,AS!$AB:$AB,AS!$AA$1,AS!$AV:$AV,$X$5,AS!$I:$I,$Y$7,AS!$AH:$AH,$X$8,AS!BB:BB,AS!$BA$1,AS!$AX:$AX,'Päättäminen, tila, kesto'!$AO26,AS!$AW:$AW,'Päättäminen, tila, kesto'!$Y$6,AS!$X:$X,'Päättäminen, tila, kesto'!$Y$5,AS!$K:$K,'Päättäminen, tila, kesto'!$V$2)</f>
        <v>0</v>
      </c>
      <c r="AS26" s="27">
        <f>SUMIFS(AS!$W:$W,AS!$BO:$BO,$W$7,AS!$AB:$AB,AS!$AA$1,AS!$AV:$AV,$X$5,AS!$AH:$AH,$Y$8,AS!BB:BB,AS!$BA$1,AS!$AX:$AX,'Päättäminen, tila, kesto'!$AO26,AS!$AW:$AW,'Päättäminen, tila, kesto'!$Y$6,AS!$X:$X,'Päättäminen, tila, kesto'!$Y$5,AS!$K:$K,'Päättäminen, tila, kesto'!$V$2)</f>
        <v>0</v>
      </c>
      <c r="AU26" s="27">
        <f>SUMIFS(AS!$W:$W,AS!$BO:$BO,$W$7,AS!$AB:$AB,AS!$AA$1,AS!$AV:$AV,$X$5,AS!$AH:$AH,$X$8,AS!$BB:$BB,AS!$BA$1,AS!$AX:$AX,'Päättäminen, tila, kesto'!$AT26,AS!$AW:$AW,'Päättäminen, tila, kesto'!$Y$6,AS!$X:$X,'Päättäminen, tila, kesto'!$Y$5,AS!$K:$K,'Päättäminen, tila, kesto'!$V$2)</f>
        <v>0</v>
      </c>
      <c r="AV26" s="27">
        <f>SUMIFS(AS!$W:$W,AS!$BO:$BO,$W$7,AS!$AB:$AB,AS!$AA$1,AS!$AV:$AV,$X$5,AS!$I:$I,$X$7,AS!$AH:$AH,$X$8,AS!$BB:$BB,AS!$BA$1,AS!$AX:$AX,'Päättäminen, tila, kesto'!$AT26,AS!$AW:$AW,'Päättäminen, tila, kesto'!$Y$6,AS!$X:$X,'Päättäminen, tila, kesto'!$Y$5,AS!$K:$K,'Päättäminen, tila, kesto'!$V$2)</f>
        <v>0</v>
      </c>
      <c r="AW26" s="27">
        <f>SUMIFS(AS!$W:$W,AS!$BO:$BO,$W$7,AS!$AB:$AB,AS!$AA$1,AS!$AV:$AV,$X$5,AS!$I:$I,$Y$7,AS!$AH:$AH,$X$8,AS!$BB:$BB,AS!$BA$1,AS!$AX:$AX,'Päättäminen, tila, kesto'!$AT26,AS!$AW:$AW,'Päättäminen, tila, kesto'!$Y$6,AS!$X:$X,'Päättäminen, tila, kesto'!$Y$5,AS!$K:$K,'Päättäminen, tila, kesto'!$V$2)</f>
        <v>0</v>
      </c>
      <c r="AX26" s="27">
        <f>SUMIFS(AS!$W:$W,AS!$BO:$BO,$W$7,AS!$AB:$AB,AS!$AA$1,AS!$AV:$AV,$X$5,AS!$AH:$AH,$Y$8,AS!$BB:$BB,AS!$BA$1,AS!$AX:$AX,'Päättäminen, tila, kesto'!$AT26,AS!$AW:$AW,'Päättäminen, tila, kesto'!$Y$6,AS!$X:$X,'Päättäminen, tila, kesto'!$Y$5,AS!$K:$K,'Päättäminen, tila, kesto'!$V$2)</f>
        <v>0</v>
      </c>
      <c r="BA26"/>
      <c r="BB26"/>
      <c r="BC26"/>
      <c r="BD26"/>
    </row>
    <row r="27" spans="1:57" ht="15" x14ac:dyDescent="0.25">
      <c r="A27" s="626"/>
      <c r="B27" s="298" t="s">
        <v>95</v>
      </c>
      <c r="C27" s="148">
        <f>SUMIFS(AS!$W:$W,AS!$BO:$BO,$W$7,AS!$AB:$AB,AS!$AA$1,AS!$AV:$AV,$X$5,AS!$AH:$AH,$X$8,AS!$BB:$BB,AS!$BA$1,AS!$AX:$AX,'Päättäminen, tila, kesto'!$AN27,AS!$AW:$AW,'Päättäminen, tila, kesto'!$Y$6,AS!$X:$X,'Päättäminen, tila, kesto'!$Y$5,AS!$K:$K,'Päättäminen, tila, kesto'!$V$2)+AP27+AU27</f>
        <v>0</v>
      </c>
      <c r="D27" s="330" t="str">
        <f t="shared" si="7"/>
        <v>-</v>
      </c>
      <c r="E27" s="148">
        <f>SUMIFS(AS!$W:$W,AS!$BO:$BO,$W$7,AS!$AB:$AB,AS!$AA$1,AS!$AV:$AV,$X$5,AS!$I:$I,$X$7,AS!$AH:$AH,$X$8,AS!BB:BB,AS!$BA$1,AS!$AX:$AX,'Päättäminen, tila, kesto'!$AN27,AS!$AW:$AW,'Päättäminen, tila, kesto'!$Y$6,AS!$X:$X,'Päättäminen, tila, kesto'!$Y$5,AS!$K:$K,'Päättäminen, tila, kesto'!$V$2)+AQ27+AV27</f>
        <v>0</v>
      </c>
      <c r="F27" s="148">
        <f>SUMIFS(AS!$W:$W,AS!$BO:$BO,$W$7,AS!$AB:$AB,AS!$AA$1,AS!$AV:$AV,$X$5,AS!$I:$I,$Y$7,AS!$AH:$AH,$X$8,AS!BB:BB,AS!$BA$1,AS!$AX:$AX,'Päättäminen, tila, kesto'!$AN27,AS!$AW:$AW,'Päättäminen, tila, kesto'!$Y$6,AS!$X:$X,'Päättäminen, tila, kesto'!$Y$5,AS!$K:$K,'Päättäminen, tila, kesto'!$V$2)+AR27+AW27</f>
        <v>0</v>
      </c>
      <c r="G27" s="148">
        <f>SUMIFS(AS!$W:$W,AS!$BO:$BO,$W$7,AS!$AB:$AB,AS!$AA$1,AS!$AV:$AV,$X$5,AS!$AH:$AH,$Y$8,AS!BB:BB,AS!$BA$1,AS!$AX:$AX,'Päättäminen, tila, kesto'!$AN27,AS!$AW:$AW,'Päättäminen, tila, kesto'!$Y$6,AS!$X:$X,'Päättäminen, tila, kesto'!$Y$5,AS!$K:$K,'Päättäminen, tila, kesto'!$V$2)+AS27+AX27</f>
        <v>0</v>
      </c>
      <c r="H27" s="217"/>
      <c r="I27" s="218"/>
      <c r="J27" s="218"/>
      <c r="K27" s="218"/>
      <c r="L27" s="219"/>
      <c r="M27" s="387" t="s">
        <v>95</v>
      </c>
      <c r="N27" s="388">
        <f t="shared" si="4"/>
        <v>0</v>
      </c>
      <c r="O27" s="388">
        <f t="shared" si="5"/>
        <v>0</v>
      </c>
      <c r="P27" s="27"/>
      <c r="Q27" s="27"/>
      <c r="AA27" s="176" t="str">
        <f>IFERROR(IF(INDEX(Data_Omakoodi!H:H,MATCH($AK$3&amp;$AL27,Data_Omakoodi!A:A,0))="P","",$AK$3&amp;$AL27),$AK$3&amp;$AL27)</f>
        <v>ComboBox_EtKuntakoodi_00000020</v>
      </c>
      <c r="AB27" s="44" t="str">
        <f>IFERROR(INDEX(Data_Omakoodi!E:E,MATCH(AA27,Data_Omakoodi!A:A,0)),"")</f>
        <v/>
      </c>
      <c r="AC27" t="str">
        <f>IFERROR(IF(INDEX(Data_Omakoodi!H:H,MATCH($AH$3&amp;$AL27,Data_Omakoodi!A:A,0))="P","",$AH$3&amp;$AL27),$AH$3&amp;$AL27)</f>
        <v>ComboBox_TyHlo_yksikko_00000020</v>
      </c>
      <c r="AD27" s="44" t="str">
        <f>IFERROR(INDEX(Data_Omakoodi!E:E,MATCH(AC27,Data_Omakoodi!A:A,0)),"")</f>
        <v/>
      </c>
      <c r="AE27" t="str">
        <f>IFERROR(IF(INDEX(Data_Omakoodi!H:H,MATCH($AH$3&amp;$AL27,Data_Omakoodi!A:A,0))="P","",$AH$3&amp;$AL27),$AH$3&amp;$AL27)</f>
        <v>ComboBox_TyHlo_yksikko_00000020</v>
      </c>
      <c r="AF27" t="s">
        <v>1546</v>
      </c>
      <c r="AG27" s="739" t="str">
        <f t="shared" si="0"/>
        <v/>
      </c>
      <c r="AH27" s="739" t="str">
        <f t="shared" si="1"/>
        <v/>
      </c>
      <c r="AI27"/>
      <c r="AJ27" s="739" t="str">
        <f t="shared" si="2"/>
        <v/>
      </c>
      <c r="AK27" s="739" t="str">
        <f t="shared" si="3"/>
        <v/>
      </c>
      <c r="AL27">
        <v>20</v>
      </c>
      <c r="AM27" s="765"/>
      <c r="AN27" s="629" t="s">
        <v>533</v>
      </c>
      <c r="AP27" s="27">
        <f>SUMIFS(AS!$W:$W,AS!$BO:$BO,$W$7,AS!$AB:$AB,AS!$AA$1,AS!$AV:$AV,$X$5,AS!$AH:$AH,$X$8,AS!$BB:$BB,AS!$BA$1,AS!$AX:$AX,'Päättäminen, tila, kesto'!$AO27,AS!$AW:$AW,'Päättäminen, tila, kesto'!$Y$6,AS!$X:$X,'Päättäminen, tila, kesto'!$Y$5,AS!$K:$K,'Päättäminen, tila, kesto'!$V$2)</f>
        <v>0</v>
      </c>
      <c r="AQ27" s="27">
        <f>SUMIFS(AS!$W:$W,AS!$BO:$BO,$W$7,AS!$AB:$AB,AS!$AA$1,AS!$AV:$AV,$X$5,AS!$I:$I,$X$7,AS!$AH:$AH,$X$8,AS!BB:BB,AS!$BA$1,AS!$AX:$AX,'Päättäminen, tila, kesto'!$AO27,AS!$AW:$AW,'Päättäminen, tila, kesto'!$Y$6,AS!$X:$X,'Päättäminen, tila, kesto'!$Y$5,AS!$K:$K,'Päättäminen, tila, kesto'!$V$2)</f>
        <v>0</v>
      </c>
      <c r="AR27" s="27">
        <f>SUMIFS(AS!$W:$W,AS!$BO:$BO,$W$7,AS!$AB:$AB,AS!$AA$1,AS!$AV:$AV,$X$5,AS!$I:$I,$Y$7,AS!$AH:$AH,$X$8,AS!BB:BB,AS!$BA$1,AS!$AX:$AX,'Päättäminen, tila, kesto'!$AO27,AS!$AW:$AW,'Päättäminen, tila, kesto'!$Y$6,AS!$X:$X,'Päättäminen, tila, kesto'!$Y$5,AS!$K:$K,'Päättäminen, tila, kesto'!$V$2)</f>
        <v>0</v>
      </c>
      <c r="AS27" s="27">
        <f>SUMIFS(AS!$W:$W,AS!$BO:$BO,$W$7,AS!$AB:$AB,AS!$AA$1,AS!$AV:$AV,$X$5,AS!$AH:$AH,$Y$8,AS!BB:BB,AS!$BA$1,AS!$AX:$AX,'Päättäminen, tila, kesto'!$AO27,AS!$AW:$AW,'Päättäminen, tila, kesto'!$Y$6,AS!$X:$X,'Päättäminen, tila, kesto'!$Y$5,AS!$K:$K,'Päättäminen, tila, kesto'!$V$2)</f>
        <v>0</v>
      </c>
      <c r="AU27" s="27">
        <f>SUMIFS(AS!$W:$W,AS!$BO:$BO,$W$7,AS!$AB:$AB,AS!$AA$1,AS!$AV:$AV,$X$5,AS!$AH:$AH,$X$8,AS!$BB:$BB,AS!$BA$1,AS!$AX:$AX,'Päättäminen, tila, kesto'!$AT27,AS!$AW:$AW,'Päättäminen, tila, kesto'!$Y$6,AS!$X:$X,'Päättäminen, tila, kesto'!$Y$5,AS!$K:$K,'Päättäminen, tila, kesto'!$V$2)</f>
        <v>0</v>
      </c>
      <c r="AV27" s="27">
        <f>SUMIFS(AS!$W:$W,AS!$BO:$BO,$W$7,AS!$AB:$AB,AS!$AA$1,AS!$AV:$AV,$X$5,AS!$I:$I,$X$7,AS!$AH:$AH,$X$8,AS!$BB:$BB,AS!$BA$1,AS!$AX:$AX,'Päättäminen, tila, kesto'!$AT27,AS!$AW:$AW,'Päättäminen, tila, kesto'!$Y$6,AS!$X:$X,'Päättäminen, tila, kesto'!$Y$5,AS!$K:$K,'Päättäminen, tila, kesto'!$V$2)</f>
        <v>0</v>
      </c>
      <c r="AW27" s="27">
        <f>SUMIFS(AS!$W:$W,AS!$BO:$BO,$W$7,AS!$AB:$AB,AS!$AA$1,AS!$AV:$AV,$X$5,AS!$I:$I,$Y$7,AS!$AH:$AH,$X$8,AS!$BB:$BB,AS!$BA$1,AS!$AX:$AX,'Päättäminen, tila, kesto'!$AT27,AS!$AW:$AW,'Päättäminen, tila, kesto'!$Y$6,AS!$X:$X,'Päättäminen, tila, kesto'!$Y$5,AS!$K:$K,'Päättäminen, tila, kesto'!$V$2)</f>
        <v>0</v>
      </c>
      <c r="AX27" s="27">
        <f>SUMIFS(AS!$W:$W,AS!$BO:$BO,$W$7,AS!$AB:$AB,AS!$AA$1,AS!$AV:$AV,$X$5,AS!$AH:$AH,$Y$8,AS!$BB:$BB,AS!$BA$1,AS!$AX:$AX,'Päättäminen, tila, kesto'!$AT27,AS!$AW:$AW,'Päättäminen, tila, kesto'!$Y$6,AS!$X:$X,'Päättäminen, tila, kesto'!$Y$5,AS!$K:$K,'Päättäminen, tila, kesto'!$V$2)</f>
        <v>0</v>
      </c>
      <c r="BA27"/>
      <c r="BB27"/>
      <c r="BC27"/>
      <c r="BD27"/>
    </row>
    <row r="28" spans="1:57" ht="15" x14ac:dyDescent="0.25">
      <c r="A28" s="626"/>
      <c r="B28" s="299" t="s">
        <v>1368</v>
      </c>
      <c r="C28" s="343">
        <f>SUM(C29:C34)</f>
        <v>0</v>
      </c>
      <c r="D28" s="344" t="str">
        <f>IFERROR(C28/C$62,"-")</f>
        <v>-</v>
      </c>
      <c r="E28" s="343">
        <f t="shared" ref="E28:G28" si="8">SUM(E29:E34)</f>
        <v>0</v>
      </c>
      <c r="F28" s="343">
        <f t="shared" si="8"/>
        <v>0</v>
      </c>
      <c r="G28" s="343">
        <f t="shared" si="8"/>
        <v>0</v>
      </c>
      <c r="H28" s="214"/>
      <c r="I28" s="215"/>
      <c r="J28" s="215"/>
      <c r="K28" s="215"/>
      <c r="L28" s="216"/>
      <c r="M28" s="387"/>
      <c r="N28" s="388"/>
      <c r="O28" s="388"/>
      <c r="P28" s="27"/>
      <c r="Q28" s="27"/>
      <c r="AA28" s="176" t="str">
        <f>IFERROR(IF(INDEX(Data_Omakoodi!H:H,MATCH($AK$3&amp;$AL28,Data_Omakoodi!A:A,0))="P","",$AK$3&amp;$AL28),$AK$3&amp;$AL28)</f>
        <v>ComboBox_EtKuntakoodi_00000021</v>
      </c>
      <c r="AB28" s="44" t="str">
        <f>IFERROR(INDEX(Data_Omakoodi!E:E,MATCH(AA28,Data_Omakoodi!A:A,0)),"")</f>
        <v/>
      </c>
      <c r="AC28" t="str">
        <f>IFERROR(IF(INDEX(Data_Omakoodi!H:H,MATCH($AH$3&amp;$AL28,Data_Omakoodi!A:A,0))="P","",$AH$3&amp;$AL28),$AH$3&amp;$AL28)</f>
        <v>ComboBox_TyHlo_yksikko_00000021</v>
      </c>
      <c r="AD28" s="44" t="str">
        <f>IFERROR(INDEX(Data_Omakoodi!E:E,MATCH(AC28,Data_Omakoodi!A:A,0)),"")</f>
        <v/>
      </c>
      <c r="AE28" t="str">
        <f>IFERROR(IF(INDEX(Data_Omakoodi!H:H,MATCH($AH$3&amp;$AL28,Data_Omakoodi!A:A,0))="P","",$AH$3&amp;$AL28),$AH$3&amp;$AL28)</f>
        <v>ComboBox_TyHlo_yksikko_00000021</v>
      </c>
      <c r="AF28" t="s">
        <v>1547</v>
      </c>
      <c r="AG28" s="739" t="str">
        <f t="shared" si="0"/>
        <v/>
      </c>
      <c r="AH28" s="739" t="str">
        <f t="shared" si="1"/>
        <v/>
      </c>
      <c r="AI28"/>
      <c r="AJ28" s="739" t="str">
        <f t="shared" si="2"/>
        <v/>
      </c>
      <c r="AK28" s="739" t="str">
        <f t="shared" si="3"/>
        <v/>
      </c>
      <c r="AL28">
        <v>21</v>
      </c>
      <c r="AM28" s="765"/>
      <c r="AN28" s="629" t="s">
        <v>524</v>
      </c>
      <c r="AP28" s="27">
        <f>SUMIFS(AS!$W:$W,AS!$BO:$BO,$W$7,AS!$AB:$AB,AS!$AA$1,AS!$AV:$AV,$X$5,AS!$AH:$AH,$X$8,AS!$BB:$BB,AS!$BA$1,AS!$AX:$AX,'Päättäminen, tila, kesto'!$AO28,AS!$AW:$AW,'Päättäminen, tila, kesto'!$Y$6,AS!$X:$X,'Päättäminen, tila, kesto'!$Y$5,AS!$K:$K,'Päättäminen, tila, kesto'!$V$2)</f>
        <v>0</v>
      </c>
      <c r="AQ28" s="27">
        <f>SUMIFS(AS!$W:$W,AS!$BO:$BO,$W$7,AS!$AB:$AB,AS!$AA$1,AS!$AV:$AV,$X$5,AS!$I:$I,$X$7,AS!$AH:$AH,$X$8,AS!BB:BB,AS!$BA$1,AS!$AX:$AX,'Päättäminen, tila, kesto'!$AO28,AS!$AW:$AW,'Päättäminen, tila, kesto'!$Y$6,AS!$X:$X,'Päättäminen, tila, kesto'!$Y$5,AS!$K:$K,'Päättäminen, tila, kesto'!$V$2)</f>
        <v>0</v>
      </c>
      <c r="AR28" s="27">
        <f>SUMIFS(AS!$W:$W,AS!$BO:$BO,$W$7,AS!$AB:$AB,AS!$AA$1,AS!$AV:$AV,$X$5,AS!$I:$I,$Y$7,AS!$AH:$AH,$X$8,AS!BB:BB,AS!$BA$1,AS!$AX:$AX,'Päättäminen, tila, kesto'!$AO28,AS!$AW:$AW,'Päättäminen, tila, kesto'!$Y$6,AS!$X:$X,'Päättäminen, tila, kesto'!$Y$5,AS!$K:$K,'Päättäminen, tila, kesto'!$V$2)</f>
        <v>0</v>
      </c>
      <c r="AS28" s="27">
        <f>SUMIFS(AS!$W:$W,AS!$BO:$BO,$W$7,AS!$AB:$AB,AS!$AA$1,AS!$AV:$AV,$X$5,AS!$AH:$AH,$Y$8,AS!BB:BB,AS!$BA$1,AS!$AX:$AX,'Päättäminen, tila, kesto'!$AO28,AS!$AW:$AW,'Päättäminen, tila, kesto'!$Y$6,AS!$X:$X,'Päättäminen, tila, kesto'!$Y$5,AS!$K:$K,'Päättäminen, tila, kesto'!$V$2)</f>
        <v>0</v>
      </c>
      <c r="AU28" s="27">
        <f>SUMIFS(AS!$W:$W,AS!$BO:$BO,$W$7,AS!$AB:$AB,AS!$AA$1,AS!$AV:$AV,$X$5,AS!$AH:$AH,$X$8,AS!$BB:$BB,AS!$BA$1,AS!$AX:$AX,'Päättäminen, tila, kesto'!$AT28,AS!$AW:$AW,'Päättäminen, tila, kesto'!$Y$6,AS!$X:$X,'Päättäminen, tila, kesto'!$Y$5,AS!$K:$K,'Päättäminen, tila, kesto'!$V$2)</f>
        <v>0</v>
      </c>
      <c r="AV28" s="27">
        <f>SUMIFS(AS!$W:$W,AS!$BO:$BO,$W$7,AS!$AB:$AB,AS!$AA$1,AS!$AV:$AV,$X$5,AS!$I:$I,$X$7,AS!$AH:$AH,$X$8,AS!$BB:$BB,AS!$BA$1,AS!$AX:$AX,'Päättäminen, tila, kesto'!$AT28,AS!$AW:$AW,'Päättäminen, tila, kesto'!$Y$6,AS!$X:$X,'Päättäminen, tila, kesto'!$Y$5,AS!$K:$K,'Päättäminen, tila, kesto'!$V$2)</f>
        <v>0</v>
      </c>
      <c r="AW28" s="27">
        <f>SUMIFS(AS!$W:$W,AS!$BO:$BO,$W$7,AS!$AB:$AB,AS!$AA$1,AS!$AV:$AV,$X$5,AS!$I:$I,$Y$7,AS!$AH:$AH,$X$8,AS!$BB:$BB,AS!$BA$1,AS!$AX:$AX,'Päättäminen, tila, kesto'!$AT28,AS!$AW:$AW,'Päättäminen, tila, kesto'!$Y$6,AS!$X:$X,'Päättäminen, tila, kesto'!$Y$5,AS!$K:$K,'Päättäminen, tila, kesto'!$V$2)</f>
        <v>0</v>
      </c>
      <c r="AX28" s="27">
        <f>SUMIFS(AS!$W:$W,AS!$BO:$BO,$W$7,AS!$AB:$AB,AS!$AA$1,AS!$AV:$AV,$X$5,AS!$AH:$AH,$Y$8,AS!$BB:$BB,AS!$BA$1,AS!$AX:$AX,'Päättäminen, tila, kesto'!$AT28,AS!$AW:$AW,'Päättäminen, tila, kesto'!$Y$6,AS!$X:$X,'Päättäminen, tila, kesto'!$Y$5,AS!$K:$K,'Päättäminen, tila, kesto'!$V$2)</f>
        <v>0</v>
      </c>
      <c r="BA28"/>
      <c r="BB28"/>
      <c r="BC28"/>
      <c r="BD28"/>
    </row>
    <row r="29" spans="1:57" ht="15" x14ac:dyDescent="0.25">
      <c r="A29" s="626"/>
      <c r="B29" s="298" t="s">
        <v>1355</v>
      </c>
      <c r="C29" s="148">
        <f>SUMIFS(AS!$W:$W,AS!$BO:$BO,$W$7,AS!$AB:$AB,AS!$AA$1,AS!$AV:$AV,$X$5,AS!$AH:$AH,$X$8,AS!$BB:$BB,AS!$BA$1,AS!$AX:$AX,'Päättäminen, tila, kesto'!$AN29,AS!$AW:$AW,'Päättäminen, tila, kesto'!$Y$6,AS!$X:$X,'Päättäminen, tila, kesto'!$Y$5,AS!$K:$K,'Päättäminen, tila, kesto'!$V$2)+AP29+AU29</f>
        <v>0</v>
      </c>
      <c r="D29" s="330" t="str">
        <f t="shared" ref="D29:D34" si="9">IFERROR(C29/C$62,"-")</f>
        <v>-</v>
      </c>
      <c r="E29" s="148">
        <f>SUMIFS(AS!$W:$W,AS!$BO:$BO,$W$7,AS!$AB:$AB,AS!$AA$1,AS!$AV:$AV,$X$5,AS!$I:$I,$X$7,AS!$AH:$AH,$X$8,AS!BB:BB,AS!$BA$1,AS!$AX:$AX,'Päättäminen, tila, kesto'!$AN29,AS!$AW:$AW,'Päättäminen, tila, kesto'!$Y$6,AS!$X:$X,'Päättäminen, tila, kesto'!$Y$5,AS!$K:$K,'Päättäminen, tila, kesto'!$V$2)+AQ29+AV29</f>
        <v>0</v>
      </c>
      <c r="F29" s="148">
        <f>SUMIFS(AS!$W:$W,AS!$BO:$BO,$W$7,AS!$AB:$AB,AS!$AA$1,AS!$AV:$AV,$X$5,AS!$I:$I,$Y$7,AS!$AH:$AH,$X$8,AS!BB:BB,AS!$BA$1,AS!$AX:$AX,'Päättäminen, tila, kesto'!$AN29,AS!$AW:$AW,'Päättäminen, tila, kesto'!$Y$6,AS!$X:$X,'Päättäminen, tila, kesto'!$Y$5,AS!$K:$K,'Päättäminen, tila, kesto'!$V$2)+AR29+AW29</f>
        <v>0</v>
      </c>
      <c r="G29" s="148">
        <f>SUMIFS(AS!$W:$W,AS!$BO:$BO,$W$7,AS!$AB:$AB,AS!$AA$1,AS!$AV:$AV,$X$5,AS!$AH:$AH,$Y$8,AS!BB:BB,AS!$BA$1,AS!$AX:$AX,'Päättäminen, tila, kesto'!$AN29,AS!$AW:$AW,'Päättäminen, tila, kesto'!$Y$6,AS!$X:$X,'Päättäminen, tila, kesto'!$Y$5,AS!$K:$K,'Päättäminen, tila, kesto'!$V$2)+AS29+AX29</f>
        <v>0</v>
      </c>
      <c r="H29" s="217"/>
      <c r="I29" s="218"/>
      <c r="J29" s="218"/>
      <c r="K29" s="218"/>
      <c r="L29" s="219"/>
      <c r="M29" s="387" t="s">
        <v>1355</v>
      </c>
      <c r="N29" s="388">
        <f t="shared" si="4"/>
        <v>0</v>
      </c>
      <c r="O29" s="388">
        <f t="shared" si="5"/>
        <v>0</v>
      </c>
      <c r="P29" s="27"/>
      <c r="Q29" s="27"/>
      <c r="AA29" s="176" t="str">
        <f>IFERROR(IF(INDEX(Data_Omakoodi!H:H,MATCH($AK$3&amp;$AL29,Data_Omakoodi!A:A,0))="P","",$AK$3&amp;$AL29),$AK$3&amp;$AL29)</f>
        <v>ComboBox_EtKuntakoodi_00000022</v>
      </c>
      <c r="AB29" s="44" t="str">
        <f>IFERROR(INDEX(Data_Omakoodi!E:E,MATCH(AA29,Data_Omakoodi!A:A,0)),"")</f>
        <v/>
      </c>
      <c r="AC29" t="str">
        <f>IFERROR(IF(INDEX(Data_Omakoodi!H:H,MATCH($AH$3&amp;$AL29,Data_Omakoodi!A:A,0))="P","",$AH$3&amp;$AL29),$AH$3&amp;$AL29)</f>
        <v>ComboBox_TyHlo_yksikko_00000022</v>
      </c>
      <c r="AD29" s="44" t="str">
        <f>IFERROR(INDEX(Data_Omakoodi!E:E,MATCH(AC29,Data_Omakoodi!A:A,0)),"")</f>
        <v/>
      </c>
      <c r="AE29" t="str">
        <f>IFERROR(IF(INDEX(Data_Omakoodi!H:H,MATCH($AH$3&amp;$AL29,Data_Omakoodi!A:A,0))="P","",$AH$3&amp;$AL29),$AH$3&amp;$AL29)</f>
        <v>ComboBox_TyHlo_yksikko_00000022</v>
      </c>
      <c r="AF29" t="s">
        <v>1548</v>
      </c>
      <c r="AG29" s="739" t="str">
        <f t="shared" si="0"/>
        <v/>
      </c>
      <c r="AH29" s="739" t="str">
        <f t="shared" si="1"/>
        <v/>
      </c>
      <c r="AI29"/>
      <c r="AJ29" s="739" t="str">
        <f t="shared" si="2"/>
        <v/>
      </c>
      <c r="AK29" s="739" t="str">
        <f t="shared" si="3"/>
        <v/>
      </c>
      <c r="AL29">
        <v>22</v>
      </c>
      <c r="AM29" s="765"/>
      <c r="AN29" s="630" t="s">
        <v>1378</v>
      </c>
      <c r="AO29" s="627" t="s">
        <v>923</v>
      </c>
      <c r="AP29" s="27">
        <f>SUMIFS(AS!$W:$W,AS!$BO:$BO,$W$7,AS!$AB:$AB,AS!$AA$1,AS!$AV:$AV,$X$5,AS!$AH:$AH,$X$8,AS!$BB:$BB,AS!$BA$1,AS!$AX:$AX,'Päättäminen, tila, kesto'!$AO29,AS!$AW:$AW,'Päättäminen, tila, kesto'!$Y$6,AS!$X:$X,'Päättäminen, tila, kesto'!$Y$5,AS!$K:$K,'Päättäminen, tila, kesto'!$V$2)</f>
        <v>0</v>
      </c>
      <c r="AQ29" s="27">
        <f>SUMIFS(AS!$W:$W,AS!$BO:$BO,$W$7,AS!$AB:$AB,AS!$AA$1,AS!$AV:$AV,$X$5,AS!$I:$I,$X$7,AS!$AH:$AH,$X$8,AS!BB:BB,AS!$BA$1,AS!$AX:$AX,'Päättäminen, tila, kesto'!$AO29,AS!$AW:$AW,'Päättäminen, tila, kesto'!$Y$6,AS!$X:$X,'Päättäminen, tila, kesto'!$Y$5,AS!$K:$K,'Päättäminen, tila, kesto'!$V$2)</f>
        <v>0</v>
      </c>
      <c r="AR29" s="27">
        <f>SUMIFS(AS!$W:$W,AS!$BO:$BO,$W$7,AS!$AB:$AB,AS!$AA$1,AS!$AV:$AV,$X$5,AS!$I:$I,$Y$7,AS!$AH:$AH,$X$8,AS!BB:BB,AS!$BA$1,AS!$AX:$AX,'Päättäminen, tila, kesto'!$AO29,AS!$AW:$AW,'Päättäminen, tila, kesto'!$Y$6,AS!$X:$X,'Päättäminen, tila, kesto'!$Y$5,AS!$K:$K,'Päättäminen, tila, kesto'!$V$2)</f>
        <v>0</v>
      </c>
      <c r="AS29" s="27">
        <f>SUMIFS(AS!$W:$W,AS!$BO:$BO,$W$7,AS!$AB:$AB,AS!$AA$1,AS!$AV:$AV,$X$5,AS!$AH:$AH,$Y$8,AS!BB:BB,AS!$BA$1,AS!$AX:$AX,'Päättäminen, tila, kesto'!$AO29,AS!$AW:$AW,'Päättäminen, tila, kesto'!$Y$6,AS!$X:$X,'Päättäminen, tila, kesto'!$Y$5,AS!$K:$K,'Päättäminen, tila, kesto'!$V$2)</f>
        <v>0</v>
      </c>
      <c r="AU29" s="27">
        <f>SUMIFS(AS!$W:$W,AS!$BO:$BO,$W$7,AS!$AB:$AB,AS!$AA$1,AS!$AV:$AV,$X$5,AS!$AH:$AH,$X$8,AS!$BB:$BB,AS!$BA$1,AS!$AX:$AX,'Päättäminen, tila, kesto'!$AT29,AS!$AW:$AW,'Päättäminen, tila, kesto'!$Y$6,AS!$X:$X,'Päättäminen, tila, kesto'!$Y$5,AS!$K:$K,'Päättäminen, tila, kesto'!$V$2)</f>
        <v>0</v>
      </c>
      <c r="AV29" s="27">
        <f>SUMIFS(AS!$W:$W,AS!$BO:$BO,$W$7,AS!$AB:$AB,AS!$AA$1,AS!$AV:$AV,$X$5,AS!$I:$I,$X$7,AS!$AH:$AH,$X$8,AS!$BB:$BB,AS!$BA$1,AS!$AX:$AX,'Päättäminen, tila, kesto'!$AT29,AS!$AW:$AW,'Päättäminen, tila, kesto'!$Y$6,AS!$X:$X,'Päättäminen, tila, kesto'!$Y$5,AS!$K:$K,'Päättäminen, tila, kesto'!$V$2)</f>
        <v>0</v>
      </c>
      <c r="AW29" s="27">
        <f>SUMIFS(AS!$W:$W,AS!$BO:$BO,$W$7,AS!$AB:$AB,AS!$AA$1,AS!$AV:$AV,$X$5,AS!$I:$I,$Y$7,AS!$AH:$AH,$X$8,AS!$BB:$BB,AS!$BA$1,AS!$AX:$AX,'Päättäminen, tila, kesto'!$AT29,AS!$AW:$AW,'Päättäminen, tila, kesto'!$Y$6,AS!$X:$X,'Päättäminen, tila, kesto'!$Y$5,AS!$K:$K,'Päättäminen, tila, kesto'!$V$2)</f>
        <v>0</v>
      </c>
      <c r="AX29" s="27">
        <f>SUMIFS(AS!$W:$W,AS!$BO:$BO,$W$7,AS!$AB:$AB,AS!$AA$1,AS!$AV:$AV,$X$5,AS!$AH:$AH,$Y$8,AS!$BB:$BB,AS!$BA$1,AS!$AX:$AX,'Päättäminen, tila, kesto'!$AT29,AS!$AW:$AW,'Päättäminen, tila, kesto'!$Y$6,AS!$X:$X,'Päättäminen, tila, kesto'!$Y$5,AS!$K:$K,'Päättäminen, tila, kesto'!$V$2)</f>
        <v>0</v>
      </c>
      <c r="BA29"/>
      <c r="BB29"/>
      <c r="BC29"/>
      <c r="BD29"/>
    </row>
    <row r="30" spans="1:57" ht="15" x14ac:dyDescent="0.25">
      <c r="A30" s="626"/>
      <c r="B30" s="298" t="s">
        <v>1356</v>
      </c>
      <c r="C30" s="148">
        <f>SUMIFS(AS!$W:$W,AS!$BO:$BO,$W$7,AS!$AB:$AB,AS!$AA$1,AS!$AV:$AV,$X$5,AS!$AH:$AH,$X$8,AS!$BB:$BB,AS!$BA$1,AS!$AX:$AX,'Päättäminen, tila, kesto'!$AN30,AS!$AW:$AW,'Päättäminen, tila, kesto'!$Y$6,AS!$X:$X,'Päättäminen, tila, kesto'!$Y$5,AS!$K:$K,'Päättäminen, tila, kesto'!$V$2)+AP30+AU30</f>
        <v>0</v>
      </c>
      <c r="D30" s="330" t="str">
        <f t="shared" si="9"/>
        <v>-</v>
      </c>
      <c r="E30" s="148">
        <f>SUMIFS(AS!$W:$W,AS!$BO:$BO,$W$7,AS!$AB:$AB,AS!$AA$1,AS!$AV:$AV,$X$5,AS!$I:$I,$X$7,AS!$AH:$AH,$X$8,AS!BB:BB,AS!$BA$1,AS!$AX:$AX,'Päättäminen, tila, kesto'!$AN30,AS!$AW:$AW,'Päättäminen, tila, kesto'!$Y$6,AS!$X:$X,'Päättäminen, tila, kesto'!$Y$5,AS!$K:$K,'Päättäminen, tila, kesto'!$V$2)+AQ30+AV30</f>
        <v>0</v>
      </c>
      <c r="F30" s="148">
        <f>SUMIFS(AS!$W:$W,AS!$BO:$BO,$W$7,AS!$AB:$AB,AS!$AA$1,AS!$AV:$AV,$X$5,AS!$I:$I,$Y$7,AS!$AH:$AH,$X$8,AS!BB:BB,AS!$BA$1,AS!$AX:$AX,'Päättäminen, tila, kesto'!$AN30,AS!$AW:$AW,'Päättäminen, tila, kesto'!$Y$6,AS!$X:$X,'Päättäminen, tila, kesto'!$Y$5,AS!$K:$K,'Päättäminen, tila, kesto'!$V$2)+AR30+AW30</f>
        <v>0</v>
      </c>
      <c r="G30" s="148">
        <f>SUMIFS(AS!$W:$W,AS!$BO:$BO,$W$7,AS!$AB:$AB,AS!$AA$1,AS!$AV:$AV,$X$5,AS!$AH:$AH,$Y$8,AS!BB:BB,AS!$BA$1,AS!$AX:$AX,'Päättäminen, tila, kesto'!$AN30,AS!$AW:$AW,'Päättäminen, tila, kesto'!$Y$6,AS!$X:$X,'Päättäminen, tila, kesto'!$Y$5,AS!$K:$K,'Päättäminen, tila, kesto'!$V$2)+AS30+AX30</f>
        <v>0</v>
      </c>
      <c r="H30" s="217"/>
      <c r="I30" s="218"/>
      <c r="J30" s="218"/>
      <c r="K30" s="218"/>
      <c r="L30" s="219"/>
      <c r="M30" s="387" t="s">
        <v>1356</v>
      </c>
      <c r="N30" s="388">
        <f t="shared" si="4"/>
        <v>0</v>
      </c>
      <c r="O30" s="388">
        <f t="shared" si="5"/>
        <v>0</v>
      </c>
      <c r="P30" s="27"/>
      <c r="Q30" s="27"/>
      <c r="AA30" s="176" t="str">
        <f>IFERROR(IF(INDEX(Data_Omakoodi!H:H,MATCH($AK$3&amp;$AL30,Data_Omakoodi!A:A,0))="P","",$AK$3&amp;$AL30),$AK$3&amp;$AL30)</f>
        <v>ComboBox_EtKuntakoodi_00000023</v>
      </c>
      <c r="AB30" s="44" t="str">
        <f>IFERROR(INDEX(Data_Omakoodi!E:E,MATCH(AA30,Data_Omakoodi!A:A,0)),"")</f>
        <v/>
      </c>
      <c r="AC30" t="str">
        <f>IFERROR(IF(INDEX(Data_Omakoodi!H:H,MATCH($AH$3&amp;$AL30,Data_Omakoodi!A:A,0))="P","",$AH$3&amp;$AL30),$AH$3&amp;$AL30)</f>
        <v>ComboBox_TyHlo_yksikko_00000023</v>
      </c>
      <c r="AD30" s="44" t="str">
        <f>IFERROR(INDEX(Data_Omakoodi!E:E,MATCH(AC30,Data_Omakoodi!A:A,0)),"")</f>
        <v/>
      </c>
      <c r="AE30" t="str">
        <f>IFERROR(IF(INDEX(Data_Omakoodi!H:H,MATCH($AH$3&amp;$AL30,Data_Omakoodi!A:A,0))="P","",$AH$3&amp;$AL30),$AH$3&amp;$AL30)</f>
        <v>ComboBox_TyHlo_yksikko_00000023</v>
      </c>
      <c r="AF30" t="s">
        <v>1549</v>
      </c>
      <c r="AG30" s="739" t="str">
        <f t="shared" si="0"/>
        <v/>
      </c>
      <c r="AH30" s="739" t="str">
        <f t="shared" si="1"/>
        <v/>
      </c>
      <c r="AI30"/>
      <c r="AJ30" s="739" t="str">
        <f t="shared" si="2"/>
        <v/>
      </c>
      <c r="AK30" s="739" t="str">
        <f t="shared" si="3"/>
        <v/>
      </c>
      <c r="AL30">
        <v>23</v>
      </c>
      <c r="AM30" s="765"/>
      <c r="AN30" s="630" t="s">
        <v>1379</v>
      </c>
      <c r="AO30" s="627" t="s">
        <v>525</v>
      </c>
      <c r="AP30" s="27">
        <f>SUMIFS(AS!$W:$W,AS!$BO:$BO,$W$7,AS!$AB:$AB,AS!$AA$1,AS!$AV:$AV,$X$5,AS!$AH:$AH,$X$8,AS!$BB:$BB,AS!$BA$1,AS!$AX:$AX,'Päättäminen, tila, kesto'!$AO30,AS!$AW:$AW,'Päättäminen, tila, kesto'!$Y$6,AS!$X:$X,'Päättäminen, tila, kesto'!$Y$5,AS!$K:$K,'Päättäminen, tila, kesto'!$V$2)</f>
        <v>0</v>
      </c>
      <c r="AQ30" s="27">
        <f>SUMIFS(AS!$W:$W,AS!$BO:$BO,$W$7,AS!$AB:$AB,AS!$AA$1,AS!$AV:$AV,$X$5,AS!$I:$I,$X$7,AS!$AH:$AH,$X$8,AS!BB:BB,AS!$BA$1,AS!$AX:$AX,'Päättäminen, tila, kesto'!$AO30,AS!$AW:$AW,'Päättäminen, tila, kesto'!$Y$6,AS!$X:$X,'Päättäminen, tila, kesto'!$Y$5,AS!$K:$K,'Päättäminen, tila, kesto'!$V$2)</f>
        <v>0</v>
      </c>
      <c r="AR30" s="27">
        <f>SUMIFS(AS!$W:$W,AS!$BO:$BO,$W$7,AS!$AB:$AB,AS!$AA$1,AS!$AV:$AV,$X$5,AS!$I:$I,$Y$7,AS!$AH:$AH,$X$8,AS!BB:BB,AS!$BA$1,AS!$AX:$AX,'Päättäminen, tila, kesto'!$AO30,AS!$AW:$AW,'Päättäminen, tila, kesto'!$Y$6,AS!$X:$X,'Päättäminen, tila, kesto'!$Y$5,AS!$K:$K,'Päättäminen, tila, kesto'!$V$2)</f>
        <v>0</v>
      </c>
      <c r="AS30" s="27">
        <f>SUMIFS(AS!$W:$W,AS!$BO:$BO,$W$7,AS!$AB:$AB,AS!$AA$1,AS!$AV:$AV,$X$5,AS!$AH:$AH,$Y$8,AS!BB:BB,AS!$BA$1,AS!$AX:$AX,'Päättäminen, tila, kesto'!$AO30,AS!$AW:$AW,'Päättäminen, tila, kesto'!$Y$6,AS!$X:$X,'Päättäminen, tila, kesto'!$Y$5,AS!$K:$K,'Päättäminen, tila, kesto'!$V$2)</f>
        <v>0</v>
      </c>
      <c r="AT30" s="511" t="s">
        <v>1092</v>
      </c>
      <c r="AU30" s="27">
        <f>SUMIFS(AS!$W:$W,AS!$BO:$BO,$W$7,AS!$AB:$AB,AS!$AA$1,AS!$AV:$AV,$X$5,AS!$AH:$AH,$X$8,AS!$BB:$BB,AS!$BA$1,AS!$AX:$AX,'Päättäminen, tila, kesto'!$AT30,AS!$AW:$AW,'Päättäminen, tila, kesto'!$Y$6,AS!$X:$X,'Päättäminen, tila, kesto'!$Y$5,AS!$K:$K,'Päättäminen, tila, kesto'!$V$2)</f>
        <v>0</v>
      </c>
      <c r="AV30" s="27">
        <f>SUMIFS(AS!$W:$W,AS!$BO:$BO,$W$7,AS!$AB:$AB,AS!$AA$1,AS!$AV:$AV,$X$5,AS!$I:$I,$X$7,AS!$AH:$AH,$X$8,AS!$BB:$BB,AS!$BA$1,AS!$AX:$AX,'Päättäminen, tila, kesto'!$AT30,AS!$AW:$AW,'Päättäminen, tila, kesto'!$Y$6,AS!$X:$X,'Päättäminen, tila, kesto'!$Y$5,AS!$K:$K,'Päättäminen, tila, kesto'!$V$2)</f>
        <v>0</v>
      </c>
      <c r="AW30" s="27">
        <f>SUMIFS(AS!$W:$W,AS!$BO:$BO,$W$7,AS!$AB:$AB,AS!$AA$1,AS!$AV:$AV,$X$5,AS!$I:$I,$Y$7,AS!$AH:$AH,$X$8,AS!$BB:$BB,AS!$BA$1,AS!$AX:$AX,'Päättäminen, tila, kesto'!$AT30,AS!$AW:$AW,'Päättäminen, tila, kesto'!$Y$6,AS!$X:$X,'Päättäminen, tila, kesto'!$Y$5,AS!$K:$K,'Päättäminen, tila, kesto'!$V$2)</f>
        <v>0</v>
      </c>
      <c r="AX30" s="27">
        <f>SUMIFS(AS!$W:$W,AS!$BO:$BO,$W$7,AS!$AB:$AB,AS!$AA$1,AS!$AV:$AV,$X$5,AS!$AH:$AH,$Y$8,AS!$BB:$BB,AS!$BA$1,AS!$AX:$AX,'Päättäminen, tila, kesto'!$AT30,AS!$AW:$AW,'Päättäminen, tila, kesto'!$Y$6,AS!$X:$X,'Päättäminen, tila, kesto'!$Y$5,AS!$K:$K,'Päättäminen, tila, kesto'!$V$2)</f>
        <v>0</v>
      </c>
      <c r="BA30"/>
      <c r="BB30"/>
      <c r="BC30"/>
      <c r="BD30"/>
    </row>
    <row r="31" spans="1:57" ht="15" x14ac:dyDescent="0.25">
      <c r="A31" s="626"/>
      <c r="B31" s="298" t="s">
        <v>685</v>
      </c>
      <c r="C31" s="148">
        <f>SUMIFS(AS!$W:$W,AS!$BO:$BO,$W$7,AS!$AB:$AB,AS!$AA$1,AS!$AV:$AV,$X$5,AS!$AH:$AH,$X$8,AS!$BB:$BB,AS!$BA$1,AS!$AX:$AX,'Päättäminen, tila, kesto'!$AN31,AS!$AW:$AW,'Päättäminen, tila, kesto'!$Y$6,AS!$X:$X,'Päättäminen, tila, kesto'!$Y$5,AS!$K:$K,'Päättäminen, tila, kesto'!$V$2)+AP31+AU31</f>
        <v>0</v>
      </c>
      <c r="D31" s="330" t="str">
        <f t="shared" si="9"/>
        <v>-</v>
      </c>
      <c r="E31" s="148">
        <f>SUMIFS(AS!$W:$W,AS!$BO:$BO,$W$7,AS!$AB:$AB,AS!$AA$1,AS!$AV:$AV,$X$5,AS!$I:$I,$X$7,AS!$AH:$AH,$X$8,AS!BB:BB,AS!$BA$1,AS!$AX:$AX,'Päättäminen, tila, kesto'!$AN31,AS!$AW:$AW,'Päättäminen, tila, kesto'!$Y$6,AS!$X:$X,'Päättäminen, tila, kesto'!$Y$5,AS!$K:$K,'Päättäminen, tila, kesto'!$V$2)+AQ31+AV31</f>
        <v>0</v>
      </c>
      <c r="F31" s="148">
        <f>SUMIFS(AS!$W:$W,AS!$BO:$BO,$W$7,AS!$AB:$AB,AS!$AA$1,AS!$AV:$AV,$X$5,AS!$I:$I,$Y$7,AS!$AH:$AH,$X$8,AS!BB:BB,AS!$BA$1,AS!$AX:$AX,'Päättäminen, tila, kesto'!$AN31,AS!$AW:$AW,'Päättäminen, tila, kesto'!$Y$6,AS!$X:$X,'Päättäminen, tila, kesto'!$Y$5,AS!$K:$K,'Päättäminen, tila, kesto'!$V$2)+AR31+AW31</f>
        <v>0</v>
      </c>
      <c r="G31" s="148">
        <f>SUMIFS(AS!$W:$W,AS!$BO:$BO,$W$7,AS!$AB:$AB,AS!$AA$1,AS!$AV:$AV,$X$5,AS!$AH:$AH,$Y$8,AS!BB:BB,AS!$BA$1,AS!$AX:$AX,'Päättäminen, tila, kesto'!$AN31,AS!$AW:$AW,'Päättäminen, tila, kesto'!$Y$6,AS!$X:$X,'Päättäminen, tila, kesto'!$Y$5,AS!$K:$K,'Päättäminen, tila, kesto'!$V$2)+AS31+AX31</f>
        <v>0</v>
      </c>
      <c r="H31" s="217"/>
      <c r="I31" s="218"/>
      <c r="J31" s="218"/>
      <c r="K31" s="218"/>
      <c r="L31" s="219"/>
      <c r="M31" s="387" t="s">
        <v>685</v>
      </c>
      <c r="N31" s="388">
        <f t="shared" si="4"/>
        <v>0</v>
      </c>
      <c r="O31" s="388">
        <f t="shared" si="5"/>
        <v>0</v>
      </c>
      <c r="P31" s="27"/>
      <c r="Q31" s="27"/>
      <c r="AA31" s="176" t="str">
        <f>IFERROR(IF(INDEX(Data_Omakoodi!H:H,MATCH($AK$3&amp;$AL31,Data_Omakoodi!A:A,0))="P","",$AK$3&amp;$AL31),$AK$3&amp;$AL31)</f>
        <v>ComboBox_EtKuntakoodi_00000024</v>
      </c>
      <c r="AB31" s="44" t="str">
        <f>IFERROR(INDEX(Data_Omakoodi!E:E,MATCH(AA31,Data_Omakoodi!A:A,0)),"")</f>
        <v/>
      </c>
      <c r="AC31" t="str">
        <f>IFERROR(IF(INDEX(Data_Omakoodi!H:H,MATCH($AH$3&amp;$AL31,Data_Omakoodi!A:A,0))="P","",$AH$3&amp;$AL31),$AH$3&amp;$AL31)</f>
        <v>ComboBox_TyHlo_yksikko_00000024</v>
      </c>
      <c r="AD31" s="44" t="str">
        <f>IFERROR(INDEX(Data_Omakoodi!E:E,MATCH(AC31,Data_Omakoodi!A:A,0)),"")</f>
        <v/>
      </c>
      <c r="AE31" t="str">
        <f>IFERROR(IF(INDEX(Data_Omakoodi!H:H,MATCH($AH$3&amp;$AL31,Data_Omakoodi!A:A,0))="P","",$AH$3&amp;$AL31),$AH$3&amp;$AL31)</f>
        <v>ComboBox_TyHlo_yksikko_00000024</v>
      </c>
      <c r="AF31" t="s">
        <v>1550</v>
      </c>
      <c r="AG31" s="739" t="str">
        <f t="shared" si="0"/>
        <v/>
      </c>
      <c r="AH31" s="739" t="str">
        <f t="shared" si="1"/>
        <v/>
      </c>
      <c r="AI31"/>
      <c r="AJ31" s="739" t="str">
        <f t="shared" si="2"/>
        <v/>
      </c>
      <c r="AK31" s="739" t="str">
        <f t="shared" si="3"/>
        <v/>
      </c>
      <c r="AL31">
        <v>24</v>
      </c>
      <c r="AM31" s="765"/>
      <c r="AN31" s="631" t="s">
        <v>924</v>
      </c>
      <c r="AP31" s="27">
        <f>SUMIFS(AS!$W:$W,AS!$BO:$BO,$W$7,AS!$AB:$AB,AS!$AA$1,AS!$AV:$AV,$X$5,AS!$AH:$AH,$X$8,AS!$BB:$BB,AS!$BA$1,AS!$AX:$AX,'Päättäminen, tila, kesto'!$AO31,AS!$AW:$AW,'Päättäminen, tila, kesto'!$Y$6,AS!$X:$X,'Päättäminen, tila, kesto'!$Y$5,AS!$K:$K,'Päättäminen, tila, kesto'!$V$2)</f>
        <v>0</v>
      </c>
      <c r="AQ31" s="27">
        <f>SUMIFS(AS!$W:$W,AS!$BO:$BO,$W$7,AS!$AB:$AB,AS!$AA$1,AS!$AV:$AV,$X$5,AS!$I:$I,$X$7,AS!$AH:$AH,$X$8,AS!BB:BB,AS!$BA$1,AS!$AX:$AX,'Päättäminen, tila, kesto'!$AO31,AS!$AW:$AW,'Päättäminen, tila, kesto'!$Y$6,AS!$X:$X,'Päättäminen, tila, kesto'!$Y$5,AS!$K:$K,'Päättäminen, tila, kesto'!$V$2)</f>
        <v>0</v>
      </c>
      <c r="AR31" s="27">
        <f>SUMIFS(AS!$W:$W,AS!$BO:$BO,$W$7,AS!$AB:$AB,AS!$AA$1,AS!$AV:$AV,$X$5,AS!$I:$I,$Y$7,AS!$AH:$AH,$X$8,AS!BB:BB,AS!$BA$1,AS!$AX:$AX,'Päättäminen, tila, kesto'!$AO31,AS!$AW:$AW,'Päättäminen, tila, kesto'!$Y$6,AS!$X:$X,'Päättäminen, tila, kesto'!$Y$5,AS!$K:$K,'Päättäminen, tila, kesto'!$V$2)</f>
        <v>0</v>
      </c>
      <c r="AS31" s="27">
        <f>SUMIFS(AS!$W:$W,AS!$BO:$BO,$W$7,AS!$AB:$AB,AS!$AA$1,AS!$AV:$AV,$X$5,AS!$AH:$AH,$Y$8,AS!BB:BB,AS!$BA$1,AS!$AX:$AX,'Päättäminen, tila, kesto'!$AO31,AS!$AW:$AW,'Päättäminen, tila, kesto'!$Y$6,AS!$X:$X,'Päättäminen, tila, kesto'!$Y$5,AS!$K:$K,'Päättäminen, tila, kesto'!$V$2)</f>
        <v>0</v>
      </c>
      <c r="AU31" s="27">
        <f>SUMIFS(AS!$W:$W,AS!$BO:$BO,$W$7,AS!$AB:$AB,AS!$AA$1,AS!$AV:$AV,$X$5,AS!$AH:$AH,$X$8,AS!$BB:$BB,AS!$BA$1,AS!$AX:$AX,'Päättäminen, tila, kesto'!$AT31,AS!$AW:$AW,'Päättäminen, tila, kesto'!$Y$6,AS!$X:$X,'Päättäminen, tila, kesto'!$Y$5,AS!$K:$K,'Päättäminen, tila, kesto'!$V$2)</f>
        <v>0</v>
      </c>
      <c r="AV31" s="27">
        <f>SUMIFS(AS!$W:$W,AS!$BO:$BO,$W$7,AS!$AB:$AB,AS!$AA$1,AS!$AV:$AV,$X$5,AS!$I:$I,$X$7,AS!$AH:$AH,$X$8,AS!$BB:$BB,AS!$BA$1,AS!$AX:$AX,'Päättäminen, tila, kesto'!$AT31,AS!$AW:$AW,'Päättäminen, tila, kesto'!$Y$6,AS!$X:$X,'Päättäminen, tila, kesto'!$Y$5,AS!$K:$K,'Päättäminen, tila, kesto'!$V$2)</f>
        <v>0</v>
      </c>
      <c r="AW31" s="27">
        <f>SUMIFS(AS!$W:$W,AS!$BO:$BO,$W$7,AS!$AB:$AB,AS!$AA$1,AS!$AV:$AV,$X$5,AS!$I:$I,$Y$7,AS!$AH:$AH,$X$8,AS!$BB:$BB,AS!$BA$1,AS!$AX:$AX,'Päättäminen, tila, kesto'!$AT31,AS!$AW:$AW,'Päättäminen, tila, kesto'!$Y$6,AS!$X:$X,'Päättäminen, tila, kesto'!$Y$5,AS!$K:$K,'Päättäminen, tila, kesto'!$V$2)</f>
        <v>0</v>
      </c>
      <c r="AX31" s="27">
        <f>SUMIFS(AS!$W:$W,AS!$BO:$BO,$W$7,AS!$AB:$AB,AS!$AA$1,AS!$AV:$AV,$X$5,AS!$AH:$AH,$Y$8,AS!$BB:$BB,AS!$BA$1,AS!$AX:$AX,'Päättäminen, tila, kesto'!$AT31,AS!$AW:$AW,'Päättäminen, tila, kesto'!$Y$6,AS!$X:$X,'Päättäminen, tila, kesto'!$Y$5,AS!$K:$K,'Päättäminen, tila, kesto'!$V$2)</f>
        <v>0</v>
      </c>
      <c r="BA31"/>
      <c r="BB31"/>
      <c r="BC31"/>
      <c r="BD31"/>
    </row>
    <row r="32" spans="1:57" ht="15" x14ac:dyDescent="0.25">
      <c r="A32" s="626"/>
      <c r="B32" s="298" t="s">
        <v>1385</v>
      </c>
      <c r="C32" s="148">
        <f>SUMIFS(AS!$W:$W,AS!$BO:$BO,$W$7,AS!$AB:$AB,AS!$AA$1,AS!$AV:$AV,$X$5,AS!$AH:$AH,$X$8,AS!$BB:$BB,AS!$BA$1,AS!$AX:$AX,'Päättäminen, tila, kesto'!$AN32,AS!$AW:$AW,'Päättäminen, tila, kesto'!$Y$6,AS!$X:$X,'Päättäminen, tila, kesto'!$Y$5,AS!$K:$K,'Päättäminen, tila, kesto'!$V$2)+AP32+AU32</f>
        <v>0</v>
      </c>
      <c r="D32" s="330" t="str">
        <f t="shared" si="9"/>
        <v>-</v>
      </c>
      <c r="E32" s="148">
        <f>SUMIFS(AS!$W:$W,AS!$BO:$BO,$W$7,AS!$AB:$AB,AS!$AA$1,AS!$AV:$AV,$X$5,AS!$I:$I,$X$7,AS!$AH:$AH,$X$8,AS!BB:BB,AS!$BA$1,AS!$AX:$AX,'Päättäminen, tila, kesto'!$AN32,AS!$AW:$AW,'Päättäminen, tila, kesto'!$Y$6,AS!$X:$X,'Päättäminen, tila, kesto'!$Y$5,AS!$K:$K,'Päättäminen, tila, kesto'!$V$2)+AQ32+AV32</f>
        <v>0</v>
      </c>
      <c r="F32" s="148">
        <f>SUMIFS(AS!$W:$W,AS!$BO:$BO,$W$7,AS!$AB:$AB,AS!$AA$1,AS!$AV:$AV,$X$5,AS!$I:$I,$Y$7,AS!$AH:$AH,$X$8,AS!BB:BB,AS!$BA$1,AS!$AX:$AX,'Päättäminen, tila, kesto'!$AN32,AS!$AW:$AW,'Päättäminen, tila, kesto'!$Y$6,AS!$X:$X,'Päättäminen, tila, kesto'!$Y$5,AS!$K:$K,'Päättäminen, tila, kesto'!$V$2)+AR32+AW32</f>
        <v>0</v>
      </c>
      <c r="G32" s="148">
        <f>SUMIFS(AS!$W:$W,AS!$BO:$BO,$W$7,AS!$AB:$AB,AS!$AA$1,AS!$AV:$AV,$X$5,AS!$AH:$AH,$Y$8,AS!BB:BB,AS!$BA$1,AS!$AX:$AX,'Päättäminen, tila, kesto'!$AN32,AS!$AW:$AW,'Päättäminen, tila, kesto'!$Y$6,AS!$X:$X,'Päättäminen, tila, kesto'!$Y$5,AS!$K:$K,'Päättäminen, tila, kesto'!$V$2)+AS32+AX32</f>
        <v>0</v>
      </c>
      <c r="H32" s="217"/>
      <c r="I32" s="218"/>
      <c r="J32" s="218"/>
      <c r="K32" s="218"/>
      <c r="L32" s="219"/>
      <c r="M32" s="387" t="s">
        <v>1385</v>
      </c>
      <c r="N32" s="388">
        <f t="shared" si="4"/>
        <v>0</v>
      </c>
      <c r="O32" s="388">
        <f t="shared" si="5"/>
        <v>0</v>
      </c>
      <c r="P32" s="27"/>
      <c r="Q32" s="27"/>
      <c r="AA32" s="176" t="str">
        <f>IFERROR(IF(INDEX(Data_Omakoodi!H:H,MATCH($AK$3&amp;$AL32,Data_Omakoodi!A:A,0))="P","",$AK$3&amp;$AL32),$AK$3&amp;$AL32)</f>
        <v>ComboBox_EtKuntakoodi_00000025</v>
      </c>
      <c r="AB32" s="44" t="str">
        <f>IFERROR(INDEX(Data_Omakoodi!E:E,MATCH(AA32,Data_Omakoodi!A:A,0)),"")</f>
        <v/>
      </c>
      <c r="AC32" t="str">
        <f>IFERROR(IF(INDEX(Data_Omakoodi!H:H,MATCH($AH$3&amp;$AL32,Data_Omakoodi!A:A,0))="P","",$AH$3&amp;$AL32),$AH$3&amp;$AL32)</f>
        <v>ComboBox_TyHlo_yksikko_00000025</v>
      </c>
      <c r="AD32" s="44" t="str">
        <f>IFERROR(INDEX(Data_Omakoodi!E:E,MATCH(AC32,Data_Omakoodi!A:A,0)),"")</f>
        <v/>
      </c>
      <c r="AE32" t="str">
        <f>IFERROR(IF(INDEX(Data_Omakoodi!H:H,MATCH($AH$3&amp;$AL32,Data_Omakoodi!A:A,0))="P","",$AH$3&amp;$AL32),$AH$3&amp;$AL32)</f>
        <v>ComboBox_TyHlo_yksikko_00000025</v>
      </c>
      <c r="AF32" t="s">
        <v>1551</v>
      </c>
      <c r="AG32" s="739" t="str">
        <f t="shared" si="0"/>
        <v/>
      </c>
      <c r="AH32" s="739" t="str">
        <f t="shared" si="1"/>
        <v/>
      </c>
      <c r="AI32"/>
      <c r="AJ32" s="739" t="str">
        <f t="shared" si="2"/>
        <v/>
      </c>
      <c r="AK32" s="739" t="str">
        <f t="shared" si="3"/>
        <v/>
      </c>
      <c r="AL32">
        <v>25</v>
      </c>
      <c r="AM32" s="765"/>
      <c r="AN32" s="629" t="s">
        <v>526</v>
      </c>
      <c r="AP32" s="27">
        <f>SUMIFS(AS!$W:$W,AS!$BO:$BO,$W$7,AS!$AB:$AB,AS!$AA$1,AS!$AV:$AV,$X$5,AS!$AH:$AH,$X$8,AS!$BB:$BB,AS!$BA$1,AS!$AX:$AX,'Päättäminen, tila, kesto'!$AO32,AS!$AW:$AW,'Päättäminen, tila, kesto'!$Y$6,AS!$X:$X,'Päättäminen, tila, kesto'!$Y$5,AS!$K:$K,'Päättäminen, tila, kesto'!$V$2)</f>
        <v>0</v>
      </c>
      <c r="AQ32" s="27">
        <f>SUMIFS(AS!$W:$W,AS!$BO:$BO,$W$7,AS!$AB:$AB,AS!$AA$1,AS!$AV:$AV,$X$5,AS!$I:$I,$X$7,AS!$AH:$AH,$X$8,AS!BB:BB,AS!$BA$1,AS!$AX:$AX,'Päättäminen, tila, kesto'!$AO32,AS!$AW:$AW,'Päättäminen, tila, kesto'!$Y$6,AS!$X:$X,'Päättäminen, tila, kesto'!$Y$5,AS!$K:$K,'Päättäminen, tila, kesto'!$V$2)</f>
        <v>0</v>
      </c>
      <c r="AR32" s="27">
        <f>SUMIFS(AS!$W:$W,AS!$BO:$BO,$W$7,AS!$AB:$AB,AS!$AA$1,AS!$AV:$AV,$X$5,AS!$I:$I,$Y$7,AS!$AH:$AH,$X$8,AS!BB:BB,AS!$BA$1,AS!$AX:$AX,'Päättäminen, tila, kesto'!$AO32,AS!$AW:$AW,'Päättäminen, tila, kesto'!$Y$6,AS!$X:$X,'Päättäminen, tila, kesto'!$Y$5,AS!$K:$K,'Päättäminen, tila, kesto'!$V$2)</f>
        <v>0</v>
      </c>
      <c r="AS32" s="27">
        <f>SUMIFS(AS!$W:$W,AS!$BO:$BO,$W$7,AS!$AB:$AB,AS!$AA$1,AS!$AV:$AV,$X$5,AS!$AH:$AH,$Y$8,AS!BB:BB,AS!$BA$1,AS!$AX:$AX,'Päättäminen, tila, kesto'!$AO32,AS!$AW:$AW,'Päättäminen, tila, kesto'!$Y$6,AS!$X:$X,'Päättäminen, tila, kesto'!$Y$5,AS!$K:$K,'Päättäminen, tila, kesto'!$V$2)</f>
        <v>0</v>
      </c>
      <c r="AU32" s="27">
        <f>SUMIFS(AS!$W:$W,AS!$BO:$BO,$W$7,AS!$AB:$AB,AS!$AA$1,AS!$AV:$AV,$X$5,AS!$AH:$AH,$X$8,AS!$BB:$BB,AS!$BA$1,AS!$AX:$AX,'Päättäminen, tila, kesto'!$AT32,AS!$AW:$AW,'Päättäminen, tila, kesto'!$Y$6,AS!$X:$X,'Päättäminen, tila, kesto'!$Y$5,AS!$K:$K,'Päättäminen, tila, kesto'!$V$2)</f>
        <v>0</v>
      </c>
      <c r="AV32" s="27">
        <f>SUMIFS(AS!$W:$W,AS!$BO:$BO,$W$7,AS!$AB:$AB,AS!$AA$1,AS!$AV:$AV,$X$5,AS!$I:$I,$X$7,AS!$AH:$AH,$X$8,AS!$BB:$BB,AS!$BA$1,AS!$AX:$AX,'Päättäminen, tila, kesto'!$AT32,AS!$AW:$AW,'Päättäminen, tila, kesto'!$Y$6,AS!$X:$X,'Päättäminen, tila, kesto'!$Y$5,AS!$K:$K,'Päättäminen, tila, kesto'!$V$2)</f>
        <v>0</v>
      </c>
      <c r="AW32" s="27">
        <f>SUMIFS(AS!$W:$W,AS!$BO:$BO,$W$7,AS!$AB:$AB,AS!$AA$1,AS!$AV:$AV,$X$5,AS!$I:$I,$Y$7,AS!$AH:$AH,$X$8,AS!$BB:$BB,AS!$BA$1,AS!$AX:$AX,'Päättäminen, tila, kesto'!$AT32,AS!$AW:$AW,'Päättäminen, tila, kesto'!$Y$6,AS!$X:$X,'Päättäminen, tila, kesto'!$Y$5,AS!$K:$K,'Päättäminen, tila, kesto'!$V$2)</f>
        <v>0</v>
      </c>
      <c r="AX32" s="27">
        <f>SUMIFS(AS!$W:$W,AS!$BO:$BO,$W$7,AS!$AB:$AB,AS!$AA$1,AS!$AV:$AV,$X$5,AS!$AH:$AH,$Y$8,AS!$BB:$BB,AS!$BA$1,AS!$AX:$AX,'Päättäminen, tila, kesto'!$AT32,AS!$AW:$AW,'Päättäminen, tila, kesto'!$Y$6,AS!$X:$X,'Päättäminen, tila, kesto'!$Y$5,AS!$K:$K,'Päättäminen, tila, kesto'!$V$2)</f>
        <v>0</v>
      </c>
      <c r="BA32"/>
      <c r="BB32"/>
      <c r="BC32"/>
      <c r="BD32"/>
    </row>
    <row r="33" spans="1:56" ht="15" x14ac:dyDescent="0.25">
      <c r="A33" s="626"/>
      <c r="B33" s="298" t="s">
        <v>1305</v>
      </c>
      <c r="C33" s="148">
        <f>SUMIFS(AS!$W:$W,AS!$BO:$BO,$W$7,AS!$AB:$AB,AS!$AA$1,AS!$AV:$AV,$X$5,AS!$AH:$AH,$X$8,AS!$BB:$BB,AS!$BA$1,AS!$AX:$AX,'Päättäminen, tila, kesto'!$AN33,AS!$AW:$AW,'Päättäminen, tila, kesto'!$Y$6,AS!$X:$X,'Päättäminen, tila, kesto'!$Y$5,AS!$K:$K,'Päättäminen, tila, kesto'!$V$2)+AP33+AU33</f>
        <v>0</v>
      </c>
      <c r="D33" s="330" t="str">
        <f t="shared" si="9"/>
        <v>-</v>
      </c>
      <c r="E33" s="148">
        <f>SUMIFS(AS!$W:$W,AS!$BO:$BO,$W$7,AS!$AB:$AB,AS!$AA$1,AS!$AV:$AV,$X$5,AS!$I:$I,$X$7,AS!$AH:$AH,$X$8,AS!BB:BB,AS!$BA$1,AS!$AX:$AX,'Päättäminen, tila, kesto'!$AN33,AS!$AW:$AW,'Päättäminen, tila, kesto'!$Y$6,AS!$X:$X,'Päättäminen, tila, kesto'!$Y$5,AS!$K:$K,'Päättäminen, tila, kesto'!$V$2)+AQ33+AV33</f>
        <v>0</v>
      </c>
      <c r="F33" s="148">
        <f>SUMIFS(AS!$W:$W,AS!$BO:$BO,$W$7,AS!$AB:$AB,AS!$AA$1,AS!$AV:$AV,$X$5,AS!$I:$I,$Y$7,AS!$AH:$AH,$X$8,AS!BB:BB,AS!$BA$1,AS!$AX:$AX,'Päättäminen, tila, kesto'!$AN33,AS!$AW:$AW,'Päättäminen, tila, kesto'!$Y$6,AS!$X:$X,'Päättäminen, tila, kesto'!$Y$5,AS!$K:$K,'Päättäminen, tila, kesto'!$V$2)+AR33+AW33</f>
        <v>0</v>
      </c>
      <c r="G33" s="148">
        <f>SUMIFS(AS!$W:$W,AS!$BO:$BO,$W$7,AS!$AB:$AB,AS!$AA$1,AS!$AV:$AV,$X$5,AS!$AH:$AH,$Y$8,AS!BB:BB,AS!$BA$1,AS!$AX:$AX,'Päättäminen, tila, kesto'!$AN33,AS!$AW:$AW,'Päättäminen, tila, kesto'!$Y$6,AS!$X:$X,'Päättäminen, tila, kesto'!$Y$5,AS!$K:$K,'Päättäminen, tila, kesto'!$V$2)+AS33+AX33</f>
        <v>0</v>
      </c>
      <c r="H33" s="217"/>
      <c r="I33" s="218"/>
      <c r="J33" s="218"/>
      <c r="K33" s="218"/>
      <c r="L33" s="219"/>
      <c r="M33" s="387" t="s">
        <v>1305</v>
      </c>
      <c r="N33" s="388">
        <f t="shared" si="4"/>
        <v>0</v>
      </c>
      <c r="O33" s="388">
        <f t="shared" si="5"/>
        <v>0</v>
      </c>
      <c r="P33" s="27"/>
      <c r="Q33" s="27"/>
      <c r="AA33" s="176" t="str">
        <f>IFERROR(IF(INDEX(Data_Omakoodi!H:H,MATCH($AK$3&amp;$AL33,Data_Omakoodi!A:A,0))="P","",$AK$3&amp;$AL33),$AK$3&amp;$AL33)</f>
        <v>ComboBox_EtKuntakoodi_00000026</v>
      </c>
      <c r="AB33" s="44" t="str">
        <f>IFERROR(INDEX(Data_Omakoodi!E:E,MATCH(AA33,Data_Omakoodi!A:A,0)),"")</f>
        <v/>
      </c>
      <c r="AC33" t="str">
        <f>IFERROR(IF(INDEX(Data_Omakoodi!H:H,MATCH($AH$3&amp;$AL33,Data_Omakoodi!A:A,0))="P","",$AH$3&amp;$AL33),$AH$3&amp;$AL33)</f>
        <v>ComboBox_TyHlo_yksikko_00000026</v>
      </c>
      <c r="AD33" s="44" t="str">
        <f>IFERROR(INDEX(Data_Omakoodi!E:E,MATCH(AC33,Data_Omakoodi!A:A,0)),"")</f>
        <v/>
      </c>
      <c r="AE33" t="str">
        <f>IFERROR(IF(INDEX(Data_Omakoodi!H:H,MATCH($AH$3&amp;$AL33,Data_Omakoodi!A:A,0))="P","",$AH$3&amp;$AL33),$AH$3&amp;$AL33)</f>
        <v>ComboBox_TyHlo_yksikko_00000026</v>
      </c>
      <c r="AF33" t="s">
        <v>1552</v>
      </c>
      <c r="AG33" s="739" t="str">
        <f t="shared" si="0"/>
        <v/>
      </c>
      <c r="AH33" s="739" t="str">
        <f t="shared" si="1"/>
        <v/>
      </c>
      <c r="AI33"/>
      <c r="AJ33" s="739" t="str">
        <f t="shared" si="2"/>
        <v/>
      </c>
      <c r="AK33" s="739" t="str">
        <f t="shared" si="3"/>
        <v/>
      </c>
      <c r="AL33">
        <v>26</v>
      </c>
      <c r="AM33" s="765"/>
      <c r="AN33" s="630" t="s">
        <v>1380</v>
      </c>
      <c r="AP33" s="27">
        <f>SUMIFS(AS!$W:$W,AS!$BO:$BO,$W$7,AS!$AB:$AB,AS!$AA$1,AS!$AV:$AV,$X$5,AS!$AH:$AH,$X$8,AS!$BB:$BB,AS!$BA$1,AS!$AX:$AX,'Päättäminen, tila, kesto'!$AO33,AS!$AW:$AW,'Päättäminen, tila, kesto'!$Y$6,AS!$X:$X,'Päättäminen, tila, kesto'!$Y$5,AS!$K:$K,'Päättäminen, tila, kesto'!$V$2)</f>
        <v>0</v>
      </c>
      <c r="AQ33" s="27">
        <f>SUMIFS(AS!$W:$W,AS!$BO:$BO,$W$7,AS!$AB:$AB,AS!$AA$1,AS!$AV:$AV,$X$5,AS!$I:$I,$X$7,AS!$AH:$AH,$X$8,AS!BB:BB,AS!$BA$1,AS!$AX:$AX,'Päättäminen, tila, kesto'!$AO33,AS!$AW:$AW,'Päättäminen, tila, kesto'!$Y$6,AS!$X:$X,'Päättäminen, tila, kesto'!$Y$5,AS!$K:$K,'Päättäminen, tila, kesto'!$V$2)</f>
        <v>0</v>
      </c>
      <c r="AR33" s="27">
        <f>SUMIFS(AS!$W:$W,AS!$BO:$BO,$W$7,AS!$AB:$AB,AS!$AA$1,AS!$AV:$AV,$X$5,AS!$I:$I,$Y$7,AS!$AH:$AH,$X$8,AS!BB:BB,AS!$BA$1,AS!$AX:$AX,'Päättäminen, tila, kesto'!$AO33,AS!$AW:$AW,'Päättäminen, tila, kesto'!$Y$6,AS!$X:$X,'Päättäminen, tila, kesto'!$Y$5,AS!$K:$K,'Päättäminen, tila, kesto'!$V$2)</f>
        <v>0</v>
      </c>
      <c r="AS33" s="27">
        <f>SUMIFS(AS!$W:$W,AS!$BO:$BO,$W$7,AS!$AB:$AB,AS!$AA$1,AS!$AV:$AV,$X$5,AS!$AH:$AH,$Y$8,AS!BB:BB,AS!$BA$1,AS!$AX:$AX,'Päättäminen, tila, kesto'!$AO33,AS!$AW:$AW,'Päättäminen, tila, kesto'!$Y$6,AS!$X:$X,'Päättäminen, tila, kesto'!$Y$5,AS!$K:$K,'Päättäminen, tila, kesto'!$V$2)</f>
        <v>0</v>
      </c>
      <c r="AU33" s="27">
        <f>SUMIFS(AS!$W:$W,AS!$BO:$BO,$W$7,AS!$AB:$AB,AS!$AA$1,AS!$AV:$AV,$X$5,AS!$AH:$AH,$X$8,AS!$BB:$BB,AS!$BA$1,AS!$AX:$AX,'Päättäminen, tila, kesto'!$AT33,AS!$AW:$AW,'Päättäminen, tila, kesto'!$Y$6,AS!$X:$X,'Päättäminen, tila, kesto'!$Y$5,AS!$K:$K,'Päättäminen, tila, kesto'!$V$2)</f>
        <v>0</v>
      </c>
      <c r="AV33" s="27">
        <f>SUMIFS(AS!$W:$W,AS!$BO:$BO,$W$7,AS!$AB:$AB,AS!$AA$1,AS!$AV:$AV,$X$5,AS!$I:$I,$X$7,AS!$AH:$AH,$X$8,AS!$BB:$BB,AS!$BA$1,AS!$AX:$AX,'Päättäminen, tila, kesto'!$AT33,AS!$AW:$AW,'Päättäminen, tila, kesto'!$Y$6,AS!$X:$X,'Päättäminen, tila, kesto'!$Y$5,AS!$K:$K,'Päättäminen, tila, kesto'!$V$2)</f>
        <v>0</v>
      </c>
      <c r="AW33" s="27">
        <f>SUMIFS(AS!$W:$W,AS!$BO:$BO,$W$7,AS!$AB:$AB,AS!$AA$1,AS!$AV:$AV,$X$5,AS!$I:$I,$Y$7,AS!$AH:$AH,$X$8,AS!$BB:$BB,AS!$BA$1,AS!$AX:$AX,'Päättäminen, tila, kesto'!$AT33,AS!$AW:$AW,'Päättäminen, tila, kesto'!$Y$6,AS!$X:$X,'Päättäminen, tila, kesto'!$Y$5,AS!$K:$K,'Päättäminen, tila, kesto'!$V$2)</f>
        <v>0</v>
      </c>
      <c r="AX33" s="27">
        <f>SUMIFS(AS!$W:$W,AS!$BO:$BO,$W$7,AS!$AB:$AB,AS!$AA$1,AS!$AV:$AV,$X$5,AS!$AH:$AH,$Y$8,AS!$BB:$BB,AS!$BA$1,AS!$AX:$AX,'Päättäminen, tila, kesto'!$AT33,AS!$AW:$AW,'Päättäminen, tila, kesto'!$Y$6,AS!$X:$X,'Päättäminen, tila, kesto'!$Y$5,AS!$K:$K,'Päättäminen, tila, kesto'!$V$2)</f>
        <v>0</v>
      </c>
      <c r="BA33"/>
      <c r="BB33"/>
      <c r="BC33"/>
      <c r="BD33"/>
    </row>
    <row r="34" spans="1:56" ht="15" x14ac:dyDescent="0.25">
      <c r="A34" s="626"/>
      <c r="B34" s="298" t="s">
        <v>1369</v>
      </c>
      <c r="C34" s="148">
        <f>SUMIFS(AS!$W:$W,AS!$BO:$BO,$W$7,AS!$AB:$AB,AS!$AA$1,AS!$AV:$AV,$X$5,AS!$AH:$AH,$X$8,AS!$BB:$BB,AS!$BA$1,AS!$AX:$AX,'Päättäminen, tila, kesto'!$AN34,AS!$AW:$AW,'Päättäminen, tila, kesto'!$Y$6,AS!$X:$X,'Päättäminen, tila, kesto'!$Y$5,AS!$K:$K,'Päättäminen, tila, kesto'!$V$2)+AP34+AU34</f>
        <v>0</v>
      </c>
      <c r="D34" s="330" t="str">
        <f t="shared" si="9"/>
        <v>-</v>
      </c>
      <c r="E34" s="148">
        <f>SUMIFS(AS!$W:$W,AS!$BO:$BO,$W$7,AS!$AB:$AB,AS!$AA$1,AS!$AV:$AV,$X$5,AS!$I:$I,$X$7,AS!$AH:$AH,$X$8,AS!BB:BB,AS!$BA$1,AS!$AX:$AX,'Päättäminen, tila, kesto'!$AN34,AS!$AW:$AW,'Päättäminen, tila, kesto'!$Y$6,AS!$X:$X,'Päättäminen, tila, kesto'!$Y$5,AS!$K:$K,'Päättäminen, tila, kesto'!$V$2)+AQ34+AV34</f>
        <v>0</v>
      </c>
      <c r="F34" s="148">
        <f>SUMIFS(AS!$W:$W,AS!$BO:$BO,$W$7,AS!$AB:$AB,AS!$AA$1,AS!$AV:$AV,$X$5,AS!$I:$I,$Y$7,AS!$AH:$AH,$X$8,AS!BB:BB,AS!$BA$1,AS!$AX:$AX,'Päättäminen, tila, kesto'!$AN34,AS!$AW:$AW,'Päättäminen, tila, kesto'!$Y$6,AS!$X:$X,'Päättäminen, tila, kesto'!$Y$5,AS!$K:$K,'Päättäminen, tila, kesto'!$V$2)+AR34+AW34</f>
        <v>0</v>
      </c>
      <c r="G34" s="148">
        <f>SUMIFS(AS!$W:$W,AS!$BO:$BO,$W$7,AS!$AB:$AB,AS!$AA$1,AS!$AV:$AV,$X$5,AS!$AH:$AH,$Y$8,AS!BB:BB,AS!$BA$1,AS!$AX:$AX,'Päättäminen, tila, kesto'!$AN34,AS!$AW:$AW,'Päättäminen, tila, kesto'!$Y$6,AS!$X:$X,'Päättäminen, tila, kesto'!$Y$5,AS!$K:$K,'Päättäminen, tila, kesto'!$V$2)+AS34+AX34</f>
        <v>0</v>
      </c>
      <c r="H34" s="217"/>
      <c r="I34" s="218"/>
      <c r="J34" s="218"/>
      <c r="K34" s="218"/>
      <c r="L34" s="219"/>
      <c r="M34" s="387" t="s">
        <v>1369</v>
      </c>
      <c r="N34" s="388">
        <f t="shared" si="4"/>
        <v>0</v>
      </c>
      <c r="O34" s="388">
        <f t="shared" si="5"/>
        <v>0</v>
      </c>
      <c r="P34" s="27"/>
      <c r="Q34" s="27"/>
      <c r="AA34" s="176" t="str">
        <f>IFERROR(IF(INDEX(Data_Omakoodi!H:H,MATCH($AK$3&amp;$AL34,Data_Omakoodi!A:A,0))="P","",$AK$3&amp;$AL34),$AK$3&amp;$AL34)</f>
        <v>ComboBox_EtKuntakoodi_00000027</v>
      </c>
      <c r="AB34" s="44" t="str">
        <f>IFERROR(INDEX(Data_Omakoodi!E:E,MATCH(AA34,Data_Omakoodi!A:A,0)),"")</f>
        <v/>
      </c>
      <c r="AC34" t="str">
        <f>IFERROR(IF(INDEX(Data_Omakoodi!H:H,MATCH($AH$3&amp;$AL34,Data_Omakoodi!A:A,0))="P","",$AH$3&amp;$AL34),$AH$3&amp;$AL34)</f>
        <v>ComboBox_TyHlo_yksikko_00000027</v>
      </c>
      <c r="AD34" s="44" t="str">
        <f>IFERROR(INDEX(Data_Omakoodi!E:E,MATCH(AC34,Data_Omakoodi!A:A,0)),"")</f>
        <v/>
      </c>
      <c r="AE34" t="str">
        <f>IFERROR(IF(INDEX(Data_Omakoodi!H:H,MATCH($AH$3&amp;$AL34,Data_Omakoodi!A:A,0))="P","",$AH$3&amp;$AL34),$AH$3&amp;$AL34)</f>
        <v>ComboBox_TyHlo_yksikko_00000027</v>
      </c>
      <c r="AF34" t="s">
        <v>1553</v>
      </c>
      <c r="AG34" s="739" t="str">
        <f t="shared" si="0"/>
        <v/>
      </c>
      <c r="AH34" s="739" t="str">
        <f t="shared" si="1"/>
        <v/>
      </c>
      <c r="AI34"/>
      <c r="AJ34" s="739" t="str">
        <f t="shared" si="2"/>
        <v/>
      </c>
      <c r="AK34" s="739" t="str">
        <f t="shared" si="3"/>
        <v/>
      </c>
      <c r="AL34">
        <v>27</v>
      </c>
      <c r="AM34" s="765"/>
      <c r="AN34" s="635" t="s">
        <v>1094</v>
      </c>
      <c r="AP34" s="27">
        <f>SUMIFS(AS!$W:$W,AS!$BO:$BO,$W$7,AS!$AB:$AB,AS!$AA$1,AS!$AV:$AV,$X$5,AS!$AH:$AH,$X$8,AS!$BB:$BB,AS!$BA$1,AS!$AX:$AX,'Päättäminen, tila, kesto'!$AO34,AS!$AW:$AW,'Päättäminen, tila, kesto'!$Y$6,AS!$X:$X,'Päättäminen, tila, kesto'!$Y$5,AS!$K:$K,'Päättäminen, tila, kesto'!$V$2)</f>
        <v>0</v>
      </c>
      <c r="AQ34" s="27">
        <f>SUMIFS(AS!$W:$W,AS!$BO:$BO,$W$7,AS!$AB:$AB,AS!$AA$1,AS!$AV:$AV,$X$5,AS!$I:$I,$X$7,AS!$AH:$AH,$X$8,AS!BB:BB,AS!$BA$1,AS!$AX:$AX,'Päättäminen, tila, kesto'!$AO34,AS!$AW:$AW,'Päättäminen, tila, kesto'!$Y$6,AS!$X:$X,'Päättäminen, tila, kesto'!$Y$5,AS!$K:$K,'Päättäminen, tila, kesto'!$V$2)</f>
        <v>0</v>
      </c>
      <c r="AR34" s="27">
        <f>SUMIFS(AS!$W:$W,AS!$BO:$BO,$W$7,AS!$AB:$AB,AS!$AA$1,AS!$AV:$AV,$X$5,AS!$I:$I,$Y$7,AS!$AH:$AH,$X$8,AS!BB:BB,AS!$BA$1,AS!$AX:$AX,'Päättäminen, tila, kesto'!$AO34,AS!$AW:$AW,'Päättäminen, tila, kesto'!$Y$6,AS!$X:$X,'Päättäminen, tila, kesto'!$Y$5,AS!$K:$K,'Päättäminen, tila, kesto'!$V$2)</f>
        <v>0</v>
      </c>
      <c r="AS34" s="27">
        <f>SUMIFS(AS!$W:$W,AS!$BO:$BO,$W$7,AS!$AB:$AB,AS!$AA$1,AS!$AV:$AV,$X$5,AS!$AH:$AH,$Y$8,AS!BB:BB,AS!$BA$1,AS!$AX:$AX,'Päättäminen, tila, kesto'!$AO34,AS!$AW:$AW,'Päättäminen, tila, kesto'!$Y$6,AS!$X:$X,'Päättäminen, tila, kesto'!$Y$5,AS!$K:$K,'Päättäminen, tila, kesto'!$V$2)</f>
        <v>0</v>
      </c>
      <c r="AU34" s="27">
        <f>SUMIFS(AS!$W:$W,AS!$BO:$BO,$W$7,AS!$AB:$AB,AS!$AA$1,AS!$AV:$AV,$X$5,AS!$AH:$AH,$X$8,AS!$BB:$BB,AS!$BA$1,AS!$AX:$AX,'Päättäminen, tila, kesto'!$AT34,AS!$AW:$AW,'Päättäminen, tila, kesto'!$Y$6,AS!$X:$X,'Päättäminen, tila, kesto'!$Y$5,AS!$K:$K,'Päättäminen, tila, kesto'!$V$2)</f>
        <v>0</v>
      </c>
      <c r="AV34" s="27">
        <f>SUMIFS(AS!$W:$W,AS!$BO:$BO,$W$7,AS!$AB:$AB,AS!$AA$1,AS!$AV:$AV,$X$5,AS!$I:$I,$X$7,AS!$AH:$AH,$X$8,AS!$BB:$BB,AS!$BA$1,AS!$AX:$AX,'Päättäminen, tila, kesto'!$AT34,AS!$AW:$AW,'Päättäminen, tila, kesto'!$Y$6,AS!$X:$X,'Päättäminen, tila, kesto'!$Y$5,AS!$K:$K,'Päättäminen, tila, kesto'!$V$2)</f>
        <v>0</v>
      </c>
      <c r="AW34" s="27">
        <f>SUMIFS(AS!$W:$W,AS!$BO:$BO,$W$7,AS!$AB:$AB,AS!$AA$1,AS!$AV:$AV,$X$5,AS!$I:$I,$Y$7,AS!$AH:$AH,$X$8,AS!$BB:$BB,AS!$BA$1,AS!$AX:$AX,'Päättäminen, tila, kesto'!$AT34,AS!$AW:$AW,'Päättäminen, tila, kesto'!$Y$6,AS!$X:$X,'Päättäminen, tila, kesto'!$Y$5,AS!$K:$K,'Päättäminen, tila, kesto'!$V$2)</f>
        <v>0</v>
      </c>
      <c r="AX34" s="27">
        <f>SUMIFS(AS!$W:$W,AS!$BO:$BO,$W$7,AS!$AB:$AB,AS!$AA$1,AS!$AV:$AV,$X$5,AS!$AH:$AH,$Y$8,AS!$BB:$BB,AS!$BA$1,AS!$AX:$AX,'Päättäminen, tila, kesto'!$AT34,AS!$AW:$AW,'Päättäminen, tila, kesto'!$Y$6,AS!$X:$X,'Päättäminen, tila, kesto'!$Y$5,AS!$K:$K,'Päättäminen, tila, kesto'!$V$2)</f>
        <v>0</v>
      </c>
      <c r="BA34"/>
      <c r="BB34"/>
      <c r="BC34"/>
      <c r="BD34"/>
    </row>
    <row r="35" spans="1:56" ht="15" x14ac:dyDescent="0.25">
      <c r="A35" s="626"/>
      <c r="B35" s="299" t="s">
        <v>1370</v>
      </c>
      <c r="C35" s="343">
        <f>SUM(C36:C40)</f>
        <v>0</v>
      </c>
      <c r="D35" s="344" t="str">
        <f>IFERROR(C35/C$62,"-")</f>
        <v>-</v>
      </c>
      <c r="E35" s="343">
        <f>SUM(E36:E40)</f>
        <v>0</v>
      </c>
      <c r="F35" s="343">
        <f>SUM(F36:F40)</f>
        <v>0</v>
      </c>
      <c r="G35" s="343">
        <f>SUM(G36:G40)</f>
        <v>0</v>
      </c>
      <c r="H35" s="214"/>
      <c r="I35" s="215"/>
      <c r="J35" s="215"/>
      <c r="K35" s="215"/>
      <c r="L35" s="216"/>
      <c r="M35" s="387"/>
      <c r="N35" s="388"/>
      <c r="O35" s="388"/>
      <c r="P35" s="27"/>
      <c r="Q35" s="27"/>
      <c r="AA35" s="176" t="str">
        <f>IFERROR(IF(INDEX(Data_Omakoodi!H:H,MATCH($AK$3&amp;$AL35,Data_Omakoodi!A:A,0))="P","",$AK$3&amp;$AL35),$AK$3&amp;$AL35)</f>
        <v>ComboBox_EtKuntakoodi_00000028</v>
      </c>
      <c r="AB35" s="44" t="str">
        <f>IFERROR(INDEX(Data_Omakoodi!E:E,MATCH(AA35,Data_Omakoodi!A:A,0)),"")</f>
        <v/>
      </c>
      <c r="AC35" t="str">
        <f>IFERROR(IF(INDEX(Data_Omakoodi!H:H,MATCH($AH$3&amp;$AL35,Data_Omakoodi!A:A,0))="P","",$AH$3&amp;$AL35),$AH$3&amp;$AL35)</f>
        <v>ComboBox_TyHlo_yksikko_00000028</v>
      </c>
      <c r="AD35" s="44" t="str">
        <f>IFERROR(INDEX(Data_Omakoodi!E:E,MATCH(AC35,Data_Omakoodi!A:A,0)),"")</f>
        <v/>
      </c>
      <c r="AE35" t="str">
        <f>IFERROR(IF(INDEX(Data_Omakoodi!H:H,MATCH($AH$3&amp;$AL35,Data_Omakoodi!A:A,0))="P","",$AH$3&amp;$AL35),$AH$3&amp;$AL35)</f>
        <v>ComboBox_TyHlo_yksikko_00000028</v>
      </c>
      <c r="AF35" t="s">
        <v>1554</v>
      </c>
      <c r="AG35" s="739" t="str">
        <f t="shared" si="0"/>
        <v/>
      </c>
      <c r="AH35" s="739" t="str">
        <f t="shared" si="1"/>
        <v/>
      </c>
      <c r="AI35"/>
      <c r="AJ35" s="739" t="str">
        <f t="shared" si="2"/>
        <v/>
      </c>
      <c r="AK35" s="739" t="str">
        <f t="shared" si="3"/>
        <v/>
      </c>
      <c r="AL35">
        <v>28</v>
      </c>
      <c r="AM35" s="765"/>
      <c r="AN35" s="629" t="s">
        <v>527</v>
      </c>
      <c r="AP35" s="27">
        <f>SUMIFS(AS!$W:$W,AS!$BO:$BO,$W$7,AS!$AB:$AB,AS!$AA$1,AS!$AV:$AV,$X$5,AS!$AH:$AH,$X$8,AS!$BB:$BB,AS!$BA$1,AS!$AX:$AX,'Päättäminen, tila, kesto'!$AO35,AS!$AW:$AW,'Päättäminen, tila, kesto'!$Y$6,AS!$X:$X,'Päättäminen, tila, kesto'!$Y$5,AS!$K:$K,'Päättäminen, tila, kesto'!$V$2)</f>
        <v>0</v>
      </c>
      <c r="AQ35" s="27">
        <f>SUMIFS(AS!$W:$W,AS!$BO:$BO,$W$7,AS!$AB:$AB,AS!$AA$1,AS!$AV:$AV,$X$5,AS!$I:$I,$X$7,AS!$AH:$AH,$X$8,AS!BB:BB,AS!$BA$1,AS!$AX:$AX,'Päättäminen, tila, kesto'!$AO35,AS!$AW:$AW,'Päättäminen, tila, kesto'!$Y$6,AS!$X:$X,'Päättäminen, tila, kesto'!$Y$5,AS!$K:$K,'Päättäminen, tila, kesto'!$V$2)</f>
        <v>0</v>
      </c>
      <c r="AR35" s="27">
        <f>SUMIFS(AS!$W:$W,AS!$BO:$BO,$W$7,AS!$AB:$AB,AS!$AA$1,AS!$AV:$AV,$X$5,AS!$I:$I,$Y$7,AS!$AH:$AH,$X$8,AS!BB:BB,AS!$BA$1,AS!$AX:$AX,'Päättäminen, tila, kesto'!$AO35,AS!$AW:$AW,'Päättäminen, tila, kesto'!$Y$6,AS!$X:$X,'Päättäminen, tila, kesto'!$Y$5,AS!$K:$K,'Päättäminen, tila, kesto'!$V$2)</f>
        <v>0</v>
      </c>
      <c r="AS35" s="27">
        <f>SUMIFS(AS!$W:$W,AS!$BO:$BO,$W$7,AS!$AB:$AB,AS!$AA$1,AS!$AV:$AV,$X$5,AS!$AH:$AH,$Y$8,AS!BB:BB,AS!$BA$1,AS!$AX:$AX,'Päättäminen, tila, kesto'!$AO35,AS!$AW:$AW,'Päättäminen, tila, kesto'!$Y$6,AS!$X:$X,'Päättäminen, tila, kesto'!$Y$5,AS!$K:$K,'Päättäminen, tila, kesto'!$V$2)</f>
        <v>0</v>
      </c>
      <c r="AU35" s="27">
        <f>SUMIFS(AS!$W:$W,AS!$BO:$BO,$W$7,AS!$AB:$AB,AS!$AA$1,AS!$AV:$AV,$X$5,AS!$AH:$AH,$X$8,AS!$BB:$BB,AS!$BA$1,AS!$AX:$AX,'Päättäminen, tila, kesto'!$AT35,AS!$AW:$AW,'Päättäminen, tila, kesto'!$Y$6,AS!$X:$X,'Päättäminen, tila, kesto'!$Y$5,AS!$K:$K,'Päättäminen, tila, kesto'!$V$2)</f>
        <v>0</v>
      </c>
      <c r="AV35" s="27">
        <f>SUMIFS(AS!$W:$W,AS!$BO:$BO,$W$7,AS!$AB:$AB,AS!$AA$1,AS!$AV:$AV,$X$5,AS!$I:$I,$X$7,AS!$AH:$AH,$X$8,AS!$BB:$BB,AS!$BA$1,AS!$AX:$AX,'Päättäminen, tila, kesto'!$AT35,AS!$AW:$AW,'Päättäminen, tila, kesto'!$Y$6,AS!$X:$X,'Päättäminen, tila, kesto'!$Y$5,AS!$K:$K,'Päättäminen, tila, kesto'!$V$2)</f>
        <v>0</v>
      </c>
      <c r="AW35" s="27">
        <f>SUMIFS(AS!$W:$W,AS!$BO:$BO,$W$7,AS!$AB:$AB,AS!$AA$1,AS!$AV:$AV,$X$5,AS!$I:$I,$Y$7,AS!$AH:$AH,$X$8,AS!$BB:$BB,AS!$BA$1,AS!$AX:$AX,'Päättäminen, tila, kesto'!$AT35,AS!$AW:$AW,'Päättäminen, tila, kesto'!$Y$6,AS!$X:$X,'Päättäminen, tila, kesto'!$Y$5,AS!$K:$K,'Päättäminen, tila, kesto'!$V$2)</f>
        <v>0</v>
      </c>
      <c r="AX35" s="27">
        <f>SUMIFS(AS!$W:$W,AS!$BO:$BO,$W$7,AS!$AB:$AB,AS!$AA$1,AS!$AV:$AV,$X$5,AS!$AH:$AH,$Y$8,AS!$BB:$BB,AS!$BA$1,AS!$AX:$AX,'Päättäminen, tila, kesto'!$AT35,AS!$AW:$AW,'Päättäminen, tila, kesto'!$Y$6,AS!$X:$X,'Päättäminen, tila, kesto'!$Y$5,AS!$K:$K,'Päättäminen, tila, kesto'!$V$2)</f>
        <v>0</v>
      </c>
      <c r="BA35"/>
      <c r="BB35"/>
      <c r="BC35"/>
      <c r="BD35"/>
    </row>
    <row r="36" spans="1:56" ht="15" x14ac:dyDescent="0.25">
      <c r="A36" s="626"/>
      <c r="B36" s="298" t="s">
        <v>687</v>
      </c>
      <c r="C36" s="148">
        <f>SUMIFS(AS!$W:$W,AS!$BO:$BO,$W$7,AS!$AB:$AB,AS!$AA$1,AS!$AV:$AV,$X$5,AS!$AH:$AH,$X$8,AS!$BB:$BB,AS!$BA$1,AS!$AX:$AX,'Päättäminen, tila, kesto'!$AN36,AS!$AW:$AW,'Päättäminen, tila, kesto'!$Y$6,AS!$X:$X,'Päättäminen, tila, kesto'!$Y$5,AS!$K:$K,'Päättäminen, tila, kesto'!$V$2)+AP36+AU36</f>
        <v>0</v>
      </c>
      <c r="D36" s="330" t="str">
        <f t="shared" ref="D36:D40" si="10">IFERROR(C36/C$62,"-")</f>
        <v>-</v>
      </c>
      <c r="E36" s="148">
        <f>SUMIFS(AS!$W:$W,AS!$BO:$BO,$W$7,AS!$AB:$AB,AS!$AA$1,AS!$AV:$AV,$X$5,AS!$I:$I,$X$7,AS!$AH:$AH,$X$8,AS!BB:BB,AS!$BA$1,AS!$AX:$AX,'Päättäminen, tila, kesto'!$AN36,AS!$AW:$AW,'Päättäminen, tila, kesto'!$Y$6,AS!$X:$X,'Päättäminen, tila, kesto'!$Y$5,AS!$K:$K,'Päättäminen, tila, kesto'!$V$2)+AQ36+AV36</f>
        <v>0</v>
      </c>
      <c r="F36" s="148">
        <f>SUMIFS(AS!$W:$W,AS!$BO:$BO,$W$7,AS!$AB:$AB,AS!$AA$1,AS!$AV:$AV,$X$5,AS!$I:$I,$Y$7,AS!$AH:$AH,$X$8,AS!BB:BB,AS!$BA$1,AS!$AX:$AX,'Päättäminen, tila, kesto'!$AN36,AS!$AW:$AW,'Päättäminen, tila, kesto'!$Y$6,AS!$X:$X,'Päättäminen, tila, kesto'!$Y$5,AS!$K:$K,'Päättäminen, tila, kesto'!$V$2)+AR36+AW36</f>
        <v>0</v>
      </c>
      <c r="G36" s="148">
        <f>SUMIFS(AS!$W:$W,AS!$BO:$BO,$W$7,AS!$AB:$AB,AS!$AA$1,AS!$AV:$AV,$X$5,AS!$AH:$AH,$Y$8,AS!BB:BB,AS!$BA$1,AS!$AX:$AX,'Päättäminen, tila, kesto'!$AN36,AS!$AW:$AW,'Päättäminen, tila, kesto'!$Y$6,AS!$X:$X,'Päättäminen, tila, kesto'!$Y$5,AS!$K:$K,'Päättäminen, tila, kesto'!$V$2)+AS36+AX36</f>
        <v>0</v>
      </c>
      <c r="H36" s="217"/>
      <c r="I36" s="218"/>
      <c r="J36" s="218"/>
      <c r="K36" s="218"/>
      <c r="L36" s="219"/>
      <c r="M36" s="387" t="s">
        <v>687</v>
      </c>
      <c r="N36" s="388">
        <f t="shared" si="4"/>
        <v>0</v>
      </c>
      <c r="O36" s="388">
        <f t="shared" si="5"/>
        <v>0</v>
      </c>
      <c r="P36" s="27"/>
      <c r="Q36" s="27"/>
      <c r="AA36" s="176" t="str">
        <f>IFERROR(IF(INDEX(Data_Omakoodi!H:H,MATCH($AK$3&amp;$AL36,Data_Omakoodi!A:A,0))="P","",$AK$3&amp;$AL36),$AK$3&amp;$AL36)</f>
        <v>ComboBox_EtKuntakoodi_00000029</v>
      </c>
      <c r="AB36" s="44" t="str">
        <f>IFERROR(INDEX(Data_Omakoodi!E:E,MATCH(AA36,Data_Omakoodi!A:A,0)),"")</f>
        <v/>
      </c>
      <c r="AC36" t="str">
        <f>IFERROR(IF(INDEX(Data_Omakoodi!H:H,MATCH($AH$3&amp;$AL36,Data_Omakoodi!A:A,0))="P","",$AH$3&amp;$AL36),$AH$3&amp;$AL36)</f>
        <v>ComboBox_TyHlo_yksikko_00000029</v>
      </c>
      <c r="AD36" s="44" t="str">
        <f>IFERROR(INDEX(Data_Omakoodi!E:E,MATCH(AC36,Data_Omakoodi!A:A,0)),"")</f>
        <v/>
      </c>
      <c r="AE36" t="str">
        <f>IFERROR(IF(INDEX(Data_Omakoodi!H:H,MATCH($AH$3&amp;$AL36,Data_Omakoodi!A:A,0))="P","",$AH$3&amp;$AL36),$AH$3&amp;$AL36)</f>
        <v>ComboBox_TyHlo_yksikko_00000029</v>
      </c>
      <c r="AF36" t="s">
        <v>1555</v>
      </c>
      <c r="AG36" s="739" t="str">
        <f t="shared" si="0"/>
        <v/>
      </c>
      <c r="AH36" s="739" t="str">
        <f t="shared" si="1"/>
        <v/>
      </c>
      <c r="AI36"/>
      <c r="AJ36" s="739" t="str">
        <f t="shared" si="2"/>
        <v/>
      </c>
      <c r="AK36" s="739" t="str">
        <f t="shared" si="3"/>
        <v/>
      </c>
      <c r="AL36">
        <v>29</v>
      </c>
      <c r="AM36" s="765"/>
      <c r="AN36" s="629" t="s">
        <v>529</v>
      </c>
      <c r="AO36" s="627" t="s">
        <v>535</v>
      </c>
      <c r="AP36" s="27">
        <f>SUMIFS(AS!$W:$W,AS!$BO:$BO,$W$7,AS!$AB:$AB,AS!$AA$1,AS!$AV:$AV,$X$5,AS!$AH:$AH,$X$8,AS!$BB:$BB,AS!$BA$1,AS!$AX:$AX,'Päättäminen, tila, kesto'!$AO36,AS!$AW:$AW,'Päättäminen, tila, kesto'!$Y$6,AS!$X:$X,'Päättäminen, tila, kesto'!$Y$5,AS!$K:$K,'Päättäminen, tila, kesto'!$V$2)</f>
        <v>0</v>
      </c>
      <c r="AQ36" s="27">
        <f>SUMIFS(AS!$W:$W,AS!$BO:$BO,$W$7,AS!$AB:$AB,AS!$AA$1,AS!$AV:$AV,$X$5,AS!$I:$I,$X$7,AS!$AH:$AH,$X$8,AS!BB:BB,AS!$BA$1,AS!$AX:$AX,'Päättäminen, tila, kesto'!$AO36,AS!$AW:$AW,'Päättäminen, tila, kesto'!$Y$6,AS!$X:$X,'Päättäminen, tila, kesto'!$Y$5,AS!$K:$K,'Päättäminen, tila, kesto'!$V$2)</f>
        <v>0</v>
      </c>
      <c r="AR36" s="27">
        <f>SUMIFS(AS!$W:$W,AS!$BO:$BO,$W$7,AS!$AB:$AB,AS!$AA$1,AS!$AV:$AV,$X$5,AS!$I:$I,$Y$7,AS!$AH:$AH,$X$8,AS!BB:BB,AS!$BA$1,AS!$AX:$AX,'Päättäminen, tila, kesto'!$AO36,AS!$AW:$AW,'Päättäminen, tila, kesto'!$Y$6,AS!$X:$X,'Päättäminen, tila, kesto'!$Y$5,AS!$K:$K,'Päättäminen, tila, kesto'!$V$2)</f>
        <v>0</v>
      </c>
      <c r="AS36" s="27">
        <f>SUMIFS(AS!$W:$W,AS!$BO:$BO,$W$7,AS!$AB:$AB,AS!$AA$1,AS!$AV:$AV,$X$5,AS!$AH:$AH,$Y$8,AS!BB:BB,AS!$BA$1,AS!$AX:$AX,'Päättäminen, tila, kesto'!$AO36,AS!$AW:$AW,'Päättäminen, tila, kesto'!$Y$6,AS!$X:$X,'Päättäminen, tila, kesto'!$Y$5,AS!$K:$K,'Päättäminen, tila, kesto'!$V$2)</f>
        <v>0</v>
      </c>
      <c r="AU36" s="27">
        <f>SUMIFS(AS!$W:$W,AS!$BO:$BO,$W$7,AS!$AB:$AB,AS!$AA$1,AS!$AV:$AV,$X$5,AS!$AH:$AH,$X$8,AS!$BB:$BB,AS!$BA$1,AS!$AX:$AX,'Päättäminen, tila, kesto'!$AT36,AS!$AW:$AW,'Päättäminen, tila, kesto'!$Y$6,AS!$X:$X,'Päättäminen, tila, kesto'!$Y$5,AS!$K:$K,'Päättäminen, tila, kesto'!$V$2)</f>
        <v>0</v>
      </c>
      <c r="AV36" s="27">
        <f>SUMIFS(AS!$W:$W,AS!$BO:$BO,$W$7,AS!$AB:$AB,AS!$AA$1,AS!$AV:$AV,$X$5,AS!$I:$I,$X$7,AS!$AH:$AH,$X$8,AS!$BB:$BB,AS!$BA$1,AS!$AX:$AX,'Päättäminen, tila, kesto'!$AT36,AS!$AW:$AW,'Päättäminen, tila, kesto'!$Y$6,AS!$X:$X,'Päättäminen, tila, kesto'!$Y$5,AS!$K:$K,'Päättäminen, tila, kesto'!$V$2)</f>
        <v>0</v>
      </c>
      <c r="AW36" s="27">
        <f>SUMIFS(AS!$W:$W,AS!$BO:$BO,$W$7,AS!$AB:$AB,AS!$AA$1,AS!$AV:$AV,$X$5,AS!$I:$I,$Y$7,AS!$AH:$AH,$X$8,AS!$BB:$BB,AS!$BA$1,AS!$AX:$AX,'Päättäminen, tila, kesto'!$AT36,AS!$AW:$AW,'Päättäminen, tila, kesto'!$Y$6,AS!$X:$X,'Päättäminen, tila, kesto'!$Y$5,AS!$K:$K,'Päättäminen, tila, kesto'!$V$2)</f>
        <v>0</v>
      </c>
      <c r="AX36" s="27">
        <f>SUMIFS(AS!$W:$W,AS!$BO:$BO,$W$7,AS!$AB:$AB,AS!$AA$1,AS!$AV:$AV,$X$5,AS!$AH:$AH,$Y$8,AS!$BB:$BB,AS!$BA$1,AS!$AX:$AX,'Päättäminen, tila, kesto'!$AT36,AS!$AW:$AW,'Päättäminen, tila, kesto'!$Y$6,AS!$X:$X,'Päättäminen, tila, kesto'!$Y$5,AS!$K:$K,'Päättäminen, tila, kesto'!$V$2)</f>
        <v>0</v>
      </c>
      <c r="BA36"/>
      <c r="BB36"/>
      <c r="BC36"/>
      <c r="BD36"/>
    </row>
    <row r="37" spans="1:56" ht="15" x14ac:dyDescent="0.25">
      <c r="A37" s="626"/>
      <c r="B37" s="298" t="s">
        <v>1386</v>
      </c>
      <c r="C37" s="148">
        <f>SUMIFS(AS!$W:$W,AS!$BO:$BO,$W$7,AS!$AB:$AB,AS!$AA$1,AS!$AV:$AV,$X$5,AS!$AH:$AH,$X$8,AS!$BB:$BB,AS!$BA$1,AS!$AX:$AX,'Päättäminen, tila, kesto'!$AN37,AS!$AW:$AW,'Päättäminen, tila, kesto'!$Y$6,AS!$X:$X,'Päättäminen, tila, kesto'!$Y$5,AS!$K:$K,'Päättäminen, tila, kesto'!$V$2)+AP37+AU37</f>
        <v>0</v>
      </c>
      <c r="D37" s="330" t="str">
        <f t="shared" si="10"/>
        <v>-</v>
      </c>
      <c r="E37" s="148">
        <f>SUMIFS(AS!$W:$W,AS!$BO:$BO,$W$7,AS!$AB:$AB,AS!$AA$1,AS!$AV:$AV,$X$5,AS!$I:$I,$X$7,AS!$AH:$AH,$X$8,AS!BB:BB,AS!$BA$1,AS!$AX:$AX,'Päättäminen, tila, kesto'!$AN37,AS!$AW:$AW,'Päättäminen, tila, kesto'!$Y$6,AS!$X:$X,'Päättäminen, tila, kesto'!$Y$5,AS!$K:$K,'Päättäminen, tila, kesto'!$V$2)+AQ37+AV37</f>
        <v>0</v>
      </c>
      <c r="F37" s="148">
        <f>SUMIFS(AS!$W:$W,AS!$BO:$BO,$W$7,AS!$AB:$AB,AS!$AA$1,AS!$AV:$AV,$X$5,AS!$I:$I,$Y$7,AS!$AH:$AH,$X$8,AS!BB:BB,AS!$BA$1,AS!$AX:$AX,'Päättäminen, tila, kesto'!$AN37,AS!$AW:$AW,'Päättäminen, tila, kesto'!$Y$6,AS!$X:$X,'Päättäminen, tila, kesto'!$Y$5,AS!$K:$K,'Päättäminen, tila, kesto'!$V$2)+AR37+AW37</f>
        <v>0</v>
      </c>
      <c r="G37" s="148">
        <f>SUMIFS(AS!$W:$W,AS!$BO:$BO,$W$7,AS!$AB:$AB,AS!$AA$1,AS!$AV:$AV,$X$5,AS!$AH:$AH,$Y$8,AS!BB:BB,AS!$BA$1,AS!$AX:$AX,'Päättäminen, tila, kesto'!$AN37,AS!$AW:$AW,'Päättäminen, tila, kesto'!$Y$6,AS!$X:$X,'Päättäminen, tila, kesto'!$Y$5,AS!$K:$K,'Päättäminen, tila, kesto'!$V$2)+AS37+AX37</f>
        <v>0</v>
      </c>
      <c r="H37" s="217"/>
      <c r="I37" s="218"/>
      <c r="J37" s="218"/>
      <c r="K37" s="218"/>
      <c r="L37" s="219"/>
      <c r="M37" s="387" t="s">
        <v>1386</v>
      </c>
      <c r="N37" s="388">
        <f t="shared" si="4"/>
        <v>0</v>
      </c>
      <c r="O37" s="388">
        <f t="shared" si="5"/>
        <v>0</v>
      </c>
      <c r="P37" s="27"/>
      <c r="Q37" s="27"/>
      <c r="AA37" s="176" t="str">
        <f>IFERROR(IF(INDEX(Data_Omakoodi!H:H,MATCH($AK$3&amp;$AL37,Data_Omakoodi!A:A,0))="P","",$AK$3&amp;$AL37),$AK$3&amp;$AL37)</f>
        <v>ComboBox_EtKuntakoodi_00000030</v>
      </c>
      <c r="AB37" s="44" t="str">
        <f>IFERROR(INDEX(Data_Omakoodi!E:E,MATCH(AA37,Data_Omakoodi!A:A,0)),"")</f>
        <v/>
      </c>
      <c r="AC37" t="str">
        <f>IFERROR(IF(INDEX(Data_Omakoodi!H:H,MATCH($AH$3&amp;$AL37,Data_Omakoodi!A:A,0))="P","",$AH$3&amp;$AL37),$AH$3&amp;$AL37)</f>
        <v>ComboBox_TyHlo_yksikko_00000030</v>
      </c>
      <c r="AD37" s="44" t="str">
        <f>IFERROR(INDEX(Data_Omakoodi!E:E,MATCH(AC37,Data_Omakoodi!A:A,0)),"")</f>
        <v/>
      </c>
      <c r="AE37" t="str">
        <f>IFERROR(IF(INDEX(Data_Omakoodi!H:H,MATCH($AH$3&amp;$AL37,Data_Omakoodi!A:A,0))="P","",$AH$3&amp;$AL37),$AH$3&amp;$AL37)</f>
        <v>ComboBox_TyHlo_yksikko_00000030</v>
      </c>
      <c r="AF37" t="s">
        <v>1556</v>
      </c>
      <c r="AG37" s="739" t="str">
        <f t="shared" si="0"/>
        <v/>
      </c>
      <c r="AH37" s="739" t="str">
        <f t="shared" si="1"/>
        <v/>
      </c>
      <c r="AI37"/>
      <c r="AJ37" s="739" t="str">
        <f t="shared" si="2"/>
        <v/>
      </c>
      <c r="AK37" s="739" t="str">
        <f t="shared" si="3"/>
        <v/>
      </c>
      <c r="AL37">
        <v>30</v>
      </c>
      <c r="AM37" s="765"/>
      <c r="AN37" s="635" t="s">
        <v>1095</v>
      </c>
      <c r="AO37" s="627"/>
      <c r="AP37" s="27">
        <f>SUMIFS(AS!$W:$W,AS!$BO:$BO,$W$7,AS!$AB:$AB,AS!$AA$1,AS!$AV:$AV,$X$5,AS!$AH:$AH,$X$8,AS!$BB:$BB,AS!$BA$1,AS!$AX:$AX,'Päättäminen, tila, kesto'!$AO37,AS!$AW:$AW,'Päättäminen, tila, kesto'!$Y$6,AS!$X:$X,'Päättäminen, tila, kesto'!$Y$5,AS!$K:$K,'Päättäminen, tila, kesto'!$V$2)</f>
        <v>0</v>
      </c>
      <c r="AQ37" s="27">
        <f>SUMIFS(AS!$W:$W,AS!$BO:$BO,$W$7,AS!$AB:$AB,AS!$AA$1,AS!$AV:$AV,$X$5,AS!$I:$I,$X$7,AS!$AH:$AH,$X$8,AS!BB:BB,AS!$BA$1,AS!$AX:$AX,'Päättäminen, tila, kesto'!$AO37,AS!$AW:$AW,'Päättäminen, tila, kesto'!$Y$6,AS!$X:$X,'Päättäminen, tila, kesto'!$Y$5,AS!$K:$K,'Päättäminen, tila, kesto'!$V$2)</f>
        <v>0</v>
      </c>
      <c r="AR37" s="27">
        <f>SUMIFS(AS!$W:$W,AS!$BO:$BO,$W$7,AS!$AB:$AB,AS!$AA$1,AS!$AV:$AV,$X$5,AS!$I:$I,$Y$7,AS!$AH:$AH,$X$8,AS!BB:BB,AS!$BA$1,AS!$AX:$AX,'Päättäminen, tila, kesto'!$AO37,AS!$AW:$AW,'Päättäminen, tila, kesto'!$Y$6,AS!$X:$X,'Päättäminen, tila, kesto'!$Y$5,AS!$K:$K,'Päättäminen, tila, kesto'!$V$2)</f>
        <v>0</v>
      </c>
      <c r="AS37" s="27">
        <f>SUMIFS(AS!$W:$W,AS!$BO:$BO,$W$7,AS!$AB:$AB,AS!$AA$1,AS!$AV:$AV,$X$5,AS!$AH:$AH,$Y$8,AS!BB:BB,AS!$BA$1,AS!$AX:$AX,'Päättäminen, tila, kesto'!$AO37,AS!$AW:$AW,'Päättäminen, tila, kesto'!$Y$6,AS!$X:$X,'Päättäminen, tila, kesto'!$Y$5,AS!$K:$K,'Päättäminen, tila, kesto'!$V$2)</f>
        <v>0</v>
      </c>
      <c r="AU37" s="27">
        <f>SUMIFS(AS!$W:$W,AS!$BO:$BO,$W$7,AS!$AB:$AB,AS!$AA$1,AS!$AV:$AV,$X$5,AS!$AH:$AH,$X$8,AS!$BB:$BB,AS!$BA$1,AS!$AX:$AX,'Päättäminen, tila, kesto'!$AT37,AS!$AW:$AW,'Päättäminen, tila, kesto'!$Y$6,AS!$X:$X,'Päättäminen, tila, kesto'!$Y$5,AS!$K:$K,'Päättäminen, tila, kesto'!$V$2)</f>
        <v>0</v>
      </c>
      <c r="AV37" s="27">
        <f>SUMIFS(AS!$W:$W,AS!$BO:$BO,$W$7,AS!$AB:$AB,AS!$AA$1,AS!$AV:$AV,$X$5,AS!$I:$I,$X$7,AS!$AH:$AH,$X$8,AS!$BB:$BB,AS!$BA$1,AS!$AX:$AX,'Päättäminen, tila, kesto'!$AT37,AS!$AW:$AW,'Päättäminen, tila, kesto'!$Y$6,AS!$X:$X,'Päättäminen, tila, kesto'!$Y$5,AS!$K:$K,'Päättäminen, tila, kesto'!$V$2)</f>
        <v>0</v>
      </c>
      <c r="AW37" s="27">
        <f>SUMIFS(AS!$W:$W,AS!$BO:$BO,$W$7,AS!$AB:$AB,AS!$AA$1,AS!$AV:$AV,$X$5,AS!$I:$I,$Y$7,AS!$AH:$AH,$X$8,AS!$BB:$BB,AS!$BA$1,AS!$AX:$AX,'Päättäminen, tila, kesto'!$AT37,AS!$AW:$AW,'Päättäminen, tila, kesto'!$Y$6,AS!$X:$X,'Päättäminen, tila, kesto'!$Y$5,AS!$K:$K,'Päättäminen, tila, kesto'!$V$2)</f>
        <v>0</v>
      </c>
      <c r="AX37" s="27">
        <f>SUMIFS(AS!$W:$W,AS!$BO:$BO,$W$7,AS!$AB:$AB,AS!$AA$1,AS!$AV:$AV,$X$5,AS!$AH:$AH,$Y$8,AS!$BB:$BB,AS!$BA$1,AS!$AX:$AX,'Päättäminen, tila, kesto'!$AT37,AS!$AW:$AW,'Päättäminen, tila, kesto'!$Y$6,AS!$X:$X,'Päättäminen, tila, kesto'!$Y$5,AS!$K:$K,'Päättäminen, tila, kesto'!$V$2)</f>
        <v>0</v>
      </c>
      <c r="BA37"/>
      <c r="BB37"/>
      <c r="BC37"/>
      <c r="BD37"/>
    </row>
    <row r="38" spans="1:56" ht="15" x14ac:dyDescent="0.25">
      <c r="A38" s="626"/>
      <c r="B38" s="298" t="s">
        <v>1090</v>
      </c>
      <c r="C38" s="148">
        <f>SUMIFS(AS!$W:$W,AS!$BO:$BO,$W$7,AS!$AB:$AB,AS!$AA$1,AS!$AV:$AV,$X$5,AS!$AH:$AH,$X$8,AS!$BB:$BB,AS!$BA$1,AS!$AX:$AX,'Päättäminen, tila, kesto'!$AN38,AS!$AW:$AW,'Päättäminen, tila, kesto'!$Y$6,AS!$X:$X,'Päättäminen, tila, kesto'!$Y$5,AS!$K:$K,'Päättäminen, tila, kesto'!$V$2)+AP38+AU38</f>
        <v>0</v>
      </c>
      <c r="D38" s="330" t="str">
        <f t="shared" si="10"/>
        <v>-</v>
      </c>
      <c r="E38" s="148">
        <f>SUMIFS(AS!$W:$W,AS!$BO:$BO,$W$7,AS!$AB:$AB,AS!$AA$1,AS!$AV:$AV,$X$5,AS!$I:$I,$X$7,AS!$AH:$AH,$X$8,AS!BB:BB,AS!$BA$1,AS!$AX:$AX,'Päättäminen, tila, kesto'!$AN38,AS!$AW:$AW,'Päättäminen, tila, kesto'!$Y$6,AS!$X:$X,'Päättäminen, tila, kesto'!$Y$5,AS!$K:$K,'Päättäminen, tila, kesto'!$V$2)+AQ38+AV38</f>
        <v>0</v>
      </c>
      <c r="F38" s="148">
        <f>SUMIFS(AS!$W:$W,AS!$BO:$BO,$W$7,AS!$AB:$AB,AS!$AA$1,AS!$AV:$AV,$X$5,AS!$I:$I,$Y$7,AS!$AH:$AH,$X$8,AS!BB:BB,AS!$BA$1,AS!$AX:$AX,'Päättäminen, tila, kesto'!$AN38,AS!$AW:$AW,'Päättäminen, tila, kesto'!$Y$6,AS!$X:$X,'Päättäminen, tila, kesto'!$Y$5,AS!$K:$K,'Päättäminen, tila, kesto'!$V$2)+AR38+AW38</f>
        <v>0</v>
      </c>
      <c r="G38" s="148">
        <f>SUMIFS(AS!$W:$W,AS!$BO:$BO,$W$7,AS!$AB:$AB,AS!$AA$1,AS!$AV:$AV,$X$5,AS!$AH:$AH,$Y$8,AS!BB:BB,AS!$BA$1,AS!$AX:$AX,'Päättäminen, tila, kesto'!$AN38,AS!$AW:$AW,'Päättäminen, tila, kesto'!$Y$6,AS!$X:$X,'Päättäminen, tila, kesto'!$Y$5,AS!$K:$K,'Päättäminen, tila, kesto'!$V$2)+AS38+AX38</f>
        <v>0</v>
      </c>
      <c r="H38" s="217"/>
      <c r="I38" s="218"/>
      <c r="J38" s="218"/>
      <c r="K38" s="218"/>
      <c r="L38" s="219"/>
      <c r="M38" s="387" t="s">
        <v>1090</v>
      </c>
      <c r="N38" s="388">
        <f t="shared" si="4"/>
        <v>0</v>
      </c>
      <c r="O38" s="388">
        <f t="shared" si="5"/>
        <v>0</v>
      </c>
      <c r="P38" s="27"/>
      <c r="Q38" s="27"/>
      <c r="AA38" s="176" t="str">
        <f>IFERROR(IF(INDEX(Data_Omakoodi!H:H,MATCH($AK$3&amp;$AL38,Data_Omakoodi!A:A,0))="P","",$AK$3&amp;$AL38),$AK$3&amp;$AL38)</f>
        <v>ComboBox_EtKuntakoodi_00000031</v>
      </c>
      <c r="AB38" s="44" t="str">
        <f>IFERROR(INDEX(Data_Omakoodi!E:E,MATCH(AA38,Data_Omakoodi!A:A,0)),"")</f>
        <v/>
      </c>
      <c r="AC38" t="str">
        <f>IFERROR(IF(INDEX(Data_Omakoodi!H:H,MATCH($AH$3&amp;$AL38,Data_Omakoodi!A:A,0))="P","",$AH$3&amp;$AL38),$AH$3&amp;$AL38)</f>
        <v>ComboBox_TyHlo_yksikko_00000031</v>
      </c>
      <c r="AD38" s="44" t="str">
        <f>IFERROR(INDEX(Data_Omakoodi!E:E,MATCH(AC38,Data_Omakoodi!A:A,0)),"")</f>
        <v/>
      </c>
      <c r="AE38" t="str">
        <f>IFERROR(IF(INDEX(Data_Omakoodi!H:H,MATCH($AH$3&amp;$AL38,Data_Omakoodi!A:A,0))="P","",$AH$3&amp;$AL38),$AH$3&amp;$AL38)</f>
        <v>ComboBox_TyHlo_yksikko_00000031</v>
      </c>
      <c r="AF38" t="s">
        <v>1621</v>
      </c>
      <c r="AG38" s="739" t="str">
        <f t="shared" si="0"/>
        <v/>
      </c>
      <c r="AH38" s="739" t="str">
        <f t="shared" si="1"/>
        <v/>
      </c>
      <c r="AI38"/>
      <c r="AJ38" s="739" t="str">
        <f t="shared" si="2"/>
        <v/>
      </c>
      <c r="AK38" s="739" t="str">
        <f t="shared" si="3"/>
        <v/>
      </c>
      <c r="AL38">
        <v>31</v>
      </c>
      <c r="AN38" s="635" t="s">
        <v>1096</v>
      </c>
      <c r="AO38" s="627" t="s">
        <v>925</v>
      </c>
      <c r="AP38" s="27">
        <f>SUMIFS(AS!$W:$W,AS!$BO:$BO,$W$7,AS!$AB:$AB,AS!$AA$1,AS!$AV:$AV,$X$5,AS!$AH:$AH,$X$8,AS!$BB:$BB,AS!$BA$1,AS!$AX:$AX,'Päättäminen, tila, kesto'!$AO38,AS!$AW:$AW,'Päättäminen, tila, kesto'!$Y$6,AS!$X:$X,'Päättäminen, tila, kesto'!$Y$5,AS!$K:$K,'Päättäminen, tila, kesto'!$V$2)</f>
        <v>0</v>
      </c>
      <c r="AQ38" s="27">
        <f>SUMIFS(AS!$W:$W,AS!$BO:$BO,$W$7,AS!$AB:$AB,AS!$AA$1,AS!$AV:$AV,$X$5,AS!$I:$I,$X$7,AS!$AH:$AH,$X$8,AS!BB:BB,AS!$BA$1,AS!$AX:$AX,'Päättäminen, tila, kesto'!$AO38,AS!$AW:$AW,'Päättäminen, tila, kesto'!$Y$6,AS!$X:$X,'Päättäminen, tila, kesto'!$Y$5,AS!$K:$K,'Päättäminen, tila, kesto'!$V$2)</f>
        <v>0</v>
      </c>
      <c r="AR38" s="27">
        <f>SUMIFS(AS!$W:$W,AS!$BO:$BO,$W$7,AS!$AB:$AB,AS!$AA$1,AS!$AV:$AV,$X$5,AS!$I:$I,$Y$7,AS!$AH:$AH,$X$8,AS!BB:BB,AS!$BA$1,AS!$AX:$AX,'Päättäminen, tila, kesto'!$AO38,AS!$AW:$AW,'Päättäminen, tila, kesto'!$Y$6,AS!$X:$X,'Päättäminen, tila, kesto'!$Y$5,AS!$K:$K,'Päättäminen, tila, kesto'!$V$2)</f>
        <v>0</v>
      </c>
      <c r="AS38" s="27">
        <f>SUMIFS(AS!$W:$W,AS!$BO:$BO,$W$7,AS!$AB:$AB,AS!$AA$1,AS!$AV:$AV,$X$5,AS!$AH:$AH,$Y$8,AS!BB:BB,AS!$BA$1,AS!$AX:$AX,'Päättäminen, tila, kesto'!$AO38,AS!$AW:$AW,'Päättäminen, tila, kesto'!$Y$6,AS!$X:$X,'Päättäminen, tila, kesto'!$Y$5,AS!$K:$K,'Päättäminen, tila, kesto'!$V$2)</f>
        <v>0</v>
      </c>
      <c r="AU38" s="27">
        <f>SUMIFS(AS!$W:$W,AS!$BO:$BO,$W$7,AS!$AB:$AB,AS!$AA$1,AS!$AV:$AV,$X$5,AS!$AH:$AH,$X$8,AS!$BB:$BB,AS!$BA$1,AS!$AX:$AX,'Päättäminen, tila, kesto'!$AT38,AS!$AW:$AW,'Päättäminen, tila, kesto'!$Y$6,AS!$X:$X,'Päättäminen, tila, kesto'!$Y$5,AS!$K:$K,'Päättäminen, tila, kesto'!$V$2)</f>
        <v>0</v>
      </c>
      <c r="AV38" s="27">
        <f>SUMIFS(AS!$W:$W,AS!$BO:$BO,$W$7,AS!$AB:$AB,AS!$AA$1,AS!$AV:$AV,$X$5,AS!$I:$I,$X$7,AS!$AH:$AH,$X$8,AS!$BB:$BB,AS!$BA$1,AS!$AX:$AX,'Päättäminen, tila, kesto'!$AT38,AS!$AW:$AW,'Päättäminen, tila, kesto'!$Y$6,AS!$X:$X,'Päättäminen, tila, kesto'!$Y$5,AS!$K:$K,'Päättäminen, tila, kesto'!$V$2)</f>
        <v>0</v>
      </c>
      <c r="AW38" s="27">
        <f>SUMIFS(AS!$W:$W,AS!$BO:$BO,$W$7,AS!$AB:$AB,AS!$AA$1,AS!$AV:$AV,$X$5,AS!$I:$I,$Y$7,AS!$AH:$AH,$X$8,AS!$BB:$BB,AS!$BA$1,AS!$AX:$AX,'Päättäminen, tila, kesto'!$AT38,AS!$AW:$AW,'Päättäminen, tila, kesto'!$Y$6,AS!$X:$X,'Päättäminen, tila, kesto'!$Y$5,AS!$K:$K,'Päättäminen, tila, kesto'!$V$2)</f>
        <v>0</v>
      </c>
      <c r="AX38" s="27">
        <f>SUMIFS(AS!$W:$W,AS!$BO:$BO,$W$7,AS!$AB:$AB,AS!$AA$1,AS!$AV:$AV,$X$5,AS!$AH:$AH,$Y$8,AS!$BB:$BB,AS!$BA$1,AS!$AX:$AX,'Päättäminen, tila, kesto'!$AT38,AS!$AW:$AW,'Päättäminen, tila, kesto'!$Y$6,AS!$X:$X,'Päättäminen, tila, kesto'!$Y$5,AS!$K:$K,'Päättäminen, tila, kesto'!$V$2)</f>
        <v>0</v>
      </c>
      <c r="BA38"/>
      <c r="BB38"/>
      <c r="BC38"/>
      <c r="BD38"/>
    </row>
    <row r="39" spans="1:56" ht="15" x14ac:dyDescent="0.25">
      <c r="A39" s="626"/>
      <c r="B39" s="298" t="s">
        <v>1459</v>
      </c>
      <c r="C39" s="148">
        <f>SUMIFS(AS!$W:$W,AS!$BO:$BO,$W$7,AS!$AB:$AB,AS!$AA$1,AS!$AV:$AV,$X$5,AS!$AH:$AH,$X$8,AS!$BB:$BB,AS!$BA$1,AS!$AX:$AX,'Päättäminen, tila, kesto'!$AN39,AS!$AW:$AW,'Päättäminen, tila, kesto'!$Y$6,AS!$X:$X,'Päättäminen, tila, kesto'!$Y$5,AS!$K:$K,'Päättäminen, tila, kesto'!$V$2)+AP39+AU39+AZ39</f>
        <v>0</v>
      </c>
      <c r="D39" s="330" t="str">
        <f t="shared" si="10"/>
        <v>-</v>
      </c>
      <c r="E39" s="148">
        <f>SUMIFS(AS!$W:$W,AS!$BO:$BO,$W$7,AS!$AB:$AB,AS!$AA$1,AS!$AV:$AV,$X$5,AS!$I:$I,$X$7,AS!$AH:$AH,$X$8,AS!BB:BB,AS!$BA$1,AS!$AX:$AX,'Päättäminen, tila, kesto'!$AN39,AS!$AW:$AW,'Päättäminen, tila, kesto'!$Y$6,AS!$X:$X,'Päättäminen, tila, kesto'!$Y$5,AS!$K:$K,'Päättäminen, tila, kesto'!$V$2)+AQ39+AV39+BA39</f>
        <v>0</v>
      </c>
      <c r="F39" s="148">
        <f>SUMIFS(AS!$W:$W,AS!$BO:$BO,$W$7,AS!$AB:$AB,AS!$AA$1,AS!$AV:$AV,$X$5,AS!$I:$I,$Y$7,AS!$AH:$AH,$X$8,AS!BB:BB,AS!$BA$1,AS!$AX:$AX,'Päättäminen, tila, kesto'!$AN39,AS!$AW:$AW,'Päättäminen, tila, kesto'!$Y$6,AS!$X:$X,'Päättäminen, tila, kesto'!$Y$5,AS!$K:$K,'Päättäminen, tila, kesto'!$V$2)+AR39+AW39+BB39</f>
        <v>0</v>
      </c>
      <c r="G39" s="148">
        <f>SUMIFS(AS!$W:$W,AS!$BO:$BO,$W$7,AS!$AB:$AB,AS!$AA$1,AS!$AV:$AV,$X$5,AS!$AH:$AH,$Y$8,AS!BB:BB,AS!$BA$1,AS!$AX:$AX,'Päättäminen, tila, kesto'!$AN39,AS!$AW:$AW,'Päättäminen, tila, kesto'!$Y$6,AS!$X:$X,'Päättäminen, tila, kesto'!$Y$5,AS!$K:$K,'Päättäminen, tila, kesto'!$V$2)+AS39+AX39+BC39</f>
        <v>0</v>
      </c>
      <c r="H39" s="217"/>
      <c r="I39" s="218"/>
      <c r="J39" s="218"/>
      <c r="K39" s="218"/>
      <c r="L39" s="219"/>
      <c r="M39" s="387" t="s">
        <v>1091</v>
      </c>
      <c r="N39" s="388">
        <f t="shared" si="4"/>
        <v>0</v>
      </c>
      <c r="O39" s="388">
        <f t="shared" si="5"/>
        <v>0</v>
      </c>
      <c r="P39" s="27"/>
      <c r="Q39" s="27"/>
      <c r="AA39" s="176" t="str">
        <f>IFERROR(IF(INDEX(Data_Omakoodi!H:H,MATCH($AK$3&amp;$AL39,Data_Omakoodi!A:A,0))="P","",$AK$3&amp;$AL39),$AK$3&amp;$AL39)</f>
        <v>ComboBox_EtKuntakoodi_00000032</v>
      </c>
      <c r="AB39" s="44" t="str">
        <f>IFERROR(INDEX(Data_Omakoodi!E:E,MATCH(AA39,Data_Omakoodi!A:A,0)),"")</f>
        <v/>
      </c>
      <c r="AC39" t="str">
        <f>IFERROR(IF(INDEX(Data_Omakoodi!H:H,MATCH($AH$3&amp;$AL39,Data_Omakoodi!A:A,0))="P","",$AH$3&amp;$AL39),$AH$3&amp;$AL39)</f>
        <v>ComboBox_TyHlo_yksikko_00000032</v>
      </c>
      <c r="AD39" s="44" t="str">
        <f>IFERROR(INDEX(Data_Omakoodi!E:E,MATCH(AC39,Data_Omakoodi!A:A,0)),"")</f>
        <v/>
      </c>
      <c r="AE39" t="str">
        <f>IFERROR(IF(INDEX(Data_Omakoodi!H:H,MATCH($AH$3&amp;$AL39,Data_Omakoodi!A:A,0))="P","",$AH$3&amp;$AL39),$AH$3&amp;$AL39)</f>
        <v>ComboBox_TyHlo_yksikko_00000032</v>
      </c>
      <c r="AF39" t="s">
        <v>1622</v>
      </c>
      <c r="AG39" s="739" t="str">
        <f t="shared" si="0"/>
        <v/>
      </c>
      <c r="AH39" s="739" t="str">
        <f t="shared" si="1"/>
        <v/>
      </c>
      <c r="AI39"/>
      <c r="AJ39" s="739" t="str">
        <f t="shared" si="2"/>
        <v/>
      </c>
      <c r="AK39" s="739" t="str">
        <f t="shared" si="3"/>
        <v/>
      </c>
      <c r="AL39">
        <v>32</v>
      </c>
      <c r="AN39" s="634" t="s">
        <v>1466</v>
      </c>
      <c r="AO39" s="627" t="s">
        <v>528</v>
      </c>
      <c r="AP39" s="27">
        <f>SUMIFS(AS!$W:$W,AS!$BO:$BO,$W$7,AS!$AB:$AB,AS!$AA$1,AS!$AV:$AV,$X$5,AS!$AH:$AH,$X$8,AS!$BB:$BB,AS!$BA$1,AS!$AX:$AX,'Päättäminen, tila, kesto'!$AO39,AS!$AW:$AW,'Päättäminen, tila, kesto'!$Y$6,AS!$X:$X,'Päättäminen, tila, kesto'!$Y$5,AS!$K:$K,'Päättäminen, tila, kesto'!$V$2)</f>
        <v>0</v>
      </c>
      <c r="AQ39" s="27">
        <f>SUMIFS(AS!$W:$W,AS!$BO:$BO,$W$7,AS!$AB:$AB,AS!$AA$1,AS!$AV:$AV,$X$5,AS!$I:$I,$X$7,AS!$AH:$AH,$X$8,AS!BB:BB,AS!$BA$1,AS!$AX:$AX,'Päättäminen, tila, kesto'!$AO39,AS!$AW:$AW,'Päättäminen, tila, kesto'!$Y$6,AS!$X:$X,'Päättäminen, tila, kesto'!$Y$5,AS!$K:$K,'Päättäminen, tila, kesto'!$V$2)</f>
        <v>0</v>
      </c>
      <c r="AR39" s="27">
        <f>SUMIFS(AS!$W:$W,AS!$BO:$BO,$W$7,AS!$AB:$AB,AS!$AA$1,AS!$AV:$AV,$X$5,AS!$I:$I,$Y$7,AS!$AH:$AH,$X$8,AS!BB:BB,AS!$BA$1,AS!$AX:$AX,'Päättäminen, tila, kesto'!$AO39,AS!$AW:$AW,'Päättäminen, tila, kesto'!$Y$6,AS!$X:$X,'Päättäminen, tila, kesto'!$Y$5,AS!$K:$K,'Päättäminen, tila, kesto'!$V$2)</f>
        <v>0</v>
      </c>
      <c r="AS39" s="27">
        <f>SUMIFS(AS!$W:$W,AS!$BO:$BO,$W$7,AS!$AB:$AB,AS!$AA$1,AS!$AV:$AV,$X$5,AS!$AH:$AH,$Y$8,AS!BB:BB,AS!$BA$1,AS!$AX:$AX,'Päättäminen, tila, kesto'!$AO39,AS!$AW:$AW,'Päättäminen, tila, kesto'!$Y$6,AS!$X:$X,'Päättäminen, tila, kesto'!$Y$5,AS!$K:$K,'Päättäminen, tila, kesto'!$V$2)</f>
        <v>0</v>
      </c>
      <c r="AT39" s="627" t="s">
        <v>531</v>
      </c>
      <c r="AU39" s="27">
        <f>SUMIFS(AS!$W:$W,AS!$BO:$BO,$W$7,AS!$AB:$AB,AS!$AA$1,AS!$AV:$AV,$X$5,AS!$AH:$AH,$X$8,AS!$BB:$BB,AS!$BA$1,AS!$AX:$AX,'Päättäminen, tila, kesto'!$AT39,AS!$AW:$AW,'Päättäminen, tila, kesto'!$Y$6,AS!$X:$X,'Päättäminen, tila, kesto'!$Y$5,AS!$K:$K,'Päättäminen, tila, kesto'!$V$2)</f>
        <v>0</v>
      </c>
      <c r="AV39" s="27">
        <f>SUMIFS(AS!$W:$W,AS!$BO:$BO,$W$7,AS!$AB:$AB,AS!$AA$1,AS!$AV:$AV,$X$5,AS!$I:$I,$X$7,AS!$AH:$AH,$X$8,AS!$BB:$BB,AS!$BA$1,AS!$AX:$AX,'Päättäminen, tila, kesto'!$AT39,AS!$AW:$AW,'Päättäminen, tila, kesto'!$Y$6,AS!$X:$X,'Päättäminen, tila, kesto'!$Y$5,AS!$K:$K,'Päättäminen, tila, kesto'!$V$2)</f>
        <v>0</v>
      </c>
      <c r="AW39" s="27">
        <f>SUMIFS(AS!$W:$W,AS!$BO:$BO,$W$7,AS!$AB:$AB,AS!$AA$1,AS!$AV:$AV,$X$5,AS!$I:$I,$Y$7,AS!$AH:$AH,$X$8,AS!$BB:$BB,AS!$BA$1,AS!$AX:$AX,'Päättäminen, tila, kesto'!$AT39,AS!$AW:$AW,'Päättäminen, tila, kesto'!$Y$6,AS!$X:$X,'Päättäminen, tila, kesto'!$Y$5,AS!$K:$K,'Päättäminen, tila, kesto'!$V$2)</f>
        <v>0</v>
      </c>
      <c r="AX39" s="27">
        <f>SUMIFS(AS!$W:$W,AS!$BO:$BO,$W$7,AS!$AB:$AB,AS!$AA$1,AS!$AV:$AV,$X$5,AS!$AH:$AH,$Y$8,AS!$BB:$BB,AS!$BA$1,AS!$AX:$AX,'Päättäminen, tila, kesto'!$AT39,AS!$AW:$AW,'Päättäminen, tila, kesto'!$Y$6,AS!$X:$X,'Päättäminen, tila, kesto'!$Y$5,AS!$K:$K,'Päättäminen, tila, kesto'!$V$2)</f>
        <v>0</v>
      </c>
      <c r="AY39" s="635" t="s">
        <v>1097</v>
      </c>
      <c r="AZ39" s="27">
        <f>SUMIFS(AS!$W:$W,AS!$BO:$BO,$W$7,AS!$AB:$AB,AS!$AA$1,AS!$AV:$AV,$X$5,AS!$AH:$AH,$X$8,AS!$BB:$BB,AS!$BA$1,AS!$AX:$AX,'Päättäminen, tila, kesto'!$AY39,AS!$AW:$AW,'Päättäminen, tila, kesto'!$Y$6,AS!$X:$X,'Päättäminen, tila, kesto'!$Y$5,AS!$K:$K,'Päättäminen, tila, kesto'!$V$2)</f>
        <v>0</v>
      </c>
      <c r="BA39" s="27">
        <f>SUMIFS(AS!$W:$W,AS!$BO:$BO,$W$7,AS!$AB:$AB,AS!$AA$1,AS!$AV:$AV,$X$5,AS!$I:$I,$X$7,AS!$AH:$AH,$X$8,AS!$BB:$BB,AS!$BA$1,AS!$AX:$AX,'Päättäminen, tila, kesto'!$AY39,AS!$AW:$AW,'Päättäminen, tila, kesto'!$Y$6,AS!$X:$X,'Päättäminen, tila, kesto'!$Y$5,AS!$K:$K,'Päättäminen, tila, kesto'!$V$2)</f>
        <v>0</v>
      </c>
      <c r="BB39" s="27">
        <f>SUMIFS(AS!$W:$W,AS!$BO:$BO,$W$7,AS!$AB:$AB,AS!$AA$1,AS!$AV:$AV,$X$5,AS!$I:$I,$Y$7,AS!$AH:$AH,$X$8,AS!$BB:$BB,AS!$BA$1,AS!$AX:$AX,'Päättäminen, tila, kesto'!$AY39,AS!$AW:$AW,'Päättäminen, tila, kesto'!$Y$6,AS!$X:$X,'Päättäminen, tila, kesto'!$Y$5,AS!$K:$K,'Päättäminen, tila, kesto'!$V$2)</f>
        <v>0</v>
      </c>
      <c r="BC39" s="27">
        <f>SUMIFS(AS!$W:$W,AS!$BO:$BO,$W$7,AS!$AB:$AB,AS!$AA$1,AS!$AV:$AV,$X$5,AS!$AH:$AH,$Y$8,AS!$BB:$BB,AS!$BA$1,AS!$AX:$AX,'Päättäminen, tila, kesto'!$AY39,AS!$AW:$AW,'Päättäminen, tila, kesto'!$Y$6,AS!$X:$X,'Päättäminen, tila, kesto'!$Y$5,AS!$K:$K,'Päättäminen, tila, kesto'!$V$2)</f>
        <v>0</v>
      </c>
      <c r="BD39"/>
    </row>
    <row r="40" spans="1:56" ht="15" x14ac:dyDescent="0.25">
      <c r="A40" s="626"/>
      <c r="B40" s="298" t="s">
        <v>688</v>
      </c>
      <c r="C40" s="148">
        <f>SUMIFS(AS!$W:$W,AS!$BO:$BO,$W$7,AS!$AB:$AB,AS!$AA$1,AS!$AV:$AV,$X$5,AS!$AH:$AH,$X$8,AS!$BB:$BB,AS!$BA$1,AS!$AX:$AX,'Päättäminen, tila, kesto'!$AN40,AS!$AW:$AW,'Päättäminen, tila, kesto'!$Y$6,AS!$X:$X,'Päättäminen, tila, kesto'!$Y$5,AS!$K:$K,'Päättäminen, tila, kesto'!$V$2)+AP40+AU40</f>
        <v>0</v>
      </c>
      <c r="D40" s="330" t="str">
        <f t="shared" si="10"/>
        <v>-</v>
      </c>
      <c r="E40" s="148">
        <f>SUMIFS(AS!$W:$W,AS!$BO:$BO,$W$7,AS!$AB:$AB,AS!$AA$1,AS!$AV:$AV,$X$5,AS!$I:$I,$X$7,AS!$AH:$AH,$X$8,AS!BB:BB,AS!$BA$1,AS!$AX:$AX,'Päättäminen, tila, kesto'!$AN40,AS!$AW:$AW,'Päättäminen, tila, kesto'!$Y$6,AS!$X:$X,'Päättäminen, tila, kesto'!$Y$5,AS!$K:$K,'Päättäminen, tila, kesto'!$V$2)+AQ40+AV40</f>
        <v>0</v>
      </c>
      <c r="F40" s="148">
        <f>SUMIFS(AS!$W:$W,AS!$BO:$BO,$W$7,AS!$AB:$AB,AS!$AA$1,AS!$AV:$AV,$X$5,AS!$I:$I,$Y$7,AS!$AH:$AH,$X$8,AS!BB:BB,AS!$BA$1,AS!$AX:$AX,'Päättäminen, tila, kesto'!$AN40,AS!$AW:$AW,'Päättäminen, tila, kesto'!$Y$6,AS!$X:$X,'Päättäminen, tila, kesto'!$Y$5,AS!$K:$K,'Päättäminen, tila, kesto'!$V$2)+AR40+AW40</f>
        <v>0</v>
      </c>
      <c r="G40" s="148">
        <f>SUMIFS(AS!$W:$W,AS!$BO:$BO,$W$7,AS!$AB:$AB,AS!$AA$1,AS!$AV:$AV,$X$5,AS!$AH:$AH,$Y$8,AS!BB:BB,AS!$BA$1,AS!$AX:$AX,'Päättäminen, tila, kesto'!$AN40,AS!$AW:$AW,'Päättäminen, tila, kesto'!$Y$6,AS!$X:$X,'Päättäminen, tila, kesto'!$Y$5,AS!$K:$K,'Päättäminen, tila, kesto'!$V$2)+AS40+AX40</f>
        <v>0</v>
      </c>
      <c r="H40" s="217"/>
      <c r="I40" s="218"/>
      <c r="J40" s="218"/>
      <c r="K40" s="218"/>
      <c r="L40" s="219"/>
      <c r="M40" s="387" t="s">
        <v>688</v>
      </c>
      <c r="N40" s="388">
        <f t="shared" si="4"/>
        <v>0</v>
      </c>
      <c r="O40" s="388">
        <f t="shared" si="5"/>
        <v>0</v>
      </c>
      <c r="P40" s="27"/>
      <c r="Q40" s="27"/>
      <c r="AA40" s="176" t="str">
        <f>IFERROR(IF(INDEX(Data_Omakoodi!H:H,MATCH($AK$3&amp;$AL40,Data_Omakoodi!A:A,0))="P","",$AK$3&amp;$AL40),$AK$3&amp;$AL40)</f>
        <v>ComboBox_EtKuntakoodi_00000033</v>
      </c>
      <c r="AB40" s="44" t="str">
        <f>IFERROR(INDEX(Data_Omakoodi!E:E,MATCH(AA40,Data_Omakoodi!A:A,0)),"")</f>
        <v/>
      </c>
      <c r="AC40" t="str">
        <f>IFERROR(IF(INDEX(Data_Omakoodi!H:H,MATCH($AH$3&amp;$AL40,Data_Omakoodi!A:A,0))="P","",$AH$3&amp;$AL40),$AH$3&amp;$AL40)</f>
        <v>ComboBox_TyHlo_yksikko_00000033</v>
      </c>
      <c r="AD40" s="44" t="str">
        <f>IFERROR(INDEX(Data_Omakoodi!E:E,MATCH(AC40,Data_Omakoodi!A:A,0)),"")</f>
        <v/>
      </c>
      <c r="AE40" t="str">
        <f>IFERROR(IF(INDEX(Data_Omakoodi!H:H,MATCH($AH$3&amp;$AL40,Data_Omakoodi!A:A,0))="P","",$AH$3&amp;$AL40),$AH$3&amp;$AL40)</f>
        <v>ComboBox_TyHlo_yksikko_00000033</v>
      </c>
      <c r="AF40" t="s">
        <v>1623</v>
      </c>
      <c r="AG40" s="739" t="str">
        <f t="shared" si="0"/>
        <v/>
      </c>
      <c r="AH40" s="739" t="str">
        <f t="shared" si="1"/>
        <v/>
      </c>
      <c r="AI40"/>
      <c r="AJ40" s="739" t="str">
        <f t="shared" si="2"/>
        <v/>
      </c>
      <c r="AK40" s="739" t="str">
        <f t="shared" si="3"/>
        <v/>
      </c>
      <c r="AL40">
        <v>33</v>
      </c>
      <c r="AN40" s="629" t="s">
        <v>530</v>
      </c>
      <c r="AO40"/>
      <c r="AP40" s="27">
        <f>SUMIFS(AS!$W:$W,AS!$BO:$BO,$W$7,AS!$AB:$AB,AS!$AA$1,AS!$AV:$AV,$X$5,AS!$AH:$AH,$X$8,AS!$BB:$BB,AS!$BA$1,AS!$AX:$AX,'Päättäminen, tila, kesto'!$AO40,AS!$AW:$AW,'Päättäminen, tila, kesto'!$Y$6,AS!$X:$X,'Päättäminen, tila, kesto'!$Y$5,AS!$K:$K,'Päättäminen, tila, kesto'!$V$2)</f>
        <v>0</v>
      </c>
      <c r="AQ40" s="27">
        <f>SUMIFS(AS!$W:$W,AS!$BO:$BO,$W$7,AS!$AB:$AB,AS!$AA$1,AS!$AV:$AV,$X$5,AS!$I:$I,$X$7,AS!$AH:$AH,$X$8,AS!BB:BB,AS!$BA$1,AS!$AX:$AX,'Päättäminen, tila, kesto'!$AO40,AS!$AW:$AW,'Päättäminen, tila, kesto'!$Y$6,AS!$X:$X,'Päättäminen, tila, kesto'!$Y$5,AS!$K:$K,'Päättäminen, tila, kesto'!$V$2)</f>
        <v>0</v>
      </c>
      <c r="AR40" s="27">
        <f>SUMIFS(AS!$W:$W,AS!$BO:$BO,$W$7,AS!$AB:$AB,AS!$AA$1,AS!$AV:$AV,$X$5,AS!$I:$I,$Y$7,AS!$AH:$AH,$X$8,AS!BB:BB,AS!$BA$1,AS!$AX:$AX,'Päättäminen, tila, kesto'!$AO40,AS!$AW:$AW,'Päättäminen, tila, kesto'!$Y$6,AS!$X:$X,'Päättäminen, tila, kesto'!$Y$5,AS!$K:$K,'Päättäminen, tila, kesto'!$V$2)</f>
        <v>0</v>
      </c>
      <c r="AS40" s="27">
        <f>SUMIFS(AS!$W:$W,AS!$BO:$BO,$W$7,AS!$AB:$AB,AS!$AA$1,AS!$AV:$AV,$X$5,AS!$AH:$AH,$Y$8,AS!BB:BB,AS!$BA$1,AS!$AX:$AX,'Päättäminen, tila, kesto'!$AO40,AS!$AW:$AW,'Päättäminen, tila, kesto'!$Y$6,AS!$X:$X,'Päättäminen, tila, kesto'!$Y$5,AS!$K:$K,'Päättäminen, tila, kesto'!$V$2)</f>
        <v>0</v>
      </c>
      <c r="AT40"/>
      <c r="AU40" s="27">
        <f>SUMIFS(AS!$W:$W,AS!$BO:$BO,$W$7,AS!$AB:$AB,AS!$AA$1,AS!$AV:$AV,$X$5,AS!$AH:$AH,$X$8,AS!$BB:$BB,AS!$BA$1,AS!$AX:$AX,'Päättäminen, tila, kesto'!$AT40,AS!$AW:$AW,'Päättäminen, tila, kesto'!$Y$6,AS!$X:$X,'Päättäminen, tila, kesto'!$Y$5,AS!$K:$K,'Päättäminen, tila, kesto'!$V$2)</f>
        <v>0</v>
      </c>
      <c r="AV40" s="27">
        <f>SUMIFS(AS!$W:$W,AS!$BO:$BO,$W$7,AS!$AB:$AB,AS!$AA$1,AS!$AV:$AV,$X$5,AS!$I:$I,$X$7,AS!$AH:$AH,$X$8,AS!$BB:$BB,AS!$BA$1,AS!$AX:$AX,'Päättäminen, tila, kesto'!$AT40,AS!$AW:$AW,'Päättäminen, tila, kesto'!$Y$6,AS!$X:$X,'Päättäminen, tila, kesto'!$Y$5,AS!$K:$K,'Päättäminen, tila, kesto'!$V$2)</f>
        <v>0</v>
      </c>
      <c r="AW40" s="27">
        <f>SUMIFS(AS!$W:$W,AS!$BO:$BO,$W$7,AS!$AB:$AB,AS!$AA$1,AS!$AV:$AV,$X$5,AS!$I:$I,$Y$7,AS!$AH:$AH,$X$8,AS!$BB:$BB,AS!$BA$1,AS!$AX:$AX,'Päättäminen, tila, kesto'!$AT40,AS!$AW:$AW,'Päättäminen, tila, kesto'!$Y$6,AS!$X:$X,'Päättäminen, tila, kesto'!$Y$5,AS!$K:$K,'Päättäminen, tila, kesto'!$V$2)</f>
        <v>0</v>
      </c>
      <c r="AX40" s="27">
        <f>SUMIFS(AS!$W:$W,AS!$BO:$BO,$W$7,AS!$AB:$AB,AS!$AA$1,AS!$AV:$AV,$X$5,AS!$AH:$AH,$Y$8,AS!$BB:$BB,AS!$BA$1,AS!$AX:$AX,'Päättäminen, tila, kesto'!$AT40,AS!$AW:$AW,'Päättäminen, tila, kesto'!$Y$6,AS!$X:$X,'Päättäminen, tila, kesto'!$Y$5,AS!$K:$K,'Päättäminen, tila, kesto'!$V$2)</f>
        <v>0</v>
      </c>
      <c r="AY40"/>
      <c r="AZ40"/>
      <c r="BA40"/>
      <c r="BB40"/>
      <c r="BC40"/>
      <c r="BD40"/>
    </row>
    <row r="41" spans="1:56" ht="15" x14ac:dyDescent="0.25">
      <c r="A41" s="626"/>
      <c r="B41" s="299" t="s">
        <v>608</v>
      </c>
      <c r="C41" s="343">
        <f>SUM(C42:C45)</f>
        <v>0</v>
      </c>
      <c r="D41" s="344" t="str">
        <f>IFERROR(C41/C$62,"-")</f>
        <v>-</v>
      </c>
      <c r="E41" s="343">
        <f>SUM(E42:E45)</f>
        <v>0</v>
      </c>
      <c r="F41" s="343">
        <f>SUM(F42:F45)</f>
        <v>0</v>
      </c>
      <c r="G41" s="343">
        <f>SUM(G42:G45)</f>
        <v>0</v>
      </c>
      <c r="H41" s="214"/>
      <c r="I41" s="215"/>
      <c r="J41" s="215"/>
      <c r="K41" s="215"/>
      <c r="L41" s="216"/>
      <c r="M41" s="387"/>
      <c r="N41" s="388"/>
      <c r="O41" s="388"/>
      <c r="P41" s="27"/>
      <c r="Q41" s="27"/>
      <c r="AA41" s="176" t="str">
        <f>IFERROR(IF(INDEX(Data_Omakoodi!H:H,MATCH($AK$3&amp;$AL41,Data_Omakoodi!A:A,0))="P","",$AK$3&amp;$AL41),$AK$3&amp;$AL41)</f>
        <v>ComboBox_EtKuntakoodi_00000034</v>
      </c>
      <c r="AB41" s="44" t="str">
        <f>IFERROR(INDEX(Data_Omakoodi!E:E,MATCH(AA41,Data_Omakoodi!A:A,0)),"")</f>
        <v/>
      </c>
      <c r="AC41" t="str">
        <f>IFERROR(IF(INDEX(Data_Omakoodi!H:H,MATCH($AH$3&amp;$AL41,Data_Omakoodi!A:A,0))="P","",$AH$3&amp;$AL41),$AH$3&amp;$AL41)</f>
        <v>ComboBox_TyHlo_yksikko_00000034</v>
      </c>
      <c r="AD41" s="44" t="str">
        <f>IFERROR(INDEX(Data_Omakoodi!E:E,MATCH(AC41,Data_Omakoodi!A:A,0)),"")</f>
        <v/>
      </c>
      <c r="AE41" t="str">
        <f>IFERROR(IF(INDEX(Data_Omakoodi!H:H,MATCH($AH$3&amp;$AL41,Data_Omakoodi!A:A,0))="P","",$AH$3&amp;$AL41),$AH$3&amp;$AL41)</f>
        <v>ComboBox_TyHlo_yksikko_00000034</v>
      </c>
      <c r="AF41" t="s">
        <v>1624</v>
      </c>
      <c r="AG41" s="739" t="str">
        <f t="shared" si="0"/>
        <v/>
      </c>
      <c r="AH41" s="739" t="str">
        <f t="shared" si="1"/>
        <v/>
      </c>
      <c r="AI41"/>
      <c r="AJ41" s="739" t="str">
        <f t="shared" si="2"/>
        <v/>
      </c>
      <c r="AK41" s="739" t="str">
        <f t="shared" si="3"/>
        <v/>
      </c>
      <c r="AL41">
        <v>34</v>
      </c>
      <c r="AN41" s="629" t="s">
        <v>534</v>
      </c>
      <c r="AP41" s="27">
        <f>SUMIFS(AS!$W:$W,AS!$BO:$BO,$W$7,AS!$AB:$AB,AS!$AA$1,AS!$AV:$AV,$X$5,AS!$AH:$AH,$X$8,AS!$BB:$BB,AS!$BA$1,AS!$AX:$AX,'Päättäminen, tila, kesto'!$AO41,AS!$AW:$AW,'Päättäminen, tila, kesto'!$Y$6,AS!$X:$X,'Päättäminen, tila, kesto'!$Y$5,AS!$K:$K,'Päättäminen, tila, kesto'!$V$2)</f>
        <v>0</v>
      </c>
      <c r="AQ41" s="27">
        <f>SUMIFS(AS!$W:$W,AS!$BO:$BO,$W$7,AS!$AB:$AB,AS!$AA$1,AS!$AV:$AV,$X$5,AS!$I:$I,$X$7,AS!$AH:$AH,$X$8,AS!BB:BB,AS!$BA$1,AS!$AX:$AX,'Päättäminen, tila, kesto'!$AO41,AS!$AW:$AW,'Päättäminen, tila, kesto'!$Y$6,AS!$X:$X,'Päättäminen, tila, kesto'!$Y$5,AS!$K:$K,'Päättäminen, tila, kesto'!$V$2)</f>
        <v>0</v>
      </c>
      <c r="AR41" s="27">
        <f>SUMIFS(AS!$W:$W,AS!$BO:$BO,$W$7,AS!$AB:$AB,AS!$AA$1,AS!$AV:$AV,$X$5,AS!$I:$I,$Y$7,AS!$AH:$AH,$X$8,AS!BB:BB,AS!$BA$1,AS!$AX:$AX,'Päättäminen, tila, kesto'!$AO41,AS!$AW:$AW,'Päättäminen, tila, kesto'!$Y$6,AS!$X:$X,'Päättäminen, tila, kesto'!$Y$5,AS!$K:$K,'Päättäminen, tila, kesto'!$V$2)</f>
        <v>0</v>
      </c>
      <c r="AS41" s="27">
        <f>SUMIFS(AS!$W:$W,AS!$BO:$BO,$W$7,AS!$AB:$AB,AS!$AA$1,AS!$AV:$AV,$X$5,AS!$AH:$AH,$Y$8,AS!BB:BB,AS!$BA$1,AS!$AX:$AX,'Päättäminen, tila, kesto'!$AO41,AS!$AW:$AW,'Päättäminen, tila, kesto'!$Y$6,AS!$X:$X,'Päättäminen, tila, kesto'!$Y$5,AS!$K:$K,'Päättäminen, tila, kesto'!$V$2)</f>
        <v>0</v>
      </c>
      <c r="AU41" s="27">
        <f>SUMIFS(AS!$W:$W,AS!$BO:$BO,$W$7,AS!$AB:$AB,AS!$AA$1,AS!$AV:$AV,$X$5,AS!$AH:$AH,$X$8,AS!$BB:$BB,AS!$BA$1,AS!$AX:$AX,'Päättäminen, tila, kesto'!$AT41,AS!$AW:$AW,'Päättäminen, tila, kesto'!$Y$6,AS!$X:$X,'Päättäminen, tila, kesto'!$Y$5,AS!$K:$K,'Päättäminen, tila, kesto'!$V$2)</f>
        <v>0</v>
      </c>
      <c r="AV41" s="27">
        <f>SUMIFS(AS!$W:$W,AS!$BO:$BO,$W$7,AS!$AB:$AB,AS!$AA$1,AS!$AV:$AV,$X$5,AS!$I:$I,$X$7,AS!$AH:$AH,$X$8,AS!$BB:$BB,AS!$BA$1,AS!$AX:$AX,'Päättäminen, tila, kesto'!$AT41,AS!$AW:$AW,'Päättäminen, tila, kesto'!$Y$6,AS!$X:$X,'Päättäminen, tila, kesto'!$Y$5,AS!$K:$K,'Päättäminen, tila, kesto'!$V$2)</f>
        <v>0</v>
      </c>
      <c r="AW41" s="27">
        <f>SUMIFS(AS!$W:$W,AS!$BO:$BO,$W$7,AS!$AB:$AB,AS!$AA$1,AS!$AV:$AV,$X$5,AS!$I:$I,$Y$7,AS!$AH:$AH,$X$8,AS!$BB:$BB,AS!$BA$1,AS!$AX:$AX,'Päättäminen, tila, kesto'!$AT41,AS!$AW:$AW,'Päättäminen, tila, kesto'!$Y$6,AS!$X:$X,'Päättäminen, tila, kesto'!$Y$5,AS!$K:$K,'Päättäminen, tila, kesto'!$V$2)</f>
        <v>0</v>
      </c>
      <c r="AX41" s="27">
        <f>SUMIFS(AS!$W:$W,AS!$BO:$BO,$W$7,AS!$AB:$AB,AS!$AA$1,AS!$AV:$AV,$X$5,AS!$AH:$AH,$Y$8,AS!$BB:$BB,AS!$BA$1,AS!$AX:$AX,'Päättäminen, tila, kesto'!$AT41,AS!$AW:$AW,'Päättäminen, tila, kesto'!$Y$6,AS!$X:$X,'Päättäminen, tila, kesto'!$Y$5,AS!$K:$K,'Päättäminen, tila, kesto'!$V$2)</f>
        <v>0</v>
      </c>
      <c r="BA41"/>
      <c r="BB41"/>
      <c r="BC41"/>
      <c r="BD41"/>
    </row>
    <row r="42" spans="1:56" ht="15" x14ac:dyDescent="0.25">
      <c r="A42" s="626"/>
      <c r="B42" s="298" t="s">
        <v>86</v>
      </c>
      <c r="C42" s="148">
        <f>SUMIFS(AS!$W:$W,AS!$BO:$BO,$W$7,AS!$AB:$AB,AS!$AA$1,AS!$AV:$AV,$X$5,AS!$AH:$AH,$X$8,AS!$BB:$BB,AS!$BA$1,AS!$AX:$AX,'Päättäminen, tila, kesto'!$AN42,AS!$AW:$AW,'Päättäminen, tila, kesto'!$Y$6,AS!$X:$X,'Päättäminen, tila, kesto'!$Y$5,AS!$K:$K,'Päättäminen, tila, kesto'!$V$2)+AP42+AU42</f>
        <v>0</v>
      </c>
      <c r="D42" s="330" t="str">
        <f t="shared" ref="D42:D45" si="11">IFERROR(C42/C$62,"-")</f>
        <v>-</v>
      </c>
      <c r="E42" s="148">
        <f>SUMIFS(AS!$W:$W,AS!$BO:$BO,$W$7,AS!$AB:$AB,AS!$AA$1,AS!$AV:$AV,$X$5,AS!$I:$I,$X$7,AS!$AH:$AH,$X$8,AS!BB:BB,AS!$BA$1,AS!$AX:$AX,'Päättäminen, tila, kesto'!$AN42,AS!$AW:$AW,'Päättäminen, tila, kesto'!$Y$6,AS!$X:$X,'Päättäminen, tila, kesto'!$Y$5,AS!$K:$K,'Päättäminen, tila, kesto'!$V$2)+AQ42+AV42</f>
        <v>0</v>
      </c>
      <c r="F42" s="148">
        <f>SUMIFS(AS!$W:$W,AS!$BO:$BO,$W$7,AS!$AB:$AB,AS!$AA$1,AS!$AV:$AV,$X$5,AS!$I:$I,$Y$7,AS!$AH:$AH,$X$8,AS!BB:BB,AS!$BA$1,AS!$AX:$AX,'Päättäminen, tila, kesto'!$AN42,AS!$AW:$AW,'Päättäminen, tila, kesto'!$Y$6,AS!$X:$X,'Päättäminen, tila, kesto'!$Y$5,AS!$K:$K,'Päättäminen, tila, kesto'!$V$2)+AR42+AW42</f>
        <v>0</v>
      </c>
      <c r="G42" s="148">
        <f>SUMIFS(AS!$W:$W,AS!$BO:$BO,$W$7,AS!$AB:$AB,AS!$AA$1,AS!$AV:$AV,$X$5,AS!$AH:$AH,$Y$8,AS!BB:BB,AS!$BA$1,AS!$AX:$AX,'Päättäminen, tila, kesto'!$AN42,AS!$AW:$AW,'Päättäminen, tila, kesto'!$Y$6,AS!$X:$X,'Päättäminen, tila, kesto'!$Y$5,AS!$K:$K,'Päättäminen, tila, kesto'!$V$2)+AS42+AX42</f>
        <v>0</v>
      </c>
      <c r="H42" s="217"/>
      <c r="I42" s="218"/>
      <c r="J42" s="218"/>
      <c r="K42" s="218"/>
      <c r="L42" s="219"/>
      <c r="M42" s="387" t="s">
        <v>86</v>
      </c>
      <c r="N42" s="388">
        <f t="shared" si="4"/>
        <v>0</v>
      </c>
      <c r="O42" s="388">
        <f t="shared" si="5"/>
        <v>0</v>
      </c>
      <c r="P42" s="27"/>
      <c r="Q42" s="27"/>
      <c r="AA42" s="176" t="str">
        <f>IFERROR(IF(INDEX(Data_Omakoodi!H:H,MATCH($AK$3&amp;$AL42,Data_Omakoodi!A:A,0))="P","",$AK$3&amp;$AL42),$AK$3&amp;$AL42)</f>
        <v>ComboBox_EtKuntakoodi_00000035</v>
      </c>
      <c r="AB42" s="44" t="str">
        <f>IFERROR(INDEX(Data_Omakoodi!E:E,MATCH(AA42,Data_Omakoodi!A:A,0)),"")</f>
        <v/>
      </c>
      <c r="AC42" t="str">
        <f>IFERROR(IF(INDEX(Data_Omakoodi!H:H,MATCH($AH$3&amp;$AL42,Data_Omakoodi!A:A,0))="P","",$AH$3&amp;$AL42),$AH$3&amp;$AL42)</f>
        <v>ComboBox_TyHlo_yksikko_00000035</v>
      </c>
      <c r="AD42" s="44" t="str">
        <f>IFERROR(INDEX(Data_Omakoodi!E:E,MATCH(AC42,Data_Omakoodi!A:A,0)),"")</f>
        <v/>
      </c>
      <c r="AE42" t="str">
        <f>IFERROR(IF(INDEX(Data_Omakoodi!H:H,MATCH($AH$3&amp;$AL42,Data_Omakoodi!A:A,0))="P","",$AH$3&amp;$AL42),$AH$3&amp;$AL42)</f>
        <v>ComboBox_TyHlo_yksikko_00000035</v>
      </c>
      <c r="AF42" t="s">
        <v>1625</v>
      </c>
      <c r="AG42" s="739" t="str">
        <f t="shared" si="0"/>
        <v/>
      </c>
      <c r="AH42" s="739" t="str">
        <f t="shared" si="1"/>
        <v/>
      </c>
      <c r="AI42"/>
      <c r="AJ42" s="739" t="str">
        <f t="shared" si="2"/>
        <v/>
      </c>
      <c r="AK42" s="739" t="str">
        <f t="shared" si="3"/>
        <v/>
      </c>
      <c r="AL42">
        <v>35</v>
      </c>
      <c r="AN42" s="629" t="s">
        <v>237</v>
      </c>
      <c r="AP42" s="27">
        <f>SUMIFS(AS!$W:$W,AS!$BO:$BO,$W$7,AS!$AB:$AB,AS!$AA$1,AS!$AV:$AV,$X$5,AS!$AH:$AH,$X$8,AS!$BB:$BB,AS!$BA$1,AS!$AX:$AX,'Päättäminen, tila, kesto'!$AO42,AS!$AW:$AW,'Päättäminen, tila, kesto'!$Y$6,AS!$X:$X,'Päättäminen, tila, kesto'!$Y$5,AS!$K:$K,'Päättäminen, tila, kesto'!$V$2)</f>
        <v>0</v>
      </c>
      <c r="AQ42" s="27">
        <f>SUMIFS(AS!$W:$W,AS!$BO:$BO,$W$7,AS!$AB:$AB,AS!$AA$1,AS!$AV:$AV,$X$5,AS!$I:$I,$X$7,AS!$AH:$AH,$X$8,AS!BB:BB,AS!$BA$1,AS!$AX:$AX,'Päättäminen, tila, kesto'!$AO42,AS!$AW:$AW,'Päättäminen, tila, kesto'!$Y$6,AS!$X:$X,'Päättäminen, tila, kesto'!$Y$5,AS!$K:$K,'Päättäminen, tila, kesto'!$V$2)</f>
        <v>0</v>
      </c>
      <c r="AR42" s="27">
        <f>SUMIFS(AS!$W:$W,AS!$BO:$BO,$W$7,AS!$AB:$AB,AS!$AA$1,AS!$AV:$AV,$X$5,AS!$I:$I,$Y$7,AS!$AH:$AH,$X$8,AS!BB:BB,AS!$BA$1,AS!$AX:$AX,'Päättäminen, tila, kesto'!$AO42,AS!$AW:$AW,'Päättäminen, tila, kesto'!$Y$6,AS!$X:$X,'Päättäminen, tila, kesto'!$Y$5,AS!$K:$K,'Päättäminen, tila, kesto'!$V$2)</f>
        <v>0</v>
      </c>
      <c r="AS42" s="27">
        <f>SUMIFS(AS!$W:$W,AS!$BO:$BO,$W$7,AS!$AB:$AB,AS!$AA$1,AS!$AV:$AV,$X$5,AS!$AH:$AH,$Y$8,AS!BB:BB,AS!$BA$1,AS!$AX:$AX,'Päättäminen, tila, kesto'!$AO42,AS!$AW:$AW,'Päättäminen, tila, kesto'!$Y$6,AS!$X:$X,'Päättäminen, tila, kesto'!$Y$5,AS!$K:$K,'Päättäminen, tila, kesto'!$V$2)</f>
        <v>0</v>
      </c>
      <c r="AU42" s="27">
        <f>SUMIFS(AS!$W:$W,AS!$BO:$BO,$W$7,AS!$AB:$AB,AS!$AA$1,AS!$AV:$AV,$X$5,AS!$AH:$AH,$X$8,AS!$BB:$BB,AS!$BA$1,AS!$AX:$AX,'Päättäminen, tila, kesto'!$AT42,AS!$AW:$AW,'Päättäminen, tila, kesto'!$Y$6,AS!$X:$X,'Päättäminen, tila, kesto'!$Y$5,AS!$K:$K,'Päättäminen, tila, kesto'!$V$2)</f>
        <v>0</v>
      </c>
      <c r="AV42" s="27">
        <f>SUMIFS(AS!$W:$W,AS!$BO:$BO,$W$7,AS!$AB:$AB,AS!$AA$1,AS!$AV:$AV,$X$5,AS!$I:$I,$X$7,AS!$AH:$AH,$X$8,AS!$BB:$BB,AS!$BA$1,AS!$AX:$AX,'Päättäminen, tila, kesto'!$AT42,AS!$AW:$AW,'Päättäminen, tila, kesto'!$Y$6,AS!$X:$X,'Päättäminen, tila, kesto'!$Y$5,AS!$K:$K,'Päättäminen, tila, kesto'!$V$2)</f>
        <v>0</v>
      </c>
      <c r="AW42" s="27">
        <f>SUMIFS(AS!$W:$W,AS!$BO:$BO,$W$7,AS!$AB:$AB,AS!$AA$1,AS!$AV:$AV,$X$5,AS!$I:$I,$Y$7,AS!$AH:$AH,$X$8,AS!$BB:$BB,AS!$BA$1,AS!$AX:$AX,'Päättäminen, tila, kesto'!$AT42,AS!$AW:$AW,'Päättäminen, tila, kesto'!$Y$6,AS!$X:$X,'Päättäminen, tila, kesto'!$Y$5,AS!$K:$K,'Päättäminen, tila, kesto'!$V$2)</f>
        <v>0</v>
      </c>
      <c r="AX42" s="27">
        <f>SUMIFS(AS!$W:$W,AS!$BO:$BO,$W$7,AS!$AB:$AB,AS!$AA$1,AS!$AV:$AV,$X$5,AS!$AH:$AH,$Y$8,AS!$BB:$BB,AS!$BA$1,AS!$AX:$AX,'Päättäminen, tila, kesto'!$AT42,AS!$AW:$AW,'Päättäminen, tila, kesto'!$Y$6,AS!$X:$X,'Päättäminen, tila, kesto'!$Y$5,AS!$K:$K,'Päättäminen, tila, kesto'!$V$2)</f>
        <v>0</v>
      </c>
      <c r="BA42"/>
      <c r="BB42"/>
      <c r="BC42"/>
      <c r="BD42"/>
    </row>
    <row r="43" spans="1:56" ht="15" x14ac:dyDescent="0.25">
      <c r="A43" s="626"/>
      <c r="B43" s="298" t="s">
        <v>1387</v>
      </c>
      <c r="C43" s="148">
        <f>SUMIFS(AS!$W:$W,AS!$BO:$BO,$W$7,AS!$AB:$AB,AS!$AA$1,AS!$AV:$AV,$X$5,AS!$AH:$AH,$X$8,AS!$BB:$BB,AS!$BA$1,AS!$AX:$AX,'Päättäminen, tila, kesto'!$AN43,AS!$AW:$AW,'Päättäminen, tila, kesto'!$Y$6,AS!$X:$X,'Päättäminen, tila, kesto'!$Y$5,AS!$K:$K,'Päättäminen, tila, kesto'!$V$2)+AP43+AU43</f>
        <v>0</v>
      </c>
      <c r="D43" s="330" t="str">
        <f t="shared" si="11"/>
        <v>-</v>
      </c>
      <c r="E43" s="148">
        <f>SUMIFS(AS!$W:$W,AS!$BO:$BO,$W$7,AS!$AB:$AB,AS!$AA$1,AS!$AV:$AV,$X$5,AS!$I:$I,$X$7,AS!$AH:$AH,$X$8,AS!BB:BB,AS!$BA$1,AS!$AX:$AX,'Päättäminen, tila, kesto'!$AN43,AS!$AW:$AW,'Päättäminen, tila, kesto'!$Y$6,AS!$X:$X,'Päättäminen, tila, kesto'!$Y$5,AS!$K:$K,'Päättäminen, tila, kesto'!$V$2)+AQ43+AV43</f>
        <v>0</v>
      </c>
      <c r="F43" s="148">
        <f>SUMIFS(AS!$W:$W,AS!$BO:$BO,$W$7,AS!$AB:$AB,AS!$AA$1,AS!$AV:$AV,$X$5,AS!$I:$I,$Y$7,AS!$AH:$AH,$X$8,AS!BB:BB,AS!$BA$1,AS!$AX:$AX,'Päättäminen, tila, kesto'!$AN43,AS!$AW:$AW,'Päättäminen, tila, kesto'!$Y$6,AS!$X:$X,'Päättäminen, tila, kesto'!$Y$5,AS!$K:$K,'Päättäminen, tila, kesto'!$V$2)+AR43+AW43</f>
        <v>0</v>
      </c>
      <c r="G43" s="148">
        <f>SUMIFS(AS!$W:$W,AS!$BO:$BO,$W$7,AS!$AB:$AB,AS!$AA$1,AS!$AV:$AV,$X$5,AS!$AH:$AH,$Y$8,AS!BB:BB,AS!$BA$1,AS!$AX:$AX,'Päättäminen, tila, kesto'!$AN43,AS!$AW:$AW,'Päättäminen, tila, kesto'!$Y$6,AS!$X:$X,'Päättäminen, tila, kesto'!$Y$5,AS!$K:$K,'Päättäminen, tila, kesto'!$V$2)+AS43+AX43</f>
        <v>0</v>
      </c>
      <c r="H43" s="217"/>
      <c r="I43" s="218"/>
      <c r="J43" s="218"/>
      <c r="K43" s="218"/>
      <c r="L43" s="219"/>
      <c r="M43" s="387" t="s">
        <v>1387</v>
      </c>
      <c r="N43" s="388">
        <f t="shared" si="4"/>
        <v>0</v>
      </c>
      <c r="O43" s="388">
        <f t="shared" si="5"/>
        <v>0</v>
      </c>
      <c r="P43" s="27"/>
      <c r="Q43" s="27"/>
      <c r="AA43" s="176" t="str">
        <f>IFERROR(IF(INDEX(Data_Omakoodi!H:H,MATCH($AK$3&amp;$AL43,Data_Omakoodi!A:A,0))="P","",$AK$3&amp;$AL43),$AK$3&amp;$AL43)</f>
        <v>ComboBox_EtKuntakoodi_00000036</v>
      </c>
      <c r="AB43" s="44" t="str">
        <f>IFERROR(INDEX(Data_Omakoodi!E:E,MATCH(AA43,Data_Omakoodi!A:A,0)),"")</f>
        <v/>
      </c>
      <c r="AC43" t="str">
        <f>IFERROR(IF(INDEX(Data_Omakoodi!H:H,MATCH($AH$3&amp;$AL43,Data_Omakoodi!A:A,0))="P","",$AH$3&amp;$AL43),$AH$3&amp;$AL43)</f>
        <v>ComboBox_TyHlo_yksikko_00000036</v>
      </c>
      <c r="AD43" s="44" t="str">
        <f>IFERROR(INDEX(Data_Omakoodi!E:E,MATCH(AC43,Data_Omakoodi!A:A,0)),"")</f>
        <v/>
      </c>
      <c r="AE43" t="str">
        <f>IFERROR(IF(INDEX(Data_Omakoodi!H:H,MATCH($AH$3&amp;$AL43,Data_Omakoodi!A:A,0))="P","",$AH$3&amp;$AL43),$AH$3&amp;$AL43)</f>
        <v>ComboBox_TyHlo_yksikko_00000036</v>
      </c>
      <c r="AF43" t="s">
        <v>1626</v>
      </c>
      <c r="AG43" s="739" t="str">
        <f t="shared" si="0"/>
        <v/>
      </c>
      <c r="AH43" s="739" t="str">
        <f t="shared" si="1"/>
        <v/>
      </c>
      <c r="AI43"/>
      <c r="AJ43" s="739" t="str">
        <f t="shared" si="2"/>
        <v/>
      </c>
      <c r="AK43" s="739" t="str">
        <f t="shared" si="3"/>
        <v/>
      </c>
      <c r="AL43">
        <v>36</v>
      </c>
      <c r="AN43" s="632" t="s">
        <v>1098</v>
      </c>
      <c r="AP43" s="27">
        <f>SUMIFS(AS!$W:$W,AS!$BO:$BO,$W$7,AS!$AB:$AB,AS!$AA$1,AS!$AV:$AV,$X$5,AS!$AH:$AH,$X$8,AS!$BB:$BB,AS!$BA$1,AS!$AX:$AX,'Päättäminen, tila, kesto'!$AO43,AS!$AW:$AW,'Päättäminen, tila, kesto'!$Y$6,AS!$X:$X,'Päättäminen, tila, kesto'!$Y$5,AS!$K:$K,'Päättäminen, tila, kesto'!$V$2)</f>
        <v>0</v>
      </c>
      <c r="AQ43" s="27">
        <f>SUMIFS(AS!$W:$W,AS!$BO:$BO,$W$7,AS!$AB:$AB,AS!$AA$1,AS!$AV:$AV,$X$5,AS!$I:$I,$X$7,AS!$AH:$AH,$X$8,AS!BB:BB,AS!$BA$1,AS!$AX:$AX,'Päättäminen, tila, kesto'!$AO43,AS!$AW:$AW,'Päättäminen, tila, kesto'!$Y$6,AS!$X:$X,'Päättäminen, tila, kesto'!$Y$5,AS!$K:$K,'Päättäminen, tila, kesto'!$V$2)</f>
        <v>0</v>
      </c>
      <c r="AR43" s="27">
        <f>SUMIFS(AS!$W:$W,AS!$BO:$BO,$W$7,AS!$AB:$AB,AS!$AA$1,AS!$AV:$AV,$X$5,AS!$I:$I,$Y$7,AS!$AH:$AH,$X$8,AS!BB:BB,AS!$BA$1,AS!$AX:$AX,'Päättäminen, tila, kesto'!$AO43,AS!$AW:$AW,'Päättäminen, tila, kesto'!$Y$6,AS!$X:$X,'Päättäminen, tila, kesto'!$Y$5,AS!$K:$K,'Päättäminen, tila, kesto'!$V$2)</f>
        <v>0</v>
      </c>
      <c r="AS43" s="27">
        <f>SUMIFS(AS!$W:$W,AS!$BO:$BO,$W$7,AS!$AB:$AB,AS!$AA$1,AS!$AV:$AV,$X$5,AS!$AH:$AH,$Y$8,AS!BB:BB,AS!$BA$1,AS!$AX:$AX,'Päättäminen, tila, kesto'!$AO43,AS!$AW:$AW,'Päättäminen, tila, kesto'!$Y$6,AS!$X:$X,'Päättäminen, tila, kesto'!$Y$5,AS!$K:$K,'Päättäminen, tila, kesto'!$V$2)</f>
        <v>0</v>
      </c>
      <c r="AU43" s="27">
        <f>SUMIFS(AS!$W:$W,AS!$BO:$BO,$W$7,AS!$AB:$AB,AS!$AA$1,AS!$AV:$AV,$X$5,AS!$AH:$AH,$X$8,AS!$BB:$BB,AS!$BA$1,AS!$AX:$AX,'Päättäminen, tila, kesto'!$AT43,AS!$AW:$AW,'Päättäminen, tila, kesto'!$Y$6,AS!$X:$X,'Päättäminen, tila, kesto'!$Y$5,AS!$K:$K,'Päättäminen, tila, kesto'!$V$2)</f>
        <v>0</v>
      </c>
      <c r="AV43" s="27">
        <f>SUMIFS(AS!$W:$W,AS!$BO:$BO,$W$7,AS!$AB:$AB,AS!$AA$1,AS!$AV:$AV,$X$5,AS!$I:$I,$X$7,AS!$AH:$AH,$X$8,AS!$BB:$BB,AS!$BA$1,AS!$AX:$AX,'Päättäminen, tila, kesto'!$AT43,AS!$AW:$AW,'Päättäminen, tila, kesto'!$Y$6,AS!$X:$X,'Päättäminen, tila, kesto'!$Y$5,AS!$K:$K,'Päättäminen, tila, kesto'!$V$2)</f>
        <v>0</v>
      </c>
      <c r="AW43" s="27">
        <f>SUMIFS(AS!$W:$W,AS!$BO:$BO,$W$7,AS!$AB:$AB,AS!$AA$1,AS!$AV:$AV,$X$5,AS!$I:$I,$Y$7,AS!$AH:$AH,$X$8,AS!$BB:$BB,AS!$BA$1,AS!$AX:$AX,'Päättäminen, tila, kesto'!$AT43,AS!$AW:$AW,'Päättäminen, tila, kesto'!$Y$6,AS!$X:$X,'Päättäminen, tila, kesto'!$Y$5,AS!$K:$K,'Päättäminen, tila, kesto'!$V$2)</f>
        <v>0</v>
      </c>
      <c r="AX43" s="27">
        <f>SUMIFS(AS!$W:$W,AS!$BO:$BO,$W$7,AS!$AB:$AB,AS!$AA$1,AS!$AV:$AV,$X$5,AS!$AH:$AH,$Y$8,AS!$BB:$BB,AS!$BA$1,AS!$AX:$AX,'Päättäminen, tila, kesto'!$AT43,AS!$AW:$AW,'Päättäminen, tila, kesto'!$Y$6,AS!$X:$X,'Päättäminen, tila, kesto'!$Y$5,AS!$K:$K,'Päättäminen, tila, kesto'!$V$2)</f>
        <v>0</v>
      </c>
      <c r="BA43"/>
      <c r="BB43"/>
      <c r="BC43"/>
      <c r="BD43"/>
    </row>
    <row r="44" spans="1:56" ht="15" x14ac:dyDescent="0.25">
      <c r="A44" s="626"/>
      <c r="B44" s="298" t="s">
        <v>1389</v>
      </c>
      <c r="C44" s="148">
        <f>SUMIFS(AS!$W:$W,AS!$BO:$BO,$W$7,AS!$AB:$AB,AS!$AA$1,AS!$AV:$AV,$X$5,AS!$AH:$AH,$X$8,AS!$BB:$BB,AS!$BA$1,AS!$AX:$AX,'Päättäminen, tila, kesto'!$AN44,AS!$AW:$AW,'Päättäminen, tila, kesto'!$Y$6,AS!$X:$X,'Päättäminen, tila, kesto'!$Y$5,AS!$K:$K,'Päättäminen, tila, kesto'!$V$2)+AP44+AU44</f>
        <v>0</v>
      </c>
      <c r="D44" s="330" t="str">
        <f t="shared" si="11"/>
        <v>-</v>
      </c>
      <c r="E44" s="148">
        <f>SUMIFS(AS!$W:$W,AS!$BO:$BO,$W$7,AS!$AB:$AB,AS!$AA$1,AS!$AV:$AV,$X$5,AS!$I:$I,$X$7,AS!$AH:$AH,$X$8,AS!BB:BB,AS!$BA$1,AS!$AX:$AX,'Päättäminen, tila, kesto'!$AN44,AS!$AW:$AW,'Päättäminen, tila, kesto'!$Y$6,AS!$X:$X,'Päättäminen, tila, kesto'!$Y$5,AS!$K:$K,'Päättäminen, tila, kesto'!$V$2)+AQ44+AV44</f>
        <v>0</v>
      </c>
      <c r="F44" s="148">
        <f>SUMIFS(AS!$W:$W,AS!$BO:$BO,$W$7,AS!$AB:$AB,AS!$AA$1,AS!$AV:$AV,$X$5,AS!$I:$I,$Y$7,AS!$AH:$AH,$X$8,AS!BB:BB,AS!$BA$1,AS!$AX:$AX,'Päättäminen, tila, kesto'!$AN44,AS!$AW:$AW,'Päättäminen, tila, kesto'!$Y$6,AS!$X:$X,'Päättäminen, tila, kesto'!$Y$5,AS!$K:$K,'Päättäminen, tila, kesto'!$V$2)+AR44+AW44</f>
        <v>0</v>
      </c>
      <c r="G44" s="148">
        <f>SUMIFS(AS!$W:$W,AS!$BO:$BO,$W$7,AS!$AB:$AB,AS!$AA$1,AS!$AV:$AV,$X$5,AS!$AH:$AH,$Y$8,AS!BB:BB,AS!$BA$1,AS!$AX:$AX,'Päättäminen, tila, kesto'!$AN44,AS!$AW:$AW,'Päättäminen, tila, kesto'!$Y$6,AS!$X:$X,'Päättäminen, tila, kesto'!$Y$5,AS!$K:$K,'Päättäminen, tila, kesto'!$V$2)+AS44+AX44</f>
        <v>0</v>
      </c>
      <c r="H44" s="217"/>
      <c r="I44" s="218"/>
      <c r="J44" s="218"/>
      <c r="K44" s="218"/>
      <c r="L44" s="219"/>
      <c r="M44" s="387" t="s">
        <v>1389</v>
      </c>
      <c r="N44" s="388">
        <f t="shared" si="4"/>
        <v>0</v>
      </c>
      <c r="O44" s="388">
        <f t="shared" si="5"/>
        <v>0</v>
      </c>
      <c r="P44" s="27"/>
      <c r="Q44" s="27"/>
      <c r="AA44" s="176" t="str">
        <f>IFERROR(IF(INDEX(Data_Omakoodi!H:H,MATCH($AK$3&amp;$AL44,Data_Omakoodi!A:A,0))="P","",$AK$3&amp;$AL44),$AK$3&amp;$AL44)</f>
        <v>ComboBox_EtKuntakoodi_00000037</v>
      </c>
      <c r="AB44" s="44" t="str">
        <f>IFERROR(INDEX(Data_Omakoodi!E:E,MATCH(AA44,Data_Omakoodi!A:A,0)),"")</f>
        <v/>
      </c>
      <c r="AC44" t="str">
        <f>IFERROR(IF(INDEX(Data_Omakoodi!H:H,MATCH($AH$3&amp;$AL44,Data_Omakoodi!A:A,0))="P","",$AH$3&amp;$AL44),$AH$3&amp;$AL44)</f>
        <v>ComboBox_TyHlo_yksikko_00000037</v>
      </c>
      <c r="AD44" s="44" t="str">
        <f>IFERROR(INDEX(Data_Omakoodi!E:E,MATCH(AC44,Data_Omakoodi!A:A,0)),"")</f>
        <v/>
      </c>
      <c r="AE44" t="str">
        <f>IFERROR(IF(INDEX(Data_Omakoodi!H:H,MATCH($AH$3&amp;$AL44,Data_Omakoodi!A:A,0))="P","",$AH$3&amp;$AL44),$AH$3&amp;$AL44)</f>
        <v>ComboBox_TyHlo_yksikko_00000037</v>
      </c>
      <c r="AF44" t="s">
        <v>1627</v>
      </c>
      <c r="AG44" s="739" t="str">
        <f t="shared" si="0"/>
        <v/>
      </c>
      <c r="AH44" s="739" t="str">
        <f t="shared" si="1"/>
        <v/>
      </c>
      <c r="AI44"/>
      <c r="AJ44" s="739" t="str">
        <f t="shared" si="2"/>
        <v/>
      </c>
      <c r="AK44" s="739" t="str">
        <f t="shared" si="3"/>
        <v/>
      </c>
      <c r="AL44">
        <v>37</v>
      </c>
      <c r="AN44" s="630" t="s">
        <v>1221</v>
      </c>
      <c r="AP44" s="27">
        <f>SUMIFS(AS!$W:$W,AS!$BO:$BO,$W$7,AS!$AB:$AB,AS!$AA$1,AS!$AV:$AV,$X$5,AS!$AH:$AH,$X$8,AS!$BB:$BB,AS!$BA$1,AS!$AX:$AX,'Päättäminen, tila, kesto'!$AO44,AS!$AW:$AW,'Päättäminen, tila, kesto'!$Y$6,AS!$X:$X,'Päättäminen, tila, kesto'!$Y$5,AS!$K:$K,'Päättäminen, tila, kesto'!$V$2)</f>
        <v>0</v>
      </c>
      <c r="AQ44" s="27">
        <f>SUMIFS(AS!$W:$W,AS!$BO:$BO,$W$7,AS!$AB:$AB,AS!$AA$1,AS!$AV:$AV,$X$5,AS!$I:$I,$X$7,AS!$AH:$AH,$X$8,AS!BB:BB,AS!$BA$1,AS!$AX:$AX,'Päättäminen, tila, kesto'!$AO44,AS!$AW:$AW,'Päättäminen, tila, kesto'!$Y$6,AS!$X:$X,'Päättäminen, tila, kesto'!$Y$5,AS!$K:$K,'Päättäminen, tila, kesto'!$V$2)</f>
        <v>0</v>
      </c>
      <c r="AR44" s="27">
        <f>SUMIFS(AS!$W:$W,AS!$BO:$BO,$W$7,AS!$AB:$AB,AS!$AA$1,AS!$AV:$AV,$X$5,AS!$I:$I,$Y$7,AS!$AH:$AH,$X$8,AS!BB:BB,AS!$BA$1,AS!$AX:$AX,'Päättäminen, tila, kesto'!$AO44,AS!$AW:$AW,'Päättäminen, tila, kesto'!$Y$6,AS!$X:$X,'Päättäminen, tila, kesto'!$Y$5,AS!$K:$K,'Päättäminen, tila, kesto'!$V$2)</f>
        <v>0</v>
      </c>
      <c r="AS44" s="27">
        <f>SUMIFS(AS!$W:$W,AS!$BO:$BO,$W$7,AS!$AB:$AB,AS!$AA$1,AS!$AV:$AV,$X$5,AS!$AH:$AH,$Y$8,AS!BB:BB,AS!$BA$1,AS!$AX:$AX,'Päättäminen, tila, kesto'!$AO44,AS!$AW:$AW,'Päättäminen, tila, kesto'!$Y$6,AS!$X:$X,'Päättäminen, tila, kesto'!$Y$5,AS!$K:$K,'Päättäminen, tila, kesto'!$V$2)</f>
        <v>0</v>
      </c>
      <c r="AU44" s="27">
        <f>SUMIFS(AS!$W:$W,AS!$BO:$BO,$W$7,AS!$AB:$AB,AS!$AA$1,AS!$AV:$AV,$X$5,AS!$AH:$AH,$X$8,AS!$BB:$BB,AS!$BA$1,AS!$AX:$AX,'Päättäminen, tila, kesto'!$AT44,AS!$AW:$AW,'Päättäminen, tila, kesto'!$Y$6,AS!$X:$X,'Päättäminen, tila, kesto'!$Y$5,AS!$K:$K,'Päättäminen, tila, kesto'!$V$2)</f>
        <v>0</v>
      </c>
      <c r="AV44" s="27">
        <f>SUMIFS(AS!$W:$W,AS!$BO:$BO,$W$7,AS!$AB:$AB,AS!$AA$1,AS!$AV:$AV,$X$5,AS!$I:$I,$X$7,AS!$AH:$AH,$X$8,AS!$BB:$BB,AS!$BA$1,AS!$AX:$AX,'Päättäminen, tila, kesto'!$AT44,AS!$AW:$AW,'Päättäminen, tila, kesto'!$Y$6,AS!$X:$X,'Päättäminen, tila, kesto'!$Y$5,AS!$K:$K,'Päättäminen, tila, kesto'!$V$2)</f>
        <v>0</v>
      </c>
      <c r="AW44" s="27">
        <f>SUMIFS(AS!$W:$W,AS!$BO:$BO,$W$7,AS!$AB:$AB,AS!$AA$1,AS!$AV:$AV,$X$5,AS!$I:$I,$Y$7,AS!$AH:$AH,$X$8,AS!$BB:$BB,AS!$BA$1,AS!$AX:$AX,'Päättäminen, tila, kesto'!$AT44,AS!$AW:$AW,'Päättäminen, tila, kesto'!$Y$6,AS!$X:$X,'Päättäminen, tila, kesto'!$Y$5,AS!$K:$K,'Päättäminen, tila, kesto'!$V$2)</f>
        <v>0</v>
      </c>
      <c r="AX44" s="27">
        <f>SUMIFS(AS!$W:$W,AS!$BO:$BO,$W$7,AS!$AB:$AB,AS!$AA$1,AS!$AV:$AV,$X$5,AS!$AH:$AH,$Y$8,AS!$BB:$BB,AS!$BA$1,AS!$AX:$AX,'Päättäminen, tila, kesto'!$AT44,AS!$AW:$AW,'Päättäminen, tila, kesto'!$Y$6,AS!$X:$X,'Päättäminen, tila, kesto'!$Y$5,AS!$K:$K,'Päättäminen, tila, kesto'!$V$2)</f>
        <v>0</v>
      </c>
      <c r="BA44"/>
      <c r="BB44"/>
      <c r="BC44"/>
      <c r="BD44"/>
    </row>
    <row r="45" spans="1:56" ht="15" x14ac:dyDescent="0.25">
      <c r="A45" s="626"/>
      <c r="B45" s="298" t="s">
        <v>689</v>
      </c>
      <c r="C45" s="148">
        <f>SUMIFS(AS!$W:$W,AS!$BO:$BO,$W$7,AS!$AB:$AB,AS!$AA$1,AS!$AV:$AV,$X$5,AS!$AH:$AH,$X$8,AS!$BB:$BB,AS!$BA$1,AS!$AX:$AX,'Päättäminen, tila, kesto'!$AN45,AS!$AW:$AW,'Päättäminen, tila, kesto'!$Y$6,AS!$X:$X,'Päättäminen, tila, kesto'!$Y$5,AS!$K:$K,'Päättäminen, tila, kesto'!$V$2)+AP45+AU45</f>
        <v>0</v>
      </c>
      <c r="D45" s="330" t="str">
        <f t="shared" si="11"/>
        <v>-</v>
      </c>
      <c r="E45" s="148">
        <f>SUMIFS(AS!$W:$W,AS!$BO:$BO,$W$7,AS!$AB:$AB,AS!$AA$1,AS!$AV:$AV,$X$5,AS!$I:$I,$X$7,AS!$AH:$AH,$X$8,AS!BB:BB,AS!$BA$1,AS!$AX:$AX,'Päättäminen, tila, kesto'!$AN45,AS!$AW:$AW,'Päättäminen, tila, kesto'!$Y$6,AS!$X:$X,'Päättäminen, tila, kesto'!$Y$5,AS!$K:$K,'Päättäminen, tila, kesto'!$V$2)+AQ45+AV45</f>
        <v>0</v>
      </c>
      <c r="F45" s="148">
        <f>SUMIFS(AS!$W:$W,AS!$BO:$BO,$W$7,AS!$AB:$AB,AS!$AA$1,AS!$AV:$AV,$X$5,AS!$I:$I,$Y$7,AS!$AH:$AH,$X$8,AS!BB:BB,AS!$BA$1,AS!$AX:$AX,'Päättäminen, tila, kesto'!$AN45,AS!$AW:$AW,'Päättäminen, tila, kesto'!$Y$6,AS!$X:$X,'Päättäminen, tila, kesto'!$Y$5,AS!$K:$K,'Päättäminen, tila, kesto'!$V$2)+AR45+AW45</f>
        <v>0</v>
      </c>
      <c r="G45" s="148">
        <f>SUMIFS(AS!$W:$W,AS!$BO:$BO,$W$7,AS!$AB:$AB,AS!$AA$1,AS!$AV:$AV,$X$5,AS!$AH:$AH,$Y$8,AS!BB:BB,AS!$BA$1,AS!$AX:$AX,'Päättäminen, tila, kesto'!$AN45,AS!$AW:$AW,'Päättäminen, tila, kesto'!$Y$6,AS!$X:$X,'Päättäminen, tila, kesto'!$Y$5,AS!$K:$K,'Päättäminen, tila, kesto'!$V$2)+AS45+AX45</f>
        <v>0</v>
      </c>
      <c r="H45" s="217"/>
      <c r="I45" s="218"/>
      <c r="J45" s="218"/>
      <c r="K45" s="218"/>
      <c r="L45" s="219"/>
      <c r="M45" s="387" t="s">
        <v>689</v>
      </c>
      <c r="N45" s="388">
        <f t="shared" si="4"/>
        <v>0</v>
      </c>
      <c r="O45" s="388">
        <f t="shared" si="5"/>
        <v>0</v>
      </c>
      <c r="P45" s="27"/>
      <c r="Q45" s="27"/>
      <c r="AA45" s="176" t="str">
        <f>IFERROR(IF(INDEX(Data_Omakoodi!H:H,MATCH($AK$3&amp;$AL45,Data_Omakoodi!A:A,0))="P","",$AK$3&amp;$AL45),$AK$3&amp;$AL45)</f>
        <v>ComboBox_EtKuntakoodi_00000038</v>
      </c>
      <c r="AB45" s="44" t="str">
        <f>IFERROR(INDEX(Data_Omakoodi!E:E,MATCH(AA45,Data_Omakoodi!A:A,0)),"")</f>
        <v/>
      </c>
      <c r="AC45" t="str">
        <f>IFERROR(IF(INDEX(Data_Omakoodi!H:H,MATCH($AH$3&amp;$AL45,Data_Omakoodi!A:A,0))="P","",$AH$3&amp;$AL45),$AH$3&amp;$AL45)</f>
        <v>ComboBox_TyHlo_yksikko_00000038</v>
      </c>
      <c r="AD45" s="44" t="str">
        <f>IFERROR(INDEX(Data_Omakoodi!E:E,MATCH(AC45,Data_Omakoodi!A:A,0)),"")</f>
        <v/>
      </c>
      <c r="AE45" t="str">
        <f>IFERROR(IF(INDEX(Data_Omakoodi!H:H,MATCH($AH$3&amp;$AL45,Data_Omakoodi!A:A,0))="P","",$AH$3&amp;$AL45),$AH$3&amp;$AL45)</f>
        <v>ComboBox_TyHlo_yksikko_00000038</v>
      </c>
      <c r="AF45" t="s">
        <v>1628</v>
      </c>
      <c r="AG45" s="739" t="str">
        <f t="shared" si="0"/>
        <v/>
      </c>
      <c r="AH45" s="739" t="str">
        <f t="shared" si="1"/>
        <v/>
      </c>
      <c r="AI45"/>
      <c r="AJ45" s="739" t="str">
        <f t="shared" si="2"/>
        <v/>
      </c>
      <c r="AK45" s="739" t="str">
        <f t="shared" si="3"/>
        <v/>
      </c>
      <c r="AL45">
        <v>38</v>
      </c>
      <c r="AN45" s="629" t="s">
        <v>536</v>
      </c>
      <c r="AP45" s="27">
        <f>SUMIFS(AS!$W:$W,AS!$BO:$BO,$W$7,AS!$AB:$AB,AS!$AA$1,AS!$AV:$AV,$X$5,AS!$AH:$AH,$X$8,AS!$BB:$BB,AS!$BA$1,AS!$AX:$AX,'Päättäminen, tila, kesto'!$AO45,AS!$AW:$AW,'Päättäminen, tila, kesto'!$Y$6,AS!$X:$X,'Päättäminen, tila, kesto'!$Y$5,AS!$K:$K,'Päättäminen, tila, kesto'!$V$2)</f>
        <v>0</v>
      </c>
      <c r="AQ45" s="27">
        <f>SUMIFS(AS!$W:$W,AS!$BO:$BO,$W$7,AS!$AB:$AB,AS!$AA$1,AS!$AV:$AV,$X$5,AS!$I:$I,$X$7,AS!$AH:$AH,$X$8,AS!BB:BB,AS!$BA$1,AS!$AX:$AX,'Päättäminen, tila, kesto'!$AO45,AS!$AW:$AW,'Päättäminen, tila, kesto'!$Y$6,AS!$X:$X,'Päättäminen, tila, kesto'!$Y$5,AS!$K:$K,'Päättäminen, tila, kesto'!$V$2)</f>
        <v>0</v>
      </c>
      <c r="AR45" s="27">
        <f>SUMIFS(AS!$W:$W,AS!$BO:$BO,$W$7,AS!$AB:$AB,AS!$AA$1,AS!$AV:$AV,$X$5,AS!$I:$I,$Y$7,AS!$AH:$AH,$X$8,AS!BB:BB,AS!$BA$1,AS!$AX:$AX,'Päättäminen, tila, kesto'!$AO45,AS!$AW:$AW,'Päättäminen, tila, kesto'!$Y$6,AS!$X:$X,'Päättäminen, tila, kesto'!$Y$5,AS!$K:$K,'Päättäminen, tila, kesto'!$V$2)</f>
        <v>0</v>
      </c>
      <c r="AS45" s="27">
        <f>SUMIFS(AS!$W:$W,AS!$BO:$BO,$W$7,AS!$AB:$AB,AS!$AA$1,AS!$AV:$AV,$X$5,AS!$AH:$AH,$Y$8,AS!BB:BB,AS!$BA$1,AS!$AX:$AX,'Päättäminen, tila, kesto'!$AO45,AS!$AW:$AW,'Päättäminen, tila, kesto'!$Y$6,AS!$X:$X,'Päättäminen, tila, kesto'!$Y$5,AS!$K:$K,'Päättäminen, tila, kesto'!$V$2)</f>
        <v>0</v>
      </c>
      <c r="AU45" s="27">
        <f>SUMIFS(AS!$W:$W,AS!$BO:$BO,$W$7,AS!$AB:$AB,AS!$AA$1,AS!$AV:$AV,$X$5,AS!$AH:$AH,$X$8,AS!$BB:$BB,AS!$BA$1,AS!$AX:$AX,'Päättäminen, tila, kesto'!$AT45,AS!$AW:$AW,'Päättäminen, tila, kesto'!$Y$6,AS!$X:$X,'Päättäminen, tila, kesto'!$Y$5,AS!$K:$K,'Päättäminen, tila, kesto'!$V$2)</f>
        <v>0</v>
      </c>
      <c r="AV45" s="27">
        <f>SUMIFS(AS!$W:$W,AS!$BO:$BO,$W$7,AS!$AB:$AB,AS!$AA$1,AS!$AV:$AV,$X$5,AS!$I:$I,$X$7,AS!$AH:$AH,$X$8,AS!$BB:$BB,AS!$BA$1,AS!$AX:$AX,'Päättäminen, tila, kesto'!$AT45,AS!$AW:$AW,'Päättäminen, tila, kesto'!$Y$6,AS!$X:$X,'Päättäminen, tila, kesto'!$Y$5,AS!$K:$K,'Päättäminen, tila, kesto'!$V$2)</f>
        <v>0</v>
      </c>
      <c r="AW45" s="27">
        <f>SUMIFS(AS!$W:$W,AS!$BO:$BO,$W$7,AS!$AB:$AB,AS!$AA$1,AS!$AV:$AV,$X$5,AS!$I:$I,$Y$7,AS!$AH:$AH,$X$8,AS!$BB:$BB,AS!$BA$1,AS!$AX:$AX,'Päättäminen, tila, kesto'!$AT45,AS!$AW:$AW,'Päättäminen, tila, kesto'!$Y$6,AS!$X:$X,'Päättäminen, tila, kesto'!$Y$5,AS!$K:$K,'Päättäminen, tila, kesto'!$V$2)</f>
        <v>0</v>
      </c>
      <c r="AX45" s="27">
        <f>SUMIFS(AS!$W:$W,AS!$BO:$BO,$W$7,AS!$AB:$AB,AS!$AA$1,AS!$AV:$AV,$X$5,AS!$AH:$AH,$Y$8,AS!$BB:$BB,AS!$BA$1,AS!$AX:$AX,'Päättäminen, tila, kesto'!$AT45,AS!$AW:$AW,'Päättäminen, tila, kesto'!$Y$6,AS!$X:$X,'Päättäminen, tila, kesto'!$Y$5,AS!$K:$K,'Päättäminen, tila, kesto'!$V$2)</f>
        <v>0</v>
      </c>
      <c r="BA45"/>
      <c r="BB45"/>
      <c r="BC45"/>
      <c r="BD45"/>
    </row>
    <row r="46" spans="1:56" ht="15" x14ac:dyDescent="0.25">
      <c r="A46" s="626"/>
      <c r="B46" s="299" t="s">
        <v>609</v>
      </c>
      <c r="C46" s="343">
        <f>SUM(C47:C53)</f>
        <v>0</v>
      </c>
      <c r="D46" s="344" t="str">
        <f>IFERROR(C46/C$62,"-")</f>
        <v>-</v>
      </c>
      <c r="E46" s="343">
        <f t="shared" ref="E46:G46" si="12">SUM(E47:E53)</f>
        <v>0</v>
      </c>
      <c r="F46" s="343">
        <f t="shared" si="12"/>
        <v>0</v>
      </c>
      <c r="G46" s="343">
        <f t="shared" si="12"/>
        <v>0</v>
      </c>
      <c r="H46" s="214"/>
      <c r="I46" s="215"/>
      <c r="J46" s="215"/>
      <c r="K46" s="215"/>
      <c r="L46" s="216"/>
      <c r="M46" s="387"/>
      <c r="N46" s="388"/>
      <c r="O46" s="388"/>
      <c r="P46" s="27"/>
      <c r="Q46" s="27"/>
      <c r="AA46" s="176" t="str">
        <f>IFERROR(IF(INDEX(Data_Omakoodi!H:H,MATCH($AK$3&amp;$AL46,Data_Omakoodi!A:A,0))="P","",$AK$3&amp;$AL46),$AK$3&amp;$AL46)</f>
        <v>ComboBox_EtKuntakoodi_00000039</v>
      </c>
      <c r="AB46" s="44" t="str">
        <f>IFERROR(INDEX(Data_Omakoodi!E:E,MATCH(AA46,Data_Omakoodi!A:A,0)),"")</f>
        <v/>
      </c>
      <c r="AC46" t="str">
        <f>IFERROR(IF(INDEX(Data_Omakoodi!H:H,MATCH($AH$3&amp;$AL46,Data_Omakoodi!A:A,0))="P","",$AH$3&amp;$AL46),$AH$3&amp;$AL46)</f>
        <v>ComboBox_TyHlo_yksikko_00000039</v>
      </c>
      <c r="AD46" s="44" t="str">
        <f>IFERROR(INDEX(Data_Omakoodi!E:E,MATCH(AC46,Data_Omakoodi!A:A,0)),"")</f>
        <v/>
      </c>
      <c r="AE46" t="str">
        <f>IFERROR(IF(INDEX(Data_Omakoodi!H:H,MATCH($AH$3&amp;$AL46,Data_Omakoodi!A:A,0))="P","",$AH$3&amp;$AL46),$AH$3&amp;$AL46)</f>
        <v>ComboBox_TyHlo_yksikko_00000039</v>
      </c>
      <c r="AF46" t="s">
        <v>1629</v>
      </c>
      <c r="AG46" s="739" t="str">
        <f t="shared" si="0"/>
        <v/>
      </c>
      <c r="AH46" s="739" t="str">
        <f t="shared" si="1"/>
        <v/>
      </c>
      <c r="AI46"/>
      <c r="AJ46" s="739" t="str">
        <f t="shared" si="2"/>
        <v/>
      </c>
      <c r="AK46" s="739" t="str">
        <f t="shared" si="3"/>
        <v/>
      </c>
      <c r="AL46">
        <v>39</v>
      </c>
      <c r="AN46" s="629" t="s">
        <v>537</v>
      </c>
      <c r="AP46" s="27">
        <f>SUMIFS(AS!$W:$W,AS!$BO:$BO,$W$7,AS!$AB:$AB,AS!$AA$1,AS!$AV:$AV,$X$5,AS!$AH:$AH,$X$8,AS!$BB:$BB,AS!$BA$1,AS!$AX:$AX,'Päättäminen, tila, kesto'!$AO46,AS!$AW:$AW,'Päättäminen, tila, kesto'!$Y$6,AS!$X:$X,'Päättäminen, tila, kesto'!$Y$5,AS!$K:$K,'Päättäminen, tila, kesto'!$V$2)</f>
        <v>0</v>
      </c>
      <c r="AQ46" s="27">
        <f>SUMIFS(AS!$W:$W,AS!$BO:$BO,$W$7,AS!$AB:$AB,AS!$AA$1,AS!$AV:$AV,$X$5,AS!$I:$I,$X$7,AS!$AH:$AH,$X$8,AS!BB:BB,AS!$BA$1,AS!$AX:$AX,'Päättäminen, tila, kesto'!$AO46,AS!$AW:$AW,'Päättäminen, tila, kesto'!$Y$6,AS!$X:$X,'Päättäminen, tila, kesto'!$Y$5,AS!$K:$K,'Päättäminen, tila, kesto'!$V$2)</f>
        <v>0</v>
      </c>
      <c r="AR46" s="27">
        <f>SUMIFS(AS!$W:$W,AS!$BO:$BO,$W$7,AS!$AB:$AB,AS!$AA$1,AS!$AV:$AV,$X$5,AS!$I:$I,$Y$7,AS!$AH:$AH,$X$8,AS!BB:BB,AS!$BA$1,AS!$AX:$AX,'Päättäminen, tila, kesto'!$AO46,AS!$AW:$AW,'Päättäminen, tila, kesto'!$Y$6,AS!$X:$X,'Päättäminen, tila, kesto'!$Y$5,AS!$K:$K,'Päättäminen, tila, kesto'!$V$2)</f>
        <v>0</v>
      </c>
      <c r="AS46" s="27">
        <f>SUMIFS(AS!$W:$W,AS!$BO:$BO,$W$7,AS!$AB:$AB,AS!$AA$1,AS!$AV:$AV,$X$5,AS!$AH:$AH,$Y$8,AS!BB:BB,AS!$BA$1,AS!$AX:$AX,'Päättäminen, tila, kesto'!$AO46,AS!$AW:$AW,'Päättäminen, tila, kesto'!$Y$6,AS!$X:$X,'Päättäminen, tila, kesto'!$Y$5,AS!$K:$K,'Päättäminen, tila, kesto'!$V$2)</f>
        <v>0</v>
      </c>
      <c r="AU46" s="27">
        <f>SUMIFS(AS!$W:$W,AS!$BO:$BO,$W$7,AS!$AB:$AB,AS!$AA$1,AS!$AV:$AV,$X$5,AS!$AH:$AH,$X$8,AS!$BB:$BB,AS!$BA$1,AS!$AX:$AX,'Päättäminen, tila, kesto'!$AT46,AS!$AW:$AW,'Päättäminen, tila, kesto'!$Y$6,AS!$X:$X,'Päättäminen, tila, kesto'!$Y$5,AS!$K:$K,'Päättäminen, tila, kesto'!$V$2)</f>
        <v>0</v>
      </c>
      <c r="AV46" s="27">
        <f>SUMIFS(AS!$W:$W,AS!$BO:$BO,$W$7,AS!$AB:$AB,AS!$AA$1,AS!$AV:$AV,$X$5,AS!$I:$I,$X$7,AS!$AH:$AH,$X$8,AS!$BB:$BB,AS!$BA$1,AS!$AX:$AX,'Päättäminen, tila, kesto'!$AT46,AS!$AW:$AW,'Päättäminen, tila, kesto'!$Y$6,AS!$X:$X,'Päättäminen, tila, kesto'!$Y$5,AS!$K:$K,'Päättäminen, tila, kesto'!$V$2)</f>
        <v>0</v>
      </c>
      <c r="AW46" s="27">
        <f>SUMIFS(AS!$W:$W,AS!$BO:$BO,$W$7,AS!$AB:$AB,AS!$AA$1,AS!$AV:$AV,$X$5,AS!$I:$I,$Y$7,AS!$AH:$AH,$X$8,AS!$BB:$BB,AS!$BA$1,AS!$AX:$AX,'Päättäminen, tila, kesto'!$AT46,AS!$AW:$AW,'Päättäminen, tila, kesto'!$Y$6,AS!$X:$X,'Päättäminen, tila, kesto'!$Y$5,AS!$K:$K,'Päättäminen, tila, kesto'!$V$2)</f>
        <v>0</v>
      </c>
      <c r="AX46" s="27">
        <f>SUMIFS(AS!$W:$W,AS!$BO:$BO,$W$7,AS!$AB:$AB,AS!$AA$1,AS!$AV:$AV,$X$5,AS!$AH:$AH,$Y$8,AS!$BB:$BB,AS!$BA$1,AS!$AX:$AX,'Päättäminen, tila, kesto'!$AT46,AS!$AW:$AW,'Päättäminen, tila, kesto'!$Y$6,AS!$X:$X,'Päättäminen, tila, kesto'!$Y$5,AS!$K:$K,'Päättäminen, tila, kesto'!$V$2)</f>
        <v>0</v>
      </c>
      <c r="BA46"/>
      <c r="BB46"/>
      <c r="BC46"/>
      <c r="BD46"/>
    </row>
    <row r="47" spans="1:56" ht="15" x14ac:dyDescent="0.25">
      <c r="A47" s="626"/>
      <c r="B47" s="298" t="s">
        <v>690</v>
      </c>
      <c r="C47" s="148">
        <f>SUMIFS(AS!$W:$W,AS!$BO:$BO,$W$7,AS!$AB:$AB,AS!$AA$1,AS!$AV:$AV,$X$5,AS!$AH:$AH,$X$8,AS!$BB:$BB,AS!$BA$1,AS!$AX:$AX,'Päättäminen, tila, kesto'!$AN47,AS!$AW:$AW,'Päättäminen, tila, kesto'!$Y$6,AS!$X:$X,'Päättäminen, tila, kesto'!$Y$5,AS!$K:$K,'Päättäminen, tila, kesto'!$V$2)+AP47+AU47</f>
        <v>0</v>
      </c>
      <c r="D47" s="330" t="str">
        <f t="shared" ref="D47:D53" si="13">IFERROR(C47/C$62,"-")</f>
        <v>-</v>
      </c>
      <c r="E47" s="148">
        <f>SUMIFS(AS!$W:$W,AS!$BO:$BO,$W$7,AS!$AB:$AB,AS!$AA$1,AS!$AV:$AV,$X$5,AS!$I:$I,$X$7,AS!$AH:$AH,$X$8,AS!BB:BB,AS!$BA$1,AS!$AX:$AX,'Päättäminen, tila, kesto'!$AN47,AS!$AW:$AW,'Päättäminen, tila, kesto'!$Y$6,AS!$X:$X,'Päättäminen, tila, kesto'!$Y$5,AS!$K:$K,'Päättäminen, tila, kesto'!$V$2)+AQ47+AV47</f>
        <v>0</v>
      </c>
      <c r="F47" s="148">
        <f>SUMIFS(AS!$W:$W,AS!$BO:$BO,$W$7,AS!$AB:$AB,AS!$AA$1,AS!$AV:$AV,$X$5,AS!$I:$I,$Y$7,AS!$AH:$AH,$X$8,AS!BB:BB,AS!$BA$1,AS!$AX:$AX,'Päättäminen, tila, kesto'!$AN47,AS!$AW:$AW,'Päättäminen, tila, kesto'!$Y$6,AS!$X:$X,'Päättäminen, tila, kesto'!$Y$5,AS!$K:$K,'Päättäminen, tila, kesto'!$V$2)+AR47+AW47</f>
        <v>0</v>
      </c>
      <c r="G47" s="148">
        <f>SUMIFS(AS!$W:$W,AS!$BO:$BO,$W$7,AS!$AB:$AB,AS!$AA$1,AS!$AV:$AV,$X$5,AS!$AH:$AH,$Y$8,AS!BB:BB,AS!$BA$1,AS!$AX:$AX,'Päättäminen, tila, kesto'!$AN47,AS!$AW:$AW,'Päättäminen, tila, kesto'!$Y$6,AS!$X:$X,'Päättäminen, tila, kesto'!$Y$5,AS!$K:$K,'Päättäminen, tila, kesto'!$V$2)+AS47+AX47</f>
        <v>0</v>
      </c>
      <c r="H47" s="217"/>
      <c r="I47" s="218"/>
      <c r="J47" s="218"/>
      <c r="K47" s="218"/>
      <c r="L47" s="219"/>
      <c r="M47" s="387" t="s">
        <v>690</v>
      </c>
      <c r="N47" s="388">
        <f t="shared" si="4"/>
        <v>0</v>
      </c>
      <c r="O47" s="388">
        <f t="shared" si="5"/>
        <v>0</v>
      </c>
      <c r="P47" s="27"/>
      <c r="Q47" s="27"/>
      <c r="AA47" s="176" t="str">
        <f>IFERROR(IF(INDEX(Data_Omakoodi!H:H,MATCH($AK$3&amp;$AL47,Data_Omakoodi!A:A,0))="P","",$AK$3&amp;$AL47),$AK$3&amp;$AL47)</f>
        <v>ComboBox_EtKuntakoodi_00000040</v>
      </c>
      <c r="AB47" s="44" t="str">
        <f>IFERROR(INDEX(Data_Omakoodi!E:E,MATCH(AA47,Data_Omakoodi!A:A,0)),"")</f>
        <v/>
      </c>
      <c r="AC47" t="str">
        <f>IFERROR(IF(INDEX(Data_Omakoodi!H:H,MATCH($AH$3&amp;$AL47,Data_Omakoodi!A:A,0))="P","",$AH$3&amp;$AL47),$AH$3&amp;$AL47)</f>
        <v>ComboBox_TyHlo_yksikko_00000040</v>
      </c>
      <c r="AD47" s="44" t="str">
        <f>IFERROR(INDEX(Data_Omakoodi!E:E,MATCH(AC47,Data_Omakoodi!A:A,0)),"")</f>
        <v/>
      </c>
      <c r="AE47" t="str">
        <f>IFERROR(IF(INDEX(Data_Omakoodi!H:H,MATCH($AH$3&amp;$AL47,Data_Omakoodi!A:A,0))="P","",$AH$3&amp;$AL47),$AH$3&amp;$AL47)</f>
        <v>ComboBox_TyHlo_yksikko_00000040</v>
      </c>
      <c r="AF47" t="s">
        <v>1630</v>
      </c>
      <c r="AG47" s="739" t="str">
        <f t="shared" si="0"/>
        <v/>
      </c>
      <c r="AH47" s="739" t="str">
        <f t="shared" si="1"/>
        <v/>
      </c>
      <c r="AI47"/>
      <c r="AJ47" s="739" t="str">
        <f t="shared" si="2"/>
        <v/>
      </c>
      <c r="AK47" s="739" t="str">
        <f t="shared" si="3"/>
        <v/>
      </c>
      <c r="AL47">
        <v>40</v>
      </c>
      <c r="AN47" s="629" t="s">
        <v>246</v>
      </c>
      <c r="AP47" s="27">
        <f>SUMIFS(AS!$W:$W,AS!$BO:$BO,$W$7,AS!$AB:$AB,AS!$AA$1,AS!$AV:$AV,$X$5,AS!$AH:$AH,$X$8,AS!$BB:$BB,AS!$BA$1,AS!$AX:$AX,'Päättäminen, tila, kesto'!$AO47,AS!$AW:$AW,'Päättäminen, tila, kesto'!$Y$6,AS!$X:$X,'Päättäminen, tila, kesto'!$Y$5,AS!$K:$K,'Päättäminen, tila, kesto'!$V$2)</f>
        <v>0</v>
      </c>
      <c r="AQ47" s="27">
        <f>SUMIFS(AS!$W:$W,AS!$BO:$BO,$W$7,AS!$AB:$AB,AS!$AA$1,AS!$AV:$AV,$X$5,AS!$I:$I,$X$7,AS!$AH:$AH,$X$8,AS!BB:BB,AS!$BA$1,AS!$AX:$AX,'Päättäminen, tila, kesto'!$AO47,AS!$AW:$AW,'Päättäminen, tila, kesto'!$Y$6,AS!$X:$X,'Päättäminen, tila, kesto'!$Y$5,AS!$K:$K,'Päättäminen, tila, kesto'!$V$2)</f>
        <v>0</v>
      </c>
      <c r="AR47" s="27">
        <f>SUMIFS(AS!$W:$W,AS!$BO:$BO,$W$7,AS!$AB:$AB,AS!$AA$1,AS!$AV:$AV,$X$5,AS!$I:$I,$Y$7,AS!$AH:$AH,$X$8,AS!BB:BB,AS!$BA$1,AS!$AX:$AX,'Päättäminen, tila, kesto'!$AO47,AS!$AW:$AW,'Päättäminen, tila, kesto'!$Y$6,AS!$X:$X,'Päättäminen, tila, kesto'!$Y$5,AS!$K:$K,'Päättäminen, tila, kesto'!$V$2)</f>
        <v>0</v>
      </c>
      <c r="AS47" s="27">
        <f>SUMIFS(AS!$W:$W,AS!$BO:$BO,$W$7,AS!$AB:$AB,AS!$AA$1,AS!$AV:$AV,$X$5,AS!$AH:$AH,$Y$8,AS!BB:BB,AS!$BA$1,AS!$AX:$AX,'Päättäminen, tila, kesto'!$AO47,AS!$AW:$AW,'Päättäminen, tila, kesto'!$Y$6,AS!$X:$X,'Päättäminen, tila, kesto'!$Y$5,AS!$K:$K,'Päättäminen, tila, kesto'!$V$2)</f>
        <v>0</v>
      </c>
      <c r="AU47" s="27">
        <f>SUMIFS(AS!$W:$W,AS!$BO:$BO,$W$7,AS!$AB:$AB,AS!$AA$1,AS!$AV:$AV,$X$5,AS!$AH:$AH,$X$8,AS!$BB:$BB,AS!$BA$1,AS!$AX:$AX,'Päättäminen, tila, kesto'!$AT47,AS!$AW:$AW,'Päättäminen, tila, kesto'!$Y$6,AS!$X:$X,'Päättäminen, tila, kesto'!$Y$5,AS!$K:$K,'Päättäminen, tila, kesto'!$V$2)</f>
        <v>0</v>
      </c>
      <c r="AV47" s="27">
        <f>SUMIFS(AS!$W:$W,AS!$BO:$BO,$W$7,AS!$AB:$AB,AS!$AA$1,AS!$AV:$AV,$X$5,AS!$I:$I,$X$7,AS!$AH:$AH,$X$8,AS!$BB:$BB,AS!$BA$1,AS!$AX:$AX,'Päättäminen, tila, kesto'!$AT47,AS!$AW:$AW,'Päättäminen, tila, kesto'!$Y$6,AS!$X:$X,'Päättäminen, tila, kesto'!$Y$5,AS!$K:$K,'Päättäminen, tila, kesto'!$V$2)</f>
        <v>0</v>
      </c>
      <c r="AW47" s="27">
        <f>SUMIFS(AS!$W:$W,AS!$BO:$BO,$W$7,AS!$AB:$AB,AS!$AA$1,AS!$AV:$AV,$X$5,AS!$I:$I,$Y$7,AS!$AH:$AH,$X$8,AS!$BB:$BB,AS!$BA$1,AS!$AX:$AX,'Päättäminen, tila, kesto'!$AT47,AS!$AW:$AW,'Päättäminen, tila, kesto'!$Y$6,AS!$X:$X,'Päättäminen, tila, kesto'!$Y$5,AS!$K:$K,'Päättäminen, tila, kesto'!$V$2)</f>
        <v>0</v>
      </c>
      <c r="AX47" s="27">
        <f>SUMIFS(AS!$W:$W,AS!$BO:$BO,$W$7,AS!$AB:$AB,AS!$AA$1,AS!$AV:$AV,$X$5,AS!$AH:$AH,$Y$8,AS!$BB:$BB,AS!$BA$1,AS!$AX:$AX,'Päättäminen, tila, kesto'!$AT47,AS!$AW:$AW,'Päättäminen, tila, kesto'!$Y$6,AS!$X:$X,'Päättäminen, tila, kesto'!$Y$5,AS!$K:$K,'Päättäminen, tila, kesto'!$V$2)</f>
        <v>0</v>
      </c>
      <c r="BA47"/>
      <c r="BB47"/>
      <c r="BC47"/>
      <c r="BD47"/>
    </row>
    <row r="48" spans="1:56" ht="15" x14ac:dyDescent="0.25">
      <c r="A48" s="626"/>
      <c r="B48" s="298" t="s">
        <v>691</v>
      </c>
      <c r="C48" s="148">
        <f>SUMIFS(AS!$W:$W,AS!$BO:$BO,$W$7,AS!$AB:$AB,AS!$AA$1,AS!$AV:$AV,$X$5,AS!$AH:$AH,$X$8,AS!$BB:$BB,AS!$BA$1,AS!$AX:$AX,'Päättäminen, tila, kesto'!$AN48,AS!$AW:$AW,'Päättäminen, tila, kesto'!$Y$6,AS!$X:$X,'Päättäminen, tila, kesto'!$Y$5,AS!$K:$K,'Päättäminen, tila, kesto'!$V$2)+AP48+AU48</f>
        <v>0</v>
      </c>
      <c r="D48" s="330" t="str">
        <f t="shared" si="13"/>
        <v>-</v>
      </c>
      <c r="E48" s="148">
        <f>SUMIFS(AS!$W:$W,AS!$BO:$BO,$W$7,AS!$AB:$AB,AS!$AA$1,AS!$AV:$AV,$X$5,AS!$I:$I,$X$7,AS!$AH:$AH,$X$8,AS!BB:BB,AS!$BA$1,AS!$AX:$AX,'Päättäminen, tila, kesto'!$AN48,AS!$AW:$AW,'Päättäminen, tila, kesto'!$Y$6,AS!$X:$X,'Päättäminen, tila, kesto'!$Y$5,AS!$K:$K,'Päättäminen, tila, kesto'!$V$2)+AQ48+AV48</f>
        <v>0</v>
      </c>
      <c r="F48" s="148">
        <f>SUMIFS(AS!$W:$W,AS!$BO:$BO,$W$7,AS!$AB:$AB,AS!$AA$1,AS!$AV:$AV,$X$5,AS!$I:$I,$Y$7,AS!$AH:$AH,$X$8,AS!BB:BB,AS!$BA$1,AS!$AX:$AX,'Päättäminen, tila, kesto'!$AN48,AS!$AW:$AW,'Päättäminen, tila, kesto'!$Y$6,AS!$X:$X,'Päättäminen, tila, kesto'!$Y$5,AS!$K:$K,'Päättäminen, tila, kesto'!$V$2)+AR48+AW48</f>
        <v>0</v>
      </c>
      <c r="G48" s="148">
        <f>SUMIFS(AS!$W:$W,AS!$BO:$BO,$W$7,AS!$AB:$AB,AS!$AA$1,AS!$AV:$AV,$X$5,AS!$AH:$AH,$Y$8,AS!BB:BB,AS!$BA$1,AS!$AX:$AX,'Päättäminen, tila, kesto'!$AN48,AS!$AW:$AW,'Päättäminen, tila, kesto'!$Y$6,AS!$X:$X,'Päättäminen, tila, kesto'!$Y$5,AS!$K:$K,'Päättäminen, tila, kesto'!$V$2)+AS48+AX48</f>
        <v>0</v>
      </c>
      <c r="H48" s="217"/>
      <c r="I48" s="218"/>
      <c r="J48" s="218"/>
      <c r="K48" s="218"/>
      <c r="L48" s="219"/>
      <c r="M48" s="387" t="s">
        <v>691</v>
      </c>
      <c r="N48" s="388">
        <f t="shared" si="4"/>
        <v>0</v>
      </c>
      <c r="O48" s="388">
        <f t="shared" si="5"/>
        <v>0</v>
      </c>
      <c r="P48" s="27"/>
      <c r="Q48" s="27"/>
      <c r="AA48" s="176" t="str">
        <f>IFERROR(IF(INDEX(Data_Omakoodi!H:H,MATCH($AK$3&amp;$AL48,Data_Omakoodi!A:A,0))="P","",$AK$3&amp;$AL48),$AK$3&amp;$AL48)</f>
        <v>ComboBox_EtKuntakoodi_00000041</v>
      </c>
      <c r="AB48" s="44" t="str">
        <f>IFERROR(INDEX(Data_Omakoodi!E:E,MATCH(AA48,Data_Omakoodi!A:A,0)),"")</f>
        <v/>
      </c>
      <c r="AC48" t="str">
        <f>IFERROR(IF(INDEX(Data_Omakoodi!H:H,MATCH($AH$3&amp;$AL48,Data_Omakoodi!A:A,0))="P","",$AH$3&amp;$AL48),$AH$3&amp;$AL48)</f>
        <v>ComboBox_TyHlo_yksikko_00000041</v>
      </c>
      <c r="AD48" s="44" t="str">
        <f>IFERROR(INDEX(Data_Omakoodi!E:E,MATCH(AC48,Data_Omakoodi!A:A,0)),"")</f>
        <v/>
      </c>
      <c r="AE48" t="str">
        <f>IFERROR(IF(INDEX(Data_Omakoodi!H:H,MATCH($AH$3&amp;$AL48,Data_Omakoodi!A:A,0))="P","",$AH$3&amp;$AL48),$AH$3&amp;$AL48)</f>
        <v>ComboBox_TyHlo_yksikko_00000041</v>
      </c>
      <c r="AF48" t="s">
        <v>1631</v>
      </c>
      <c r="AG48" s="739" t="str">
        <f t="shared" si="0"/>
        <v/>
      </c>
      <c r="AH48" s="739" t="str">
        <f t="shared" si="1"/>
        <v/>
      </c>
      <c r="AI48"/>
      <c r="AJ48" s="739" t="str">
        <f t="shared" si="2"/>
        <v/>
      </c>
      <c r="AK48" s="739" t="str">
        <f t="shared" si="3"/>
        <v/>
      </c>
      <c r="AL48">
        <v>41</v>
      </c>
      <c r="AN48" s="629" t="s">
        <v>538</v>
      </c>
      <c r="AP48" s="27">
        <f>SUMIFS(AS!$W:$W,AS!$BO:$BO,$W$7,AS!$AB:$AB,AS!$AA$1,AS!$AV:$AV,$X$5,AS!$AH:$AH,$X$8,AS!$BB:$BB,AS!$BA$1,AS!$AX:$AX,'Päättäminen, tila, kesto'!$AO48,AS!$AW:$AW,'Päättäminen, tila, kesto'!$Y$6,AS!$X:$X,'Päättäminen, tila, kesto'!$Y$5,AS!$K:$K,'Päättäminen, tila, kesto'!$V$2)</f>
        <v>0</v>
      </c>
      <c r="AQ48" s="27">
        <f>SUMIFS(AS!$W:$W,AS!$BO:$BO,$W$7,AS!$AB:$AB,AS!$AA$1,AS!$AV:$AV,$X$5,AS!$I:$I,$X$7,AS!$AH:$AH,$X$8,AS!BB:BB,AS!$BA$1,AS!$AX:$AX,'Päättäminen, tila, kesto'!$AO48,AS!$AW:$AW,'Päättäminen, tila, kesto'!$Y$6,AS!$X:$X,'Päättäminen, tila, kesto'!$Y$5,AS!$K:$K,'Päättäminen, tila, kesto'!$V$2)</f>
        <v>0</v>
      </c>
      <c r="AR48" s="27">
        <f>SUMIFS(AS!$W:$W,AS!$BO:$BO,$W$7,AS!$AB:$AB,AS!$AA$1,AS!$AV:$AV,$X$5,AS!$I:$I,$Y$7,AS!$AH:$AH,$X$8,AS!BB:BB,AS!$BA$1,AS!$AX:$AX,'Päättäminen, tila, kesto'!$AO48,AS!$AW:$AW,'Päättäminen, tila, kesto'!$Y$6,AS!$X:$X,'Päättäminen, tila, kesto'!$Y$5,AS!$K:$K,'Päättäminen, tila, kesto'!$V$2)</f>
        <v>0</v>
      </c>
      <c r="AS48" s="27">
        <f>SUMIFS(AS!$W:$W,AS!$BO:$BO,$W$7,AS!$AB:$AB,AS!$AA$1,AS!$AV:$AV,$X$5,AS!$AH:$AH,$Y$8,AS!BB:BB,AS!$BA$1,AS!$AX:$AX,'Päättäminen, tila, kesto'!$AO48,AS!$AW:$AW,'Päättäminen, tila, kesto'!$Y$6,AS!$X:$X,'Päättäminen, tila, kesto'!$Y$5,AS!$K:$K,'Päättäminen, tila, kesto'!$V$2)</f>
        <v>0</v>
      </c>
      <c r="AU48" s="27">
        <f>SUMIFS(AS!$W:$W,AS!$BO:$BO,$W$7,AS!$AB:$AB,AS!$AA$1,AS!$AV:$AV,$X$5,AS!$AH:$AH,$X$8,AS!$BB:$BB,AS!$BA$1,AS!$AX:$AX,'Päättäminen, tila, kesto'!$AT48,AS!$AW:$AW,'Päättäminen, tila, kesto'!$Y$6,AS!$X:$X,'Päättäminen, tila, kesto'!$Y$5,AS!$K:$K,'Päättäminen, tila, kesto'!$V$2)</f>
        <v>0</v>
      </c>
      <c r="AV48" s="27">
        <f>SUMIFS(AS!$W:$W,AS!$BO:$BO,$W$7,AS!$AB:$AB,AS!$AA$1,AS!$AV:$AV,$X$5,AS!$I:$I,$X$7,AS!$AH:$AH,$X$8,AS!$BB:$BB,AS!$BA$1,AS!$AX:$AX,'Päättäminen, tila, kesto'!$AT48,AS!$AW:$AW,'Päättäminen, tila, kesto'!$Y$6,AS!$X:$X,'Päättäminen, tila, kesto'!$Y$5,AS!$K:$K,'Päättäminen, tila, kesto'!$V$2)</f>
        <v>0</v>
      </c>
      <c r="AW48" s="27">
        <f>SUMIFS(AS!$W:$W,AS!$BO:$BO,$W$7,AS!$AB:$AB,AS!$AA$1,AS!$AV:$AV,$X$5,AS!$I:$I,$Y$7,AS!$AH:$AH,$X$8,AS!$BB:$BB,AS!$BA$1,AS!$AX:$AX,'Päättäminen, tila, kesto'!$AT48,AS!$AW:$AW,'Päättäminen, tila, kesto'!$Y$6,AS!$X:$X,'Päättäminen, tila, kesto'!$Y$5,AS!$K:$K,'Päättäminen, tila, kesto'!$V$2)</f>
        <v>0</v>
      </c>
      <c r="AX48" s="27">
        <f>SUMIFS(AS!$W:$W,AS!$BO:$BO,$W$7,AS!$AB:$AB,AS!$AA$1,AS!$AV:$AV,$X$5,AS!$AH:$AH,$Y$8,AS!$BB:$BB,AS!$BA$1,AS!$AX:$AX,'Päättäminen, tila, kesto'!$AT48,AS!$AW:$AW,'Päättäminen, tila, kesto'!$Y$6,AS!$X:$X,'Päättäminen, tila, kesto'!$Y$5,AS!$K:$K,'Päättäminen, tila, kesto'!$V$2)</f>
        <v>0</v>
      </c>
      <c r="BA48"/>
      <c r="BB48"/>
      <c r="BC48"/>
      <c r="BD48"/>
    </row>
    <row r="49" spans="1:56" ht="15" x14ac:dyDescent="0.25">
      <c r="A49" s="626"/>
      <c r="B49" s="298" t="s">
        <v>692</v>
      </c>
      <c r="C49" s="148">
        <f>SUMIFS(AS!$W:$W,AS!$BO:$BO,$W$7,AS!$AB:$AB,AS!$AA$1,AS!$AV:$AV,$X$5,AS!$AH:$AH,$X$8,AS!$BB:$BB,AS!$BA$1,AS!$AX:$AX,'Päättäminen, tila, kesto'!$AN49,AS!$AW:$AW,'Päättäminen, tila, kesto'!$Y$6,AS!$X:$X,'Päättäminen, tila, kesto'!$Y$5,AS!$K:$K,'Päättäminen, tila, kesto'!$V$2)+AP49+AU49</f>
        <v>0</v>
      </c>
      <c r="D49" s="330" t="str">
        <f t="shared" si="13"/>
        <v>-</v>
      </c>
      <c r="E49" s="148">
        <f>SUMIFS(AS!$W:$W,AS!$BO:$BO,$W$7,AS!$AB:$AB,AS!$AA$1,AS!$AV:$AV,$X$5,AS!$I:$I,$X$7,AS!$AH:$AH,$X$8,AS!BB:BB,AS!$BA$1,AS!$AX:$AX,'Päättäminen, tila, kesto'!$AN49,AS!$AW:$AW,'Päättäminen, tila, kesto'!$Y$6,AS!$X:$X,'Päättäminen, tila, kesto'!$Y$5,AS!$K:$K,'Päättäminen, tila, kesto'!$V$2)+AQ49+AV49</f>
        <v>0</v>
      </c>
      <c r="F49" s="148">
        <f>SUMIFS(AS!$W:$W,AS!$BO:$BO,$W$7,AS!$AB:$AB,AS!$AA$1,AS!$AV:$AV,$X$5,AS!$I:$I,$Y$7,AS!$AH:$AH,$X$8,AS!BB:BB,AS!$BA$1,AS!$AX:$AX,'Päättäminen, tila, kesto'!$AN49,AS!$AW:$AW,'Päättäminen, tila, kesto'!$Y$6,AS!$X:$X,'Päättäminen, tila, kesto'!$Y$5,AS!$K:$K,'Päättäminen, tila, kesto'!$V$2)+AR49+AW49</f>
        <v>0</v>
      </c>
      <c r="G49" s="148">
        <f>SUMIFS(AS!$W:$W,AS!$BO:$BO,$W$7,AS!$AB:$AB,AS!$AA$1,AS!$AV:$AV,$X$5,AS!$AH:$AH,$Y$8,AS!BB:BB,AS!$BA$1,AS!$AX:$AX,'Päättäminen, tila, kesto'!$AN49,AS!$AW:$AW,'Päättäminen, tila, kesto'!$Y$6,AS!$X:$X,'Päättäminen, tila, kesto'!$Y$5,AS!$K:$K,'Päättäminen, tila, kesto'!$V$2)+AS49+AX49</f>
        <v>0</v>
      </c>
      <c r="H49" s="217"/>
      <c r="I49" s="218"/>
      <c r="J49" s="218"/>
      <c r="K49" s="218"/>
      <c r="L49" s="219"/>
      <c r="M49" s="387" t="s">
        <v>692</v>
      </c>
      <c r="N49" s="388">
        <f t="shared" si="4"/>
        <v>0</v>
      </c>
      <c r="O49" s="388">
        <f t="shared" si="5"/>
        <v>0</v>
      </c>
      <c r="P49" s="27"/>
      <c r="Q49" s="27"/>
      <c r="AA49" s="176" t="str">
        <f>IFERROR(IF(INDEX(Data_Omakoodi!H:H,MATCH($AK$3&amp;$AL49,Data_Omakoodi!A:A,0))="P","",$AK$3&amp;$AL49),$AK$3&amp;$AL49)</f>
        <v>ComboBox_EtKuntakoodi_00000042</v>
      </c>
      <c r="AB49" s="44" t="str">
        <f>IFERROR(INDEX(Data_Omakoodi!E:E,MATCH(AA49,Data_Omakoodi!A:A,0)),"")</f>
        <v/>
      </c>
      <c r="AC49" t="str">
        <f>IFERROR(IF(INDEX(Data_Omakoodi!H:H,MATCH($AH$3&amp;$AL49,Data_Omakoodi!A:A,0))="P","",$AH$3&amp;$AL49),$AH$3&amp;$AL49)</f>
        <v>ComboBox_TyHlo_yksikko_00000042</v>
      </c>
      <c r="AD49" s="44" t="str">
        <f>IFERROR(INDEX(Data_Omakoodi!E:E,MATCH(AC49,Data_Omakoodi!A:A,0)),"")</f>
        <v/>
      </c>
      <c r="AE49" t="str">
        <f>IFERROR(IF(INDEX(Data_Omakoodi!H:H,MATCH($AH$3&amp;$AL49,Data_Omakoodi!A:A,0))="P","",$AH$3&amp;$AL49),$AH$3&amp;$AL49)</f>
        <v>ComboBox_TyHlo_yksikko_00000042</v>
      </c>
      <c r="AF49" t="s">
        <v>1632</v>
      </c>
      <c r="AG49" s="739" t="str">
        <f t="shared" si="0"/>
        <v/>
      </c>
      <c r="AH49" s="739" t="str">
        <f t="shared" si="1"/>
        <v/>
      </c>
      <c r="AI49"/>
      <c r="AJ49" s="739" t="str">
        <f t="shared" si="2"/>
        <v/>
      </c>
      <c r="AK49" s="739" t="str">
        <f t="shared" si="3"/>
        <v/>
      </c>
      <c r="AL49">
        <v>42</v>
      </c>
      <c r="AN49" s="629" t="s">
        <v>539</v>
      </c>
      <c r="AP49" s="27">
        <f>SUMIFS(AS!$W:$W,AS!$BO:$BO,$W$7,AS!$AB:$AB,AS!$AA$1,AS!$AV:$AV,$X$5,AS!$AH:$AH,$X$8,AS!$BB:$BB,AS!$BA$1,AS!$AX:$AX,'Päättäminen, tila, kesto'!$AO49,AS!$AW:$AW,'Päättäminen, tila, kesto'!$Y$6,AS!$X:$X,'Päättäminen, tila, kesto'!$Y$5,AS!$K:$K,'Päättäminen, tila, kesto'!$V$2)</f>
        <v>0</v>
      </c>
      <c r="AQ49" s="27">
        <f>SUMIFS(AS!$W:$W,AS!$BO:$BO,$W$7,AS!$AB:$AB,AS!$AA$1,AS!$AV:$AV,$X$5,AS!$I:$I,$X$7,AS!$AH:$AH,$X$8,AS!BB:BB,AS!$BA$1,AS!$AX:$AX,'Päättäminen, tila, kesto'!$AO49,AS!$AW:$AW,'Päättäminen, tila, kesto'!$Y$6,AS!$X:$X,'Päättäminen, tila, kesto'!$Y$5,AS!$K:$K,'Päättäminen, tila, kesto'!$V$2)</f>
        <v>0</v>
      </c>
      <c r="AR49" s="27">
        <f>SUMIFS(AS!$W:$W,AS!$BO:$BO,$W$7,AS!$AB:$AB,AS!$AA$1,AS!$AV:$AV,$X$5,AS!$I:$I,$Y$7,AS!$AH:$AH,$X$8,AS!BB:BB,AS!$BA$1,AS!$AX:$AX,'Päättäminen, tila, kesto'!$AO49,AS!$AW:$AW,'Päättäminen, tila, kesto'!$Y$6,AS!$X:$X,'Päättäminen, tila, kesto'!$Y$5,AS!$K:$K,'Päättäminen, tila, kesto'!$V$2)</f>
        <v>0</v>
      </c>
      <c r="AS49" s="27">
        <f>SUMIFS(AS!$W:$W,AS!$BO:$BO,$W$7,AS!$AB:$AB,AS!$AA$1,AS!$AV:$AV,$X$5,AS!$AH:$AH,$Y$8,AS!BB:BB,AS!$BA$1,AS!$AX:$AX,'Päättäminen, tila, kesto'!$AO49,AS!$AW:$AW,'Päättäminen, tila, kesto'!$Y$6,AS!$X:$X,'Päättäminen, tila, kesto'!$Y$5,AS!$K:$K,'Päättäminen, tila, kesto'!$V$2)</f>
        <v>0</v>
      </c>
      <c r="AU49" s="27">
        <f>SUMIFS(AS!$W:$W,AS!$BO:$BO,$W$7,AS!$AB:$AB,AS!$AA$1,AS!$AV:$AV,$X$5,AS!$AH:$AH,$X$8,AS!$BB:$BB,AS!$BA$1,AS!$AX:$AX,'Päättäminen, tila, kesto'!$AT49,AS!$AW:$AW,'Päättäminen, tila, kesto'!$Y$6,AS!$X:$X,'Päättäminen, tila, kesto'!$Y$5,AS!$K:$K,'Päättäminen, tila, kesto'!$V$2)</f>
        <v>0</v>
      </c>
      <c r="AV49" s="27">
        <f>SUMIFS(AS!$W:$W,AS!$BO:$BO,$W$7,AS!$AB:$AB,AS!$AA$1,AS!$AV:$AV,$X$5,AS!$I:$I,$X$7,AS!$AH:$AH,$X$8,AS!$BB:$BB,AS!$BA$1,AS!$AX:$AX,'Päättäminen, tila, kesto'!$AT49,AS!$AW:$AW,'Päättäminen, tila, kesto'!$Y$6,AS!$X:$X,'Päättäminen, tila, kesto'!$Y$5,AS!$K:$K,'Päättäminen, tila, kesto'!$V$2)</f>
        <v>0</v>
      </c>
      <c r="AW49" s="27">
        <f>SUMIFS(AS!$W:$W,AS!$BO:$BO,$W$7,AS!$AB:$AB,AS!$AA$1,AS!$AV:$AV,$X$5,AS!$I:$I,$Y$7,AS!$AH:$AH,$X$8,AS!$BB:$BB,AS!$BA$1,AS!$AX:$AX,'Päättäminen, tila, kesto'!$AT49,AS!$AW:$AW,'Päättäminen, tila, kesto'!$Y$6,AS!$X:$X,'Päättäminen, tila, kesto'!$Y$5,AS!$K:$K,'Päättäminen, tila, kesto'!$V$2)</f>
        <v>0</v>
      </c>
      <c r="AX49" s="27">
        <f>SUMIFS(AS!$W:$W,AS!$BO:$BO,$W$7,AS!$AB:$AB,AS!$AA$1,AS!$AV:$AV,$X$5,AS!$AH:$AH,$Y$8,AS!$BB:$BB,AS!$BA$1,AS!$AX:$AX,'Päättäminen, tila, kesto'!$AT49,AS!$AW:$AW,'Päättäminen, tila, kesto'!$Y$6,AS!$X:$X,'Päättäminen, tila, kesto'!$Y$5,AS!$K:$K,'Päättäminen, tila, kesto'!$V$2)</f>
        <v>0</v>
      </c>
      <c r="BA49"/>
      <c r="BB49"/>
      <c r="BC49"/>
      <c r="BD49"/>
    </row>
    <row r="50" spans="1:56" ht="15" x14ac:dyDescent="0.25">
      <c r="A50" s="626"/>
      <c r="B50" s="298" t="s">
        <v>693</v>
      </c>
      <c r="C50" s="148">
        <f>SUMIFS(AS!$W:$W,AS!$BO:$BO,$W$7,AS!$AB:$AB,AS!$AA$1,AS!$AV:$AV,$X$5,AS!$AH:$AH,$X$8,AS!$BB:$BB,AS!$BA$1,AS!$AX:$AX,'Päättäminen, tila, kesto'!$AN50,AS!$AW:$AW,'Päättäminen, tila, kesto'!$Y$6,AS!$X:$X,'Päättäminen, tila, kesto'!$Y$5,AS!$K:$K,'Päättäminen, tila, kesto'!$V$2)+AP50+AU50</f>
        <v>0</v>
      </c>
      <c r="D50" s="330" t="str">
        <f t="shared" si="13"/>
        <v>-</v>
      </c>
      <c r="E50" s="148">
        <f>SUMIFS(AS!$W:$W,AS!$BO:$BO,$W$7,AS!$AB:$AB,AS!$AA$1,AS!$AV:$AV,$X$5,AS!$I:$I,$X$7,AS!$AH:$AH,$X$8,AS!BB:BB,AS!$BA$1,AS!$AX:$AX,'Päättäminen, tila, kesto'!$AN50,AS!$AW:$AW,'Päättäminen, tila, kesto'!$Y$6,AS!$X:$X,'Päättäminen, tila, kesto'!$Y$5,AS!$K:$K,'Päättäminen, tila, kesto'!$V$2)+AQ50+AV50</f>
        <v>0</v>
      </c>
      <c r="F50" s="148">
        <f>SUMIFS(AS!$W:$W,AS!$BO:$BO,$W$7,AS!$AB:$AB,AS!$AA$1,AS!$AV:$AV,$X$5,AS!$I:$I,$Y$7,AS!$AH:$AH,$X$8,AS!BB:BB,AS!$BA$1,AS!$AX:$AX,'Päättäminen, tila, kesto'!$AN50,AS!$AW:$AW,'Päättäminen, tila, kesto'!$Y$6,AS!$X:$X,'Päättäminen, tila, kesto'!$Y$5,AS!$K:$K,'Päättäminen, tila, kesto'!$V$2)+AR50+AW50</f>
        <v>0</v>
      </c>
      <c r="G50" s="148">
        <f>SUMIFS(AS!$W:$W,AS!$BO:$BO,$W$7,AS!$AB:$AB,AS!$AA$1,AS!$AV:$AV,$X$5,AS!$AH:$AH,$Y$8,AS!BB:BB,AS!$BA$1,AS!$AX:$AX,'Päättäminen, tila, kesto'!$AN50,AS!$AW:$AW,'Päättäminen, tila, kesto'!$Y$6,AS!$X:$X,'Päättäminen, tila, kesto'!$Y$5,AS!$K:$K,'Päättäminen, tila, kesto'!$V$2)+AS50+AX50</f>
        <v>0</v>
      </c>
      <c r="H50" s="217"/>
      <c r="I50" s="218"/>
      <c r="J50" s="218"/>
      <c r="K50" s="218"/>
      <c r="L50" s="219"/>
      <c r="M50" s="387" t="s">
        <v>693</v>
      </c>
      <c r="N50" s="388">
        <f t="shared" si="4"/>
        <v>0</v>
      </c>
      <c r="O50" s="388">
        <f t="shared" si="5"/>
        <v>0</v>
      </c>
      <c r="P50" s="27"/>
      <c r="Q50" s="27"/>
      <c r="AA50" s="176" t="str">
        <f>IFERROR(IF(INDEX(Data_Omakoodi!H:H,MATCH($AK$3&amp;$AL50,Data_Omakoodi!A:A,0))="P","",$AK$3&amp;$AL50),$AK$3&amp;$AL50)</f>
        <v>ComboBox_EtKuntakoodi_00000043</v>
      </c>
      <c r="AB50" s="44" t="str">
        <f>IFERROR(INDEX(Data_Omakoodi!E:E,MATCH(AA50,Data_Omakoodi!A:A,0)),"")</f>
        <v/>
      </c>
      <c r="AC50" t="str">
        <f>IFERROR(IF(INDEX(Data_Omakoodi!H:H,MATCH($AH$3&amp;$AL50,Data_Omakoodi!A:A,0))="P","",$AH$3&amp;$AL50),$AH$3&amp;$AL50)</f>
        <v>ComboBox_TyHlo_yksikko_00000043</v>
      </c>
      <c r="AD50" s="44" t="str">
        <f>IFERROR(INDEX(Data_Omakoodi!E:E,MATCH(AC50,Data_Omakoodi!A:A,0)),"")</f>
        <v/>
      </c>
      <c r="AE50" t="str">
        <f>IFERROR(IF(INDEX(Data_Omakoodi!H:H,MATCH($AH$3&amp;$AL50,Data_Omakoodi!A:A,0))="P","",$AH$3&amp;$AL50),$AH$3&amp;$AL50)</f>
        <v>ComboBox_TyHlo_yksikko_00000043</v>
      </c>
      <c r="AF50" t="s">
        <v>1633</v>
      </c>
      <c r="AG50" s="739" t="str">
        <f t="shared" si="0"/>
        <v/>
      </c>
      <c r="AH50" s="739" t="str">
        <f t="shared" si="1"/>
        <v/>
      </c>
      <c r="AI50"/>
      <c r="AJ50" s="739" t="str">
        <f t="shared" si="2"/>
        <v/>
      </c>
      <c r="AK50" s="739" t="str">
        <f t="shared" si="3"/>
        <v/>
      </c>
      <c r="AL50">
        <v>43</v>
      </c>
      <c r="AN50" s="629" t="s">
        <v>251</v>
      </c>
      <c r="AP50" s="27">
        <f>SUMIFS(AS!$W:$W,AS!$BO:$BO,$W$7,AS!$AB:$AB,AS!$AA$1,AS!$AV:$AV,$X$5,AS!$AH:$AH,$X$8,AS!$BB:$BB,AS!$BA$1,AS!$AX:$AX,'Päättäminen, tila, kesto'!$AO50,AS!$AW:$AW,'Päättäminen, tila, kesto'!$Y$6,AS!$X:$X,'Päättäminen, tila, kesto'!$Y$5,AS!$K:$K,'Päättäminen, tila, kesto'!$V$2)</f>
        <v>0</v>
      </c>
      <c r="AQ50" s="27">
        <f>SUMIFS(AS!$W:$W,AS!$BO:$BO,$W$7,AS!$AB:$AB,AS!$AA$1,AS!$AV:$AV,$X$5,AS!$I:$I,$X$7,AS!$AH:$AH,$X$8,AS!BB:BB,AS!$BA$1,AS!$AX:$AX,'Päättäminen, tila, kesto'!$AO50,AS!$AW:$AW,'Päättäminen, tila, kesto'!$Y$6,AS!$X:$X,'Päättäminen, tila, kesto'!$Y$5,AS!$K:$K,'Päättäminen, tila, kesto'!$V$2)</f>
        <v>0</v>
      </c>
      <c r="AR50" s="27">
        <f>SUMIFS(AS!$W:$W,AS!$BO:$BO,$W$7,AS!$AB:$AB,AS!$AA$1,AS!$AV:$AV,$X$5,AS!$I:$I,$Y$7,AS!$AH:$AH,$X$8,AS!BB:BB,AS!$BA$1,AS!$AX:$AX,'Päättäminen, tila, kesto'!$AO50,AS!$AW:$AW,'Päättäminen, tila, kesto'!$Y$6,AS!$X:$X,'Päättäminen, tila, kesto'!$Y$5,AS!$K:$K,'Päättäminen, tila, kesto'!$V$2)</f>
        <v>0</v>
      </c>
      <c r="AS50" s="27">
        <f>SUMIFS(AS!$W:$W,AS!$BO:$BO,$W$7,AS!$AB:$AB,AS!$AA$1,AS!$AV:$AV,$X$5,AS!$AH:$AH,$Y$8,AS!BB:BB,AS!$BA$1,AS!$AX:$AX,'Päättäminen, tila, kesto'!$AO50,AS!$AW:$AW,'Päättäminen, tila, kesto'!$Y$6,AS!$X:$X,'Päättäminen, tila, kesto'!$Y$5,AS!$K:$K,'Päättäminen, tila, kesto'!$V$2)</f>
        <v>0</v>
      </c>
      <c r="AU50" s="27">
        <f>SUMIFS(AS!$W:$W,AS!$BO:$BO,$W$7,AS!$AB:$AB,AS!$AA$1,AS!$AV:$AV,$X$5,AS!$AH:$AH,$X$8,AS!$BB:$BB,AS!$BA$1,AS!$AX:$AX,'Päättäminen, tila, kesto'!$AT50,AS!$AW:$AW,'Päättäminen, tila, kesto'!$Y$6,AS!$X:$X,'Päättäminen, tila, kesto'!$Y$5,AS!$K:$K,'Päättäminen, tila, kesto'!$V$2)</f>
        <v>0</v>
      </c>
      <c r="AV50" s="27">
        <f>SUMIFS(AS!$W:$W,AS!$BO:$BO,$W$7,AS!$AB:$AB,AS!$AA$1,AS!$AV:$AV,$X$5,AS!$I:$I,$X$7,AS!$AH:$AH,$X$8,AS!$BB:$BB,AS!$BA$1,AS!$AX:$AX,'Päättäminen, tila, kesto'!$AT50,AS!$AW:$AW,'Päättäminen, tila, kesto'!$Y$6,AS!$X:$X,'Päättäminen, tila, kesto'!$Y$5,AS!$K:$K,'Päättäminen, tila, kesto'!$V$2)</f>
        <v>0</v>
      </c>
      <c r="AW50" s="27">
        <f>SUMIFS(AS!$W:$W,AS!$BO:$BO,$W$7,AS!$AB:$AB,AS!$AA$1,AS!$AV:$AV,$X$5,AS!$I:$I,$Y$7,AS!$AH:$AH,$X$8,AS!$BB:$BB,AS!$BA$1,AS!$AX:$AX,'Päättäminen, tila, kesto'!$AT50,AS!$AW:$AW,'Päättäminen, tila, kesto'!$Y$6,AS!$X:$X,'Päättäminen, tila, kesto'!$Y$5,AS!$K:$K,'Päättäminen, tila, kesto'!$V$2)</f>
        <v>0</v>
      </c>
      <c r="AX50" s="27">
        <f>SUMIFS(AS!$W:$W,AS!$BO:$BO,$W$7,AS!$AB:$AB,AS!$AA$1,AS!$AV:$AV,$X$5,AS!$AH:$AH,$Y$8,AS!$BB:$BB,AS!$BA$1,AS!$AX:$AX,'Päättäminen, tila, kesto'!$AT50,AS!$AW:$AW,'Päättäminen, tila, kesto'!$Y$6,AS!$X:$X,'Päättäminen, tila, kesto'!$Y$5,AS!$K:$K,'Päättäminen, tila, kesto'!$V$2)</f>
        <v>0</v>
      </c>
      <c r="BA50"/>
      <c r="BB50"/>
      <c r="BC50"/>
      <c r="BD50"/>
    </row>
    <row r="51" spans="1:56" ht="15" x14ac:dyDescent="0.25">
      <c r="A51" s="626"/>
      <c r="B51" s="298" t="s">
        <v>160</v>
      </c>
      <c r="C51" s="148">
        <f>SUMIFS(AS!$W:$W,AS!$BO:$BO,$W$7,AS!$AB:$AB,AS!$AA$1,AS!$AV:$AV,$X$5,AS!$AH:$AH,$X$8,AS!$BB:$BB,AS!$BA$1,AS!$AX:$AX,'Päättäminen, tila, kesto'!$AN51,AS!$AW:$AW,'Päättäminen, tila, kesto'!$Y$6,AS!$X:$X,'Päättäminen, tila, kesto'!$Y$5,AS!$K:$K,'Päättäminen, tila, kesto'!$V$2)+AP51+AU51</f>
        <v>0</v>
      </c>
      <c r="D51" s="330" t="str">
        <f t="shared" si="13"/>
        <v>-</v>
      </c>
      <c r="E51" s="148">
        <f>SUMIFS(AS!$W:$W,AS!$BO:$BO,$W$7,AS!$AB:$AB,AS!$AA$1,AS!$AV:$AV,$X$5,AS!$I:$I,$X$7,AS!$AH:$AH,$X$8,AS!BB:BB,AS!$BA$1,AS!$AX:$AX,'Päättäminen, tila, kesto'!$AN51,AS!$AW:$AW,'Päättäminen, tila, kesto'!$Y$6,AS!$X:$X,'Päättäminen, tila, kesto'!$Y$5,AS!$K:$K,'Päättäminen, tila, kesto'!$V$2)+AQ51+AV51</f>
        <v>0</v>
      </c>
      <c r="F51" s="148">
        <f>SUMIFS(AS!$W:$W,AS!$BO:$BO,$W$7,AS!$AB:$AB,AS!$AA$1,AS!$AV:$AV,$X$5,AS!$I:$I,$Y$7,AS!$AH:$AH,$X$8,AS!BB:BB,AS!$BA$1,AS!$AX:$AX,'Päättäminen, tila, kesto'!$AN51,AS!$AW:$AW,'Päättäminen, tila, kesto'!$Y$6,AS!$X:$X,'Päättäminen, tila, kesto'!$Y$5,AS!$K:$K,'Päättäminen, tila, kesto'!$V$2)+AR51+AW51</f>
        <v>0</v>
      </c>
      <c r="G51" s="148">
        <f>SUMIFS(AS!$W:$W,AS!$BO:$BO,$W$7,AS!$AB:$AB,AS!$AA$1,AS!$AV:$AV,$X$5,AS!$AH:$AH,$Y$8,AS!BB:BB,AS!$BA$1,AS!$AX:$AX,'Päättäminen, tila, kesto'!$AN51,AS!$AW:$AW,'Päättäminen, tila, kesto'!$Y$6,AS!$X:$X,'Päättäminen, tila, kesto'!$Y$5,AS!$K:$K,'Päättäminen, tila, kesto'!$V$2)+AS51+AX51</f>
        <v>0</v>
      </c>
      <c r="H51" s="217"/>
      <c r="I51" s="218"/>
      <c r="J51" s="218"/>
      <c r="K51" s="218"/>
      <c r="L51" s="219"/>
      <c r="M51" s="387" t="s">
        <v>160</v>
      </c>
      <c r="N51" s="388">
        <f t="shared" si="4"/>
        <v>0</v>
      </c>
      <c r="O51" s="388">
        <f t="shared" si="5"/>
        <v>0</v>
      </c>
      <c r="P51" s="27"/>
      <c r="Q51" s="27"/>
      <c r="AA51" s="176" t="str">
        <f>IFERROR(IF(INDEX(Data_Omakoodi!H:H,MATCH($AK$3&amp;$AL51,Data_Omakoodi!A:A,0))="P","",$AK$3&amp;$AL51),$AK$3&amp;$AL51)</f>
        <v>ComboBox_EtKuntakoodi_00000044</v>
      </c>
      <c r="AB51" s="44" t="str">
        <f>IFERROR(INDEX(Data_Omakoodi!E:E,MATCH(AA51,Data_Omakoodi!A:A,0)),"")</f>
        <v/>
      </c>
      <c r="AC51" t="str">
        <f>IFERROR(IF(INDEX(Data_Omakoodi!H:H,MATCH($AH$3&amp;$AL51,Data_Omakoodi!A:A,0))="P","",$AH$3&amp;$AL51),$AH$3&amp;$AL51)</f>
        <v>ComboBox_TyHlo_yksikko_00000044</v>
      </c>
      <c r="AD51" s="44" t="str">
        <f>IFERROR(INDEX(Data_Omakoodi!E:E,MATCH(AC51,Data_Omakoodi!A:A,0)),"")</f>
        <v/>
      </c>
      <c r="AE51" t="str">
        <f>IFERROR(IF(INDEX(Data_Omakoodi!H:H,MATCH($AH$3&amp;$AL51,Data_Omakoodi!A:A,0))="P","",$AH$3&amp;$AL51),$AH$3&amp;$AL51)</f>
        <v>ComboBox_TyHlo_yksikko_00000044</v>
      </c>
      <c r="AF51" t="s">
        <v>1634</v>
      </c>
      <c r="AG51" s="739" t="str">
        <f t="shared" si="0"/>
        <v/>
      </c>
      <c r="AH51" s="739" t="str">
        <f t="shared" si="1"/>
        <v/>
      </c>
      <c r="AI51"/>
      <c r="AJ51" s="739" t="str">
        <f t="shared" si="2"/>
        <v/>
      </c>
      <c r="AK51" s="739" t="str">
        <f t="shared" si="3"/>
        <v/>
      </c>
      <c r="AL51">
        <v>44</v>
      </c>
      <c r="AN51" s="629" t="s">
        <v>540</v>
      </c>
      <c r="AP51" s="27">
        <f>SUMIFS(AS!$W:$W,AS!$BO:$BO,$W$7,AS!$AB:$AB,AS!$AA$1,AS!$AV:$AV,$X$5,AS!$AH:$AH,$X$8,AS!$BB:$BB,AS!$BA$1,AS!$AX:$AX,'Päättäminen, tila, kesto'!$AO51,AS!$AW:$AW,'Päättäminen, tila, kesto'!$Y$6,AS!$X:$X,'Päättäminen, tila, kesto'!$Y$5,AS!$K:$K,'Päättäminen, tila, kesto'!$V$2)</f>
        <v>0</v>
      </c>
      <c r="AQ51" s="27">
        <f>SUMIFS(AS!$W:$W,AS!$BO:$BO,$W$7,AS!$AB:$AB,AS!$AA$1,AS!$AV:$AV,$X$5,AS!$I:$I,$X$7,AS!$AH:$AH,$X$8,AS!BB:BB,AS!$BA$1,AS!$AX:$AX,'Päättäminen, tila, kesto'!$AO51,AS!$AW:$AW,'Päättäminen, tila, kesto'!$Y$6,AS!$X:$X,'Päättäminen, tila, kesto'!$Y$5,AS!$K:$K,'Päättäminen, tila, kesto'!$V$2)</f>
        <v>0</v>
      </c>
      <c r="AR51" s="27">
        <f>SUMIFS(AS!$W:$W,AS!$BO:$BO,$W$7,AS!$AB:$AB,AS!$AA$1,AS!$AV:$AV,$X$5,AS!$I:$I,$Y$7,AS!$AH:$AH,$X$8,AS!BB:BB,AS!$BA$1,AS!$AX:$AX,'Päättäminen, tila, kesto'!$AO51,AS!$AW:$AW,'Päättäminen, tila, kesto'!$Y$6,AS!$X:$X,'Päättäminen, tila, kesto'!$Y$5,AS!$K:$K,'Päättäminen, tila, kesto'!$V$2)</f>
        <v>0</v>
      </c>
      <c r="AS51" s="27">
        <f>SUMIFS(AS!$W:$W,AS!$BO:$BO,$W$7,AS!$AB:$AB,AS!$AA$1,AS!$AV:$AV,$X$5,AS!$AH:$AH,$Y$8,AS!BB:BB,AS!$BA$1,AS!$AX:$AX,'Päättäminen, tila, kesto'!$AO51,AS!$AW:$AW,'Päättäminen, tila, kesto'!$Y$6,AS!$X:$X,'Päättäminen, tila, kesto'!$Y$5,AS!$K:$K,'Päättäminen, tila, kesto'!$V$2)</f>
        <v>0</v>
      </c>
      <c r="AU51" s="27">
        <f>SUMIFS(AS!$W:$W,AS!$BO:$BO,$W$7,AS!$AB:$AB,AS!$AA$1,AS!$AV:$AV,$X$5,AS!$AH:$AH,$X$8,AS!$BB:$BB,AS!$BA$1,AS!$AX:$AX,'Päättäminen, tila, kesto'!$AT51,AS!$AW:$AW,'Päättäminen, tila, kesto'!$Y$6,AS!$X:$X,'Päättäminen, tila, kesto'!$Y$5,AS!$K:$K,'Päättäminen, tila, kesto'!$V$2)</f>
        <v>0</v>
      </c>
      <c r="AV51" s="27">
        <f>SUMIFS(AS!$W:$W,AS!$BO:$BO,$W$7,AS!$AB:$AB,AS!$AA$1,AS!$AV:$AV,$X$5,AS!$I:$I,$X$7,AS!$AH:$AH,$X$8,AS!$BB:$BB,AS!$BA$1,AS!$AX:$AX,'Päättäminen, tila, kesto'!$AT51,AS!$AW:$AW,'Päättäminen, tila, kesto'!$Y$6,AS!$X:$X,'Päättäminen, tila, kesto'!$Y$5,AS!$K:$K,'Päättäminen, tila, kesto'!$V$2)</f>
        <v>0</v>
      </c>
      <c r="AW51" s="27">
        <f>SUMIFS(AS!$W:$W,AS!$BO:$BO,$W$7,AS!$AB:$AB,AS!$AA$1,AS!$AV:$AV,$X$5,AS!$I:$I,$Y$7,AS!$AH:$AH,$X$8,AS!$BB:$BB,AS!$BA$1,AS!$AX:$AX,'Päättäminen, tila, kesto'!$AT51,AS!$AW:$AW,'Päättäminen, tila, kesto'!$Y$6,AS!$X:$X,'Päättäminen, tila, kesto'!$Y$5,AS!$K:$K,'Päättäminen, tila, kesto'!$V$2)</f>
        <v>0</v>
      </c>
      <c r="AX51" s="27">
        <f>SUMIFS(AS!$W:$W,AS!$BO:$BO,$W$7,AS!$AB:$AB,AS!$AA$1,AS!$AV:$AV,$X$5,AS!$AH:$AH,$Y$8,AS!$BB:$BB,AS!$BA$1,AS!$AX:$AX,'Päättäminen, tila, kesto'!$AT51,AS!$AW:$AW,'Päättäminen, tila, kesto'!$Y$6,AS!$X:$X,'Päättäminen, tila, kesto'!$Y$5,AS!$K:$K,'Päättäminen, tila, kesto'!$V$2)</f>
        <v>0</v>
      </c>
      <c r="BA51"/>
      <c r="BB51"/>
      <c r="BC51"/>
      <c r="BD51"/>
    </row>
    <row r="52" spans="1:56" ht="15" x14ac:dyDescent="0.25">
      <c r="A52" s="626"/>
      <c r="B52" s="298" t="s">
        <v>694</v>
      </c>
      <c r="C52" s="148">
        <f>SUMIFS(AS!$W:$W,AS!$BO:$BO,$W$7,AS!$AB:$AB,AS!$AA$1,AS!$AV:$AV,$X$5,AS!$AH:$AH,$X$8,AS!$BB:$BB,AS!$BA$1,AS!$AX:$AX,'Päättäminen, tila, kesto'!$AN52,AS!$AW:$AW,'Päättäminen, tila, kesto'!$Y$6,AS!$X:$X,'Päättäminen, tila, kesto'!$Y$5,AS!$K:$K,'Päättäminen, tila, kesto'!$V$2)+AP52+AU52</f>
        <v>0</v>
      </c>
      <c r="D52" s="330" t="str">
        <f t="shared" si="13"/>
        <v>-</v>
      </c>
      <c r="E52" s="148">
        <f>SUMIFS(AS!$W:$W,AS!$BO:$BO,$W$7,AS!$AB:$AB,AS!$AA$1,AS!$AV:$AV,$X$5,AS!$I:$I,$X$7,AS!$AH:$AH,$X$8,AS!BB:BB,AS!$BA$1,AS!$AX:$AX,'Päättäminen, tila, kesto'!$AN52,AS!$AW:$AW,'Päättäminen, tila, kesto'!$Y$6,AS!$X:$X,'Päättäminen, tila, kesto'!$Y$5,AS!$K:$K,'Päättäminen, tila, kesto'!$V$2)+AQ52+AV52</f>
        <v>0</v>
      </c>
      <c r="F52" s="148">
        <f>SUMIFS(AS!$W:$W,AS!$BO:$BO,$W$7,AS!$AB:$AB,AS!$AA$1,AS!$AV:$AV,$X$5,AS!$I:$I,$Y$7,AS!$AH:$AH,$X$8,AS!BB:BB,AS!$BA$1,AS!$AX:$AX,'Päättäminen, tila, kesto'!$AN52,AS!$AW:$AW,'Päättäminen, tila, kesto'!$Y$6,AS!$X:$X,'Päättäminen, tila, kesto'!$Y$5,AS!$K:$K,'Päättäminen, tila, kesto'!$V$2)+AR52+AW52</f>
        <v>0</v>
      </c>
      <c r="G52" s="148">
        <f>SUMIFS(AS!$W:$W,AS!$BO:$BO,$W$7,AS!$AB:$AB,AS!$AA$1,AS!$AV:$AV,$X$5,AS!$AH:$AH,$Y$8,AS!BB:BB,AS!$BA$1,AS!$AX:$AX,'Päättäminen, tila, kesto'!$AN52,AS!$AW:$AW,'Päättäminen, tila, kesto'!$Y$6,AS!$X:$X,'Päättäminen, tila, kesto'!$Y$5,AS!$K:$K,'Päättäminen, tila, kesto'!$V$2)+AS52+AX52</f>
        <v>0</v>
      </c>
      <c r="H52" s="217"/>
      <c r="I52" s="218"/>
      <c r="J52" s="218"/>
      <c r="K52" s="218"/>
      <c r="L52" s="219"/>
      <c r="M52" s="387" t="s">
        <v>694</v>
      </c>
      <c r="N52" s="388">
        <f t="shared" si="4"/>
        <v>0</v>
      </c>
      <c r="O52" s="388">
        <f t="shared" si="5"/>
        <v>0</v>
      </c>
      <c r="P52" s="27"/>
      <c r="Q52" s="27"/>
      <c r="AA52" s="176" t="str">
        <f>IFERROR(IF(INDEX(Data_Omakoodi!H:H,MATCH($AK$3&amp;$AL52,Data_Omakoodi!A:A,0))="P","",$AK$3&amp;$AL52),$AK$3&amp;$AL52)</f>
        <v>ComboBox_EtKuntakoodi_00000045</v>
      </c>
      <c r="AB52" s="44" t="str">
        <f>IFERROR(INDEX(Data_Omakoodi!E:E,MATCH(AA52,Data_Omakoodi!A:A,0)),"")</f>
        <v/>
      </c>
      <c r="AC52" t="str">
        <f>IFERROR(IF(INDEX(Data_Omakoodi!H:H,MATCH($AH$3&amp;$AL52,Data_Omakoodi!A:A,0))="P","",$AH$3&amp;$AL52),$AH$3&amp;$AL52)</f>
        <v>ComboBox_TyHlo_yksikko_00000045</v>
      </c>
      <c r="AD52" s="44" t="str">
        <f>IFERROR(INDEX(Data_Omakoodi!E:E,MATCH(AC52,Data_Omakoodi!A:A,0)),"")</f>
        <v/>
      </c>
      <c r="AE52" t="str">
        <f>IFERROR(IF(INDEX(Data_Omakoodi!H:H,MATCH($AH$3&amp;$AL52,Data_Omakoodi!A:A,0))="P","",$AH$3&amp;$AL52),$AH$3&amp;$AL52)</f>
        <v>ComboBox_TyHlo_yksikko_00000045</v>
      </c>
      <c r="AF52" t="s">
        <v>1635</v>
      </c>
      <c r="AG52" s="739" t="str">
        <f t="shared" si="0"/>
        <v/>
      </c>
      <c r="AH52" s="739" t="str">
        <f t="shared" si="1"/>
        <v/>
      </c>
      <c r="AI52"/>
      <c r="AJ52" s="739" t="str">
        <f t="shared" si="2"/>
        <v/>
      </c>
      <c r="AK52" s="739" t="str">
        <f t="shared" si="3"/>
        <v/>
      </c>
      <c r="AL52">
        <v>45</v>
      </c>
      <c r="AN52" s="629" t="s">
        <v>232</v>
      </c>
      <c r="AP52" s="27">
        <f>SUMIFS(AS!$W:$W,AS!$BO:$BO,$W$7,AS!$AB:$AB,AS!$AA$1,AS!$AV:$AV,$X$5,AS!$AH:$AH,$X$8,AS!$BB:$BB,AS!$BA$1,AS!$AX:$AX,'Päättäminen, tila, kesto'!$AO52,AS!$AW:$AW,'Päättäminen, tila, kesto'!$Y$6,AS!$X:$X,'Päättäminen, tila, kesto'!$Y$5,AS!$K:$K,'Päättäminen, tila, kesto'!$V$2)</f>
        <v>0</v>
      </c>
      <c r="AQ52" s="27">
        <f>SUMIFS(AS!$W:$W,AS!$BO:$BO,$W$7,AS!$AB:$AB,AS!$AA$1,AS!$AV:$AV,$X$5,AS!$I:$I,$X$7,AS!$AH:$AH,$X$8,AS!BB:BB,AS!$BA$1,AS!$AX:$AX,'Päättäminen, tila, kesto'!$AO52,AS!$AW:$AW,'Päättäminen, tila, kesto'!$Y$6,AS!$X:$X,'Päättäminen, tila, kesto'!$Y$5,AS!$K:$K,'Päättäminen, tila, kesto'!$V$2)</f>
        <v>0</v>
      </c>
      <c r="AR52" s="27">
        <f>SUMIFS(AS!$W:$W,AS!$BO:$BO,$W$7,AS!$AB:$AB,AS!$AA$1,AS!$AV:$AV,$X$5,AS!$I:$I,$Y$7,AS!$AH:$AH,$X$8,AS!BB:BB,AS!$BA$1,AS!$AX:$AX,'Päättäminen, tila, kesto'!$AO52,AS!$AW:$AW,'Päättäminen, tila, kesto'!$Y$6,AS!$X:$X,'Päättäminen, tila, kesto'!$Y$5,AS!$K:$K,'Päättäminen, tila, kesto'!$V$2)</f>
        <v>0</v>
      </c>
      <c r="AS52" s="27">
        <f>SUMIFS(AS!$W:$W,AS!$BO:$BO,$W$7,AS!$AB:$AB,AS!$AA$1,AS!$AV:$AV,$X$5,AS!$AH:$AH,$Y$8,AS!BB:BB,AS!$BA$1,AS!$AX:$AX,'Päättäminen, tila, kesto'!$AO52,AS!$AW:$AW,'Päättäminen, tila, kesto'!$Y$6,AS!$X:$X,'Päättäminen, tila, kesto'!$Y$5,AS!$K:$K,'Päättäminen, tila, kesto'!$V$2)</f>
        <v>0</v>
      </c>
      <c r="AU52" s="27">
        <f>SUMIFS(AS!$W:$W,AS!$BO:$BO,$W$7,AS!$AB:$AB,AS!$AA$1,AS!$AV:$AV,$X$5,AS!$AH:$AH,$X$8,AS!$BB:$BB,AS!$BA$1,AS!$AX:$AX,'Päättäminen, tila, kesto'!$AT52,AS!$AW:$AW,'Päättäminen, tila, kesto'!$Y$6,AS!$X:$X,'Päättäminen, tila, kesto'!$Y$5,AS!$K:$K,'Päättäminen, tila, kesto'!$V$2)</f>
        <v>0</v>
      </c>
      <c r="AV52" s="27">
        <f>SUMIFS(AS!$W:$W,AS!$BO:$BO,$W$7,AS!$AB:$AB,AS!$AA$1,AS!$AV:$AV,$X$5,AS!$I:$I,$X$7,AS!$AH:$AH,$X$8,AS!$BB:$BB,AS!$BA$1,AS!$AX:$AX,'Päättäminen, tila, kesto'!$AT52,AS!$AW:$AW,'Päättäminen, tila, kesto'!$Y$6,AS!$X:$X,'Päättäminen, tila, kesto'!$Y$5,AS!$K:$K,'Päättäminen, tila, kesto'!$V$2)</f>
        <v>0</v>
      </c>
      <c r="AW52" s="27">
        <f>SUMIFS(AS!$W:$W,AS!$BO:$BO,$W$7,AS!$AB:$AB,AS!$AA$1,AS!$AV:$AV,$X$5,AS!$I:$I,$Y$7,AS!$AH:$AH,$X$8,AS!$BB:$BB,AS!$BA$1,AS!$AX:$AX,'Päättäminen, tila, kesto'!$AT52,AS!$AW:$AW,'Päättäminen, tila, kesto'!$Y$6,AS!$X:$X,'Päättäminen, tila, kesto'!$Y$5,AS!$K:$K,'Päättäminen, tila, kesto'!$V$2)</f>
        <v>0</v>
      </c>
      <c r="AX52" s="27">
        <f>SUMIFS(AS!$W:$W,AS!$BO:$BO,$W$7,AS!$AB:$AB,AS!$AA$1,AS!$AV:$AV,$X$5,AS!$AH:$AH,$Y$8,AS!$BB:$BB,AS!$BA$1,AS!$AX:$AX,'Päättäminen, tila, kesto'!$AT52,AS!$AW:$AW,'Päättäminen, tila, kesto'!$Y$6,AS!$X:$X,'Päättäminen, tila, kesto'!$Y$5,AS!$K:$K,'Päättäminen, tila, kesto'!$V$2)</f>
        <v>0</v>
      </c>
      <c r="BA52"/>
      <c r="BB52"/>
      <c r="BC52"/>
      <c r="BD52"/>
    </row>
    <row r="53" spans="1:56" ht="15" x14ac:dyDescent="0.25">
      <c r="A53" s="626"/>
      <c r="B53" s="298" t="s">
        <v>1374</v>
      </c>
      <c r="C53" s="148">
        <f>SUMIFS(AS!$W:$W,AS!$BO:$BO,$W$7,AS!$AB:$AB,AS!$AA$1,AS!$AV:$AV,$X$5,AS!$AH:$AH,$X$8,AS!$BB:$BB,AS!$BA$1,AS!$AX:$AX,'Päättäminen, tila, kesto'!$AN53,AS!$AW:$AW,'Päättäminen, tila, kesto'!$Y$6,AS!$X:$X,'Päättäminen, tila, kesto'!$Y$5,AS!$K:$K,'Päättäminen, tila, kesto'!$V$2)+AP53+AU53</f>
        <v>0</v>
      </c>
      <c r="D53" s="330" t="str">
        <f t="shared" si="13"/>
        <v>-</v>
      </c>
      <c r="E53" s="148">
        <f>SUMIFS(AS!$W:$W,AS!$BO:$BO,$W$7,AS!$AB:$AB,AS!$AA$1,AS!$AV:$AV,$X$5,AS!$I:$I,$X$7,AS!$AH:$AH,$X$8,AS!BB:BB,AS!$BA$1,AS!$AX:$AX,'Päättäminen, tila, kesto'!$AN53,AS!$AW:$AW,'Päättäminen, tila, kesto'!$Y$6,AS!$X:$X,'Päättäminen, tila, kesto'!$Y$5,AS!$K:$K,'Päättäminen, tila, kesto'!$V$2)+AQ53+AV53</f>
        <v>0</v>
      </c>
      <c r="F53" s="148">
        <f>SUMIFS(AS!$W:$W,AS!$BO:$BO,$W$7,AS!$AB:$AB,AS!$AA$1,AS!$AV:$AV,$X$5,AS!$I:$I,$Y$7,AS!$AH:$AH,$X$8,AS!BB:BB,AS!$BA$1,AS!$AX:$AX,'Päättäminen, tila, kesto'!$AN53,AS!$AW:$AW,'Päättäminen, tila, kesto'!$Y$6,AS!$X:$X,'Päättäminen, tila, kesto'!$Y$5,AS!$K:$K,'Päättäminen, tila, kesto'!$V$2)+AR53+AW53</f>
        <v>0</v>
      </c>
      <c r="G53" s="148">
        <f>SUMIFS(AS!$W:$W,AS!$BO:$BO,$W$7,AS!$AB:$AB,AS!$AA$1,AS!$AV:$AV,$X$5,AS!$AH:$AH,$Y$8,AS!BB:BB,AS!$BA$1,AS!$AX:$AX,'Päättäminen, tila, kesto'!$AN53,AS!$AW:$AW,'Päättäminen, tila, kesto'!$Y$6,AS!$X:$X,'Päättäminen, tila, kesto'!$Y$5,AS!$K:$K,'Päättäminen, tila, kesto'!$V$2)+AS53+AX53</f>
        <v>0</v>
      </c>
      <c r="H53" s="217"/>
      <c r="I53" s="218"/>
      <c r="J53" s="218"/>
      <c r="K53" s="218"/>
      <c r="L53" s="219"/>
      <c r="M53" s="387" t="s">
        <v>1374</v>
      </c>
      <c r="N53" s="388">
        <f>E53</f>
        <v>0</v>
      </c>
      <c r="O53" s="388">
        <f>F53</f>
        <v>0</v>
      </c>
      <c r="P53" s="27"/>
      <c r="Q53" s="27"/>
      <c r="AA53" s="176" t="str">
        <f>IFERROR(IF(INDEX(Data_Omakoodi!H:H,MATCH($AK$3&amp;$AL53,Data_Omakoodi!A:A,0))="P","",$AK$3&amp;$AL53),$AK$3&amp;$AL53)</f>
        <v>ComboBox_EtKuntakoodi_00000046</v>
      </c>
      <c r="AB53" s="44" t="str">
        <f>IFERROR(INDEX(Data_Omakoodi!E:E,MATCH(AA53,Data_Omakoodi!A:A,0)),"")</f>
        <v/>
      </c>
      <c r="AC53" t="str">
        <f>IFERROR(IF(INDEX(Data_Omakoodi!H:H,MATCH($AH$3&amp;$AL53,Data_Omakoodi!A:A,0))="P","",$AH$3&amp;$AL53),$AH$3&amp;$AL53)</f>
        <v>ComboBox_TyHlo_yksikko_00000046</v>
      </c>
      <c r="AD53" s="44" t="str">
        <f>IFERROR(INDEX(Data_Omakoodi!E:E,MATCH(AC53,Data_Omakoodi!A:A,0)),"")</f>
        <v/>
      </c>
      <c r="AE53" t="str">
        <f>IFERROR(IF(INDEX(Data_Omakoodi!H:H,MATCH($AH$3&amp;$AL53,Data_Omakoodi!A:A,0))="P","",$AH$3&amp;$AL53),$AH$3&amp;$AL53)</f>
        <v>ComboBox_TyHlo_yksikko_00000046</v>
      </c>
      <c r="AF53" t="s">
        <v>1636</v>
      </c>
      <c r="AG53" s="739" t="str">
        <f t="shared" si="0"/>
        <v/>
      </c>
      <c r="AH53" s="739" t="str">
        <f t="shared" si="1"/>
        <v/>
      </c>
      <c r="AI53"/>
      <c r="AJ53" s="739" t="str">
        <f t="shared" si="2"/>
        <v/>
      </c>
      <c r="AK53" s="739" t="str">
        <f t="shared" si="3"/>
        <v/>
      </c>
      <c r="AL53">
        <v>46</v>
      </c>
      <c r="AN53" s="385" t="s">
        <v>1381</v>
      </c>
      <c r="AO53" s="513" t="s">
        <v>542</v>
      </c>
      <c r="AP53" s="27">
        <f>SUMIFS(AS!$W:$W,AS!$BO:$BO,$W$7,AS!$AB:$AB,AS!$AA$1,AS!$AV:$AV,$X$5,AS!$AH:$AH,$X$8,AS!$BB:$BB,AS!$BA$1,AS!$AX:$AX,'Päättäminen, tila, kesto'!$AO53,AS!$AW:$AW,'Päättäminen, tila, kesto'!$Y$6,AS!$X:$X,'Päättäminen, tila, kesto'!$Y$5,AS!$K:$K,'Päättäminen, tila, kesto'!$V$2)</f>
        <v>0</v>
      </c>
      <c r="AQ53" s="27">
        <f>SUMIFS(AS!$W:$W,AS!$BO:$BO,$W$7,AS!$AB:$AB,AS!$AA$1,AS!$AV:$AV,$X$5,AS!$I:$I,$X$7,AS!$AH:$AH,$X$8,AS!BB:BB,AS!$BA$1,AS!$AX:$AX,'Päättäminen, tila, kesto'!$AO53,AS!$AW:$AW,'Päättäminen, tila, kesto'!$Y$6,AS!$X:$X,'Päättäminen, tila, kesto'!$Y$5,AS!$K:$K,'Päättäminen, tila, kesto'!$V$2)</f>
        <v>0</v>
      </c>
      <c r="AR53" s="27">
        <f>SUMIFS(AS!$W:$W,AS!$BO:$BO,$W$7,AS!$AB:$AB,AS!$AA$1,AS!$AV:$AV,$X$5,AS!$I:$I,$Y$7,AS!$AH:$AH,$X$8,AS!BB:BB,AS!$BA$1,AS!$AX:$AX,'Päättäminen, tila, kesto'!$AO53,AS!$AW:$AW,'Päättäminen, tila, kesto'!$Y$6,AS!$X:$X,'Päättäminen, tila, kesto'!$Y$5,AS!$K:$K,'Päättäminen, tila, kesto'!$V$2)</f>
        <v>0</v>
      </c>
      <c r="AS53" s="27">
        <f>SUMIFS(AS!$W:$W,AS!$BO:$BO,$W$7,AS!$AB:$AB,AS!$AA$1,AS!$AV:$AV,$X$5,AS!$AH:$AH,$Y$8,AS!BB:BB,AS!$BA$1,AS!$AX:$AX,'Päättäminen, tila, kesto'!$AO53,AS!$AW:$AW,'Päättäminen, tila, kesto'!$Y$6,AS!$X:$X,'Päättäminen, tila, kesto'!$Y$5,AS!$K:$K,'Päättäminen, tila, kesto'!$V$2)</f>
        <v>0</v>
      </c>
      <c r="AU53" s="27">
        <f>SUMIFS(AS!$W:$W,AS!$BO:$BO,$W$7,AS!$AB:$AB,AS!$AA$1,AS!$AV:$AV,$X$5,AS!$AH:$AH,$X$8,AS!$BB:$BB,AS!$BA$1,AS!$AX:$AX,'Päättäminen, tila, kesto'!$AT53,AS!$AW:$AW,'Päättäminen, tila, kesto'!$Y$6,AS!$X:$X,'Päättäminen, tila, kesto'!$Y$5,AS!$K:$K,'Päättäminen, tila, kesto'!$V$2)</f>
        <v>0</v>
      </c>
      <c r="AV53" s="27">
        <f>SUMIFS(AS!$W:$W,AS!$BO:$BO,$W$7,AS!$AB:$AB,AS!$AA$1,AS!$AV:$AV,$X$5,AS!$I:$I,$X$7,AS!$AH:$AH,$X$8,AS!$BB:$BB,AS!$BA$1,AS!$AX:$AX,'Päättäminen, tila, kesto'!$AT53,AS!$AW:$AW,'Päättäminen, tila, kesto'!$Y$6,AS!$X:$X,'Päättäminen, tila, kesto'!$Y$5,AS!$K:$K,'Päättäminen, tila, kesto'!$V$2)</f>
        <v>0</v>
      </c>
      <c r="AW53" s="27">
        <f>SUMIFS(AS!$W:$W,AS!$BO:$BO,$W$7,AS!$AB:$AB,AS!$AA$1,AS!$AV:$AV,$X$5,AS!$I:$I,$Y$7,AS!$AH:$AH,$X$8,AS!$BB:$BB,AS!$BA$1,AS!$AX:$AX,'Päättäminen, tila, kesto'!$AT53,AS!$AW:$AW,'Päättäminen, tila, kesto'!$Y$6,AS!$X:$X,'Päättäminen, tila, kesto'!$Y$5,AS!$K:$K,'Päättäminen, tila, kesto'!$V$2)</f>
        <v>0</v>
      </c>
      <c r="AX53" s="27">
        <f>SUMIFS(AS!$W:$W,AS!$BO:$BO,$W$7,AS!$AB:$AB,AS!$AA$1,AS!$AV:$AV,$X$5,AS!$AH:$AH,$Y$8,AS!$BB:$BB,AS!$BA$1,AS!$AX:$AX,'Päättäminen, tila, kesto'!$AT53,AS!$AW:$AW,'Päättäminen, tila, kesto'!$Y$6,AS!$X:$X,'Päättäminen, tila, kesto'!$Y$5,AS!$K:$K,'Päättäminen, tila, kesto'!$V$2)</f>
        <v>0</v>
      </c>
      <c r="BA53"/>
      <c r="BB53"/>
      <c r="BC53"/>
      <c r="BD53"/>
    </row>
    <row r="54" spans="1:56" ht="15" x14ac:dyDescent="0.25">
      <c r="A54" s="626"/>
      <c r="B54" s="299" t="s">
        <v>614</v>
      </c>
      <c r="C54" s="343">
        <f>SUM(C55)</f>
        <v>0</v>
      </c>
      <c r="D54" s="344" t="str">
        <f>IFERROR(C54/C$62,"-")</f>
        <v>-</v>
      </c>
      <c r="E54" s="343">
        <f>SUM(E55)</f>
        <v>0</v>
      </c>
      <c r="F54" s="343">
        <f t="shared" ref="F54:G54" si="14">SUM(F55)</f>
        <v>0</v>
      </c>
      <c r="G54" s="343">
        <f t="shared" si="14"/>
        <v>0</v>
      </c>
      <c r="H54" s="214"/>
      <c r="I54" s="215"/>
      <c r="J54" s="215"/>
      <c r="K54" s="215"/>
      <c r="L54" s="216"/>
      <c r="M54" s="387"/>
      <c r="N54" s="388"/>
      <c r="O54" s="388"/>
      <c r="P54" s="27"/>
      <c r="Q54" s="27"/>
      <c r="AA54" s="176" t="str">
        <f>IFERROR(IF(INDEX(Data_Omakoodi!H:H,MATCH($AK$3&amp;$AL54,Data_Omakoodi!A:A,0))="P","",$AK$3&amp;$AL54),$AK$3&amp;$AL54)</f>
        <v>ComboBox_EtKuntakoodi_00000047</v>
      </c>
      <c r="AB54" s="44" t="str">
        <f>IFERROR(INDEX(Data_Omakoodi!E:E,MATCH(AA54,Data_Omakoodi!A:A,0)),"")</f>
        <v/>
      </c>
      <c r="AC54" t="str">
        <f>IFERROR(IF(INDEX(Data_Omakoodi!H:H,MATCH($AH$3&amp;$AL54,Data_Omakoodi!A:A,0))="P","",$AH$3&amp;$AL54),$AH$3&amp;$AL54)</f>
        <v>ComboBox_TyHlo_yksikko_00000047</v>
      </c>
      <c r="AD54" s="44" t="str">
        <f>IFERROR(INDEX(Data_Omakoodi!E:E,MATCH(AC54,Data_Omakoodi!A:A,0)),"")</f>
        <v/>
      </c>
      <c r="AE54" t="str">
        <f>IFERROR(IF(INDEX(Data_Omakoodi!H:H,MATCH($AH$3&amp;$AL54,Data_Omakoodi!A:A,0))="P","",$AH$3&amp;$AL54),$AH$3&amp;$AL54)</f>
        <v>ComboBox_TyHlo_yksikko_00000047</v>
      </c>
      <c r="AF54" t="s">
        <v>1637</v>
      </c>
      <c r="AG54" s="739" t="str">
        <f t="shared" si="0"/>
        <v/>
      </c>
      <c r="AH54" s="739" t="str">
        <f t="shared" si="1"/>
        <v/>
      </c>
      <c r="AI54"/>
      <c r="AJ54" s="739" t="str">
        <f t="shared" si="2"/>
        <v/>
      </c>
      <c r="AK54" s="739" t="str">
        <f t="shared" si="3"/>
        <v/>
      </c>
      <c r="AL54">
        <v>47</v>
      </c>
      <c r="AN54" s="629" t="s">
        <v>541</v>
      </c>
      <c r="AP54" s="27">
        <f>SUMIFS(AS!$W:$W,AS!$BO:$BO,$W$7,AS!$AB:$AB,AS!$AA$1,AS!$AV:$AV,$X$5,AS!$AH:$AH,$X$8,AS!$BB:$BB,AS!$BA$1,AS!$AX:$AX,'Päättäminen, tila, kesto'!$AO54,AS!$AW:$AW,'Päättäminen, tila, kesto'!$Y$6,AS!$X:$X,'Päättäminen, tila, kesto'!$Y$5,AS!$K:$K,'Päättäminen, tila, kesto'!$V$2)</f>
        <v>0</v>
      </c>
      <c r="AQ54" s="27">
        <f>SUMIFS(AS!$W:$W,AS!$BO:$BO,$W$7,AS!$AB:$AB,AS!$AA$1,AS!$AV:$AV,$X$5,AS!$I:$I,$X$7,AS!$AH:$AH,$X$8,AS!BB:BB,AS!$BA$1,AS!$AX:$AX,'Päättäminen, tila, kesto'!$AO54,AS!$AW:$AW,'Päättäminen, tila, kesto'!$Y$6,AS!$X:$X,'Päättäminen, tila, kesto'!$Y$5,AS!$K:$K,'Päättäminen, tila, kesto'!$V$2)</f>
        <v>0</v>
      </c>
      <c r="AR54" s="27">
        <f>SUMIFS(AS!$W:$W,AS!$BO:$BO,$W$7,AS!$AB:$AB,AS!$AA$1,AS!$AV:$AV,$X$5,AS!$I:$I,$Y$7,AS!$AH:$AH,$X$8,AS!BB:BB,AS!$BA$1,AS!$AX:$AX,'Päättäminen, tila, kesto'!$AO54,AS!$AW:$AW,'Päättäminen, tila, kesto'!$Y$6,AS!$X:$X,'Päättäminen, tila, kesto'!$Y$5,AS!$K:$K,'Päättäminen, tila, kesto'!$V$2)</f>
        <v>0</v>
      </c>
      <c r="AS54" s="27">
        <f>SUMIFS(AS!$W:$W,AS!$BO:$BO,$W$7,AS!$AB:$AB,AS!$AA$1,AS!$AV:$AV,$X$5,AS!$AH:$AH,$Y$8,AS!BB:BB,AS!$BA$1,AS!$AX:$AX,'Päättäminen, tila, kesto'!$AO54,AS!$AW:$AW,'Päättäminen, tila, kesto'!$Y$6,AS!$X:$X,'Päättäminen, tila, kesto'!$Y$5,AS!$K:$K,'Päättäminen, tila, kesto'!$V$2)</f>
        <v>0</v>
      </c>
      <c r="AU54" s="27">
        <f>SUMIFS(AS!$W:$W,AS!$BO:$BO,$W$7,AS!$AB:$AB,AS!$AA$1,AS!$AV:$AV,$X$5,AS!$AH:$AH,$X$8,AS!$BB:$BB,AS!$BA$1,AS!$AX:$AX,'Päättäminen, tila, kesto'!$AT54,AS!$AW:$AW,'Päättäminen, tila, kesto'!$Y$6,AS!$X:$X,'Päättäminen, tila, kesto'!$Y$5,AS!$K:$K,'Päättäminen, tila, kesto'!$V$2)</f>
        <v>0</v>
      </c>
      <c r="AV54" s="27">
        <f>SUMIFS(AS!$W:$W,AS!$BO:$BO,$W$7,AS!$AB:$AB,AS!$AA$1,AS!$AV:$AV,$X$5,AS!$I:$I,$X$7,AS!$AH:$AH,$X$8,AS!$BB:$BB,AS!$BA$1,AS!$AX:$AX,'Päättäminen, tila, kesto'!$AT54,AS!$AW:$AW,'Päättäminen, tila, kesto'!$Y$6,AS!$X:$X,'Päättäminen, tila, kesto'!$Y$5,AS!$K:$K,'Päättäminen, tila, kesto'!$V$2)</f>
        <v>0</v>
      </c>
      <c r="AW54" s="27">
        <f>SUMIFS(AS!$W:$W,AS!$BO:$BO,$W$7,AS!$AB:$AB,AS!$AA$1,AS!$AV:$AV,$X$5,AS!$I:$I,$Y$7,AS!$AH:$AH,$X$8,AS!$BB:$BB,AS!$BA$1,AS!$AX:$AX,'Päättäminen, tila, kesto'!$AT54,AS!$AW:$AW,'Päättäminen, tila, kesto'!$Y$6,AS!$X:$X,'Päättäminen, tila, kesto'!$Y$5,AS!$K:$K,'Päättäminen, tila, kesto'!$V$2)</f>
        <v>0</v>
      </c>
      <c r="AX54" s="27">
        <f>SUMIFS(AS!$W:$W,AS!$BO:$BO,$W$7,AS!$AB:$AB,AS!$AA$1,AS!$AV:$AV,$X$5,AS!$AH:$AH,$Y$8,AS!$BB:$BB,AS!$BA$1,AS!$AX:$AX,'Päättäminen, tila, kesto'!$AT54,AS!$AW:$AW,'Päättäminen, tila, kesto'!$Y$6,AS!$X:$X,'Päättäminen, tila, kesto'!$Y$5,AS!$K:$K,'Päättäminen, tila, kesto'!$V$2)</f>
        <v>0</v>
      </c>
      <c r="BA54"/>
      <c r="BB54"/>
      <c r="BC54"/>
      <c r="BD54"/>
    </row>
    <row r="55" spans="1:56" ht="15" x14ac:dyDescent="0.25">
      <c r="A55" s="626"/>
      <c r="B55" s="298" t="s">
        <v>695</v>
      </c>
      <c r="C55" s="148">
        <f>SUMIFS(AS!$W:$W,AS!$BO:$BO,$W$7,AS!$AB:$AB,AS!$AA$1,AS!$AV:$AV,$X$5,AS!$AH:$AH,$X$8,AS!$BB:$BB,AS!$BA$1,AS!$AX:$AX,'Päättäminen, tila, kesto'!$AN55,AS!$AW:$AW,'Päättäminen, tila, kesto'!$Y$6,AS!$X:$X,'Päättäminen, tila, kesto'!$Y$5,AS!$K:$K,'Päättäminen, tila, kesto'!$V$2)+AP55+AU55</f>
        <v>0</v>
      </c>
      <c r="D55" s="330" t="str">
        <f>IFERROR(C55/C$62,"-")</f>
        <v>-</v>
      </c>
      <c r="E55" s="148">
        <f>SUMIFS(AS!$W:$W,AS!$BO:$BO,$W$7,AS!$AB:$AB,AS!$AA$1,AS!$AV:$AV,$X$5,AS!$I:$I,$X$7,AS!$AH:$AH,$X$8,AS!BB:BB,AS!$BA$1,AS!$AX:$AX,'Päättäminen, tila, kesto'!$AN55,AS!$AW:$AW,'Päättäminen, tila, kesto'!$Y$6,AS!$X:$X,'Päättäminen, tila, kesto'!$Y$5,AS!$K:$K,'Päättäminen, tila, kesto'!$V$2)+AQ55+AV55</f>
        <v>0</v>
      </c>
      <c r="F55" s="148">
        <f>SUMIFS(AS!$W:$W,AS!$BO:$BO,$W$7,AS!$AB:$AB,AS!$AA$1,AS!$AV:$AV,$X$5,AS!$I:$I,$Y$7,AS!$AH:$AH,$X$8,AS!BB:BB,AS!$BA$1,AS!$AX:$AX,'Päättäminen, tila, kesto'!$AN55,AS!$AW:$AW,'Päättäminen, tila, kesto'!$Y$6,AS!$X:$X,'Päättäminen, tila, kesto'!$Y$5,AS!$K:$K,'Päättäminen, tila, kesto'!$V$2)+AR55+AW55</f>
        <v>0</v>
      </c>
      <c r="G55" s="148">
        <f>SUMIFS(AS!$W:$W,AS!$BO:$BO,$W$7,AS!$AB:$AB,AS!$AA$1,AS!$AV:$AV,$X$5,AS!$AH:$AH,$Y$8,AS!BB:BB,AS!$BA$1,AS!$AX:$AX,'Päättäminen, tila, kesto'!$AN55,AS!$AW:$AW,'Päättäminen, tila, kesto'!$Y$6,AS!$X:$X,'Päättäminen, tila, kesto'!$Y$5,AS!$K:$K,'Päättäminen, tila, kesto'!$V$2)+AS55+AX55</f>
        <v>0</v>
      </c>
      <c r="H55" s="217"/>
      <c r="I55" s="218"/>
      <c r="J55" s="218"/>
      <c r="K55" s="218"/>
      <c r="L55" s="219"/>
      <c r="M55" s="387" t="s">
        <v>695</v>
      </c>
      <c r="N55" s="388">
        <f t="shared" si="4"/>
        <v>0</v>
      </c>
      <c r="O55" s="388">
        <f t="shared" si="5"/>
        <v>0</v>
      </c>
      <c r="P55" s="27"/>
      <c r="Q55" s="27"/>
      <c r="AA55" s="176" t="str">
        <f>IFERROR(IF(INDEX(Data_Omakoodi!H:H,MATCH($AK$3&amp;$AL55,Data_Omakoodi!A:A,0))="P","",$AK$3&amp;$AL55),$AK$3&amp;$AL55)</f>
        <v>ComboBox_EtKuntakoodi_00000048</v>
      </c>
      <c r="AB55" s="44" t="str">
        <f>IFERROR(INDEX(Data_Omakoodi!E:E,MATCH(AA55,Data_Omakoodi!A:A,0)),"")</f>
        <v/>
      </c>
      <c r="AC55" t="str">
        <f>IFERROR(IF(INDEX(Data_Omakoodi!H:H,MATCH($AH$3&amp;$AL55,Data_Omakoodi!A:A,0))="P","",$AH$3&amp;$AL55),$AH$3&amp;$AL55)</f>
        <v>ComboBox_TyHlo_yksikko_00000048</v>
      </c>
      <c r="AD55" s="44" t="str">
        <f>IFERROR(INDEX(Data_Omakoodi!E:E,MATCH(AC55,Data_Omakoodi!A:A,0)),"")</f>
        <v/>
      </c>
      <c r="AE55" t="str">
        <f>IFERROR(IF(INDEX(Data_Omakoodi!H:H,MATCH($AH$3&amp;$AL55,Data_Omakoodi!A:A,0))="P","",$AH$3&amp;$AL55),$AH$3&amp;$AL55)</f>
        <v>ComboBox_TyHlo_yksikko_00000048</v>
      </c>
      <c r="AF55" t="s">
        <v>1638</v>
      </c>
      <c r="AG55" s="739" t="str">
        <f t="shared" si="0"/>
        <v/>
      </c>
      <c r="AH55" s="739" t="str">
        <f t="shared" si="1"/>
        <v/>
      </c>
      <c r="AI55"/>
      <c r="AJ55" s="739" t="str">
        <f t="shared" si="2"/>
        <v/>
      </c>
      <c r="AK55" s="739" t="str">
        <f t="shared" si="3"/>
        <v/>
      </c>
      <c r="AL55">
        <v>48</v>
      </c>
      <c r="AN55" s="385" t="s">
        <v>223</v>
      </c>
      <c r="AO55" s="513"/>
      <c r="AP55" s="27">
        <f>SUMIFS(AS!$W:$W,AS!$BO:$BO,$W$7,AS!$AB:$AB,AS!$AA$1,AS!$AV:$AV,$X$5,AS!$AH:$AH,$X$8,AS!$BB:$BB,AS!$BA$1,AS!$AX:$AX,'Päättäminen, tila, kesto'!$AO55,AS!$AW:$AW,'Päättäminen, tila, kesto'!$Y$6,AS!$X:$X,'Päättäminen, tila, kesto'!$Y$5,AS!$K:$K,'Päättäminen, tila, kesto'!$V$2)</f>
        <v>0</v>
      </c>
      <c r="AQ55" s="27">
        <f>SUMIFS(AS!$W:$W,AS!$BO:$BO,$W$7,AS!$AB:$AB,AS!$AA$1,AS!$AV:$AV,$X$5,AS!$I:$I,$X$7,AS!$AH:$AH,$X$8,AS!BB:BB,AS!$BA$1,AS!$AX:$AX,'Päättäminen, tila, kesto'!$AO55,AS!$AW:$AW,'Päättäminen, tila, kesto'!$Y$6,AS!$X:$X,'Päättäminen, tila, kesto'!$Y$5,AS!$K:$K,'Päättäminen, tila, kesto'!$V$2)</f>
        <v>0</v>
      </c>
      <c r="AR55" s="27">
        <f>SUMIFS(AS!$W:$W,AS!$BO:$BO,$W$7,AS!$AB:$AB,AS!$AA$1,AS!$AV:$AV,$X$5,AS!$I:$I,$Y$7,AS!$AH:$AH,$X$8,AS!BB:BB,AS!$BA$1,AS!$AX:$AX,'Päättäminen, tila, kesto'!$AO55,AS!$AW:$AW,'Päättäminen, tila, kesto'!$Y$6,AS!$X:$X,'Päättäminen, tila, kesto'!$Y$5,AS!$K:$K,'Päättäminen, tila, kesto'!$V$2)</f>
        <v>0</v>
      </c>
      <c r="AS55" s="27">
        <f>SUMIFS(AS!$W:$W,AS!$BO:$BO,$W$7,AS!$AB:$AB,AS!$AA$1,AS!$AV:$AV,$X$5,AS!$AH:$AH,$Y$8,AS!BB:BB,AS!$BA$1,AS!$AX:$AX,'Päättäminen, tila, kesto'!$AO55,AS!$AW:$AW,'Päättäminen, tila, kesto'!$Y$6,AS!$X:$X,'Päättäminen, tila, kesto'!$Y$5,AS!$K:$K,'Päättäminen, tila, kesto'!$V$2)</f>
        <v>0</v>
      </c>
      <c r="AU55" s="27">
        <f>SUMIFS(AS!$W:$W,AS!$BO:$BO,$W$7,AS!$AB:$AB,AS!$AA$1,AS!$AV:$AV,$X$5,AS!$AH:$AH,$X$8,AS!$BB:$BB,AS!$BA$1,AS!$AX:$AX,'Päättäminen, tila, kesto'!$AT55,AS!$AW:$AW,'Päättäminen, tila, kesto'!$Y$6,AS!$X:$X,'Päättäminen, tila, kesto'!$Y$5,AS!$K:$K,'Päättäminen, tila, kesto'!$V$2)</f>
        <v>0</v>
      </c>
      <c r="AV55" s="27">
        <f>SUMIFS(AS!$W:$W,AS!$BO:$BO,$W$7,AS!$AB:$AB,AS!$AA$1,AS!$AV:$AV,$X$5,AS!$I:$I,$X$7,AS!$AH:$AH,$X$8,AS!$BB:$BB,AS!$BA$1,AS!$AX:$AX,'Päättäminen, tila, kesto'!$AT55,AS!$AW:$AW,'Päättäminen, tila, kesto'!$Y$6,AS!$X:$X,'Päättäminen, tila, kesto'!$Y$5,AS!$K:$K,'Päättäminen, tila, kesto'!$V$2)</f>
        <v>0</v>
      </c>
      <c r="AW55" s="27">
        <f>SUMIFS(AS!$W:$W,AS!$BO:$BO,$W$7,AS!$AB:$AB,AS!$AA$1,AS!$AV:$AV,$X$5,AS!$I:$I,$Y$7,AS!$AH:$AH,$X$8,AS!$BB:$BB,AS!$BA$1,AS!$AX:$AX,'Päättäminen, tila, kesto'!$AT55,AS!$AW:$AW,'Päättäminen, tila, kesto'!$Y$6,AS!$X:$X,'Päättäminen, tila, kesto'!$Y$5,AS!$K:$K,'Päättäminen, tila, kesto'!$V$2)</f>
        <v>0</v>
      </c>
      <c r="AX55" s="27">
        <f>SUMIFS(AS!$W:$W,AS!$BO:$BO,$W$7,AS!$AB:$AB,AS!$AA$1,AS!$AV:$AV,$X$5,AS!$AH:$AH,$Y$8,AS!$BB:$BB,AS!$BA$1,AS!$AX:$AX,'Päättäminen, tila, kesto'!$AT55,AS!$AW:$AW,'Päättäminen, tila, kesto'!$Y$6,AS!$X:$X,'Päättäminen, tila, kesto'!$Y$5,AS!$K:$K,'Päättäminen, tila, kesto'!$V$2)</f>
        <v>0</v>
      </c>
      <c r="BA55"/>
      <c r="BB55"/>
      <c r="BC55"/>
      <c r="BD55"/>
    </row>
    <row r="56" spans="1:56" ht="15" x14ac:dyDescent="0.25">
      <c r="A56" s="626"/>
      <c r="B56" s="299" t="s">
        <v>63</v>
      </c>
      <c r="C56" s="343">
        <f>SUM(C57:C59)</f>
        <v>0</v>
      </c>
      <c r="D56" s="344" t="str">
        <f>IFERROR(C56/C$62,"-")</f>
        <v>-</v>
      </c>
      <c r="E56" s="343">
        <f>SUM(E57:E59)</f>
        <v>0</v>
      </c>
      <c r="F56" s="343">
        <f>SUM(F57:F59)</f>
        <v>0</v>
      </c>
      <c r="G56" s="343">
        <f>SUM(G57:G59)</f>
        <v>0</v>
      </c>
      <c r="H56" s="214"/>
      <c r="I56" s="215"/>
      <c r="J56" s="215"/>
      <c r="K56" s="215"/>
      <c r="L56" s="216"/>
      <c r="M56" s="387"/>
      <c r="N56" s="388"/>
      <c r="O56" s="388"/>
      <c r="P56" s="27"/>
      <c r="Q56" s="27"/>
      <c r="AN56" s="629"/>
      <c r="AP56" s="27">
        <f>SUMIFS(AS!$W:$W,AS!$BO:$BO,$W$7,AS!$AB:$AB,AS!$AA$1,AS!$AV:$AV,$X$5,AS!$AH:$AH,$X$8,AS!$BB:$BB,AS!$BA$1,AS!$AX:$AX,'Päättäminen, tila, kesto'!$AO56,AS!$AW:$AW,'Päättäminen, tila, kesto'!$Y$6,AS!$X:$X,'Päättäminen, tila, kesto'!$Y$5,AS!$K:$K,'Päättäminen, tila, kesto'!$V$2)</f>
        <v>0</v>
      </c>
      <c r="AQ56" s="27">
        <f>SUMIFS(AS!$W:$W,AS!$BO:$BO,$W$7,AS!$AB:$AB,AS!$AA$1,AS!$AV:$AV,$X$5,AS!$I:$I,$X$7,AS!$AH:$AH,$X$8,AS!BB:BB,AS!$BA$1,AS!$AX:$AX,'Päättäminen, tila, kesto'!$AO56,AS!$AW:$AW,'Päättäminen, tila, kesto'!$Y$6,AS!$X:$X,'Päättäminen, tila, kesto'!$Y$5,AS!$K:$K,'Päättäminen, tila, kesto'!$V$2)</f>
        <v>0</v>
      </c>
      <c r="AR56" s="27">
        <f>SUMIFS(AS!$W:$W,AS!$BO:$BO,$W$7,AS!$AB:$AB,AS!$AA$1,AS!$AV:$AV,$X$5,AS!$I:$I,$Y$7,AS!$AH:$AH,$X$8,AS!BB:BB,AS!$BA$1,AS!$AX:$AX,'Päättäminen, tila, kesto'!$AO56,AS!$AW:$AW,'Päättäminen, tila, kesto'!$Y$6,AS!$X:$X,'Päättäminen, tila, kesto'!$Y$5,AS!$K:$K,'Päättäminen, tila, kesto'!$V$2)</f>
        <v>0</v>
      </c>
      <c r="AS56" s="27">
        <f>SUMIFS(AS!$W:$W,AS!$BO:$BO,$W$7,AS!$AB:$AB,AS!$AA$1,AS!$AV:$AV,$X$5,AS!$AH:$AH,$Y$8,AS!BB:BB,AS!$BA$1,AS!$AX:$AX,'Päättäminen, tila, kesto'!$AO56,AS!$AW:$AW,'Päättäminen, tila, kesto'!$Y$6,AS!$X:$X,'Päättäminen, tila, kesto'!$Y$5,AS!$K:$K,'Päättäminen, tila, kesto'!$V$2)</f>
        <v>0</v>
      </c>
      <c r="AU56" s="27">
        <f>SUMIFS(AS!$W:$W,AS!$BO:$BO,$W$7,AS!$AB:$AB,AS!$AA$1,AS!$AV:$AV,$X$5,AS!$AH:$AH,$X$8,AS!$BB:$BB,AS!$BA$1,AS!$AX:$AX,'Päättäminen, tila, kesto'!$AT56,AS!$AW:$AW,'Päättäminen, tila, kesto'!$Y$6,AS!$X:$X,'Päättäminen, tila, kesto'!$Y$5,AS!$K:$K,'Päättäminen, tila, kesto'!$V$2)</f>
        <v>0</v>
      </c>
      <c r="AV56" s="27">
        <f>SUMIFS(AS!$W:$W,AS!$BO:$BO,$W$7,AS!$AB:$AB,AS!$AA$1,AS!$AV:$AV,$X$5,AS!$I:$I,$X$7,AS!$AH:$AH,$X$8,AS!$BB:$BB,AS!$BA$1,AS!$AX:$AX,'Päättäminen, tila, kesto'!$AT56,AS!$AW:$AW,'Päättäminen, tila, kesto'!$Y$6,AS!$X:$X,'Päättäminen, tila, kesto'!$Y$5,AS!$K:$K,'Päättäminen, tila, kesto'!$V$2)</f>
        <v>0</v>
      </c>
      <c r="AW56" s="27">
        <f>SUMIFS(AS!$W:$W,AS!$BO:$BO,$W$7,AS!$AB:$AB,AS!$AA$1,AS!$AV:$AV,$X$5,AS!$I:$I,$Y$7,AS!$AH:$AH,$X$8,AS!$BB:$BB,AS!$BA$1,AS!$AX:$AX,'Päättäminen, tila, kesto'!$AT56,AS!$AW:$AW,'Päättäminen, tila, kesto'!$Y$6,AS!$X:$X,'Päättäminen, tila, kesto'!$Y$5,AS!$K:$K,'Päättäminen, tila, kesto'!$V$2)</f>
        <v>0</v>
      </c>
      <c r="AX56" s="27">
        <f>SUMIFS(AS!$W:$W,AS!$BO:$BO,$W$7,AS!$AB:$AB,AS!$AA$1,AS!$AV:$AV,$X$5,AS!$AH:$AH,$Y$8,AS!$BB:$BB,AS!$BA$1,AS!$AX:$AX,'Päättäminen, tila, kesto'!$AT56,AS!$AW:$AW,'Päättäminen, tila, kesto'!$Y$6,AS!$X:$X,'Päättäminen, tila, kesto'!$Y$5,AS!$K:$K,'Päättäminen, tila, kesto'!$V$2)</f>
        <v>0</v>
      </c>
      <c r="BA56"/>
      <c r="BB56"/>
      <c r="BC56"/>
      <c r="BD56"/>
    </row>
    <row r="57" spans="1:56" ht="15" x14ac:dyDescent="0.25">
      <c r="A57" s="626"/>
      <c r="B57" s="298" t="s">
        <v>1388</v>
      </c>
      <c r="C57" s="148">
        <f>SUMIFS(AS!$W:$W,AS!$BO:$BO,$W$7,AS!$AB:$AB,AS!$AA$1,AS!$AV:$AV,$X$5,AS!$AH:$AH,$X$8,AS!$BB:$BB,AS!$BA$1,AS!$AX:$AX,'Päättäminen, tila, kesto'!$AN57,AS!$AW:$AW,'Päättäminen, tila, kesto'!$Y$6,AS!$X:$X,'Päättäminen, tila, kesto'!$Y$5,AS!$K:$K,'Päättäminen, tila, kesto'!$V$2)+AP57+AU57</f>
        <v>0</v>
      </c>
      <c r="D57" s="330" t="str">
        <f>IFERROR(C57/C$62,"-")</f>
        <v>-</v>
      </c>
      <c r="E57" s="148">
        <f>SUMIFS(AS!$W:$W,AS!$BO:$BO,$W$7,AS!$AB:$AB,AS!$AA$1,AS!$AV:$AV,$X$5,AS!$I:$I,$X$7,AS!$AH:$AH,$X$8,AS!BB:BB,AS!$BA$1,AS!$AX:$AX,'Päättäminen, tila, kesto'!$AN57,AS!$AW:$AW,'Päättäminen, tila, kesto'!$Y$6,AS!$X:$X,'Päättäminen, tila, kesto'!$Y$5,AS!$K:$K,'Päättäminen, tila, kesto'!$V$2)+AQ57+AV57</f>
        <v>0</v>
      </c>
      <c r="F57" s="148">
        <f>SUMIFS(AS!$W:$W,AS!$BO:$BO,$W$7,AS!$AB:$AB,AS!$AA$1,AS!$AV:$AV,$X$5,AS!$I:$I,$Y$7,AS!$AH:$AH,$X$8,AS!BB:BB,AS!$BA$1,AS!$AX:$AX,'Päättäminen, tila, kesto'!$AN57,AS!$AW:$AW,'Päättäminen, tila, kesto'!$Y$6,AS!$X:$X,'Päättäminen, tila, kesto'!$Y$5,AS!$K:$K,'Päättäminen, tila, kesto'!$V$2)+AR57+AW57</f>
        <v>0</v>
      </c>
      <c r="G57" s="148">
        <f>SUMIFS(AS!$W:$W,AS!$BO:$BO,$W$7,AS!$AB:$AB,AS!$AA$1,AS!$AV:$AV,$X$5,AS!$AH:$AH,$Y$8,AS!BB:BB,AS!$BA$1,AS!$AX:$AX,'Päättäminen, tila, kesto'!$AN57,AS!$AW:$AW,'Päättäminen, tila, kesto'!$Y$6,AS!$X:$X,'Päättäminen, tila, kesto'!$Y$5,AS!$K:$K,'Päättäminen, tila, kesto'!$V$2)+AS57+AX57</f>
        <v>0</v>
      </c>
      <c r="H57" s="217"/>
      <c r="I57" s="218"/>
      <c r="J57" s="218"/>
      <c r="K57" s="218"/>
      <c r="L57" s="219"/>
      <c r="M57" s="387" t="s">
        <v>1388</v>
      </c>
      <c r="N57" s="388">
        <f t="shared" si="4"/>
        <v>0</v>
      </c>
      <c r="O57" s="388">
        <f t="shared" si="5"/>
        <v>0</v>
      </c>
      <c r="P57" s="27"/>
      <c r="Q57" s="27"/>
      <c r="AN57" s="632" t="s">
        <v>1099</v>
      </c>
      <c r="AP57" s="27">
        <f>SUMIFS(AS!$W:$W,AS!$BO:$BO,$W$7,AS!$AB:$AB,AS!$AA$1,AS!$AV:$AV,$X$5,AS!$AH:$AH,$X$8,AS!$BB:$BB,AS!$BA$1,AS!$AX:$AX,'Päättäminen, tila, kesto'!$AO57,AS!$AW:$AW,'Päättäminen, tila, kesto'!$Y$6,AS!$X:$X,'Päättäminen, tila, kesto'!$Y$5,AS!$K:$K,'Päättäminen, tila, kesto'!$V$2)</f>
        <v>0</v>
      </c>
      <c r="AQ57" s="27">
        <f>SUMIFS(AS!$W:$W,AS!$BO:$BO,$W$7,AS!$AB:$AB,AS!$AA$1,AS!$AV:$AV,$X$5,AS!$I:$I,$X$7,AS!$AH:$AH,$X$8,AS!BB:BB,AS!$BA$1,AS!$AX:$AX,'Päättäminen, tila, kesto'!$AO57,AS!$AW:$AW,'Päättäminen, tila, kesto'!$Y$6,AS!$X:$X,'Päättäminen, tila, kesto'!$Y$5,AS!$K:$K,'Päättäminen, tila, kesto'!$V$2)</f>
        <v>0</v>
      </c>
      <c r="AR57" s="27">
        <f>SUMIFS(AS!$W:$W,AS!$BO:$BO,$W$7,AS!$AB:$AB,AS!$AA$1,AS!$AV:$AV,$X$5,AS!$I:$I,$Y$7,AS!$AH:$AH,$X$8,AS!BB:BB,AS!$BA$1,AS!$AX:$AX,'Päättäminen, tila, kesto'!$AO57,AS!$AW:$AW,'Päättäminen, tila, kesto'!$Y$6,AS!$X:$X,'Päättäminen, tila, kesto'!$Y$5,AS!$K:$K,'Päättäminen, tila, kesto'!$V$2)</f>
        <v>0</v>
      </c>
      <c r="AS57" s="27">
        <f>SUMIFS(AS!$W:$W,AS!$BO:$BO,$W$7,AS!$AB:$AB,AS!$AA$1,AS!$AV:$AV,$X$5,AS!$AH:$AH,$Y$8,AS!BB:BB,AS!$BA$1,AS!$AX:$AX,'Päättäminen, tila, kesto'!$AO57,AS!$AW:$AW,'Päättäminen, tila, kesto'!$Y$6,AS!$X:$X,'Päättäminen, tila, kesto'!$Y$5,AS!$K:$K,'Päättäminen, tila, kesto'!$V$2)</f>
        <v>0</v>
      </c>
      <c r="AU57" s="27">
        <f>SUMIFS(AS!$W:$W,AS!$BO:$BO,$W$7,AS!$AB:$AB,AS!$AA$1,AS!$AV:$AV,$X$5,AS!$AH:$AH,$X$8,AS!$BB:$BB,AS!$BA$1,AS!$AX:$AX,'Päättäminen, tila, kesto'!$AT57,AS!$AW:$AW,'Päättäminen, tila, kesto'!$Y$6,AS!$X:$X,'Päättäminen, tila, kesto'!$Y$5,AS!$K:$K,'Päättäminen, tila, kesto'!$V$2)</f>
        <v>0</v>
      </c>
      <c r="AV57" s="27">
        <f>SUMIFS(AS!$W:$W,AS!$BO:$BO,$W$7,AS!$AB:$AB,AS!$AA$1,AS!$AV:$AV,$X$5,AS!$I:$I,$X$7,AS!$AH:$AH,$X$8,AS!$BB:$BB,AS!$BA$1,AS!$AX:$AX,'Päättäminen, tila, kesto'!$AT57,AS!$AW:$AW,'Päättäminen, tila, kesto'!$Y$6,AS!$X:$X,'Päättäminen, tila, kesto'!$Y$5,AS!$K:$K,'Päättäminen, tila, kesto'!$V$2)</f>
        <v>0</v>
      </c>
      <c r="AW57" s="27">
        <f>SUMIFS(AS!$W:$W,AS!$BO:$BO,$W$7,AS!$AB:$AB,AS!$AA$1,AS!$AV:$AV,$X$5,AS!$I:$I,$Y$7,AS!$AH:$AH,$X$8,AS!$BB:$BB,AS!$BA$1,AS!$AX:$AX,'Päättäminen, tila, kesto'!$AT57,AS!$AW:$AW,'Päättäminen, tila, kesto'!$Y$6,AS!$X:$X,'Päättäminen, tila, kesto'!$Y$5,AS!$K:$K,'Päättäminen, tila, kesto'!$V$2)</f>
        <v>0</v>
      </c>
      <c r="AX57" s="27">
        <f>SUMIFS(AS!$W:$W,AS!$BO:$BO,$W$7,AS!$AB:$AB,AS!$AA$1,AS!$AV:$AV,$X$5,AS!$AH:$AH,$Y$8,AS!$BB:$BB,AS!$BA$1,AS!$AX:$AX,'Päättäminen, tila, kesto'!$AT57,AS!$AW:$AW,'Päättäminen, tila, kesto'!$Y$6,AS!$X:$X,'Päättäminen, tila, kesto'!$Y$5,AS!$K:$K,'Päättäminen, tila, kesto'!$V$2)</f>
        <v>0</v>
      </c>
      <c r="BA57"/>
      <c r="BB57"/>
      <c r="BC57"/>
      <c r="BD57"/>
    </row>
    <row r="58" spans="1:56" ht="14.45" customHeight="1" x14ac:dyDescent="0.25">
      <c r="A58" s="626"/>
      <c r="B58" s="298" t="s">
        <v>696</v>
      </c>
      <c r="C58" s="148">
        <f>SUMIFS(AS!$W:$W,AS!$BO:$BO,$W$7,AS!$AB:$AB,AS!$AA$1,AS!$AV:$AV,$X$5,AS!$AH:$AH,$X$8,AS!$BB:$BB,AS!$BA$1,AS!$AX:$AX,'Päättäminen, tila, kesto'!$AN58,AS!$AW:$AW,'Päättäminen, tila, kesto'!$Y$6,AS!$X:$X,'Päättäminen, tila, kesto'!$Y$5,AS!$K:$K,'Päättäminen, tila, kesto'!$V$2)+AP58+AU58</f>
        <v>0</v>
      </c>
      <c r="D58" s="330" t="str">
        <f t="shared" ref="D58" si="15">IFERROR(C58/C$62,"-")</f>
        <v>-</v>
      </c>
      <c r="E58" s="148">
        <f>SUMIFS(AS!$W:$W,AS!$BO:$BO,$W$7,AS!$AB:$AB,AS!$AA$1,AS!$AV:$AV,$X$5,AS!$I:$I,$X$7,AS!$AH:$AH,$X$8,AS!BB:BB,AS!$BA$1,AS!$AX:$AX,'Päättäminen, tila, kesto'!$AN58,AS!$AW:$AW,'Päättäminen, tila, kesto'!$Y$6,AS!$X:$X,'Päättäminen, tila, kesto'!$Y$5,AS!$K:$K,'Päättäminen, tila, kesto'!$V$2)+AQ58+AV58</f>
        <v>0</v>
      </c>
      <c r="F58" s="148">
        <f>SUMIFS(AS!$W:$W,AS!$BO:$BO,$W$7,AS!$AB:$AB,AS!$AA$1,AS!$AV:$AV,$X$5,AS!$I:$I,$Y$7,AS!$AH:$AH,$X$8,AS!BB:BB,AS!$BA$1,AS!$AX:$AX,'Päättäminen, tila, kesto'!$AN58,AS!$AW:$AW,'Päättäminen, tila, kesto'!$Y$6,AS!$X:$X,'Päättäminen, tila, kesto'!$Y$5,AS!$K:$K,'Päättäminen, tila, kesto'!$V$2)+AR58+AW58</f>
        <v>0</v>
      </c>
      <c r="G58" s="148">
        <f>SUMIFS(AS!$W:$W,AS!$BO:$BO,$W$7,AS!$AB:$AB,AS!$AA$1,AS!$AV:$AV,$X$5,AS!$AH:$AH,$Y$8,AS!BB:BB,AS!$BA$1,AS!$AX:$AX,'Päättäminen, tila, kesto'!$AN58,AS!$AW:$AW,'Päättäminen, tila, kesto'!$Y$6,AS!$X:$X,'Päättäminen, tila, kesto'!$Y$5,AS!$K:$K,'Päättäminen, tila, kesto'!$V$2)+AS58+AX58</f>
        <v>0</v>
      </c>
      <c r="H58" s="217"/>
      <c r="I58" s="218"/>
      <c r="J58" s="218"/>
      <c r="K58" s="218"/>
      <c r="L58" s="219"/>
      <c r="M58" s="387" t="s">
        <v>696</v>
      </c>
      <c r="N58" s="388">
        <f t="shared" si="4"/>
        <v>0</v>
      </c>
      <c r="O58" s="388">
        <f t="shared" si="5"/>
        <v>0</v>
      </c>
      <c r="P58" s="27"/>
      <c r="Q58" s="27"/>
      <c r="AA58" s="146"/>
      <c r="AB58" s="146"/>
      <c r="AC58" s="146"/>
      <c r="AD58" s="146"/>
      <c r="AE58" s="146"/>
      <c r="AF58" s="146"/>
      <c r="AG58" s="146"/>
      <c r="AH58" s="146"/>
      <c r="AI58" s="146"/>
      <c r="AJ58" s="146"/>
      <c r="AK58" s="146"/>
      <c r="AL58" s="146"/>
      <c r="AM58" s="146"/>
      <c r="AN58" s="633" t="s">
        <v>233</v>
      </c>
      <c r="AP58" s="27">
        <f>SUMIFS(AS!$W:$W,AS!$BO:$BO,$W$7,AS!$AB:$AB,AS!$AA$1,AS!$AV:$AV,$X$5,AS!$AH:$AH,$X$8,AS!$BB:$BB,AS!$BA$1,AS!$AX:$AX,'Päättäminen, tila, kesto'!$AO58,AS!$AW:$AW,'Päättäminen, tila, kesto'!$Y$6,AS!$X:$X,'Päättäminen, tila, kesto'!$Y$5,AS!$K:$K,'Päättäminen, tila, kesto'!$V$2)</f>
        <v>0</v>
      </c>
      <c r="AQ58" s="27">
        <f>SUMIFS(AS!$W:$W,AS!$BO:$BO,$W$7,AS!$AB:$AB,AS!$AA$1,AS!$AV:$AV,$X$5,AS!$I:$I,$X$7,AS!$AH:$AH,$X$8,AS!BB:BB,AS!$BA$1,AS!$AX:$AX,'Päättäminen, tila, kesto'!$AO58,AS!$AW:$AW,'Päättäminen, tila, kesto'!$Y$6,AS!$X:$X,'Päättäminen, tila, kesto'!$Y$5,AS!$K:$K,'Päättäminen, tila, kesto'!$V$2)</f>
        <v>0</v>
      </c>
      <c r="AR58" s="27">
        <f>SUMIFS(AS!$W:$W,AS!$BO:$BO,$W$7,AS!$AB:$AB,AS!$AA$1,AS!$AV:$AV,$X$5,AS!$I:$I,$Y$7,AS!$AH:$AH,$X$8,AS!BB:BB,AS!$BA$1,AS!$AX:$AX,'Päättäminen, tila, kesto'!$AO58,AS!$AW:$AW,'Päättäminen, tila, kesto'!$Y$6,AS!$X:$X,'Päättäminen, tila, kesto'!$Y$5,AS!$K:$K,'Päättäminen, tila, kesto'!$V$2)</f>
        <v>0</v>
      </c>
      <c r="AS58" s="27">
        <f>SUMIFS(AS!$W:$W,AS!$BO:$BO,$W$7,AS!$AB:$AB,AS!$AA$1,AS!$AV:$AV,$X$5,AS!$AH:$AH,$Y$8,AS!BB:BB,AS!$BA$1,AS!$AX:$AX,'Päättäminen, tila, kesto'!$AO58,AS!$AW:$AW,'Päättäminen, tila, kesto'!$Y$6,AS!$X:$X,'Päättäminen, tila, kesto'!$Y$5,AS!$K:$K,'Päättäminen, tila, kesto'!$V$2)</f>
        <v>0</v>
      </c>
      <c r="AU58" s="27">
        <f>SUMIFS(AS!$W:$W,AS!$BO:$BO,$W$7,AS!$AB:$AB,AS!$AA$1,AS!$AV:$AV,$X$5,AS!$AH:$AH,$X$8,AS!$BB:$BB,AS!$BA$1,AS!$AX:$AX,'Päättäminen, tila, kesto'!$AT58,AS!$AW:$AW,'Päättäminen, tila, kesto'!$Y$6,AS!$X:$X,'Päättäminen, tila, kesto'!$Y$5,AS!$K:$K,'Päättäminen, tila, kesto'!$V$2)</f>
        <v>0</v>
      </c>
      <c r="AV58" s="27">
        <f>SUMIFS(AS!$W:$W,AS!$BO:$BO,$W$7,AS!$AB:$AB,AS!$AA$1,AS!$AV:$AV,$X$5,AS!$I:$I,$X$7,AS!$AH:$AH,$X$8,AS!$BB:$BB,AS!$BA$1,AS!$AX:$AX,'Päättäminen, tila, kesto'!$AT58,AS!$AW:$AW,'Päättäminen, tila, kesto'!$Y$6,AS!$X:$X,'Päättäminen, tila, kesto'!$Y$5,AS!$K:$K,'Päättäminen, tila, kesto'!$V$2)</f>
        <v>0</v>
      </c>
      <c r="AW58" s="27">
        <f>SUMIFS(AS!$W:$W,AS!$BO:$BO,$W$7,AS!$AB:$AB,AS!$AA$1,AS!$AV:$AV,$X$5,AS!$I:$I,$Y$7,AS!$AH:$AH,$X$8,AS!$BB:$BB,AS!$BA$1,AS!$AX:$AX,'Päättäminen, tila, kesto'!$AT58,AS!$AW:$AW,'Päättäminen, tila, kesto'!$Y$6,AS!$X:$X,'Päättäminen, tila, kesto'!$Y$5,AS!$K:$K,'Päättäminen, tila, kesto'!$V$2)</f>
        <v>0</v>
      </c>
      <c r="AX58" s="27">
        <f>SUMIFS(AS!$W:$W,AS!$BO:$BO,$W$7,AS!$AB:$AB,AS!$AA$1,AS!$AV:$AV,$X$5,AS!$AH:$AH,$Y$8,AS!$BB:$BB,AS!$BA$1,AS!$AX:$AX,'Päättäminen, tila, kesto'!$AT58,AS!$AW:$AW,'Päättäminen, tila, kesto'!$Y$6,AS!$X:$X,'Päättäminen, tila, kesto'!$Y$5,AS!$K:$K,'Päättäminen, tila, kesto'!$V$2)</f>
        <v>0</v>
      </c>
      <c r="BA58"/>
      <c r="BB58"/>
      <c r="BC58"/>
      <c r="BD58"/>
    </row>
    <row r="59" spans="1:56" ht="14.45" customHeight="1" x14ac:dyDescent="0.25">
      <c r="A59" s="626"/>
      <c r="B59" s="298" t="s">
        <v>1390</v>
      </c>
      <c r="C59" s="713">
        <f>SUMIFS(AS!$W:$W,AS!$BO:$BO,$W$7,AS!$AB:$AB,AS!$AA$1,AS!$AV:$AV,$X$5,AS!$AH:$AH,$X$8,AS!BB:BB,AS!$BA$1,AS!$AW:$AW,'Päättäminen, tila, kesto'!$Y$6,AS!$X:$X,'Päättäminen, tila, kesto'!$Y$5,AS!$K:$K,'Päättäminen, tila, kesto'!$V$2)-C64</f>
        <v>0</v>
      </c>
      <c r="D59" s="714" t="str">
        <f>IFERROR(C59/C$62,"-")</f>
        <v>-</v>
      </c>
      <c r="E59" s="713">
        <f>SUMIFS(AS!$W:$W,AS!$BO:$BO,$W$7,AS!$AB:$AB,AS!$AA$1,AS!$AV:$AV,$X$5,AS!$I:$I,$X$7,AS!$AH:$AH,$X$8,AS!$BB:$BB,AS!$BA$1,AS!$AW:$AW,'Päättäminen, tila, kesto'!$Y$6,AS!$X:$X,'Päättäminen, tila, kesto'!$Y$5,AS!$K:$K,'Päättäminen, tila, kesto'!$V$2)-E64</f>
        <v>0</v>
      </c>
      <c r="F59" s="713">
        <f>SUMIFS(AS!$W:$W,AS!$BO:$BO,$W$7,AS!$AB:$AB,AS!$AA$1,AS!$AV:$AV,$X$5,AS!$I:$I,$Y$7,AS!$AH:$AH,$X$8,AS!$BB:$BB,AS!$BA$1,AS!$AW:$AW,'Päättäminen, tila, kesto'!$Y$6,AS!$X:$X,'Päättäminen, tila, kesto'!$Y$5,AS!$K:$K,'Päättäminen, tila, kesto'!$V$2)-F64</f>
        <v>0</v>
      </c>
      <c r="G59" s="148">
        <f>SUMIFS(AS!$W:$W,AS!$BO:$BO,$W$7,AS!$AB:$AB,AS!$AA$1,AS!$AV:$AV,$X$5,AS!$AH:$AH,$Y$8,AS!$BB:$BB,AS!$BA$1,AS!$AW:$AW,'Päättäminen, tila, kesto'!$Y$6,AS!$X:$X,'Päättäminen, tila, kesto'!$Y$5,AS!$K:$K,'Päättäminen, tila, kesto'!$V$2)-G64</f>
        <v>0</v>
      </c>
      <c r="H59" s="217"/>
      <c r="I59" s="218"/>
      <c r="J59" s="218"/>
      <c r="K59" s="218"/>
      <c r="L59" s="219"/>
      <c r="M59" s="387" t="s">
        <v>1390</v>
      </c>
      <c r="N59" s="388">
        <f>E59</f>
        <v>0</v>
      </c>
      <c r="O59" s="388">
        <f t="shared" si="5"/>
        <v>0</v>
      </c>
      <c r="P59" s="27"/>
      <c r="Q59" s="27"/>
      <c r="AA59" s="146"/>
      <c r="AB59" s="146"/>
      <c r="AC59" s="146"/>
      <c r="AD59" s="146"/>
      <c r="AE59" s="146"/>
      <c r="AF59" s="146"/>
      <c r="AG59" s="146"/>
      <c r="AH59" s="146"/>
      <c r="AI59" s="146"/>
      <c r="AJ59" s="146"/>
      <c r="AK59" s="146"/>
      <c r="AL59" s="146"/>
      <c r="AM59" s="146"/>
      <c r="AN59" s="629" t="s">
        <v>753</v>
      </c>
      <c r="AP59" s="27">
        <f>SUMIFS(AS!$W:$W,AS!$BO:$BO,$W$7,AS!$AB:$AB,AS!$AA$1,AS!$AV:$AV,$X$5,AS!$AH:$AH,$X$8,AS!$BB:$BB,AS!$BA$1,AS!$AX:$AX,'Päättäminen, tila, kesto'!$AO59,AS!$AW:$AW,'Päättäminen, tila, kesto'!$Y$6,AS!$X:$X,'Päättäminen, tila, kesto'!$Y$5,AS!$K:$K,'Päättäminen, tila, kesto'!$V$2)</f>
        <v>0</v>
      </c>
      <c r="AQ59" s="27">
        <f>SUMIFS(AS!$W:$W,AS!$BO:$BO,$W$7,AS!$AB:$AB,AS!$AA$1,AS!$AV:$AV,$X$5,AS!$I:$I,$X$7,AS!$AH:$AH,$X$8,AS!BB:BB,AS!$BA$1,AS!$AX:$AX,'Päättäminen, tila, kesto'!$AO59,AS!$AW:$AW,'Päättäminen, tila, kesto'!$Y$6,AS!$X:$X,'Päättäminen, tila, kesto'!$Y$5,AS!$K:$K,'Päättäminen, tila, kesto'!$V$2)</f>
        <v>0</v>
      </c>
      <c r="AR59" s="27">
        <f>SUMIFS(AS!$W:$W,AS!$BO:$BO,$W$7,AS!$AB:$AB,AS!$AA$1,AS!$AV:$AV,$X$5,AS!$I:$I,$Y$7,AS!$AH:$AH,$X$8,AS!BB:BB,AS!$BA$1,AS!$AX:$AX,'Päättäminen, tila, kesto'!$AO59,AS!$AW:$AW,'Päättäminen, tila, kesto'!$Y$6,AS!$X:$X,'Päättäminen, tila, kesto'!$Y$5,AS!$K:$K,'Päättäminen, tila, kesto'!$V$2)</f>
        <v>0</v>
      </c>
      <c r="AS59" s="27">
        <f>SUMIFS(AS!$W:$W,AS!$BO:$BO,$W$7,AS!$AB:$AB,AS!$AA$1,AS!$AV:$AV,$X$5,AS!$AH:$AH,$Y$8,AS!BB:BB,AS!$BA$1,AS!$AX:$AX,'Päättäminen, tila, kesto'!$AO59,AS!$AW:$AW,'Päättäminen, tila, kesto'!$Y$6,AS!$X:$X,'Päättäminen, tila, kesto'!$Y$5,AS!$K:$K,'Päättäminen, tila, kesto'!$V$2)</f>
        <v>0</v>
      </c>
      <c r="AU59" s="27">
        <f>SUMIFS(AS!$W:$W,AS!$BO:$BO,$W$7,AS!$AB:$AB,AS!$AA$1,AS!$AV:$AV,$X$5,AS!$AH:$AH,$X$8,AS!$BB:$BB,AS!$BA$1,AS!$AX:$AX,'Päättäminen, tila, kesto'!$AT59,AS!$AW:$AW,'Päättäminen, tila, kesto'!$Y$6,AS!$X:$X,'Päättäminen, tila, kesto'!$Y$5,AS!$K:$K,'Päättäminen, tila, kesto'!$V$2)</f>
        <v>0</v>
      </c>
      <c r="AV59" s="27">
        <f>SUMIFS(AS!$W:$W,AS!$BO:$BO,$W$7,AS!$AB:$AB,AS!$AA$1,AS!$AV:$AV,$X$5,AS!$I:$I,$X$7,AS!$AH:$AH,$X$8,AS!$BB:$BB,AS!$BA$1,AS!$AX:$AX,'Päättäminen, tila, kesto'!$AT59,AS!$AW:$AW,'Päättäminen, tila, kesto'!$Y$6,AS!$X:$X,'Päättäminen, tila, kesto'!$Y$5,AS!$K:$K,'Päättäminen, tila, kesto'!$V$2)</f>
        <v>0</v>
      </c>
      <c r="AW59" s="27">
        <f>SUMIFS(AS!$W:$W,AS!$BO:$BO,$W$7,AS!$AB:$AB,AS!$AA$1,AS!$AV:$AV,$X$5,AS!$I:$I,$Y$7,AS!$AH:$AH,$X$8,AS!$BB:$BB,AS!$BA$1,AS!$AX:$AX,'Päättäminen, tila, kesto'!$AT59,AS!$AW:$AW,'Päättäminen, tila, kesto'!$Y$6,AS!$X:$X,'Päättäminen, tila, kesto'!$Y$5,AS!$K:$K,'Päättäminen, tila, kesto'!$V$2)</f>
        <v>0</v>
      </c>
      <c r="AX59" s="27">
        <f>SUMIFS(AS!$W:$W,AS!$BO:$BO,$W$7,AS!$AB:$AB,AS!$AA$1,AS!$AV:$AV,$X$5,AS!$AH:$AH,$Y$8,AS!$BB:$BB,AS!$BA$1,AS!$AX:$AX,'Päättäminen, tila, kesto'!$AT59,AS!$AW:$AW,'Päättäminen, tila, kesto'!$Y$6,AS!$X:$X,'Päättäminen, tila, kesto'!$Y$5,AS!$K:$K,'Päättäminen, tila, kesto'!$V$2)</f>
        <v>0</v>
      </c>
      <c r="BA59"/>
      <c r="BB59"/>
      <c r="BC59"/>
      <c r="BD59"/>
    </row>
    <row r="60" spans="1:56" s="146" customFormat="1" ht="15" x14ac:dyDescent="0.25">
      <c r="A60" s="626"/>
      <c r="B60" s="299" t="s">
        <v>97</v>
      </c>
      <c r="C60" s="343">
        <f>SUMIFS(AS!$W:$W,AS!$BO:$BO,$W$7,AS!$AB:$AB,AS!$AA$1,AS!$AV:$AV,$X$5,AS!$AH:$AH,$X$8,AS!$BB:$BB,AS!$BA$1,AS!$AX:$AX,'Päättäminen, tila, kesto'!$AN60,AS!$AW:$AW,'Päättäminen, tila, kesto'!$Y$6,AS!$X:$X,'Päättäminen, tila, kesto'!$Y$5,AS!$K:$K,'Päättäminen, tila, kesto'!$V$2)</f>
        <v>0</v>
      </c>
      <c r="D60" s="344" t="str">
        <f>IFERROR(C60/C$62,"-")</f>
        <v>-</v>
      </c>
      <c r="E60" s="343">
        <f>SUMIFS(AS!$W:$W,AS!$BO:$BO,$W$7,AS!$AB:$AB,AS!$AA$1,AS!$AV:$AV,$X$5,AS!$I:$I,$X$7,AS!$AH:$AH,$X$8,AS!BB:BB,AS!$BA$1,AS!$AX:$AX,'Päättäminen, tila, kesto'!$AN60,AS!$AW:$AW,'Päättäminen, tila, kesto'!$Y$6,AS!$X:$X,'Päättäminen, tila, kesto'!$Y$5,AS!$K:$K,'Päättäminen, tila, kesto'!$V$2)</f>
        <v>0</v>
      </c>
      <c r="F60" s="343">
        <f>SUMIFS(AS!$W:$W,AS!$BO:$BO,$W$7,AS!$AB:$AB,AS!$AA$1,AS!$AV:$AV,$X$5,AS!$I:$I,$Y$7,AS!$AH:$AH,$X$8,AS!BB:BB,AS!$BA$1,AS!$AX:$AX,'Päättäminen, tila, kesto'!$AN60,AS!$AW:$AW,'Päättäminen, tila, kesto'!$Y$6,AS!$X:$X,'Päättäminen, tila, kesto'!$Y$5,AS!$K:$K,'Päättäminen, tila, kesto'!$V$2)</f>
        <v>0</v>
      </c>
      <c r="G60" s="343">
        <f>SUMIFS(AS!$W:$W,AS!$BO:$BO,$W$7,AS!$AB:$AB,AS!$AA$1,AS!$AV:$AV,$X$5,AS!$AH:$AH,$Y$8,AS!BB:BB,AS!$BA$1,AS!$AX:$AX,'Päättäminen, tila, kesto'!$AN60,AS!$AW:$AW,'Päättäminen, tila, kesto'!$Y$6,AS!$X:$X,'Päättäminen, tila, kesto'!$Y$5,AS!$K:$K,'Päättäminen, tila, kesto'!$V$2)</f>
        <v>0</v>
      </c>
      <c r="H60" s="214"/>
      <c r="I60" s="215"/>
      <c r="J60" s="215"/>
      <c r="K60" s="215"/>
      <c r="L60" s="216"/>
      <c r="M60" s="387"/>
      <c r="N60" s="388"/>
      <c r="O60" s="388"/>
      <c r="P60" s="27"/>
      <c r="Q60" s="27"/>
      <c r="R60" s="27"/>
      <c r="S60" s="27"/>
      <c r="T60" s="27"/>
      <c r="U60" s="27"/>
      <c r="V60" s="27"/>
      <c r="W60" s="27"/>
      <c r="Z60" s="27"/>
      <c r="AN60" s="629" t="s">
        <v>543</v>
      </c>
      <c r="AO60" s="27"/>
      <c r="AP60" s="27">
        <f>SUMIFS(AS!$W:$W,AS!$BO:$BO,$W$7,AS!$AB:$AB,AS!$AA$1,AS!$AV:$AV,$X$5,AS!$AH:$AH,$X$8,AS!$BB:$BB,AS!$BA$1,AS!$AX:$AX,'Päättäminen, tila, kesto'!$AO60,AS!$AW:$AW,'Päättäminen, tila, kesto'!$Y$6,AS!$X:$X,'Päättäminen, tila, kesto'!$Y$5,AS!$K:$K,'Päättäminen, tila, kesto'!$V$2)</f>
        <v>0</v>
      </c>
      <c r="AQ60" s="27">
        <f>SUMIFS(AS!$W:$W,AS!$BO:$BO,$W$7,AS!$AB:$AB,AS!$AA$1,AS!$AV:$AV,$X$5,AS!$I:$I,$X$7,AS!$AH:$AH,$X$8,AS!BB:BB,AS!$BA$1,AS!$AX:$AX,'Päättäminen, tila, kesto'!$AO60,AS!$AW:$AW,'Päättäminen, tila, kesto'!$Y$6,AS!$X:$X,'Päättäminen, tila, kesto'!$Y$5,AS!$K:$K,'Päättäminen, tila, kesto'!$V$2)</f>
        <v>0</v>
      </c>
      <c r="AR60" s="27">
        <f>SUMIFS(AS!$W:$W,AS!$BO:$BO,$W$7,AS!$AB:$AB,AS!$AA$1,AS!$AV:$AV,$X$5,AS!$I:$I,$Y$7,AS!$AH:$AH,$X$8,AS!BB:BB,AS!$BA$1,AS!$AX:$AX,'Päättäminen, tila, kesto'!$AO60,AS!$AW:$AW,'Päättäminen, tila, kesto'!$Y$6,AS!$X:$X,'Päättäminen, tila, kesto'!$Y$5,AS!$K:$K,'Päättäminen, tila, kesto'!$V$2)</f>
        <v>0</v>
      </c>
      <c r="AS60" s="27">
        <f>SUMIFS(AS!$W:$W,AS!$BO:$BO,$W$7,AS!$AB:$AB,AS!$AA$1,AS!$AV:$AV,$X$5,AS!$AH:$AH,$Y$8,AS!BB:BB,AS!$BA$1,AS!$AX:$AX,'Päättäminen, tila, kesto'!$AO60,AS!$AW:$AW,'Päättäminen, tila, kesto'!$Y$6,AS!$X:$X,'Päättäminen, tila, kesto'!$Y$5,AS!$K:$K,'Päättäminen, tila, kesto'!$V$2)</f>
        <v>0</v>
      </c>
      <c r="AU60" s="27">
        <f>SUMIFS(AS!$W:$W,AS!$BO:$BO,$W$7,AS!$AB:$AB,AS!$AA$1,AS!$AV:$AV,$X$5,AS!$AH:$AH,$X$8,AS!$BB:$BB,AS!$BA$1,AS!$AX:$AX,'Päättäminen, tila, kesto'!$AT60,AS!$AW:$AW,'Päättäminen, tila, kesto'!$Y$6,AS!$X:$X,'Päättäminen, tila, kesto'!$Y$5,AS!$K:$K,'Päättäminen, tila, kesto'!$V$2)</f>
        <v>0</v>
      </c>
      <c r="AV60" s="27">
        <f>SUMIFS(AS!$W:$W,AS!$BO:$BO,$W$7,AS!$AB:$AB,AS!$AA$1,AS!$AV:$AV,$X$5,AS!$I:$I,$X$7,AS!$AH:$AH,$X$8,AS!$BB:$BB,AS!$BA$1,AS!$AX:$AX,'Päättäminen, tila, kesto'!$AT60,AS!$AW:$AW,'Päättäminen, tila, kesto'!$Y$6,AS!$X:$X,'Päättäminen, tila, kesto'!$Y$5,AS!$K:$K,'Päättäminen, tila, kesto'!$V$2)</f>
        <v>0</v>
      </c>
      <c r="AW60" s="27">
        <f>SUMIFS(AS!$W:$W,AS!$BO:$BO,$W$7,AS!$AB:$AB,AS!$AA$1,AS!$AV:$AV,$X$5,AS!$I:$I,$Y$7,AS!$AH:$AH,$X$8,AS!$BB:$BB,AS!$BA$1,AS!$AX:$AX,'Päättäminen, tila, kesto'!$AT60,AS!$AW:$AW,'Päättäminen, tila, kesto'!$Y$6,AS!$X:$X,'Päättäminen, tila, kesto'!$Y$5,AS!$K:$K,'Päättäminen, tila, kesto'!$V$2)</f>
        <v>0</v>
      </c>
      <c r="AX60" s="27">
        <f>SUMIFS(AS!$W:$W,AS!$BO:$BO,$W$7,AS!$AB:$AB,AS!$AA$1,AS!$AV:$AV,$X$5,AS!$AH:$AH,$Y$8,AS!$BB:$BB,AS!$BA$1,AS!$AX:$AX,'Päättäminen, tila, kesto'!$AT60,AS!$AW:$AW,'Päättäminen, tila, kesto'!$Y$6,AS!$X:$X,'Päättäminen, tila, kesto'!$Y$5,AS!$K:$K,'Päättäminen, tila, kesto'!$V$2)</f>
        <v>0</v>
      </c>
      <c r="BA60"/>
      <c r="BB60"/>
      <c r="BC60"/>
      <c r="BD60"/>
    </row>
    <row r="61" spans="1:56" s="146" customFormat="1" ht="15" x14ac:dyDescent="0.25">
      <c r="A61" s="626"/>
      <c r="B61" s="298" t="s">
        <v>97</v>
      </c>
      <c r="C61" s="148">
        <f>SUMIFS(AS!$W:$W,AS!$BO:$BO,$W$7,AS!$AB:$AB,AS!$AA$1,AS!$AV:$AV,$X$5,AS!$AH:$AH,$X$8,AS!$BB:$BB,AS!$BA$1,AS!$AX:$AX,'Päättäminen, tila, kesto'!$AN61,AS!$AW:$AW,'Päättäminen, tila, kesto'!$Y$6,AS!$X:$X,'Päättäminen, tila, kesto'!$Y$5,AS!$K:$K,'Päättäminen, tila, kesto'!$V$2)+AP61+AU61</f>
        <v>0</v>
      </c>
      <c r="D61" s="330" t="str">
        <f>IFERROR(C61/C$62,"-")</f>
        <v>-</v>
      </c>
      <c r="E61" s="148">
        <f>SUMIFS(AS!$W:$W,AS!$BO:$BO,$W$7,AS!$AB:$AB,AS!$AA$1,AS!$AV:$AV,$X$5,AS!$I:$I,$X$7,AS!$AH:$AH,$X$8,AS!BB:BB,AS!$BA$1,AS!$AX:$AX,'Päättäminen, tila, kesto'!$AN61,AS!$AW:$AW,'Päättäminen, tila, kesto'!$Y$6,AS!$X:$X,'Päättäminen, tila, kesto'!$Y$5,AS!$K:$K,'Päättäminen, tila, kesto'!$V$2)+AQ61+AV61</f>
        <v>0</v>
      </c>
      <c r="F61" s="148">
        <f>SUMIFS(AS!$W:$W,AS!$BO:$BO,$W$7,AS!$AB:$AB,AS!$AA$1,AS!$AV:$AV,$X$5,AS!$I:$I,$Y$7,AS!$AH:$AH,$X$8,AS!BB:BB,AS!$BA$1,AS!$AX:$AX,'Päättäminen, tila, kesto'!$AN61,AS!$AW:$AW,'Päättäminen, tila, kesto'!$Y$6,AS!$X:$X,'Päättäminen, tila, kesto'!$Y$5,AS!$K:$K,'Päättäminen, tila, kesto'!$V$2)+AR61+AW61</f>
        <v>0</v>
      </c>
      <c r="G61" s="148">
        <f>SUMIFS(AS!$W:$W,AS!$BO:$BO,$W$7,AS!$AB:$AB,AS!$AA$1,AS!$AV:$AV,$X$5,AS!$AH:$AH,$Y$8,AS!BB:BB,AS!$BA$1,AS!$AX:$AX,'Päättäminen, tila, kesto'!$AN61,AS!$AW:$AW,'Päättäminen, tila, kesto'!$Y$6,AS!$X:$X,'Päättäminen, tila, kesto'!$Y$5,AS!$K:$K,'Päättäminen, tila, kesto'!$V$2)+AS61+AX61</f>
        <v>0</v>
      </c>
      <c r="H61" s="217"/>
      <c r="I61" s="218"/>
      <c r="J61" s="218"/>
      <c r="K61" s="218"/>
      <c r="L61" s="219"/>
      <c r="M61" s="387" t="s">
        <v>97</v>
      </c>
      <c r="N61" s="388">
        <f t="shared" si="4"/>
        <v>0</v>
      </c>
      <c r="O61" s="388">
        <f t="shared" si="5"/>
        <v>0</v>
      </c>
      <c r="P61" s="27"/>
      <c r="Q61" s="27"/>
      <c r="R61" s="27"/>
      <c r="S61" s="27"/>
      <c r="T61" s="27"/>
      <c r="U61" s="27"/>
      <c r="V61" s="27"/>
      <c r="W61" s="27"/>
      <c r="Z61" s="27"/>
      <c r="AN61" s="629" t="s">
        <v>543</v>
      </c>
      <c r="AO61" s="27"/>
      <c r="AP61" s="27">
        <f>SUMIFS(AS!$W:$W,AS!$BO:$BO,$W$7,AS!$AB:$AB,AS!$AA$1,AS!$AV:$AV,$X$5,AS!$AH:$AH,$X$8,AS!$BB:$BB,AS!$BA$1,AS!$AX:$AX,'Päättäminen, tila, kesto'!$AO61,AS!$AW:$AW,'Päättäminen, tila, kesto'!$Y$6,AS!$X:$X,'Päättäminen, tila, kesto'!$Y$5,AS!$K:$K,'Päättäminen, tila, kesto'!$V$2)</f>
        <v>0</v>
      </c>
      <c r="AQ61" s="27">
        <f>SUMIFS(AS!$W:$W,AS!$BO:$BO,$W$7,AS!$AB:$AB,AS!$AA$1,AS!$AV:$AV,$X$5,AS!$I:$I,$X$7,AS!$AH:$AH,$X$8,AS!BB:BB,AS!$BA$1,AS!$AX:$AX,'Päättäminen, tila, kesto'!$AO61,AS!$AW:$AW,'Päättäminen, tila, kesto'!$Y$6,AS!$X:$X,'Päättäminen, tila, kesto'!$Y$5,AS!$K:$K,'Päättäminen, tila, kesto'!$V$2)</f>
        <v>0</v>
      </c>
      <c r="AR61" s="27">
        <f>SUMIFS(AS!$W:$W,AS!$BO:$BO,$W$7,AS!$AB:$AB,AS!$AA$1,AS!$AV:$AV,$X$5,AS!$I:$I,$Y$7,AS!$AH:$AH,$X$8,AS!BB:BB,AS!$BA$1,AS!$AX:$AX,'Päättäminen, tila, kesto'!$AO61,AS!$AW:$AW,'Päättäminen, tila, kesto'!$Y$6,AS!$X:$X,'Päättäminen, tila, kesto'!$Y$5,AS!$K:$K,'Päättäminen, tila, kesto'!$V$2)</f>
        <v>0</v>
      </c>
      <c r="AS61" s="27">
        <f>SUMIFS(AS!$W:$W,AS!$BO:$BO,$W$7,AS!$AB:$AB,AS!$AA$1,AS!$AV:$AV,$X$5,AS!$AH:$AH,$Y$8,AS!BB:BB,AS!$BA$1,AS!$AX:$AX,'Päättäminen, tila, kesto'!$AO61,AS!$AW:$AW,'Päättäminen, tila, kesto'!$Y$6,AS!$X:$X,'Päättäminen, tila, kesto'!$Y$5,AS!$K:$K,'Päättäminen, tila, kesto'!$V$2)</f>
        <v>0</v>
      </c>
      <c r="AU61" s="27">
        <f>SUMIFS(AS!$W:$W,AS!$BO:$BO,$W$7,AS!$AB:$AB,AS!$AA$1,AS!$AV:$AV,$X$5,AS!$AH:$AH,$X$8,AS!$BB:$BB,AS!$BA$1,AS!$AX:$AX,'Päättäminen, tila, kesto'!$AT61,AS!$AW:$AW,'Päättäminen, tila, kesto'!$Y$6,AS!$X:$X,'Päättäminen, tila, kesto'!$Y$5,AS!$K:$K,'Päättäminen, tila, kesto'!$V$2)</f>
        <v>0</v>
      </c>
      <c r="AV61" s="27">
        <f>SUMIFS(AS!$W:$W,AS!$BO:$BO,$W$7,AS!$AB:$AB,AS!$AA$1,AS!$AV:$AV,$X$5,AS!$I:$I,$X$7,AS!$AH:$AH,$X$8,AS!$BB:$BB,AS!$BA$1,AS!$AX:$AX,'Päättäminen, tila, kesto'!$AT61,AS!$AW:$AW,'Päättäminen, tila, kesto'!$Y$6,AS!$X:$X,'Päättäminen, tila, kesto'!$Y$5,AS!$K:$K,'Päättäminen, tila, kesto'!$V$2)</f>
        <v>0</v>
      </c>
      <c r="AW61" s="27">
        <f>SUMIFS(AS!$W:$W,AS!$BO:$BO,$W$7,AS!$AB:$AB,AS!$AA$1,AS!$AV:$AV,$X$5,AS!$I:$I,$Y$7,AS!$AH:$AH,$X$8,AS!$BB:$BB,AS!$BA$1,AS!$AX:$AX,'Päättäminen, tila, kesto'!$AT61,AS!$AW:$AW,'Päättäminen, tila, kesto'!$Y$6,AS!$X:$X,'Päättäminen, tila, kesto'!$Y$5,AS!$K:$K,'Päättäminen, tila, kesto'!$V$2)</f>
        <v>0</v>
      </c>
      <c r="AX61" s="27">
        <f>SUMIFS(AS!$W:$W,AS!$BO:$BO,$W$7,AS!$AB:$AB,AS!$AA$1,AS!$AV:$AV,$X$5,AS!$AH:$AH,$Y$8,AS!$BB:$BB,AS!$BA$1,AS!$AX:$AX,'Päättäminen, tila, kesto'!$AT61,AS!$AW:$AW,'Päättäminen, tila, kesto'!$Y$6,AS!$X:$X,'Päättäminen, tila, kesto'!$Y$5,AS!$K:$K,'Päättäminen, tila, kesto'!$V$2)</f>
        <v>0</v>
      </c>
      <c r="BA61"/>
      <c r="BB61"/>
      <c r="BC61"/>
      <c r="BD61"/>
    </row>
    <row r="62" spans="1:56" s="146" customFormat="1" ht="15" x14ac:dyDescent="0.25">
      <c r="A62" s="626"/>
      <c r="B62" s="85" t="s">
        <v>114</v>
      </c>
      <c r="C62" s="281">
        <f>SUM(C28,C35,C23,C46,C54,C41,C60,C56)</f>
        <v>0</v>
      </c>
      <c r="D62" s="280" t="str">
        <f>IFERROR(C62/C$62,"-")</f>
        <v>-</v>
      </c>
      <c r="E62" s="281">
        <f>SUM(E28,E35,E23,E46,E54,E41,E60,E56)</f>
        <v>0</v>
      </c>
      <c r="F62" s="281">
        <f>SUM(F28,F35,F23,F46,F54,F41,F60,F56)</f>
        <v>0</v>
      </c>
      <c r="G62" s="281">
        <f>SUM(G28,G35,G23,G46,G54,G41,G60,G56)</f>
        <v>0</v>
      </c>
      <c r="H62" s="282"/>
      <c r="I62" s="283"/>
      <c r="J62" s="283"/>
      <c r="K62" s="283"/>
      <c r="L62" s="284"/>
      <c r="M62" s="387"/>
      <c r="N62" s="387"/>
      <c r="O62" s="150"/>
      <c r="P62" s="27"/>
      <c r="Q62" s="27"/>
      <c r="R62" s="27"/>
      <c r="S62" s="27"/>
      <c r="T62" s="27"/>
      <c r="U62" s="27"/>
      <c r="V62" s="27"/>
      <c r="W62" s="27"/>
      <c r="Z62" s="27"/>
      <c r="AN62" s="634" t="s">
        <v>926</v>
      </c>
      <c r="AO62" s="27"/>
      <c r="AP62" s="27">
        <f>SUMIFS(AS!$W:$W,AS!$BO:$BO,$W$7,AS!$AB:$AB,AS!$AA$1,AS!$AV:$AV,$X$5,AS!$AH:$AH,$X$8,AS!$BB:$BB,AS!$BA$1,AS!$AX:$AX,'Päättäminen, tila, kesto'!$AO62,AS!$AW:$AW,'Päättäminen, tila, kesto'!$Y$6,AS!$X:$X,'Päättäminen, tila, kesto'!$Y$5,AS!$K:$K,'Päättäminen, tila, kesto'!$V$2)</f>
        <v>0</v>
      </c>
      <c r="AQ62" s="27">
        <f>SUMIFS(AS!$W:$W,AS!$BO:$BO,$W$7,AS!$AB:$AB,AS!$AA$1,AS!$AV:$AV,$X$5,AS!$I:$I,$X$7,AS!$AH:$AH,$X$8,AS!BB:BB,AS!$BA$1,AS!$AX:$AX,'Päättäminen, tila, kesto'!$AO62,AS!$AW:$AW,'Päättäminen, tila, kesto'!$Y$6,AS!$X:$X,'Päättäminen, tila, kesto'!$Y$5,AS!$K:$K,'Päättäminen, tila, kesto'!$V$2)</f>
        <v>0</v>
      </c>
      <c r="AR62" s="27">
        <f>SUMIFS(AS!$W:$W,AS!$BO:$BO,$W$7,AS!$AB:$AB,AS!$AA$1,AS!$AV:$AV,$X$5,AS!$I:$I,$Y$7,AS!$AH:$AH,$X$8,AS!BB:BB,AS!$BA$1,AS!$AX:$AX,'Päättäminen, tila, kesto'!$AO62,AS!$AW:$AW,'Päättäminen, tila, kesto'!$Y$6,AS!$X:$X,'Päättäminen, tila, kesto'!$Y$5,AS!$K:$K,'Päättäminen, tila, kesto'!$V$2)</f>
        <v>0</v>
      </c>
      <c r="AS62" s="27">
        <f>SUMIFS(AS!$W:$W,AS!$BO:$BO,$W$7,AS!$AB:$AB,AS!$AA$1,AS!$AV:$AV,$X$5,AS!$AH:$AH,$Y$8,AS!BB:BB,AS!$BA$1,AS!$AX:$AX,'Päättäminen, tila, kesto'!$AO62,AS!$AW:$AW,'Päättäminen, tila, kesto'!$Y$6,AS!$X:$X,'Päättäminen, tila, kesto'!$Y$5,AS!$K:$K,'Päättäminen, tila, kesto'!$V$2)</f>
        <v>0</v>
      </c>
      <c r="AU62" s="27">
        <f>SUMIFS(AS!$W:$W,AS!$BO:$BO,$W$7,AS!$AB:$AB,AS!$AA$1,AS!$AV:$AV,$X$5,AS!$AH:$AH,$X$8,AS!$BB:$BB,AS!$BA$1,AS!$AX:$AX,'Päättäminen, tila, kesto'!$AT62,AS!$AW:$AW,'Päättäminen, tila, kesto'!$Y$6,AS!$X:$X,'Päättäminen, tila, kesto'!$Y$5,AS!$K:$K,'Päättäminen, tila, kesto'!$V$2)</f>
        <v>0</v>
      </c>
      <c r="AV62" s="27">
        <f>SUMIFS(AS!$W:$W,AS!$BO:$BO,$W$7,AS!$AB:$AB,AS!$AA$1,AS!$AV:$AV,$X$5,AS!$I:$I,$X$7,AS!$AH:$AH,$X$8,AS!$BB:$BB,AS!$BA$1,AS!$AX:$AX,'Päättäminen, tila, kesto'!$AT62,AS!$AW:$AW,'Päättäminen, tila, kesto'!$Y$6,AS!$X:$X,'Päättäminen, tila, kesto'!$Y$5,AS!$K:$K,'Päättäminen, tila, kesto'!$V$2)</f>
        <v>0</v>
      </c>
      <c r="AW62" s="27">
        <f>SUMIFS(AS!$W:$W,AS!$BO:$BO,$W$7,AS!$AB:$AB,AS!$AA$1,AS!$AV:$AV,$X$5,AS!$I:$I,$Y$7,AS!$AH:$AH,$X$8,AS!$BB:$BB,AS!$BA$1,AS!$AX:$AX,'Päättäminen, tila, kesto'!$AT62,AS!$AW:$AW,'Päättäminen, tila, kesto'!$Y$6,AS!$X:$X,'Päättäminen, tila, kesto'!$Y$5,AS!$K:$K,'Päättäminen, tila, kesto'!$V$2)</f>
        <v>0</v>
      </c>
      <c r="AX62" s="27">
        <f>SUMIFS(AS!$W:$W,AS!$BO:$BO,$W$7,AS!$AB:$AB,AS!$AA$1,AS!$AV:$AV,$X$5,AS!$AH:$AH,$Y$8,AS!$BB:$BB,AS!$BA$1,AS!$AX:$AX,'Päättäminen, tila, kesto'!$AT62,AS!$AW:$AW,'Päättäminen, tila, kesto'!$Y$6,AS!$X:$X,'Päättäminen, tila, kesto'!$Y$5,AS!$K:$K,'Päättäminen, tila, kesto'!$V$2)</f>
        <v>0</v>
      </c>
    </row>
    <row r="63" spans="1:56" s="146" customFormat="1" ht="15" x14ac:dyDescent="0.25">
      <c r="A63" s="300" t="s">
        <v>703</v>
      </c>
      <c r="B63" s="85" t="s">
        <v>1391</v>
      </c>
      <c r="C63" s="285">
        <f>C17+C22+C62</f>
        <v>0</v>
      </c>
      <c r="D63" s="286" t="str">
        <f>IFERROR(C63/C63,"-")</f>
        <v>-</v>
      </c>
      <c r="E63" s="285">
        <f>E17+E22+E62</f>
        <v>0</v>
      </c>
      <c r="F63" s="285">
        <f>F17+F22+F62</f>
        <v>0</v>
      </c>
      <c r="G63" s="287">
        <f>G17+G22+G62</f>
        <v>0</v>
      </c>
      <c r="H63" s="301"/>
      <c r="I63" s="288"/>
      <c r="J63" s="288"/>
      <c r="K63" s="288"/>
      <c r="L63" s="289"/>
      <c r="M63"/>
      <c r="N63"/>
      <c r="O63" s="27"/>
      <c r="P63" s="27"/>
      <c r="Q63" s="27"/>
      <c r="R63" s="27"/>
      <c r="S63" s="27"/>
      <c r="T63" s="27"/>
      <c r="U63" s="27"/>
      <c r="V63" s="27"/>
      <c r="W63" s="27"/>
      <c r="Z63" s="27"/>
      <c r="AN63" s="27"/>
      <c r="AO63" s="27"/>
    </row>
    <row r="64" spans="1:56" s="146" customFormat="1" ht="15" x14ac:dyDescent="0.25">
      <c r="A64" s="529"/>
      <c r="B64" s="290"/>
      <c r="C64" s="291">
        <f>C60+C55+C46+C41+C23+C35+C28+C57+C58</f>
        <v>0</v>
      </c>
      <c r="D64" s="291" t="e">
        <f t="shared" ref="D64:G64" si="16">D60+D55+D46+D41+D23+D35+D28+D57+D58</f>
        <v>#VALUE!</v>
      </c>
      <c r="E64" s="291">
        <f>E60+E55+E46+E41+E23+E35+E28+E57+E58</f>
        <v>0</v>
      </c>
      <c r="F64" s="291">
        <f t="shared" si="16"/>
        <v>0</v>
      </c>
      <c r="G64" s="291">
        <f t="shared" si="16"/>
        <v>0</v>
      </c>
      <c r="H64" s="290"/>
      <c r="I64" s="290"/>
      <c r="J64" s="290"/>
      <c r="K64" s="290"/>
      <c r="L64" s="290"/>
      <c r="M64" s="51"/>
      <c r="N64" s="51"/>
      <c r="O64" s="88"/>
      <c r="P64" s="88"/>
      <c r="Q64" s="88"/>
    </row>
    <row r="65" spans="2:40" s="146" customFormat="1" ht="15" x14ac:dyDescent="0.25">
      <c r="C65" s="331">
        <f>SUM(C18:C20)</f>
        <v>0</v>
      </c>
      <c r="D65" s="331"/>
      <c r="E65" s="331">
        <f>SUM(E18:E20)</f>
        <v>0</v>
      </c>
      <c r="F65" s="331">
        <f>SUM(F18:F20)</f>
        <v>0</v>
      </c>
      <c r="G65" s="331">
        <f>SUM(G18:G20)</f>
        <v>0</v>
      </c>
      <c r="M65" s="51"/>
      <c r="N65" s="51"/>
      <c r="O65" s="88"/>
      <c r="P65" s="88"/>
      <c r="Q65" s="88"/>
      <c r="AN65" s="17" t="s">
        <v>773</v>
      </c>
    </row>
    <row r="66" spans="2:40" s="146" customFormat="1" ht="15" x14ac:dyDescent="0.25">
      <c r="B66" s="152" t="str">
        <f>Y12&amp;AN66&amp;X10&amp;W12</f>
        <v xml:space="preserve">KAIKKI: Tavoitetut nuoret - Yhteistyön päättämisen syy  - 01.01.2025-30.04.2025 </v>
      </c>
      <c r="C66" s="331"/>
      <c r="D66" s="331"/>
      <c r="E66" s="331"/>
      <c r="F66" s="331"/>
      <c r="M66" s="51"/>
      <c r="N66" s="51"/>
      <c r="O66" s="88"/>
      <c r="P66" s="88"/>
      <c r="Q66" s="88"/>
      <c r="AN66" s="17" t="s">
        <v>743</v>
      </c>
    </row>
    <row r="67" spans="2:40" s="146" customFormat="1" ht="15" x14ac:dyDescent="0.25">
      <c r="B67" s="944" t="str">
        <f>AN66</f>
        <v xml:space="preserve">Tavoitetut nuoret - Yhteistyön päättämisen syy </v>
      </c>
      <c r="C67" s="946" t="s">
        <v>114</v>
      </c>
      <c r="D67" s="947"/>
      <c r="E67" s="345" t="s">
        <v>132</v>
      </c>
      <c r="F67" s="348" t="s">
        <v>133</v>
      </c>
      <c r="G67" s="930" t="str">
        <f>Y11&amp;B66&amp;W12</f>
        <v xml:space="preserve">Kuva: KAIKKI: Tavoitetut nuoret - Yhteistyön päättämisen syy  - 01.01.2025-30.04.2025 </v>
      </c>
      <c r="H67" s="931"/>
      <c r="I67" s="931"/>
      <c r="J67" s="931"/>
      <c r="K67" s="932"/>
      <c r="M67" s="51"/>
      <c r="N67" s="51"/>
      <c r="O67" s="88"/>
      <c r="P67" s="88"/>
      <c r="Q67" s="88"/>
    </row>
    <row r="68" spans="2:40" s="146" customFormat="1" ht="15" x14ac:dyDescent="0.25">
      <c r="B68" s="945"/>
      <c r="C68" s="57" t="s">
        <v>106</v>
      </c>
      <c r="D68" s="234" t="s">
        <v>176</v>
      </c>
      <c r="E68" s="345" t="s">
        <v>106</v>
      </c>
      <c r="F68" s="349" t="s">
        <v>106</v>
      </c>
      <c r="G68" s="933"/>
      <c r="H68" s="934"/>
      <c r="I68" s="934"/>
      <c r="J68" s="934"/>
      <c r="K68" s="935"/>
      <c r="M68" s="51"/>
      <c r="N68" s="88"/>
      <c r="O68" s="88"/>
      <c r="P68" s="88"/>
      <c r="Q68" s="88"/>
    </row>
    <row r="69" spans="2:40" s="146" customFormat="1" ht="15" x14ac:dyDescent="0.25">
      <c r="B69" s="338" t="str">
        <f>B28</f>
        <v>Sosiaalityö, terveydenhuolto ja KELAn palvelut</v>
      </c>
      <c r="C69" s="63">
        <f>C28</f>
        <v>0</v>
      </c>
      <c r="D69" s="330" t="str">
        <f t="shared" ref="D69:F69" si="17">D28</f>
        <v>-</v>
      </c>
      <c r="E69" s="63">
        <f t="shared" si="17"/>
        <v>0</v>
      </c>
      <c r="F69" s="63">
        <f t="shared" si="17"/>
        <v>0</v>
      </c>
      <c r="G69" s="332"/>
      <c r="H69" s="333"/>
      <c r="I69" s="333"/>
      <c r="J69" s="334"/>
      <c r="K69" s="335"/>
      <c r="M69" s="51"/>
      <c r="N69" s="88"/>
      <c r="O69" s="88"/>
      <c r="P69" s="88"/>
      <c r="Q69" s="88"/>
    </row>
    <row r="70" spans="2:40" s="146" customFormat="1" ht="15" x14ac:dyDescent="0.25">
      <c r="B70" s="338" t="str">
        <f>B35</f>
        <v>Työllistymistä tukeva toiminta</v>
      </c>
      <c r="C70" s="63">
        <f>C35</f>
        <v>0</v>
      </c>
      <c r="D70" s="330" t="str">
        <f t="shared" ref="D70:F70" si="18">D35</f>
        <v>-</v>
      </c>
      <c r="E70" s="63">
        <f t="shared" si="18"/>
        <v>0</v>
      </c>
      <c r="F70" s="63">
        <f t="shared" si="18"/>
        <v>0</v>
      </c>
      <c r="G70" s="336"/>
      <c r="H70" s="331"/>
      <c r="I70" s="331"/>
      <c r="K70" s="337"/>
      <c r="M70" s="51"/>
      <c r="N70" s="88"/>
      <c r="O70" s="88"/>
      <c r="P70" s="88"/>
      <c r="Q70" s="88"/>
    </row>
    <row r="71" spans="2:40" s="146" customFormat="1" ht="15" x14ac:dyDescent="0.25">
      <c r="B71" s="338" t="str">
        <f>B23</f>
        <v>Opinnot</v>
      </c>
      <c r="C71" s="63">
        <f>C23</f>
        <v>0</v>
      </c>
      <c r="D71" s="330" t="str">
        <f t="shared" ref="D71:F71" si="19">D23</f>
        <v>-</v>
      </c>
      <c r="E71" s="63">
        <f t="shared" si="19"/>
        <v>0</v>
      </c>
      <c r="F71" s="63">
        <f t="shared" si="19"/>
        <v>0</v>
      </c>
      <c r="G71" s="336"/>
      <c r="H71" s="331"/>
      <c r="I71" s="331"/>
      <c r="K71" s="337"/>
      <c r="M71" s="51"/>
      <c r="N71" s="88"/>
      <c r="O71" s="88"/>
      <c r="P71" s="88"/>
      <c r="Q71" s="88"/>
    </row>
    <row r="72" spans="2:40" s="146" customFormat="1" ht="15" x14ac:dyDescent="0.25">
      <c r="B72" s="338" t="str">
        <f>B41</f>
        <v>Muut palvelut ja toimenpiteet</v>
      </c>
      <c r="C72" s="63">
        <f>C41</f>
        <v>0</v>
      </c>
      <c r="D72" s="330" t="str">
        <f t="shared" ref="D72:F72" si="20">D41</f>
        <v>-</v>
      </c>
      <c r="E72" s="63">
        <f t="shared" si="20"/>
        <v>0</v>
      </c>
      <c r="F72" s="63">
        <f t="shared" si="20"/>
        <v>0</v>
      </c>
      <c r="G72" s="336"/>
      <c r="H72" s="331"/>
      <c r="I72" s="331"/>
      <c r="K72" s="337"/>
      <c r="M72" s="51"/>
      <c r="N72" s="88"/>
      <c r="O72" s="88"/>
      <c r="P72" s="88"/>
      <c r="Q72" s="88"/>
    </row>
    <row r="73" spans="2:40" s="146" customFormat="1" ht="15" x14ac:dyDescent="0.25">
      <c r="B73" s="338" t="str">
        <f>B46</f>
        <v>Henkilökohtainen syy</v>
      </c>
      <c r="C73" s="63">
        <f>C46</f>
        <v>0</v>
      </c>
      <c r="D73" s="330" t="str">
        <f t="shared" ref="D73:F73" si="21">D46</f>
        <v>-</v>
      </c>
      <c r="E73" s="63">
        <f t="shared" si="21"/>
        <v>0</v>
      </c>
      <c r="F73" s="63">
        <f t="shared" si="21"/>
        <v>0</v>
      </c>
      <c r="G73" s="336"/>
      <c r="H73" s="331"/>
      <c r="I73" s="331"/>
      <c r="K73" s="337"/>
      <c r="M73" s="51"/>
      <c r="N73" s="88"/>
      <c r="O73" s="88"/>
      <c r="P73" s="88"/>
      <c r="Q73" s="88"/>
    </row>
    <row r="74" spans="2:40" s="146" customFormat="1" ht="15" x14ac:dyDescent="0.25">
      <c r="B74" s="338" t="str">
        <f>B54</f>
        <v>Kadonnut</v>
      </c>
      <c r="C74" s="63">
        <f>C54</f>
        <v>0</v>
      </c>
      <c r="D74" s="330" t="str">
        <f t="shared" ref="D74:F74" si="22">D54</f>
        <v>-</v>
      </c>
      <c r="E74" s="63">
        <f t="shared" si="22"/>
        <v>0</v>
      </c>
      <c r="F74" s="63">
        <f t="shared" si="22"/>
        <v>0</v>
      </c>
      <c r="G74" s="336"/>
      <c r="H74" s="331"/>
      <c r="I74" s="331"/>
      <c r="K74" s="337"/>
      <c r="M74" s="51"/>
      <c r="N74" s="88"/>
      <c r="O74" s="88"/>
      <c r="P74" s="88"/>
      <c r="Q74" s="88"/>
    </row>
    <row r="75" spans="2:40" s="146" customFormat="1" ht="15" x14ac:dyDescent="0.25">
      <c r="B75" s="338" t="str">
        <f>B56</f>
        <v>Muu</v>
      </c>
      <c r="C75" s="63">
        <f>C57+C58</f>
        <v>0</v>
      </c>
      <c r="D75" s="764" t="e">
        <f>D57+D58</f>
        <v>#VALUE!</v>
      </c>
      <c r="E75" s="63">
        <f t="shared" ref="E75:F75" si="23">E57+E58</f>
        <v>0</v>
      </c>
      <c r="F75" s="63">
        <f t="shared" si="23"/>
        <v>0</v>
      </c>
      <c r="G75" s="336"/>
      <c r="H75" s="331"/>
      <c r="I75" s="331"/>
      <c r="K75" s="337"/>
      <c r="M75" s="51"/>
      <c r="N75" s="88"/>
      <c r="O75" s="88"/>
      <c r="P75" s="88"/>
      <c r="Q75" s="88"/>
    </row>
    <row r="76" spans="2:40" s="146" customFormat="1" ht="15" x14ac:dyDescent="0.25">
      <c r="B76" s="338" t="str">
        <f>B59</f>
        <v>Kertaluonteinen uudelleenohjaus</v>
      </c>
      <c r="C76" s="63">
        <f>C59</f>
        <v>0</v>
      </c>
      <c r="D76" s="330" t="str">
        <f>D59</f>
        <v>-</v>
      </c>
      <c r="E76" s="63">
        <f>E59</f>
        <v>0</v>
      </c>
      <c r="F76" s="63">
        <f>F59</f>
        <v>0</v>
      </c>
      <c r="G76" s="336"/>
      <c r="H76" s="331"/>
      <c r="I76" s="331"/>
      <c r="K76" s="337"/>
      <c r="M76" s="51"/>
      <c r="N76" s="88"/>
      <c r="O76" s="88"/>
      <c r="P76" s="88"/>
      <c r="Q76" s="88"/>
    </row>
    <row r="77" spans="2:40" s="146" customFormat="1" ht="15" x14ac:dyDescent="0.25">
      <c r="B77" s="338" t="str">
        <f>B60</f>
        <v>Ei tietoa</v>
      </c>
      <c r="C77" s="63">
        <f>C60</f>
        <v>0</v>
      </c>
      <c r="D77" s="330" t="str">
        <f t="shared" ref="D77" si="24">D60</f>
        <v>-</v>
      </c>
      <c r="E77" s="63">
        <f>E60</f>
        <v>0</v>
      </c>
      <c r="F77" s="63">
        <f>F60</f>
        <v>0</v>
      </c>
      <c r="G77" s="336"/>
      <c r="H77" s="331"/>
      <c r="I77" s="331"/>
      <c r="K77" s="337"/>
      <c r="M77" s="51"/>
      <c r="N77" s="88"/>
      <c r="O77" s="88"/>
      <c r="P77" s="88"/>
      <c r="Q77" s="88"/>
    </row>
    <row r="78" spans="2:40" s="146" customFormat="1" ht="15" x14ac:dyDescent="0.25">
      <c r="B78" s="85" t="s">
        <v>114</v>
      </c>
      <c r="C78" s="339">
        <f>SUM(C69:C77)</f>
        <v>0</v>
      </c>
      <c r="D78" s="340" t="e">
        <f>SUM(D69:D77)</f>
        <v>#VALUE!</v>
      </c>
      <c r="E78" s="339">
        <f>SUM(E69:E77)</f>
        <v>0</v>
      </c>
      <c r="F78" s="350">
        <f>SUM(F69:F77)</f>
        <v>0</v>
      </c>
      <c r="G78" s="336"/>
      <c r="H78" s="331"/>
      <c r="I78" s="331"/>
      <c r="K78" s="337"/>
      <c r="M78" s="51"/>
      <c r="N78" s="88"/>
      <c r="O78" s="88"/>
      <c r="P78" s="88"/>
      <c r="Q78" s="88"/>
    </row>
    <row r="79" spans="2:40" s="146" customFormat="1" ht="15" x14ac:dyDescent="0.25">
      <c r="C79" s="331"/>
      <c r="D79" s="331"/>
      <c r="G79" s="336"/>
      <c r="H79" s="331"/>
      <c r="I79" s="331"/>
      <c r="K79" s="337"/>
      <c r="M79" s="51"/>
      <c r="N79" s="88"/>
      <c r="O79" s="88"/>
      <c r="P79" s="88"/>
      <c r="Q79" s="88"/>
      <c r="AA79" s="27"/>
      <c r="AB79" s="27"/>
      <c r="AC79" s="27"/>
      <c r="AD79" s="27"/>
      <c r="AE79" s="27"/>
      <c r="AF79" s="27"/>
      <c r="AG79" s="27"/>
      <c r="AH79" s="27"/>
      <c r="AI79" s="27"/>
      <c r="AJ79" s="27"/>
      <c r="AK79" s="27"/>
      <c r="AL79" s="27"/>
      <c r="AM79" s="27"/>
    </row>
    <row r="80" spans="2:40" s="146" customFormat="1" ht="15" x14ac:dyDescent="0.25">
      <c r="C80" s="331"/>
      <c r="D80" s="331"/>
      <c r="G80" s="336"/>
      <c r="H80" s="331"/>
      <c r="I80" s="331"/>
      <c r="K80" s="337"/>
      <c r="M80" s="51"/>
      <c r="N80" s="88"/>
      <c r="O80" s="88"/>
      <c r="P80" s="88"/>
      <c r="Q80" s="88"/>
      <c r="AA80" s="27"/>
      <c r="AB80" s="27"/>
      <c r="AC80" s="27"/>
      <c r="AD80" s="27"/>
      <c r="AE80" s="27"/>
      <c r="AF80" s="27"/>
      <c r="AG80" s="27"/>
      <c r="AH80" s="27"/>
      <c r="AI80" s="27"/>
      <c r="AJ80" s="27"/>
      <c r="AK80" s="27"/>
      <c r="AL80" s="27"/>
      <c r="AM80" s="27"/>
    </row>
    <row r="81" spans="1:43" ht="15" x14ac:dyDescent="0.25">
      <c r="A81" s="146"/>
      <c r="B81" s="146"/>
      <c r="C81" s="331"/>
      <c r="D81" s="331"/>
      <c r="E81" s="146"/>
      <c r="F81" s="146"/>
      <c r="G81" s="351"/>
      <c r="H81" s="146"/>
      <c r="I81" s="146"/>
      <c r="J81" s="146"/>
      <c r="K81" s="337"/>
      <c r="L81" s="146"/>
      <c r="M81" s="51"/>
      <c r="R81" s="146"/>
      <c r="S81" s="146"/>
      <c r="T81" s="146"/>
      <c r="U81" s="146"/>
      <c r="V81" s="146"/>
      <c r="W81" s="146"/>
      <c r="X81" s="146"/>
      <c r="Y81" s="146"/>
      <c r="Z81" s="146"/>
      <c r="AN81"/>
      <c r="AO81"/>
      <c r="AP81"/>
      <c r="AQ81"/>
    </row>
    <row r="82" spans="1:43" ht="15" x14ac:dyDescent="0.25">
      <c r="A82" s="146"/>
      <c r="B82" s="146"/>
      <c r="C82" s="331"/>
      <c r="D82" s="331"/>
      <c r="E82" s="146"/>
      <c r="F82" s="146"/>
      <c r="G82" s="351"/>
      <c r="H82" s="146"/>
      <c r="I82" s="146"/>
      <c r="J82" s="146"/>
      <c r="K82" s="337"/>
      <c r="L82" s="146"/>
      <c r="M82" s="51"/>
      <c r="R82" s="146"/>
      <c r="S82" s="146"/>
      <c r="T82" s="146"/>
      <c r="U82" s="146"/>
      <c r="V82" s="146"/>
      <c r="W82" s="146"/>
      <c r="X82" s="146"/>
      <c r="Y82" s="146"/>
      <c r="Z82" s="146"/>
      <c r="AN82"/>
      <c r="AO82"/>
      <c r="AP82"/>
      <c r="AQ82"/>
    </row>
    <row r="83" spans="1:43" ht="15" x14ac:dyDescent="0.25">
      <c r="A83" s="146"/>
      <c r="B83" s="146"/>
      <c r="C83" s="331"/>
      <c r="D83" s="331"/>
      <c r="E83" s="146"/>
      <c r="F83" s="146"/>
      <c r="G83" s="351"/>
      <c r="H83" s="146"/>
      <c r="I83" s="146"/>
      <c r="J83" s="146"/>
      <c r="K83" s="337"/>
      <c r="L83" s="146"/>
      <c r="M83" s="51"/>
      <c r="R83" s="146"/>
      <c r="S83" s="146"/>
      <c r="T83" s="146"/>
      <c r="U83" s="146"/>
      <c r="V83" s="146"/>
      <c r="W83" s="146"/>
      <c r="X83" s="146"/>
      <c r="Y83" s="146"/>
      <c r="Z83" s="146"/>
      <c r="AA83" s="26"/>
      <c r="AB83" s="26"/>
      <c r="AC83" s="26"/>
      <c r="AD83" s="26"/>
      <c r="AE83" s="26"/>
      <c r="AF83" s="26"/>
      <c r="AG83" s="26"/>
      <c r="AH83" s="26"/>
      <c r="AI83" s="26"/>
      <c r="AJ83" s="26"/>
      <c r="AK83" s="26"/>
      <c r="AL83" s="26"/>
      <c r="AM83" s="26"/>
      <c r="AN83"/>
      <c r="AO83"/>
      <c r="AP83"/>
      <c r="AQ83"/>
    </row>
    <row r="84" spans="1:43" ht="15" x14ac:dyDescent="0.25">
      <c r="A84" s="146"/>
      <c r="B84" s="146"/>
      <c r="C84" s="331"/>
      <c r="D84" s="331"/>
      <c r="E84" s="146"/>
      <c r="F84" s="146"/>
      <c r="G84" s="351"/>
      <c r="H84" s="146"/>
      <c r="I84" s="146"/>
      <c r="J84" s="146"/>
      <c r="K84" s="337"/>
      <c r="L84" s="146"/>
      <c r="M84" s="51"/>
      <c r="R84" s="146"/>
      <c r="S84" s="146"/>
      <c r="T84" s="146"/>
      <c r="U84" s="146"/>
      <c r="V84" s="146"/>
      <c r="W84" s="146"/>
      <c r="X84" s="146"/>
      <c r="Y84" s="146"/>
      <c r="Z84" s="146"/>
      <c r="AN84"/>
      <c r="AO84"/>
      <c r="AP84"/>
      <c r="AQ84"/>
    </row>
    <row r="85" spans="1:43" s="26" customFormat="1" ht="32.25" customHeight="1" x14ac:dyDescent="0.25">
      <c r="A85" s="27"/>
      <c r="B85" s="145"/>
      <c r="C85" s="27"/>
      <c r="D85" s="27"/>
      <c r="E85" s="27"/>
      <c r="F85" s="27"/>
      <c r="G85" s="351"/>
      <c r="H85" s="146"/>
      <c r="I85" s="146"/>
      <c r="J85" s="146"/>
      <c r="K85" s="337"/>
      <c r="L85" s="27"/>
      <c r="M85" s="88"/>
      <c r="N85" s="88"/>
      <c r="O85" s="88"/>
      <c r="P85" s="88"/>
      <c r="Q85" s="88"/>
      <c r="R85" s="27"/>
      <c r="S85" s="27"/>
      <c r="T85" s="27"/>
      <c r="U85" s="27"/>
      <c r="V85" s="27"/>
      <c r="W85" s="27"/>
      <c r="X85" s="27"/>
      <c r="Y85" s="27"/>
      <c r="Z85" s="27"/>
      <c r="AA85" s="27"/>
      <c r="AB85" s="27"/>
      <c r="AC85" s="27"/>
      <c r="AD85" s="27"/>
      <c r="AE85" s="27"/>
      <c r="AF85" s="27"/>
      <c r="AG85" s="27"/>
      <c r="AH85" s="27"/>
      <c r="AI85" s="27"/>
      <c r="AJ85" s="27"/>
      <c r="AK85" s="27"/>
      <c r="AL85" s="27"/>
      <c r="AM85" s="27"/>
      <c r="AN85" s="53"/>
      <c r="AO85" s="53"/>
      <c r="AP85" s="53"/>
      <c r="AQ85" s="53"/>
    </row>
    <row r="86" spans="1:43" ht="15" x14ac:dyDescent="0.25">
      <c r="B86" s="145"/>
      <c r="G86" s="351"/>
      <c r="H86" s="146"/>
      <c r="I86" s="146"/>
      <c r="J86" s="146"/>
      <c r="K86" s="337"/>
      <c r="AN86"/>
      <c r="AO86"/>
      <c r="AP86"/>
      <c r="AQ86"/>
    </row>
    <row r="87" spans="1:43" ht="15" x14ac:dyDescent="0.25">
      <c r="B87" s="145"/>
      <c r="G87" s="237"/>
      <c r="H87" s="238"/>
      <c r="I87" s="238"/>
      <c r="J87" s="238"/>
      <c r="K87" s="232"/>
      <c r="AN87"/>
      <c r="AO87"/>
      <c r="AP87"/>
      <c r="AQ87"/>
    </row>
    <row r="88" spans="1:43" ht="15" x14ac:dyDescent="0.25">
      <c r="B88" s="145" t="str">
        <f>Y12&amp;B89&amp;X10&amp;W12</f>
        <v xml:space="preserve">KAIKKI: Status - 01.01.2025-30.04.2025 </v>
      </c>
      <c r="AN88"/>
      <c r="AO88"/>
      <c r="AP88"/>
      <c r="AQ88"/>
    </row>
    <row r="89" spans="1:43" ht="15" x14ac:dyDescent="0.25">
      <c r="A89" s="26"/>
      <c r="B89" s="840" t="s">
        <v>544</v>
      </c>
      <c r="C89" s="833" t="s">
        <v>114</v>
      </c>
      <c r="D89" s="833"/>
      <c r="E89" s="850" t="s">
        <v>704</v>
      </c>
      <c r="F89" s="938"/>
      <c r="G89" s="834" t="str">
        <f>Y11&amp;X89&amp;X10&amp;W12</f>
        <v xml:space="preserve">Kuva: Status: Aktiiviset ja päättyneet nuoret  - 01.01.2025-30.04.2025 </v>
      </c>
      <c r="H89" s="835"/>
      <c r="I89" s="835"/>
      <c r="J89" s="835"/>
      <c r="K89" s="836"/>
      <c r="L89" s="26"/>
      <c r="M89" s="95"/>
      <c r="N89" s="95"/>
      <c r="O89" s="95"/>
      <c r="P89" s="95"/>
      <c r="Q89" s="95"/>
      <c r="R89" s="26"/>
      <c r="S89" s="26"/>
      <c r="T89" s="26"/>
      <c r="U89" s="26"/>
      <c r="V89" s="26"/>
      <c r="W89" s="26"/>
      <c r="X89" s="17" t="s">
        <v>775</v>
      </c>
      <c r="Y89" s="26"/>
      <c r="Z89" s="26"/>
      <c r="AN89"/>
      <c r="AO89"/>
      <c r="AP89"/>
      <c r="AQ89"/>
    </row>
    <row r="90" spans="1:43" ht="15" x14ac:dyDescent="0.25">
      <c r="B90" s="840"/>
      <c r="C90" s="57" t="s">
        <v>106</v>
      </c>
      <c r="D90" s="57" t="s">
        <v>176</v>
      </c>
      <c r="E90" s="57" t="s">
        <v>106</v>
      </c>
      <c r="F90" s="234" t="s">
        <v>176</v>
      </c>
      <c r="G90" s="837"/>
      <c r="H90" s="838"/>
      <c r="I90" s="838"/>
      <c r="J90" s="838"/>
      <c r="K90" s="839"/>
      <c r="X90" s="146" t="s">
        <v>572</v>
      </c>
      <c r="AN90"/>
      <c r="AO90"/>
      <c r="AP90"/>
      <c r="AQ90"/>
    </row>
    <row r="91" spans="1:43" ht="15" x14ac:dyDescent="0.25">
      <c r="B91" s="147" t="s">
        <v>104</v>
      </c>
      <c r="C91" s="148">
        <f>SUMIFS(AS!$W:$W,AS!$BO:$BO,$W$7,AS!$AB:$AB,AS!$AA$1,AS!$AV:$AV,X91,AS!$AH:$AH,$X$8,AS!$AW:$AW,'Päättäminen, tila, kesto'!$Y$6,AS!$X:$X,'Päättäminen, tila, kesto'!$Y$5,AS!$K:$K,'Päättäminen, tila, kesto'!$V$2)</f>
        <v>0</v>
      </c>
      <c r="D91" s="312" t="str">
        <f>IFERROR(C91/$C$94,"-")</f>
        <v>-</v>
      </c>
      <c r="E91" s="148">
        <f>SUMIFS(AS!$W:$W,AS!$BO:$BO,$W$7,AS!$AB:$AB,AS!$AA$1,AS!$BB:$BB,X122,AS!$AH:$AH,$X$8,AS!$AV:$AV,$X$91,AS!$AW:$AW,'Päättäminen, tila, kesto'!$Y$6,AS!$X:$X,'Päättäminen, tila, kesto'!$Y$5,AS!$K:$K,'Päättäminen, tila, kesto'!$V$2)</f>
        <v>0</v>
      </c>
      <c r="F91" s="341" t="str">
        <f>IFERROR(E91/$E$94,"-")</f>
        <v>-</v>
      </c>
      <c r="G91" s="242"/>
      <c r="K91" s="229"/>
      <c r="X91" s="47" t="s">
        <v>205</v>
      </c>
      <c r="AN91"/>
      <c r="AO91"/>
      <c r="AP91"/>
      <c r="AQ91"/>
    </row>
    <row r="92" spans="1:43" ht="15" x14ac:dyDescent="0.25">
      <c r="B92" s="149" t="s">
        <v>105</v>
      </c>
      <c r="C92" s="148">
        <f>SUMIFS(AS!$W:$W,AS!$BO:$BO,$W$7,AS!$AB:$AB,AS!$AA$1,AS!$AV:$AV,X92,AS!$AH:$AH,$X$8,AS!$AW:$AW,'Päättäminen, tila, kesto'!$Y$6,AS!$X:$X,'Päättäminen, tila, kesto'!$Y$5,AS!$K:$K,'Päättäminen, tila, kesto'!$V$2)</f>
        <v>0</v>
      </c>
      <c r="D92" s="312" t="str">
        <f>IFERROR(C92/$C$94,"-")</f>
        <v>-</v>
      </c>
      <c r="E92" s="148">
        <f>SUMIFS(AS!$W:$W,AS!$BO:$BO,$W$7,AS!$AB:$AB,AS!$AA$1,AS!$BB:$BB,X122,AS!$AH:$AH,$X$8,AS!$AV:$AV,$X$92,AS!$AW:$AW,'Päättäminen, tila, kesto'!$Y$6,AS!$X:$X,'Päättäminen, tila, kesto'!$Y$5,AS!$K:$K,'Päättäminen, tila, kesto'!$V$2)</f>
        <v>0</v>
      </c>
      <c r="F92" s="341" t="str">
        <f>IFERROR(E92/$E$94,"-")</f>
        <v>-</v>
      </c>
      <c r="G92" s="242"/>
      <c r="K92" s="229"/>
      <c r="X92" s="47" t="s">
        <v>230</v>
      </c>
      <c r="AN92"/>
      <c r="AO92"/>
      <c r="AP92"/>
      <c r="AQ92"/>
    </row>
    <row r="93" spans="1:43" ht="15" x14ac:dyDescent="0.25">
      <c r="B93" s="149" t="s">
        <v>569</v>
      </c>
      <c r="C93" s="148">
        <f>SUMIFS(AS!$W:$W,AS!$BO:$BO,$W$7,AS!$AB:$AB,AS!$AA$1,AS!$AV:$AV,X93,AS!$AH:$AH,$X$8,AS!$AW:$AW,'Päättäminen, tila, kesto'!$Y$6,AS!$X:$X,'Päättäminen, tila, kesto'!$Y$5,AS!$K:$K,'Päättäminen, tila, kesto'!$V$2)</f>
        <v>0</v>
      </c>
      <c r="D93" s="312" t="str">
        <f>IFERROR(C93/$C$94,"-")</f>
        <v>-</v>
      </c>
      <c r="E93" s="148">
        <f>SUMIFS(AS!$W:$W,AS!$BO:$BO,$W$7,AS!$AB:$AB,AS!$AA$1,AS!$BB:$BB,X122,AS!$AH:$AH,$X$8,AS!$AV:$AV,$X$93,AS!$AW:$AW,'Päättäminen, tila, kesto'!$Y$6,AS!$X:$X,'Päättäminen, tila, kesto'!$Y$5,AS!$K:$K,'Päättäminen, tila, kesto'!$V$2)</f>
        <v>0</v>
      </c>
      <c r="F93" s="341" t="str">
        <f>IFERROR(E93/$E$94,"-")</f>
        <v>-</v>
      </c>
      <c r="G93" s="242"/>
      <c r="K93" s="229"/>
      <c r="X93" s="47" t="s">
        <v>212</v>
      </c>
    </row>
    <row r="94" spans="1:43" x14ac:dyDescent="0.2">
      <c r="B94" s="85" t="s">
        <v>114</v>
      </c>
      <c r="C94" s="54">
        <f>SUM(C91:C93)</f>
        <v>0</v>
      </c>
      <c r="D94" s="220">
        <f>SUM(D91:D93)</f>
        <v>0</v>
      </c>
      <c r="E94" s="54">
        <f>SUM(E91:E93)</f>
        <v>0</v>
      </c>
      <c r="F94" s="342">
        <f>SUM(F91:F93)</f>
        <v>0</v>
      </c>
      <c r="G94" s="598"/>
      <c r="H94" s="599"/>
      <c r="I94" s="599"/>
      <c r="J94" s="599"/>
      <c r="K94" s="600"/>
    </row>
    <row r="95" spans="1:43" x14ac:dyDescent="0.2">
      <c r="F95" s="597"/>
    </row>
    <row r="96" spans="1:43" ht="15" x14ac:dyDescent="0.25">
      <c r="B96"/>
      <c r="C96"/>
      <c r="D96"/>
      <c r="E96"/>
      <c r="F96"/>
    </row>
    <row r="97" spans="1:39" ht="15" x14ac:dyDescent="0.25">
      <c r="B97"/>
      <c r="C97"/>
      <c r="D97"/>
      <c r="E97"/>
      <c r="F97"/>
    </row>
    <row r="98" spans="1:39" ht="15" x14ac:dyDescent="0.25">
      <c r="B98"/>
      <c r="C98"/>
      <c r="D98"/>
      <c r="E98"/>
      <c r="F98"/>
      <c r="AA98" s="26"/>
      <c r="AB98" s="26"/>
      <c r="AC98" s="26"/>
      <c r="AD98" s="26"/>
      <c r="AE98" s="26"/>
      <c r="AF98" s="26"/>
      <c r="AG98" s="26"/>
      <c r="AH98" s="26"/>
      <c r="AI98" s="26"/>
      <c r="AJ98" s="26"/>
      <c r="AK98" s="26"/>
      <c r="AL98" s="26"/>
      <c r="AM98" s="26"/>
    </row>
    <row r="99" spans="1:39" ht="15" x14ac:dyDescent="0.25">
      <c r="B99"/>
      <c r="C99"/>
      <c r="D99"/>
      <c r="E99"/>
      <c r="F99"/>
    </row>
    <row r="100" spans="1:39" s="26" customFormat="1" ht="15" x14ac:dyDescent="0.25">
      <c r="A100" s="27"/>
      <c r="B100"/>
      <c r="C100"/>
      <c r="D100"/>
      <c r="E100"/>
      <c r="F100"/>
      <c r="G100" s="27"/>
      <c r="H100" s="27"/>
      <c r="I100" s="27"/>
      <c r="J100" s="27"/>
      <c r="K100" s="27"/>
      <c r="L100" s="27"/>
      <c r="M100" s="88"/>
      <c r="N100" s="88"/>
      <c r="O100" s="88"/>
      <c r="P100" s="88"/>
      <c r="Q100" s="88"/>
      <c r="R100" s="27"/>
      <c r="S100" s="27"/>
      <c r="T100" s="27"/>
      <c r="U100" s="27"/>
      <c r="V100" s="27"/>
      <c r="W100" s="27"/>
      <c r="X100" s="27"/>
      <c r="Y100" s="27"/>
      <c r="Z100" s="27"/>
      <c r="AA100" s="27"/>
      <c r="AB100" s="27"/>
      <c r="AC100" s="27"/>
      <c r="AD100" s="27"/>
      <c r="AE100" s="27"/>
      <c r="AF100" s="27"/>
      <c r="AG100" s="27"/>
      <c r="AH100" s="27"/>
      <c r="AI100" s="27"/>
      <c r="AJ100" s="27"/>
      <c r="AK100" s="27"/>
      <c r="AL100" s="27"/>
      <c r="AM100" s="27"/>
    </row>
    <row r="101" spans="1:39" ht="15" x14ac:dyDescent="0.25">
      <c r="B101"/>
      <c r="C101"/>
      <c r="D101"/>
      <c r="E101"/>
      <c r="F101"/>
    </row>
    <row r="103" spans="1:39" x14ac:dyDescent="0.2">
      <c r="B103" s="163" t="str">
        <f>Y12&amp;B104&amp;X10&amp;W12</f>
        <v xml:space="preserve">KAIKKI: Status / Tila - 01.01.2025-30.04.2025 </v>
      </c>
    </row>
    <row r="104" spans="1:39" ht="38.25" x14ac:dyDescent="0.2">
      <c r="A104" s="26"/>
      <c r="B104" s="840" t="s">
        <v>776</v>
      </c>
      <c r="C104" s="57" t="s">
        <v>93</v>
      </c>
      <c r="D104" s="669" t="s">
        <v>610</v>
      </c>
      <c r="E104" s="669" t="s">
        <v>1461</v>
      </c>
      <c r="F104" s="669" t="s">
        <v>611</v>
      </c>
      <c r="G104" s="669" t="s">
        <v>928</v>
      </c>
      <c r="H104" s="669" t="s">
        <v>612</v>
      </c>
      <c r="I104" s="669" t="s">
        <v>613</v>
      </c>
      <c r="J104" s="57" t="s">
        <v>614</v>
      </c>
      <c r="K104" s="57" t="s">
        <v>931</v>
      </c>
      <c r="L104" s="57" t="s">
        <v>615</v>
      </c>
      <c r="M104" s="57" t="s">
        <v>699</v>
      </c>
      <c r="N104" s="95"/>
      <c r="O104" s="95"/>
      <c r="P104" s="95"/>
      <c r="Q104" s="95"/>
      <c r="R104" s="26"/>
      <c r="S104" s="26"/>
      <c r="T104" s="26"/>
      <c r="U104" s="26"/>
      <c r="V104" s="26"/>
      <c r="W104" s="26"/>
      <c r="X104" s="28" t="s">
        <v>215</v>
      </c>
    </row>
    <row r="105" spans="1:39" x14ac:dyDescent="0.2">
      <c r="B105" s="840"/>
      <c r="C105" s="57" t="s">
        <v>106</v>
      </c>
      <c r="D105" s="57" t="s">
        <v>106</v>
      </c>
      <c r="E105" s="57" t="s">
        <v>106</v>
      </c>
      <c r="F105" s="57" t="s">
        <v>106</v>
      </c>
      <c r="G105" s="57" t="s">
        <v>106</v>
      </c>
      <c r="H105" s="57" t="s">
        <v>106</v>
      </c>
      <c r="I105" s="57" t="s">
        <v>106</v>
      </c>
      <c r="J105" s="57" t="s">
        <v>106</v>
      </c>
      <c r="K105" s="57" t="s">
        <v>106</v>
      </c>
      <c r="L105" s="57" t="s">
        <v>106</v>
      </c>
      <c r="M105" s="57" t="s">
        <v>106</v>
      </c>
      <c r="X105" s="28" t="s">
        <v>1462</v>
      </c>
    </row>
    <row r="106" spans="1:39" x14ac:dyDescent="0.2">
      <c r="B106" s="147" t="s">
        <v>104</v>
      </c>
      <c r="C106" s="148">
        <f>SUM(D106:M106)</f>
        <v>0</v>
      </c>
      <c r="D106" s="148">
        <f>SUMIFS(AS!$W:$W,AS!$BO:$BO,$W$7,AS!$AB:$AB,AS!$AA$1,AS!$BB:$BB,$X$104,AS!$AH:$AH,$X$8,AS!$AV:$AV,$X91,AS!$AW:$AW,'Päättäminen, tila, kesto'!$Y$6,AS!$X:$X,'Päättäminen, tila, kesto'!$Y$5,AS!$K:$K,'Päättäminen, tila, kesto'!$V$2)</f>
        <v>0</v>
      </c>
      <c r="E106" s="148">
        <f>SUMIFS(AS!$W:$W,AS!$BO:$BO,$W$7,AS!$AB:$AB,AS!$AA$1,AS!$BB:$BB,$X$105,AS!$AH:$AH,$X$8,AS!$AV:$AV,$X91,AS!$AW:$AW,'Päättäminen, tila, kesto'!$Y$6,AS!$X:$X,'Päättäminen, tila, kesto'!$Y$5,AS!$K:$K,'Päättäminen, tila, kesto'!$V$2)</f>
        <v>0</v>
      </c>
      <c r="F106" s="148">
        <f>SUMIFS(AS!$W:$W,AS!$BO:$BO,$W$7,AS!$AB:$AB,AS!$AA$1,AS!$BB:$BB,$X$106,AS!$AH:$AH,$X$8,AS!$AV:$AV,$X91,AS!$AW:$AW,'Päättäminen, tila, kesto'!$Y$6,AS!$X:$X,'Päättäminen, tila, kesto'!$Y$5,AS!$K:$K,'Päättäminen, tila, kesto'!$V$2)</f>
        <v>0</v>
      </c>
      <c r="G106" s="148">
        <f>SUMIFS(AS!$W:$W,AS!$BO:$BO,$W$7,AS!$AB:$AB,AS!$AA$1,AS!$BB:$BB,$X$111,AS!$AH:$AH,$X$8,AS!$AV:$AV,$X91,AS!$AW:$AW,'Päättäminen, tila, kesto'!$Y$6,AS!$X:$X,'Päättäminen, tila, kesto'!$Y$5,AS!$K:$K,'Päättäminen, tila, kesto'!$V$2)</f>
        <v>0</v>
      </c>
      <c r="H106" s="148">
        <f>SUMIFS(AS!$W:$W,AS!$BO:$BO,$W$7,AS!$AB:$AB,AS!$AA$1,AS!$BB:$BB,$X$107,AS!$AH:$AH,$X$8,AS!$AV:$AV,$X91,AS!$AW:$AW,'Päättäminen, tila, kesto'!$Y$6,AS!$X:$X,'Päättäminen, tila, kesto'!$Y$5,AS!$K:$K,'Päättäminen, tila, kesto'!$V$2)</f>
        <v>0</v>
      </c>
      <c r="I106" s="148">
        <f>SUMIFS(AS!$W:$W,AS!$BO:$BO,$W$7,AS!$AB:$AB,AS!$AA$1,AS!$BB:$BB,$X$108,AS!$AH:$AH,$X$8,AS!$AV:$AV,$X91,AS!$AW:$AW,'Päättäminen, tila, kesto'!$Y$6,AS!$X:$X,'Päättäminen, tila, kesto'!$Y$5,AS!$K:$K,'Päättäminen, tila, kesto'!$V$2)</f>
        <v>0</v>
      </c>
      <c r="J106" s="148">
        <f>SUMIFS(AS!$W:$W,AS!$BO:$BO,$W$7,AS!$AB:$AB,AS!$AA$1,AS!$BB:$BB,$X$109,AS!$AH:$AH,$X$8,AS!$AV:$AV,$X91,AS!$AW:$AW,'Päättäminen, tila, kesto'!$Y$6,AS!$X:$X,'Päättäminen, tila, kesto'!$Y$5,AS!$K:$K,'Päättäminen, tila, kesto'!$V$2)</f>
        <v>0</v>
      </c>
      <c r="K106" s="148">
        <f>SUMIFS(AS!$W:$W,AS!$BO:$BO,$W$7,AS!$AB:$AB,AS!$AA$1,AS!$BB:$BB,$X$112,AS!$AH:$AH,$X$8,AS!$AV:$AV,$X91,AS!$AW:$AW,'Päättäminen, tila, kesto'!$Y$6,AS!$X:$X,'Päättäminen, tila, kesto'!$Y$5,AS!$K:$K,'Päättäminen, tila, kesto'!$V$2)</f>
        <v>0</v>
      </c>
      <c r="L106" s="148">
        <f>SUMIFS(AS!$W:$W,AS!$BO:$BO,$W$7,AS!$AB:$AB,AS!$AA$1,AS!$BB:$BB,$X$110,AS!$AH:$AH,$X$8,AS!$AV:$AV,$X91,AS!$AW:$AW,'Päättäminen, tila, kesto'!$Y$6,AS!$X:$X,'Päättäminen, tila, kesto'!$Y$5,AS!$K:$K,'Päättäminen, tila, kesto'!$V$2)</f>
        <v>0</v>
      </c>
      <c r="M106" s="148">
        <f>SUMIFS(AS!$W:$W,AS!$BO:$BO,$W$7,AS!$AB:$AB,AS!$AA$1,AS!$BB:$BB,"",AS!$AH:$AH,$X$8,AS!$AV:$AV,$X91,AS!$AW:$AW,'Päättäminen, tila, kesto'!$Y$6,AS!$X:$X,'Päättäminen, tila, kesto'!$Y$5,AS!$K:$K,'Päättäminen, tila, kesto'!$V$2)</f>
        <v>0</v>
      </c>
      <c r="X106" s="28" t="s">
        <v>206</v>
      </c>
    </row>
    <row r="107" spans="1:39" x14ac:dyDescent="0.2">
      <c r="B107" s="149" t="s">
        <v>105</v>
      </c>
      <c r="C107" s="148">
        <f>SUM(D107:M107)</f>
        <v>0</v>
      </c>
      <c r="D107" s="148">
        <f>SUMIFS(AS!$W:$W,AS!$BO:$BO,$W$7,AS!$AB:$AB,AS!$AA$1,AS!$BB:$BB,$X$104,AS!$AH:$AH,$X$8,AS!$AV:$AV,$X92,AS!$AW:$AW,'Päättäminen, tila, kesto'!$Y$6,AS!$X:$X,'Päättäminen, tila, kesto'!$Y$5,AS!$K:$K,'Päättäminen, tila, kesto'!$V$2)</f>
        <v>0</v>
      </c>
      <c r="E107" s="148">
        <f>SUMIFS(AS!$W:$W,AS!$BO:$BO,$W$7,AS!$AB:$AB,AS!$AA$1,AS!$BB:$BB,$X$105,AS!$AH:$AH,$X$8,AS!$AV:$AV,$X92,AS!$AW:$AW,'Päättäminen, tila, kesto'!$Y$6,AS!$X:$X,'Päättäminen, tila, kesto'!$Y$5,AS!$K:$K,'Päättäminen, tila, kesto'!$V$2)</f>
        <v>0</v>
      </c>
      <c r="F107" s="148">
        <f>SUMIFS(AS!$W:$W,AS!$BO:$BO,$W$7,AS!$AB:$AB,AS!$AA$1,AS!$BB:$BB,$X$106,AS!$AH:$AH,$X$8,AS!$AV:$AV,$X92,AS!$AW:$AW,'Päättäminen, tila, kesto'!$Y$6,AS!$X:$X,'Päättäminen, tila, kesto'!$Y$5,AS!$K:$K,'Päättäminen, tila, kesto'!$V$2)</f>
        <v>0</v>
      </c>
      <c r="G107" s="148">
        <f>SUMIFS(AS!$W:$W,AS!$BO:$BO,$W$7,AS!$AB:$AB,AS!$AA$1,AS!$BB:$BB,$X$111,AS!$AH:$AH,$X$8,AS!$AV:$AV,$X92,AS!$AW:$AW,'Päättäminen, tila, kesto'!$Y$6,AS!$X:$X,'Päättäminen, tila, kesto'!$Y$5,AS!$K:$K,'Päättäminen, tila, kesto'!$V$2)</f>
        <v>0</v>
      </c>
      <c r="H107" s="148">
        <f>SUMIFS(AS!$W:$W,AS!$BO:$BO,$W$7,AS!$AB:$AB,AS!$AA$1,AS!$BB:$BB,$X$107,AS!$AH:$AH,$X$8,AS!$AV:$AV,$X92,AS!$AW:$AW,'Päättäminen, tila, kesto'!$Y$6,AS!$X:$X,'Päättäminen, tila, kesto'!$Y$5,AS!$K:$K,'Päättäminen, tila, kesto'!$V$2)</f>
        <v>0</v>
      </c>
      <c r="I107" s="148">
        <f>SUMIFS(AS!$W:$W,AS!$BO:$BO,$W$7,AS!$AB:$AB,AS!$AA$1,AS!$BB:$BB,$X$108,AS!$AH:$AH,$X$8,AS!$AV:$AV,$X92,AS!$AW:$AW,'Päättäminen, tila, kesto'!$Y$6,AS!$X:$X,'Päättäminen, tila, kesto'!$Y$5,AS!$K:$K,'Päättäminen, tila, kesto'!$V$2)</f>
        <v>0</v>
      </c>
      <c r="J107" s="148">
        <f>SUMIFS(AS!$W:$W,AS!$BO:$BO,$W$7,AS!$AB:$AB,AS!$AA$1,AS!$BB:$BB,$X$109,AS!$AH:$AH,$X$8,AS!$AV:$AV,$X92,AS!$AW:$AW,'Päättäminen, tila, kesto'!$Y$6,AS!$X:$X,'Päättäminen, tila, kesto'!$Y$5,AS!$K:$K,'Päättäminen, tila, kesto'!$V$2)</f>
        <v>0</v>
      </c>
      <c r="K107" s="148">
        <f>SUMIFS(AS!$W:$W,AS!$BO:$BO,$W$7,AS!$AB:$AB,AS!$AA$1,AS!$BB:$BB,$X$112,AS!$AH:$AH,$X$8,AS!$AV:$AV,$X92,AS!$AW:$AW,'Päättäminen, tila, kesto'!$Y$6,AS!$X:$X,'Päättäminen, tila, kesto'!$Y$5,AS!$K:$K,'Päättäminen, tila, kesto'!$V$2)</f>
        <v>0</v>
      </c>
      <c r="L107" s="148">
        <f>SUMIFS(AS!$W:$W,AS!$BO:$BO,$W$7,AS!$AB:$AB,AS!$AA$1,AS!$BB:$BB,$X$110,AS!$AH:$AH,$X$8,AS!$AV:$AV,$X92,AS!$AW:$AW,'Päättäminen, tila, kesto'!$Y$6,AS!$X:$X,'Päättäminen, tila, kesto'!$Y$5,AS!$K:$K,'Päättäminen, tila, kesto'!$V$2)</f>
        <v>0</v>
      </c>
      <c r="M107" s="148">
        <f>SUMIFS(AS!$W:$W,AS!$BO:$BO,$W$7,AS!$AB:$AB,AS!$AA$1,AS!$BB:$BB,"",AS!$AH:$AH,$X$8,AS!$AV:$AV,$X92,AS!$AW:$AW,'Päättäminen, tila, kesto'!$Y$6,AS!$X:$X,'Päättäminen, tila, kesto'!$Y$5,AS!$K:$K,'Päättäminen, tila, kesto'!$V$2)</f>
        <v>0</v>
      </c>
      <c r="X107" s="28" t="s">
        <v>222</v>
      </c>
    </row>
    <row r="108" spans="1:39" x14ac:dyDescent="0.2">
      <c r="B108" s="149" t="s">
        <v>569</v>
      </c>
      <c r="C108" s="148">
        <f>SUM(D108:M108)</f>
        <v>0</v>
      </c>
      <c r="D108" s="148">
        <f>SUMIFS(AS!$W:$W,AS!$BO:$BO,$W$7,AS!$AB:$AB,AS!$AA$1,AS!$BB:$BB,$X$104,AS!$AH:$AH,$X$8,AS!$AV:$AV,$X93,AS!$AW:$AW,'Päättäminen, tila, kesto'!$Y$6,AS!$X:$X,'Päättäminen, tila, kesto'!$Y$5,AS!$K:$K,'Päättäminen, tila, kesto'!$V$2)</f>
        <v>0</v>
      </c>
      <c r="E108" s="148">
        <f>SUMIFS(AS!$W:$W,AS!$BO:$BO,$W$7,AS!$AB:$AB,AS!$AA$1,AS!$BB:$BB,$X$105,AS!$AH:$AH,$X$8,AS!$AV:$AV,$X93,AS!$AW:$AW,'Päättäminen, tila, kesto'!$Y$6,AS!$X:$X,'Päättäminen, tila, kesto'!$Y$5,AS!$K:$K,'Päättäminen, tila, kesto'!$V$2)</f>
        <v>0</v>
      </c>
      <c r="F108" s="148">
        <f>SUMIFS(AS!$W:$W,AS!$BO:$BO,$W$7,AS!$AB:$AB,AS!$AA$1,AS!$BB:$BB,$X$106,AS!$AH:$AH,$X$8,AS!$AV:$AV,$X93,AS!$AW:$AW,'Päättäminen, tila, kesto'!$Y$6,AS!$X:$X,'Päättäminen, tila, kesto'!$Y$5,AS!$K:$K,'Päättäminen, tila, kesto'!$V$2)</f>
        <v>0</v>
      </c>
      <c r="G108" s="148">
        <f>SUMIFS(AS!$W:$W,AS!$BO:$BO,$W$7,AS!$AB:$AB,AS!$AA$1,AS!$BB:$BB,$X$111,AS!$AH:$AH,$X$8,AS!$AV:$AV,$X93,AS!$AW:$AW,'Päättäminen, tila, kesto'!$Y$6,AS!$X:$X,'Päättäminen, tila, kesto'!$Y$5,AS!$K:$K,'Päättäminen, tila, kesto'!$V$2)</f>
        <v>0</v>
      </c>
      <c r="H108" s="148">
        <f>SUMIFS(AS!$W:$W,AS!$BO:$BO,$W$7,AS!$AB:$AB,AS!$AA$1,AS!$BB:$BB,$X$107,AS!$AH:$AH,$X$8,AS!$AV:$AV,$X93,AS!$AW:$AW,'Päättäminen, tila, kesto'!$Y$6,AS!$X:$X,'Päättäminen, tila, kesto'!$Y$5,AS!$K:$K,'Päättäminen, tila, kesto'!$V$2)</f>
        <v>0</v>
      </c>
      <c r="I108" s="148">
        <f>SUMIFS(AS!$W:$W,AS!$BO:$BO,$W$7,AS!$AB:$AB,AS!$AA$1,AS!$BB:$BB,$X$108,AS!$AH:$AH,$X$8,AS!$AV:$AV,$X93,AS!$AW:$AW,'Päättäminen, tila, kesto'!$Y$6,AS!$X:$X,'Päättäminen, tila, kesto'!$Y$5,AS!$K:$K,'Päättäminen, tila, kesto'!$V$2)</f>
        <v>0</v>
      </c>
      <c r="J108" s="148">
        <f>SUMIFS(AS!$W:$W,AS!$BO:$BO,$W$7,AS!$AB:$AB,AS!$AA$1,AS!$BB:$BB,$X$109,AS!$AH:$AH,$X$8,AS!$AV:$AV,$X93,AS!$AW:$AW,'Päättäminen, tila, kesto'!$Y$6,AS!$X:$X,'Päättäminen, tila, kesto'!$Y$5,AS!$K:$K,'Päättäminen, tila, kesto'!$V$2)</f>
        <v>0</v>
      </c>
      <c r="K108" s="148">
        <f>SUMIFS(AS!$W:$W,AS!$BO:$BO,$W$7,AS!$AB:$AB,AS!$AA$1,AS!$BB:$BB,$X$112,AS!$AH:$AH,$X$8,AS!$AV:$AV,$X93,AS!$AW:$AW,'Päättäminen, tila, kesto'!$Y$6,AS!$X:$X,'Päättäminen, tila, kesto'!$Y$5,AS!$K:$K,'Päättäminen, tila, kesto'!$V$2)</f>
        <v>0</v>
      </c>
      <c r="L108" s="148">
        <f>SUMIFS(AS!$W:$W,AS!$BO:$BO,$W$7,AS!$AB:$AB,AS!$AA$1,AS!$BB:$BB,$X$110,AS!$AH:$AH,$X$8,AS!$AV:$AV,$X93,AS!$AW:$AW,'Päättäminen, tila, kesto'!$Y$6,AS!$X:$X,'Päättäminen, tila, kesto'!$Y$5,AS!$K:$K,'Päättäminen, tila, kesto'!$V$2)</f>
        <v>0</v>
      </c>
      <c r="M108" s="148">
        <f>SUMIFS(AS!$W:$W,AS!$BO:$BO,$W$7,AS!$AB:$AB,AS!$AA$1,AS!$BB:$BB,"",AS!$AH:$AH,$X$8,AS!$AV:$AV,$X93,AS!$AW:$AW,'Päättäminen, tila, kesto'!$Y$6,AS!$X:$X,'Päättäminen, tila, kesto'!$Y$5,AS!$K:$K,'Päättäminen, tila, kesto'!$V$2)</f>
        <v>0</v>
      </c>
      <c r="X108" s="28" t="s">
        <v>242</v>
      </c>
    </row>
    <row r="109" spans="1:39" x14ac:dyDescent="0.2">
      <c r="B109" s="85" t="s">
        <v>114</v>
      </c>
      <c r="C109" s="54">
        <f>SUM(D109:M109)</f>
        <v>0</v>
      </c>
      <c r="D109" s="54">
        <f>SUM(D106:D108)</f>
        <v>0</v>
      </c>
      <c r="E109" s="54">
        <f>SUM(E106:E108)</f>
        <v>0</v>
      </c>
      <c r="F109" s="54">
        <f>SUM(F106:F108)</f>
        <v>0</v>
      </c>
      <c r="G109" s="54">
        <f>SUM(G106:G108)</f>
        <v>0</v>
      </c>
      <c r="H109" s="54">
        <f t="shared" ref="H109:M109" si="25">SUM(H106:H108)</f>
        <v>0</v>
      </c>
      <c r="I109" s="54">
        <f t="shared" si="25"/>
        <v>0</v>
      </c>
      <c r="J109" s="54">
        <f t="shared" si="25"/>
        <v>0</v>
      </c>
      <c r="K109" s="54">
        <f t="shared" si="25"/>
        <v>0</v>
      </c>
      <c r="L109" s="54">
        <f t="shared" si="25"/>
        <v>0</v>
      </c>
      <c r="M109" s="54">
        <f t="shared" si="25"/>
        <v>0</v>
      </c>
      <c r="X109" s="28" t="s">
        <v>241</v>
      </c>
    </row>
    <row r="110" spans="1:39" x14ac:dyDescent="0.2">
      <c r="X110" s="28" t="s">
        <v>218</v>
      </c>
    </row>
    <row r="111" spans="1:39" x14ac:dyDescent="0.2">
      <c r="B111" s="163" t="str">
        <f>Y12&amp;B112&amp;X10&amp;X12</f>
        <v xml:space="preserve">KAIKKI: Tila  - 01.01.2025-30.04.2025 </v>
      </c>
      <c r="X111" s="28" t="s">
        <v>929</v>
      </c>
    </row>
    <row r="112" spans="1:39" ht="38.25" x14ac:dyDescent="0.2">
      <c r="B112" s="840" t="s">
        <v>744</v>
      </c>
      <c r="C112" s="833" t="s">
        <v>114</v>
      </c>
      <c r="D112" s="833"/>
      <c r="E112" s="57" t="s">
        <v>132</v>
      </c>
      <c r="F112" s="58" t="s">
        <v>133</v>
      </c>
      <c r="G112" s="234" t="s">
        <v>134</v>
      </c>
      <c r="H112" s="834" t="str">
        <f>Y11&amp;B112&amp;X10&amp;X12</f>
        <v xml:space="preserve">Kuva: Tila  - 01.01.2025-30.04.2025 </v>
      </c>
      <c r="I112" s="835"/>
      <c r="J112" s="835"/>
      <c r="K112" s="835"/>
      <c r="L112" s="836"/>
      <c r="X112" s="28" t="s">
        <v>930</v>
      </c>
    </row>
    <row r="113" spans="1:39" x14ac:dyDescent="0.2">
      <c r="B113" s="840"/>
      <c r="C113" s="57" t="s">
        <v>106</v>
      </c>
      <c r="D113" s="57" t="s">
        <v>176</v>
      </c>
      <c r="E113" s="57" t="s">
        <v>106</v>
      </c>
      <c r="F113" s="57" t="s">
        <v>106</v>
      </c>
      <c r="G113" s="234" t="s">
        <v>106</v>
      </c>
      <c r="H113" s="237"/>
      <c r="I113" s="238"/>
      <c r="J113" s="238"/>
      <c r="K113" s="238"/>
      <c r="L113" s="232"/>
    </row>
    <row r="114" spans="1:39" x14ac:dyDescent="0.2">
      <c r="B114" s="147" t="s">
        <v>610</v>
      </c>
      <c r="C114" s="148">
        <f>SUMIFS(AS!$W:$W,AS!$BO:$BO,$W$7,AS!$AB:$AB,AS!$AA$1,AS!$BB:$BB,X114,AS!$AH:$AH,$X$8,AS!$AW:$AW,'Päättäminen, tila, kesto'!$Y$6,AS!$X:$X,'Päättäminen, tila, kesto'!$Y$5,AS!$K:$K,'Päättäminen, tila, kesto'!$V$2,AS!$AV:$AV,'Päättäminen, tila, kesto'!$X$6)</f>
        <v>0</v>
      </c>
      <c r="D114" s="312" t="str">
        <f t="shared" ref="D114:D123" si="26">IFERROR(C114/$C$124,"-")</f>
        <v>-</v>
      </c>
      <c r="E114" s="148">
        <f>SUMIFS(AS!$W:$W,AS!$BO:$BO,$W$7,AS!$AB:$AB,AS!$AA$1,AS!$BB:$BB,$X114,AS!$I:$I,$X$7,AS!$AH:$AH,$X$8,AS!$AW:$AW,'Päättäminen, tila, kesto'!$Y$6,AS!$X:$X,'Päättäminen, tila, kesto'!$Y$5,AS!$K:$K,'Päättäminen, tila, kesto'!$V$2,AS!$AV:$AV,'Päättäminen, tila, kesto'!$X$6)</f>
        <v>0</v>
      </c>
      <c r="F114" s="148">
        <f>SUMIFS(AS!$W:$W,AS!$BO:$BO,$W$7,AS!$AB:$AB,AS!$AA$1,AS!$BB:$BB,X114,AS!$I:$I,$Y$7,AS!$AH:$AH,$X$8,AS!$AW:$AW,'Päättäminen, tila, kesto'!$Y$6,AS!$X:$X,'Päättäminen, tila, kesto'!$Y$5,AS!$K:$K,'Päättäminen, tila, kesto'!$V$2,AS!$AV:$AV,'Päättäminen, tila, kesto'!$X$6)</f>
        <v>0</v>
      </c>
      <c r="G114" s="239">
        <f>SUMIFS(AS!$W:$W,AS!$BO:$BO,$W$7,AS!$AB:$AB,AS!$AA$1,AS!$BB:$BB,X114,AS!$AH:$AH,$Y$8,AS!$AW:$AW,'Päättäminen, tila, kesto'!$Y$6,AS!$X:$X,'Päättäminen, tila, kesto'!$Y$5,AS!$K:$K,'Päättäminen, tila, kesto'!$V$2,AS!$AV:$AV,'Päättäminen, tila, kesto'!$X$6)</f>
        <v>0</v>
      </c>
      <c r="H114" s="235"/>
      <c r="I114" s="347"/>
      <c r="J114" s="347"/>
      <c r="K114" s="347"/>
      <c r="L114" s="236"/>
      <c r="X114" s="28" t="s">
        <v>215</v>
      </c>
    </row>
    <row r="115" spans="1:39" x14ac:dyDescent="0.2">
      <c r="B115" s="147" t="s">
        <v>1461</v>
      </c>
      <c r="C115" s="148">
        <f>SUMIFS(AS!$W:$W,AS!$BO:$BO,$W$7,AS!$AB:$AB,AS!$AA$1,AS!$BB:$BB,X115,AS!$AH:$AH,$X$8,AS!$AW:$AW,'Päättäminen, tila, kesto'!$Y$6,AS!$X:$X,'Päättäminen, tila, kesto'!$Y$5,AS!$K:$K,'Päättäminen, tila, kesto'!$V$2,AS!$AV:$AV,'Päättäminen, tila, kesto'!$X$6)</f>
        <v>0</v>
      </c>
      <c r="D115" s="312" t="str">
        <f t="shared" si="26"/>
        <v>-</v>
      </c>
      <c r="E115" s="148">
        <f>SUMIFS(AS!$W:$W,AS!$BO:$BO,$W$7,AS!$AB:$AB,AS!$AA$1,AS!$BB:$BB,$X115,AS!$I:$I,$X$7,AS!$AH:$AH,$X$8,AS!$AW:$AW,'Päättäminen, tila, kesto'!$Y$6,AS!$X:$X,'Päättäminen, tila, kesto'!$Y$5,AS!$K:$K,'Päättäminen, tila, kesto'!$V$2,AS!$AV:$AV,'Päättäminen, tila, kesto'!$X$6)</f>
        <v>0</v>
      </c>
      <c r="F115" s="148">
        <f>SUMIFS(AS!$W:$W,AS!$BO:$BO,$W$7,AS!$AB:$AB,AS!$AA$1,AS!$BB:$BB,X115,AS!$I:$I,$Y$7,AS!$AH:$AH,$X$8,AS!$AW:$AW,'Päättäminen, tila, kesto'!$Y$6,AS!$X:$X,'Päättäminen, tila, kesto'!$Y$5,AS!$K:$K,'Päättäminen, tila, kesto'!$V$2,AS!$AV:$AV,'Päättäminen, tila, kesto'!$X$6)</f>
        <v>0</v>
      </c>
      <c r="G115" s="239">
        <f>SUMIFS(AS!$W:$W,AS!$BO:$BO,$W$7,AS!$AB:$AB,AS!$AA$1,AS!$BB:$BB,X115,AS!$AH:$AH,$Y$8,AS!$AW:$AW,'Päättäminen, tila, kesto'!$Y$6,AS!$X:$X,'Päättäminen, tila, kesto'!$Y$5,AS!$K:$K,'Päättäminen, tila, kesto'!$V$2,AS!$AV:$AV,'Päättäminen, tila, kesto'!$X$6)</f>
        <v>0</v>
      </c>
      <c r="H115" s="242"/>
      <c r="L115" s="229"/>
      <c r="X115" s="28" t="s">
        <v>1462</v>
      </c>
    </row>
    <row r="116" spans="1:39" x14ac:dyDescent="0.2">
      <c r="A116" s="146"/>
      <c r="B116" s="147" t="s">
        <v>611</v>
      </c>
      <c r="C116" s="148">
        <f>SUMIFS(AS!$W:$W,AS!$BO:$BO,$W$7,AS!$AB:$AB,AS!$AA$1,AS!$BB:$BB,X116,AS!$AH:$AH,$X$8,AS!$AW:$AW,'Päättäminen, tila, kesto'!$Y$6,AS!$X:$X,'Päättäminen, tila, kesto'!$Y$5,AS!$K:$K,'Päättäminen, tila, kesto'!$V$2,AS!$AV:$AV,'Päättäminen, tila, kesto'!$X$6)</f>
        <v>0</v>
      </c>
      <c r="D116" s="312" t="str">
        <f t="shared" si="26"/>
        <v>-</v>
      </c>
      <c r="E116" s="148">
        <f>SUMIFS(AS!$W:$W,AS!$BO:$BO,$W$7,AS!$AB:$AB,AS!$AA$1,AS!$BB:$BB,$X116,AS!$I:$I,$X$7,AS!$AH:$AH,$X$8,AS!$AW:$AW,'Päättäminen, tila, kesto'!$Y$6,AS!$X:$X,'Päättäminen, tila, kesto'!$Y$5,AS!$K:$K,'Päättäminen, tila, kesto'!$V$2,AS!$AV:$AV,'Päättäminen, tila, kesto'!$X$6)</f>
        <v>0</v>
      </c>
      <c r="F116" s="148">
        <f>SUMIFS(AS!$W:$W,AS!$BO:$BO,$W$7,AS!$AB:$AB,AS!$AA$1,AS!$BB:$BB,X116,AS!$I:$I,$Y$7,AS!$AH:$AH,$X$8,AS!$AW:$AW,'Päättäminen, tila, kesto'!$Y$6,AS!$X:$X,'Päättäminen, tila, kesto'!$Y$5,AS!$K:$K,'Päättäminen, tila, kesto'!$V$2,AS!$AV:$AV,'Päättäminen, tila, kesto'!$X$6)</f>
        <v>0</v>
      </c>
      <c r="G116" s="239">
        <f>SUMIFS(AS!$W:$W,AS!$BO:$BO,$W$7,AS!$AB:$AB,AS!$AA$1,AS!$BB:$BB,X116,AS!$AH:$AH,$Y$8,AS!$AW:$AW,'Päättäminen, tila, kesto'!$Y$6,AS!$X:$X,'Päättäminen, tila, kesto'!$Y$5,AS!$K:$K,'Päättäminen, tila, kesto'!$V$2,AS!$AV:$AV,'Päättäminen, tila, kesto'!$X$6)</f>
        <v>0</v>
      </c>
      <c r="H116" s="242"/>
      <c r="L116" s="229"/>
      <c r="X116" s="28" t="s">
        <v>206</v>
      </c>
    </row>
    <row r="117" spans="1:39" x14ac:dyDescent="0.2">
      <c r="B117" s="147" t="s">
        <v>928</v>
      </c>
      <c r="C117" s="148">
        <f>SUMIFS(AS!$W:$W,AS!$BO:$BO,$W$7,AS!$AB:$AB,AS!$AA$1,AS!$BB:$BB,X117,AS!$AH:$AH,$X$8,AS!$AW:$AW,'Päättäminen, tila, kesto'!$Y$6,AS!$X:$X,'Päättäminen, tila, kesto'!$Y$5,AS!$K:$K,'Päättäminen, tila, kesto'!$V$2,AS!$AV:$AV,'Päättäminen, tila, kesto'!$X$6)</f>
        <v>0</v>
      </c>
      <c r="D117" s="312" t="str">
        <f t="shared" si="26"/>
        <v>-</v>
      </c>
      <c r="E117" s="148">
        <f>SUMIFS(AS!$W:$W,AS!$BO:$BO,$W$7,AS!$AB:$AB,AS!$AA$1,AS!$BB:$BB,$X117,AS!$I:$I,$X$7,AS!$AH:$AH,$X$8,AS!$AW:$AW,'Päättäminen, tila, kesto'!$Y$6,AS!$X:$X,'Päättäminen, tila, kesto'!$Y$5,AS!$K:$K,'Päättäminen, tila, kesto'!$V$2,AS!$AV:$AV,'Päättäminen, tila, kesto'!$X$6)</f>
        <v>0</v>
      </c>
      <c r="F117" s="148">
        <f>SUMIFS(AS!$W:$W,AS!$BO:$BO,$W$7,AS!$AB:$AB,AS!$AA$1,AS!$BB:$BB,X117,AS!$I:$I,$Y$7,AS!$AH:$AH,$X$8,AS!$AW:$AW,'Päättäminen, tila, kesto'!$Y$6,AS!$X:$X,'Päättäminen, tila, kesto'!$Y$5,AS!$K:$K,'Päättäminen, tila, kesto'!$V$2,AS!$AV:$AV,'Päättäminen, tila, kesto'!$X$6)</f>
        <v>0</v>
      </c>
      <c r="G117" s="239">
        <f>SUMIFS(AS!$W:$W,AS!$BO:$BO,$W$7,AS!$AB:$AB,AS!$AA$1,AS!$BB:$BB,X117,AS!$AH:$AH,$Y$8,AS!$AW:$AW,'Päättäminen, tila, kesto'!$Y$6,AS!$X:$X,'Päättäminen, tila, kesto'!$Y$5,AS!$K:$K,'Päättäminen, tila, kesto'!$V$2,AS!$AV:$AV,'Päättäminen, tila, kesto'!$X$6)</f>
        <v>0</v>
      </c>
      <c r="H117" s="242"/>
      <c r="L117" s="229"/>
      <c r="X117" s="28" t="s">
        <v>929</v>
      </c>
    </row>
    <row r="118" spans="1:39" x14ac:dyDescent="0.2">
      <c r="B118" s="147" t="s">
        <v>612</v>
      </c>
      <c r="C118" s="148">
        <f>SUMIFS(AS!$W:$W,AS!$BO:$BO,$W$7,AS!$AB:$AB,AS!$AA$1,AS!$BB:$BB,X118,AS!$AH:$AH,$X$8,AS!$AW:$AW,'Päättäminen, tila, kesto'!$Y$6,AS!$X:$X,'Päättäminen, tila, kesto'!$Y$5,AS!$K:$K,'Päättäminen, tila, kesto'!$V$2,AS!$AV:$AV,'Päättäminen, tila, kesto'!$X$6)</f>
        <v>0</v>
      </c>
      <c r="D118" s="312" t="str">
        <f t="shared" si="26"/>
        <v>-</v>
      </c>
      <c r="E118" s="148">
        <f>SUMIFS(AS!$W:$W,AS!$BO:$BO,$W$7,AS!$AB:$AB,AS!$AA$1,AS!$BB:$BB,$X118,AS!$I:$I,$X$7,AS!$AH:$AH,$X$8,AS!$AW:$AW,'Päättäminen, tila, kesto'!$Y$6,AS!$X:$X,'Päättäminen, tila, kesto'!$Y$5,AS!$K:$K,'Päättäminen, tila, kesto'!$V$2,AS!$AV:$AV,'Päättäminen, tila, kesto'!$X$6)</f>
        <v>0</v>
      </c>
      <c r="F118" s="148">
        <f>SUMIFS(AS!$W:$W,AS!$BO:$BO,$W$7,AS!$AB:$AB,AS!$AA$1,AS!$BB:$BB,X118,AS!$I:$I,$Y$7,AS!$AH:$AH,$X$8,AS!$AW:$AW,'Päättäminen, tila, kesto'!$Y$6,AS!$X:$X,'Päättäminen, tila, kesto'!$Y$5,AS!$K:$K,'Päättäminen, tila, kesto'!$V$2,AS!$AV:$AV,'Päättäminen, tila, kesto'!$X$6)</f>
        <v>0</v>
      </c>
      <c r="G118" s="239">
        <f>SUMIFS(AS!$W:$W,AS!$BO:$BO,$W$7,AS!$AB:$AB,AS!$AA$1,AS!$BB:$BB,X118,AS!$AH:$AH,$Y$8,AS!$AW:$AW,'Päättäminen, tila, kesto'!$Y$6,AS!$X:$X,'Päättäminen, tila, kesto'!$Y$5,AS!$K:$K,'Päättäminen, tila, kesto'!$V$2,AS!$AV:$AV,'Päättäminen, tila, kesto'!$X$6)</f>
        <v>0</v>
      </c>
      <c r="H118" s="242"/>
      <c r="L118" s="229"/>
      <c r="X118" s="28" t="s">
        <v>222</v>
      </c>
    </row>
    <row r="119" spans="1:39" x14ac:dyDescent="0.2">
      <c r="B119" s="147" t="s">
        <v>613</v>
      </c>
      <c r="C119" s="148">
        <f>SUMIFS(AS!$W:$W,AS!$BO:$BO,$W$7,AS!$AB:$AB,AS!$AA$1,AS!$BB:$BB,X119,AS!$AH:$AH,$X$8,AS!$AW:$AW,'Päättäminen, tila, kesto'!$Y$6,AS!$X:$X,'Päättäminen, tila, kesto'!$Y$5,AS!$K:$K,'Päättäminen, tila, kesto'!$V$2,AS!$AV:$AV,'Päättäminen, tila, kesto'!$X$6)</f>
        <v>0</v>
      </c>
      <c r="D119" s="312" t="str">
        <f t="shared" si="26"/>
        <v>-</v>
      </c>
      <c r="E119" s="148">
        <f>SUMIFS(AS!$W:$W,AS!$BO:$BO,$W$7,AS!$AB:$AB,AS!$AA$1,AS!$BB:$BB,$X119,AS!$I:$I,$X$7,AS!$AH:$AH,$X$8,AS!$AW:$AW,'Päättäminen, tila, kesto'!$Y$6,AS!$X:$X,'Päättäminen, tila, kesto'!$Y$5,AS!$K:$K,'Päättäminen, tila, kesto'!$V$2,AS!$AV:$AV,'Päättäminen, tila, kesto'!$X$6)</f>
        <v>0</v>
      </c>
      <c r="F119" s="148">
        <f>SUMIFS(AS!$W:$W,AS!$BO:$BO,$W$7,AS!$AB:$AB,AS!$AA$1,AS!$BB:$BB,X119,AS!$I:$I,$Y$7,AS!$AH:$AH,$X$8,AS!$AW:$AW,'Päättäminen, tila, kesto'!$Y$6,AS!$X:$X,'Päättäminen, tila, kesto'!$Y$5,AS!$K:$K,'Päättäminen, tila, kesto'!$V$2,AS!$AV:$AV,'Päättäminen, tila, kesto'!$X$6)</f>
        <v>0</v>
      </c>
      <c r="G119" s="239">
        <f>SUMIFS(AS!$W:$W,AS!$BO:$BO,$W$7,AS!$AB:$AB,AS!$AA$1,AS!$BB:$BB,X119,AS!$AH:$AH,$Y$8,AS!$AW:$AW,'Päättäminen, tila, kesto'!$Y$6,AS!$X:$X,'Päättäminen, tila, kesto'!$Y$5,AS!$K:$K,'Päättäminen, tila, kesto'!$V$2,AS!$AV:$AV,'Päättäminen, tila, kesto'!$X$6)</f>
        <v>0</v>
      </c>
      <c r="H119" s="242"/>
      <c r="L119" s="229"/>
      <c r="X119" s="28" t="s">
        <v>242</v>
      </c>
    </row>
    <row r="120" spans="1:39" x14ac:dyDescent="0.2">
      <c r="B120" s="149" t="s">
        <v>614</v>
      </c>
      <c r="C120" s="148">
        <f>SUMIFS(AS!$W:$W,AS!$BO:$BO,$W$7,AS!$AB:$AB,AS!$AA$1,AS!$BB:$BB,X120,AS!$AH:$AH,$X$8,AS!$AW:$AW,'Päättäminen, tila, kesto'!$Y$6,AS!$X:$X,'Päättäminen, tila, kesto'!$Y$5,AS!$K:$K,'Päättäminen, tila, kesto'!$V$2,AS!$AV:$AV,'Päättäminen, tila, kesto'!$X$6)</f>
        <v>0</v>
      </c>
      <c r="D120" s="312" t="str">
        <f t="shared" si="26"/>
        <v>-</v>
      </c>
      <c r="E120" s="148">
        <f>SUMIFS(AS!$W:$W,AS!$BO:$BO,$W$7,AS!$AB:$AB,AS!$AA$1,AS!$BB:$BB,$X120,AS!$I:$I,$X$7,AS!$AH:$AH,$X$8,AS!$AW:$AW,'Päättäminen, tila, kesto'!$Y$6,AS!$X:$X,'Päättäminen, tila, kesto'!$Y$5,AS!$K:$K,'Päättäminen, tila, kesto'!$V$2,AS!$AV:$AV,'Päättäminen, tila, kesto'!$X$6)</f>
        <v>0</v>
      </c>
      <c r="F120" s="148">
        <f>SUMIFS(AS!$W:$W,AS!$BO:$BO,$W$7,AS!$AB:$AB,AS!$AA$1,AS!$BB:$BB,X120,AS!$I:$I,$Y$7,AS!$AH:$AH,$X$8,AS!$AW:$AW,'Päättäminen, tila, kesto'!$Y$6,AS!$X:$X,'Päättäminen, tila, kesto'!$Y$5,AS!$K:$K,'Päättäminen, tila, kesto'!$V$2,AS!$AV:$AV,'Päättäminen, tila, kesto'!$X$6)</f>
        <v>0</v>
      </c>
      <c r="G120" s="239">
        <f>SUMIFS(AS!$W:$W,AS!$BO:$BO,$W$7,AS!$AB:$AB,AS!$AA$1,AS!$BB:$BB,X120,AS!$AH:$AH,$Y$8,AS!$AW:$AW,'Päättäminen, tila, kesto'!$Y$6,AS!$X:$X,'Päättäminen, tila, kesto'!$Y$5,AS!$K:$K,'Päättäminen, tila, kesto'!$V$2,AS!$AV:$AV,'Päättäminen, tila, kesto'!$X$6)</f>
        <v>0</v>
      </c>
      <c r="H120" s="242"/>
      <c r="L120" s="229"/>
      <c r="X120" s="28" t="s">
        <v>241</v>
      </c>
    </row>
    <row r="121" spans="1:39" x14ac:dyDescent="0.2">
      <c r="B121" s="149" t="s">
        <v>931</v>
      </c>
      <c r="C121" s="148">
        <f>SUMIFS(AS!$W:$W,AS!$BO:$BO,$W$7,AS!$AB:$AB,AS!$AA$1,AS!$BB:$BB,X121,AS!$AH:$AH,$X$8,AS!$AW:$AW,'Päättäminen, tila, kesto'!$Y$6,AS!$X:$X,'Päättäminen, tila, kesto'!$Y$5,AS!$K:$K,'Päättäminen, tila, kesto'!$V$2,AS!$AV:$AV,'Päättäminen, tila, kesto'!$X$6)</f>
        <v>0</v>
      </c>
      <c r="D121" s="312" t="str">
        <f t="shared" si="26"/>
        <v>-</v>
      </c>
      <c r="E121" s="148">
        <f>SUMIFS(AS!$W:$W,AS!$BO:$BO,$W$7,AS!$AB:$AB,AS!$AA$1,AS!$BB:$BB,$X121,AS!$I:$I,$X$7,AS!$AH:$AH,$X$8,AS!$AW:$AW,'Päättäminen, tila, kesto'!$Y$6,AS!$X:$X,'Päättäminen, tila, kesto'!$Y$5,AS!$K:$K,'Päättäminen, tila, kesto'!$V$2,AS!$AV:$AV,'Päättäminen, tila, kesto'!$X$6)</f>
        <v>0</v>
      </c>
      <c r="F121" s="148">
        <f>SUMIFS(AS!$W:$W,AS!$BO:$BO,$W$7,AS!$AB:$AB,AS!$AA$1,AS!$BB:$BB,X121,AS!$I:$I,$Y$7,AS!$AH:$AH,$X$8,AS!$AW:$AW,'Päättäminen, tila, kesto'!$Y$6,AS!$X:$X,'Päättäminen, tila, kesto'!$Y$5,AS!$K:$K,'Päättäminen, tila, kesto'!$V$2,AS!$AV:$AV,'Päättäminen, tila, kesto'!$X$6)</f>
        <v>0</v>
      </c>
      <c r="G121" s="239">
        <f>SUMIFS(AS!$W:$W,AS!$BO:$BO,$W$7,AS!$AB:$AB,AS!$AA$1,AS!$BB:$BB,X121,AS!$AH:$AH,$Y$8,AS!$AW:$AW,'Päättäminen, tila, kesto'!$Y$6,AS!$X:$X,'Päättäminen, tila, kesto'!$Y$5,AS!$K:$K,'Päättäminen, tila, kesto'!$V$2,AS!$AV:$AV,'Päättäminen, tila, kesto'!$X$6)</f>
        <v>0</v>
      </c>
      <c r="H121" s="242"/>
      <c r="L121" s="229"/>
      <c r="X121" s="28" t="s">
        <v>930</v>
      </c>
    </row>
    <row r="122" spans="1:39" x14ac:dyDescent="0.2">
      <c r="B122" s="149" t="s">
        <v>615</v>
      </c>
      <c r="C122" s="148">
        <f>SUMIFS(AS!$W:$W,AS!$BO:$BO,$W$7,AS!$AB:$AB,AS!$AA$1,AS!$BB:$BB,X122,AS!$AH:$AH,$X$8,AS!$AW:$AW,'Päättäminen, tila, kesto'!$Y$6,AS!$X:$X,'Päättäminen, tila, kesto'!$Y$5,AS!$K:$K,'Päättäminen, tila, kesto'!$V$2,AS!$AV:$AV,'Päättäminen, tila, kesto'!$X$6)</f>
        <v>0</v>
      </c>
      <c r="D122" s="312" t="str">
        <f t="shared" si="26"/>
        <v>-</v>
      </c>
      <c r="E122" s="148">
        <f>SUMIFS(AS!$W:$W,AS!$BO:$BO,$W$7,AS!$AB:$AB,AS!$AA$1,AS!$BB:$BB,$X122,AS!$I:$I,$X$7,AS!$AH:$AH,$X$8,AS!$AW:$AW,'Päättäminen, tila, kesto'!$Y$6,AS!$X:$X,'Päättäminen, tila, kesto'!$Y$5,AS!$K:$K,'Päättäminen, tila, kesto'!$V$2,AS!$AV:$AV,'Päättäminen, tila, kesto'!$X$6)</f>
        <v>0</v>
      </c>
      <c r="F122" s="148">
        <f>SUMIFS(AS!$W:$W,AS!$BO:$BO,$W$7,AS!$AB:$AB,AS!$AA$1,AS!$BB:$BB,X122,AS!$I:$I,$Y$7,AS!$AH:$AH,$X$8,AS!$AW:$AW,'Päättäminen, tila, kesto'!$Y$6,AS!$X:$X,'Päättäminen, tila, kesto'!$Y$5,AS!$K:$K,'Päättäminen, tila, kesto'!$V$2,AS!$AV:$AV,'Päättäminen, tila, kesto'!$X$6)</f>
        <v>0</v>
      </c>
      <c r="G122" s="239">
        <f>SUMIFS(AS!$W:$W,AS!$BO:$BO,$W$7,AS!$AB:$AB,AS!$AA$1,AS!$BB:$BB,X122,AS!$AH:$AH,$Y$8,AS!$AW:$AW,'Päättäminen, tila, kesto'!$Y$6,AS!$X:$X,'Päättäminen, tila, kesto'!$Y$5,AS!$K:$K,'Päättäminen, tila, kesto'!$V$2,AS!$AV:$AV,'Päättäminen, tila, kesto'!$X$6)</f>
        <v>0</v>
      </c>
      <c r="H122" s="242"/>
      <c r="L122" s="229"/>
      <c r="X122" s="28" t="s">
        <v>218</v>
      </c>
      <c r="AA122" s="26"/>
      <c r="AB122" s="26"/>
      <c r="AC122" s="26"/>
      <c r="AD122" s="26"/>
      <c r="AE122" s="26"/>
      <c r="AF122" s="26"/>
      <c r="AG122" s="26"/>
      <c r="AH122" s="26"/>
      <c r="AI122" s="26"/>
      <c r="AJ122" s="26"/>
      <c r="AK122" s="26"/>
      <c r="AL122" s="26"/>
      <c r="AM122" s="26"/>
    </row>
    <row r="123" spans="1:39" x14ac:dyDescent="0.2">
      <c r="B123" s="149" t="s">
        <v>699</v>
      </c>
      <c r="C123" s="148">
        <f>SUMIFS(AS!$W:$W,AS!$BO:$BO,$W$7,AS!$AB:$AB,AS!$AA$1,AS!$BB:$BB,"",AS!$AH:$AH,$X$8,AS!$AW:$AW,'Päättäminen, tila, kesto'!$Y$6,AS!$X:$X,'Päättäminen, tila, kesto'!$Y$5,AS!$K:$K,'Päättäminen, tila, kesto'!$V$2,AS!$AV:$AV,'Päättäminen, tila, kesto'!$X$6)</f>
        <v>0</v>
      </c>
      <c r="D123" s="312" t="str">
        <f t="shared" si="26"/>
        <v>-</v>
      </c>
      <c r="E123" s="148">
        <f>SUMIFS(AS!$W:$W,AS!$BO:$BO,$W$7,AS!$AB:$AB,AS!$AA$1,AS!$BB:$BB,"",AS!$I:$I,$X$7,AS!$AH:$AH,$X$8,AS!$AW:$AW,'Päättäminen, tila, kesto'!$Y$6,AS!$X:$X,'Päättäminen, tila, kesto'!$Y$5,AS!$K:$K,'Päättäminen, tila, kesto'!$V$2,AS!$AV:$AV,'Päättäminen, tila, kesto'!$X$6)</f>
        <v>0</v>
      </c>
      <c r="F123" s="148">
        <f>SUMIFS(AS!$W:$W,AS!$BO:$BO,$W$7,AS!$AB:$AB,AS!$AA$1,AS!$BB:$BB,"",AS!$I:$I,$Y$7,AS!$AH:$AH,$X$8,AS!$AW:$AW,'Päättäminen, tila, kesto'!$Y$6,AS!$X:$X,'Päättäminen, tila, kesto'!$Y$5,AS!$K:$K,'Päättäminen, tila, kesto'!$V$2,AS!$AV:$AV,'Päättäminen, tila, kesto'!$X$6)</f>
        <v>0</v>
      </c>
      <c r="G123" s="239">
        <f>SUMIFS(AS!$W:$W,AS!$BO:$BO,$W$7,AS!$AB:$AB,AS!$AA$1,AS!$BB:$BB,"",AS!$AH:$AH,$Y$8,AS!$AW:$AW,'Päättäminen, tila, kesto'!$Y$6,AS!$X:$X,'Päättäminen, tila, kesto'!$Y$5,AS!$K:$K,'Päättäminen, tila, kesto'!$V$2,AS!$AV:$AV,'Päättäminen, tila, kesto'!$X$6)</f>
        <v>0</v>
      </c>
      <c r="H123" s="242"/>
      <c r="L123" s="229"/>
    </row>
    <row r="124" spans="1:39" s="26" customFormat="1" ht="27" customHeight="1" x14ac:dyDescent="0.2">
      <c r="A124" s="27"/>
      <c r="B124" s="85" t="s">
        <v>114</v>
      </c>
      <c r="C124" s="54">
        <f>SUM(C114:C123)</f>
        <v>0</v>
      </c>
      <c r="D124" s="723">
        <f>SUM(D114:D123)</f>
        <v>0</v>
      </c>
      <c r="E124" s="54">
        <f>SUM(E114:E123)</f>
        <v>0</v>
      </c>
      <c r="F124" s="54">
        <f>SUM(F114:F123)</f>
        <v>0</v>
      </c>
      <c r="G124" s="240">
        <f>SUM(G114:G123)</f>
        <v>0</v>
      </c>
      <c r="H124" s="237"/>
      <c r="I124" s="238"/>
      <c r="J124" s="238"/>
      <c r="K124" s="238"/>
      <c r="L124" s="232"/>
      <c r="M124" s="88"/>
      <c r="N124" s="88"/>
      <c r="O124" s="88"/>
      <c r="P124" s="88"/>
      <c r="Q124" s="88"/>
      <c r="R124" s="27"/>
      <c r="S124" s="27"/>
      <c r="T124" s="27"/>
      <c r="U124" s="27"/>
      <c r="V124" s="27"/>
      <c r="W124" s="27"/>
      <c r="X124" s="27"/>
      <c r="Y124" s="27"/>
      <c r="Z124" s="27"/>
      <c r="AA124" s="27"/>
      <c r="AB124" s="27"/>
      <c r="AC124" s="27"/>
      <c r="AD124" s="27"/>
      <c r="AE124" s="27"/>
      <c r="AF124" s="27"/>
      <c r="AG124" s="27"/>
      <c r="AH124" s="27"/>
      <c r="AI124" s="27"/>
      <c r="AJ124" s="27"/>
      <c r="AK124" s="27"/>
      <c r="AL124" s="27"/>
      <c r="AM124" s="27"/>
    </row>
    <row r="127" spans="1:39" x14ac:dyDescent="0.2">
      <c r="A127" s="500"/>
      <c r="B127" s="145" t="str">
        <f>Y12&amp;B128&amp;X10&amp;X12</f>
        <v xml:space="preserve">KAIKKI: Asiakkuuden kesto - 01.01.2025-30.04.2025 </v>
      </c>
    </row>
    <row r="128" spans="1:39" x14ac:dyDescent="0.2">
      <c r="A128" s="26"/>
      <c r="B128" s="936" t="s">
        <v>741</v>
      </c>
      <c r="C128" s="850" t="s">
        <v>114</v>
      </c>
      <c r="D128" s="882"/>
      <c r="E128" s="850" t="s">
        <v>704</v>
      </c>
      <c r="F128" s="938"/>
      <c r="G128" s="834" t="str">
        <f>Y11&amp;B152&amp;X10&amp;X12</f>
        <v xml:space="preserve">Kuva:  - 01.01.2025-30.04.2025 </v>
      </c>
      <c r="H128" s="835"/>
      <c r="I128" s="835"/>
      <c r="J128" s="835"/>
      <c r="K128" s="835"/>
      <c r="L128" s="836"/>
      <c r="M128" s="95"/>
      <c r="N128" s="95"/>
      <c r="O128" s="95"/>
      <c r="P128" s="95"/>
      <c r="Q128" s="95"/>
      <c r="R128" s="26"/>
      <c r="S128" s="26"/>
      <c r="T128" s="26"/>
      <c r="U128" s="26"/>
      <c r="V128" s="26"/>
      <c r="W128" s="26"/>
      <c r="X128" s="26"/>
      <c r="Y128" s="26"/>
      <c r="Z128" s="26"/>
    </row>
    <row r="129" spans="2:24" x14ac:dyDescent="0.2">
      <c r="B129" s="937"/>
      <c r="C129" s="57" t="s">
        <v>106</v>
      </c>
      <c r="D129" s="57" t="s">
        <v>176</v>
      </c>
      <c r="E129" s="57" t="s">
        <v>106</v>
      </c>
      <c r="F129" s="234" t="s">
        <v>176</v>
      </c>
      <c r="G129" s="924"/>
      <c r="H129" s="925"/>
      <c r="I129" s="925"/>
      <c r="J129" s="925"/>
      <c r="K129" s="925"/>
      <c r="L129" s="926"/>
    </row>
    <row r="130" spans="2:24" x14ac:dyDescent="0.2">
      <c r="B130" s="147" t="s">
        <v>1201</v>
      </c>
      <c r="C130" s="148">
        <f>SUMIFS(AS!$W:$W,AS!$BO:$BO,$W$7,AS!$AB:$AB,AS!$AA$1,AS!$AW:$AW,$Y$6,AS!$AH:$AH,$X$8,AS!$BD:$BD,'Päättäminen, tila, kesto'!$X130,AS!$AV:$AV,'Päättäminen, tila, kesto'!$X$6,AS!$AW:$AW,'Päättäminen, tila, kesto'!$Y$6,AS!$X:$X,'Päättäminen, tila, kesto'!$Y$5,AS!$K:$K,'Päättäminen, tila, kesto'!$V$2)</f>
        <v>0</v>
      </c>
      <c r="D130" s="312" t="str">
        <f>IFERROR(C130/$C$142,"-")</f>
        <v>-</v>
      </c>
      <c r="E130" s="148">
        <f>SUMIFS(AS!$W:$W,AS!$BO:$BO,$W$7,AS!$AB:$AB,AS!$AA$1,AS!$AW:$AW,$Y$6,AS!$AH:$AH,$X$8,AS!$BD:$BD,'Päättäminen, tila, kesto'!$X130,AS!$BB:$BB,'Päättäminen, tila, kesto'!$X$110,AS!$AV:$AV,'Päättäminen, tila, kesto'!$X$6,AS!$AW:$AW,'Päättäminen, tila, kesto'!$Y$6,AS!$X:$X,'Päättäminen, tila, kesto'!$Y$5,AS!$K:$K,'Päättäminen, tila, kesto'!$V$2)</f>
        <v>0</v>
      </c>
      <c r="F130" s="341" t="str">
        <f>IFERROR(E130/$E$142,"-")</f>
        <v>-</v>
      </c>
      <c r="G130" s="927"/>
      <c r="H130" s="928"/>
      <c r="I130" s="928"/>
      <c r="J130" s="928"/>
      <c r="K130" s="928"/>
      <c r="L130" s="929"/>
      <c r="X130" s="28" t="s">
        <v>735</v>
      </c>
    </row>
    <row r="131" spans="2:24" x14ac:dyDescent="0.2">
      <c r="B131" s="149" t="s">
        <v>1205</v>
      </c>
      <c r="C131" s="148">
        <f>SUMIFS(AS!$W:$W,AS!$BO:$BO,$W$7,AS!$AB:$AB,AS!$AA$1,AS!$AW:$AW,$Y$6,AS!$AH:$AH,$X$8,AS!$BD:$BD,'Päättäminen, tila, kesto'!$X131,AS!$AV:$AV,'Päättäminen, tila, kesto'!$X$6,AS!$AW:$AW,'Päättäminen, tila, kesto'!$Y$6,AS!$X:$X,'Päättäminen, tila, kesto'!$Y$5,AS!$K:$K,'Päättäminen, tila, kesto'!$V$2)</f>
        <v>0</v>
      </c>
      <c r="D131" s="312" t="str">
        <f t="shared" ref="D131:D141" si="27">IFERROR(C131/$C$142,"-")</f>
        <v>-</v>
      </c>
      <c r="E131" s="148">
        <f>SUMIFS(AS!$W:$W,AS!$BO:$BO,$W$7,AS!$AB:$AB,AS!$AA$1,AS!$AW:$AW,$Y$6,AS!$AH:$AH,$X$8,AS!$BD:$BD,'Päättäminen, tila, kesto'!$X131,AS!$BB:$BB,'Päättäminen, tila, kesto'!$X$110,AS!$AV:$AV,'Päättäminen, tila, kesto'!$X$6,AS!$AW:$AW,'Päättäminen, tila, kesto'!$Y$6,AS!$X:$X,'Päättäminen, tila, kesto'!$Y$5,AS!$K:$K,'Päättäminen, tila, kesto'!$V$2)</f>
        <v>0</v>
      </c>
      <c r="F131" s="341" t="str">
        <f t="shared" ref="F131:F141" si="28">IFERROR(E131/$E$142,"-")</f>
        <v>-</v>
      </c>
      <c r="G131" s="242"/>
      <c r="L131" s="229"/>
      <c r="X131" s="28" t="s">
        <v>736</v>
      </c>
    </row>
    <row r="132" spans="2:24" x14ac:dyDescent="0.2">
      <c r="B132" s="149" t="s">
        <v>1202</v>
      </c>
      <c r="C132" s="148">
        <f>SUMIFS(AS!$W:$W,AS!$BO:$BO,$W$7,AS!$AB:$AB,AS!$AA$1,AS!$AW:$AW,$Y$6,AS!$AH:$AH,$X$8,AS!$BD:$BD,'Päättäminen, tila, kesto'!$X132,AS!$AV:$AV,'Päättäminen, tila, kesto'!$X$6,AS!$AW:$AW,'Päättäminen, tila, kesto'!$Y$6,AS!$X:$X,'Päättäminen, tila, kesto'!$Y$5,AS!$K:$K,'Päättäminen, tila, kesto'!$V$2)</f>
        <v>0</v>
      </c>
      <c r="D132" s="312" t="str">
        <f t="shared" si="27"/>
        <v>-</v>
      </c>
      <c r="E132" s="148">
        <f>SUMIFS(AS!$W:$W,AS!$BO:$BO,$W$7,AS!$AB:$AB,AS!$AA$1,AS!$AW:$AW,$Y$6,AS!$AH:$AH,$X$8,AS!$BD:$BD,'Päättäminen, tila, kesto'!$X132,AS!$BB:$BB,'Päättäminen, tila, kesto'!$X$110,AS!$AV:$AV,'Päättäminen, tila, kesto'!$X$6,AS!$AW:$AW,'Päättäminen, tila, kesto'!$Y$6,AS!$X:$X,'Päättäminen, tila, kesto'!$Y$5,AS!$K:$K,'Päättäminen, tila, kesto'!$V$2)</f>
        <v>0</v>
      </c>
      <c r="F132" s="341" t="str">
        <f t="shared" si="28"/>
        <v>-</v>
      </c>
      <c r="G132" s="242"/>
      <c r="L132" s="229"/>
      <c r="X132" s="28" t="s">
        <v>738</v>
      </c>
    </row>
    <row r="133" spans="2:24" x14ac:dyDescent="0.2">
      <c r="B133" s="149" t="s">
        <v>1203</v>
      </c>
      <c r="C133" s="148">
        <f>SUMIFS(AS!$W:$W,AS!$BO:$BO,$W$7,AS!$AB:$AB,AS!$AA$1,AS!$AW:$AW,$Y$6,AS!$AH:$AH,$X$8,AS!$BD:$BD,'Päättäminen, tila, kesto'!$X133,AS!$AV:$AV,'Päättäminen, tila, kesto'!$X$6,AS!$AW:$AW,'Päättäminen, tila, kesto'!$Y$6,AS!$X:$X,'Päättäminen, tila, kesto'!$Y$5,AS!$K:$K,'Päättäminen, tila, kesto'!$V$2)</f>
        <v>0</v>
      </c>
      <c r="D133" s="312" t="str">
        <f t="shared" si="27"/>
        <v>-</v>
      </c>
      <c r="E133" s="148">
        <f>SUMIFS(AS!$W:$W,AS!$BO:$BO,$W$7,AS!$AB:$AB,AS!$AA$1,AS!$AW:$AW,$Y$6,AS!$AH:$AH,$X$8,AS!$BD:$BD,'Päättäminen, tila, kesto'!$X133,AS!$BB:$BB,'Päättäminen, tila, kesto'!$X$110,AS!$AV:$AV,'Päättäminen, tila, kesto'!$X$6,AS!$AW:$AW,'Päättäminen, tila, kesto'!$Y$6,AS!$X:$X,'Päättäminen, tila, kesto'!$Y$5,AS!$K:$K,'Päättäminen, tila, kesto'!$V$2)</f>
        <v>0</v>
      </c>
      <c r="F133" s="341" t="str">
        <f t="shared" si="28"/>
        <v>-</v>
      </c>
      <c r="G133" s="242"/>
      <c r="L133" s="229"/>
      <c r="X133" s="28" t="s">
        <v>737</v>
      </c>
    </row>
    <row r="134" spans="2:24" x14ac:dyDescent="0.2">
      <c r="B134" s="149" t="s">
        <v>1204</v>
      </c>
      <c r="C134" s="148">
        <f>SUMIFS(AS!$W:$W,AS!$BO:$BO,$W$7,AS!$AB:$AB,AS!$AA$1,AS!$AW:$AW,$Y$6,AS!$AH:$AH,$X$8,AS!$BD:$BD,'Päättäminen, tila, kesto'!$X134,AS!$AV:$AV,'Päättäminen, tila, kesto'!$X$6,AS!$AW:$AW,'Päättäminen, tila, kesto'!$Y$6,AS!$X:$X,'Päättäminen, tila, kesto'!$Y$5,AS!$K:$K,'Päättäminen, tila, kesto'!$V$2)</f>
        <v>0</v>
      </c>
      <c r="D134" s="312" t="str">
        <f t="shared" si="27"/>
        <v>-</v>
      </c>
      <c r="E134" s="148">
        <f>SUMIFS(AS!$W:$W,AS!$BO:$BO,$W$7,AS!$AB:$AB,AS!$AA$1,AS!$AW:$AW,$Y$6,AS!$AH:$AH,$X$8,AS!$BD:$BD,'Päättäminen, tila, kesto'!$X134,AS!$BB:$BB,'Päättäminen, tila, kesto'!$X$110,AS!$AV:$AV,'Päättäminen, tila, kesto'!$X$6,AS!$AW:$AW,'Päättäminen, tila, kesto'!$Y$6,AS!$X:$X,'Päättäminen, tila, kesto'!$Y$5,AS!$K:$K,'Päättäminen, tila, kesto'!$V$2)</f>
        <v>0</v>
      </c>
      <c r="F134" s="341" t="str">
        <f t="shared" si="28"/>
        <v>-</v>
      </c>
      <c r="G134" s="242"/>
      <c r="L134" s="229"/>
      <c r="X134" s="28" t="s">
        <v>739</v>
      </c>
    </row>
    <row r="135" spans="2:24" x14ac:dyDescent="0.2">
      <c r="B135" s="149" t="s">
        <v>1206</v>
      </c>
      <c r="C135" s="148">
        <f>SUMIFS(AS!$W:$W,AS!$BO:$BO,$W$7,AS!$AB:$AB,AS!$AA$1,AS!$AW:$AW,$Y$6,AS!$AH:$AH,$X$8,AS!$BD:$BD,'Päättäminen, tila, kesto'!$X135,AS!$AV:$AV,'Päättäminen, tila, kesto'!$X$6,AS!$AW:$AW,'Päättäminen, tila, kesto'!$Y$6,AS!$X:$X,'Päättäminen, tila, kesto'!$Y$5,AS!$K:$K,'Päättäminen, tila, kesto'!$V$2)</f>
        <v>0</v>
      </c>
      <c r="D135" s="312" t="str">
        <f t="shared" si="27"/>
        <v>-</v>
      </c>
      <c r="E135" s="148">
        <f>SUMIFS(AS!$W:$W,AS!$BO:$BO,$W$7,AS!$AB:$AB,AS!$AA$1,AS!$AW:$AW,$Y$6,AS!$AH:$AH,$X$8,AS!$BD:$BD,'Päättäminen, tila, kesto'!$X135,AS!$BB:$BB,'Päättäminen, tila, kesto'!$X$110,AS!$AV:$AV,'Päättäminen, tila, kesto'!$X$6,AS!$AW:$AW,'Päättäminen, tila, kesto'!$Y$6,AS!$X:$X,'Päättäminen, tila, kesto'!$Y$5,AS!$K:$K,'Päättäminen, tila, kesto'!$V$2)</f>
        <v>0</v>
      </c>
      <c r="F135" s="341" t="str">
        <f t="shared" si="28"/>
        <v>-</v>
      </c>
      <c r="G135" s="242"/>
      <c r="L135" s="229"/>
      <c r="X135" s="28" t="s">
        <v>1218</v>
      </c>
    </row>
    <row r="136" spans="2:24" x14ac:dyDescent="0.2">
      <c r="B136" s="149" t="s">
        <v>1207</v>
      </c>
      <c r="C136" s="148">
        <f>SUMIFS(AS!$W:$W,AS!$BO:$BO,$W$7,AS!$AB:$AB,AS!$AA$1,AS!$AW:$AW,$Y$6,AS!$AH:$AH,$X$8,AS!$BD:$BD,'Päättäminen, tila, kesto'!$X136,AS!$AV:$AV,'Päättäminen, tila, kesto'!$X$6,AS!$AW:$AW,'Päättäminen, tila, kesto'!$Y$6,AS!$X:$X,'Päättäminen, tila, kesto'!$Y$5,AS!$K:$K,'Päättäminen, tila, kesto'!$V$2)</f>
        <v>0</v>
      </c>
      <c r="D136" s="312" t="str">
        <f t="shared" si="27"/>
        <v>-</v>
      </c>
      <c r="E136" s="148">
        <f>SUMIFS(AS!$W:$W,AS!$BO:$BO,$W$7,AS!$AB:$AB,AS!$AA$1,AS!$AW:$AW,$Y$6,AS!$AH:$AH,$X$8,AS!$BD:$BD,'Päättäminen, tila, kesto'!$X136,AS!$BB:$BB,'Päättäminen, tila, kesto'!$X$110,AS!$AV:$AV,'Päättäminen, tila, kesto'!$X$6,AS!$AW:$AW,'Päättäminen, tila, kesto'!$Y$6,AS!$X:$X,'Päättäminen, tila, kesto'!$Y$5,AS!$K:$K,'Päättäminen, tila, kesto'!$V$2)</f>
        <v>0</v>
      </c>
      <c r="F136" s="341" t="str">
        <f t="shared" si="28"/>
        <v>-</v>
      </c>
      <c r="G136" s="242"/>
      <c r="L136" s="229"/>
      <c r="X136" s="28" t="s">
        <v>1213</v>
      </c>
    </row>
    <row r="137" spans="2:24" x14ac:dyDescent="0.2">
      <c r="B137" s="149" t="s">
        <v>1208</v>
      </c>
      <c r="C137" s="148">
        <f>SUMIFS(AS!$W:$W,AS!$BO:$BO,$W$7,AS!$AB:$AB,AS!$AA$1,AS!$AW:$AW,$Y$6,AS!$AH:$AH,$X$8,AS!$BD:$BD,'Päättäminen, tila, kesto'!$X137,AS!$AV:$AV,'Päättäminen, tila, kesto'!$X$6,AS!$AW:$AW,'Päättäminen, tila, kesto'!$Y$6,AS!$X:$X,'Päättäminen, tila, kesto'!$Y$5,AS!$K:$K,'Päättäminen, tila, kesto'!$V$2)</f>
        <v>0</v>
      </c>
      <c r="D137" s="312" t="str">
        <f t="shared" si="27"/>
        <v>-</v>
      </c>
      <c r="E137" s="148">
        <f>SUMIFS(AS!$W:$W,AS!$BO:$BO,$W$7,AS!$AB:$AB,AS!$AA$1,AS!$AW:$AW,$Y$6,AS!$AH:$AH,$X$8,AS!$BD:$BD,'Päättäminen, tila, kesto'!$X137,AS!$BB:$BB,'Päättäminen, tila, kesto'!$X$110,AS!$AV:$AV,'Päättäminen, tila, kesto'!$X$6,AS!$AW:$AW,'Päättäminen, tila, kesto'!$Y$6,AS!$X:$X,'Päättäminen, tila, kesto'!$Y$5,AS!$K:$K,'Päättäminen, tila, kesto'!$V$2)</f>
        <v>0</v>
      </c>
      <c r="F137" s="341" t="str">
        <f t="shared" si="28"/>
        <v>-</v>
      </c>
      <c r="G137" s="242"/>
      <c r="L137" s="229"/>
      <c r="X137" s="28" t="s">
        <v>1214</v>
      </c>
    </row>
    <row r="138" spans="2:24" x14ac:dyDescent="0.2">
      <c r="B138" s="149" t="s">
        <v>1209</v>
      </c>
      <c r="C138" s="148">
        <f>SUMIFS(AS!$W:$W,AS!$BO:$BO,$W$7,AS!$AB:$AB,AS!$AA$1,AS!$AW:$AW,$Y$6,AS!$AH:$AH,$X$8,AS!$BD:$BD,'Päättäminen, tila, kesto'!$X138,AS!$AV:$AV,'Päättäminen, tila, kesto'!$X$6,AS!$AW:$AW,'Päättäminen, tila, kesto'!$Y$6,AS!$X:$X,'Päättäminen, tila, kesto'!$Y$5,AS!$K:$K,'Päättäminen, tila, kesto'!$V$2)</f>
        <v>0</v>
      </c>
      <c r="D138" s="312" t="str">
        <f t="shared" si="27"/>
        <v>-</v>
      </c>
      <c r="E138" s="148">
        <f>SUMIFS(AS!$W:$W,AS!$BO:$BO,$W$7,AS!$AB:$AB,AS!$AA$1,AS!$AW:$AW,$Y$6,AS!$AH:$AH,$X$8,AS!$BD:$BD,'Päättäminen, tila, kesto'!$X138,AS!$BB:$BB,'Päättäminen, tila, kesto'!$X$110,AS!$AV:$AV,'Päättäminen, tila, kesto'!$X$6,AS!$AW:$AW,'Päättäminen, tila, kesto'!$Y$6,AS!$X:$X,'Päättäminen, tila, kesto'!$Y$5,AS!$K:$K,'Päättäminen, tila, kesto'!$V$2)</f>
        <v>0</v>
      </c>
      <c r="F138" s="341" t="str">
        <f t="shared" si="28"/>
        <v>-</v>
      </c>
      <c r="G138" s="242"/>
      <c r="L138" s="229"/>
      <c r="X138" s="28" t="s">
        <v>1215</v>
      </c>
    </row>
    <row r="139" spans="2:24" x14ac:dyDescent="0.2">
      <c r="B139" s="149" t="s">
        <v>1210</v>
      </c>
      <c r="C139" s="148">
        <f>SUMIFS(AS!$W:$W,AS!$BO:$BO,$W$7,AS!$AB:$AB,AS!$AA$1,AS!$AW:$AW,$Y$6,AS!$AH:$AH,$X$8,AS!$BD:$BD,'Päättäminen, tila, kesto'!$X139,AS!$AV:$AV,'Päättäminen, tila, kesto'!$X$6,AS!$AW:$AW,'Päättäminen, tila, kesto'!$Y$6,AS!$X:$X,'Päättäminen, tila, kesto'!$Y$5,AS!$K:$K,'Päättäminen, tila, kesto'!$V$2)</f>
        <v>0</v>
      </c>
      <c r="D139" s="312" t="str">
        <f t="shared" si="27"/>
        <v>-</v>
      </c>
      <c r="E139" s="148">
        <f>SUMIFS(AS!$W:$W,AS!$BO:$BO,$W$7,AS!$AB:$AB,AS!$AA$1,AS!$AW:$AW,$Y$6,AS!$AH:$AH,$X$8,AS!$BD:$BD,'Päättäminen, tila, kesto'!$X139,AS!$BB:$BB,'Päättäminen, tila, kesto'!$X$110,AS!$AV:$AV,'Päättäminen, tila, kesto'!$X$6,AS!$AW:$AW,'Päättäminen, tila, kesto'!$Y$6,AS!$X:$X,'Päättäminen, tila, kesto'!$Y$5,AS!$K:$K,'Päättäminen, tila, kesto'!$V$2)</f>
        <v>0</v>
      </c>
      <c r="F139" s="341" t="str">
        <f t="shared" si="28"/>
        <v>-</v>
      </c>
      <c r="G139" s="242"/>
      <c r="L139" s="229"/>
      <c r="X139" s="28" t="s">
        <v>1216</v>
      </c>
    </row>
    <row r="140" spans="2:24" x14ac:dyDescent="0.2">
      <c r="B140" s="149" t="s">
        <v>1211</v>
      </c>
      <c r="C140" s="148">
        <f>SUMIFS(AS!$W:$W,AS!$BO:$BO,$W$7,AS!$AB:$AB,AS!$AA$1,AS!$AW:$AW,$Y$6,AS!$AH:$AH,$X$8,AS!$BD:$BD,'Päättäminen, tila, kesto'!$X140,AS!$AV:$AV,'Päättäminen, tila, kesto'!$X$6,AS!$AW:$AW,'Päättäminen, tila, kesto'!$Y$6,AS!$X:$X,'Päättäminen, tila, kesto'!$Y$5,AS!$K:$K,'Päättäminen, tila, kesto'!$V$2)</f>
        <v>0</v>
      </c>
      <c r="D140" s="312" t="str">
        <f t="shared" si="27"/>
        <v>-</v>
      </c>
      <c r="E140" s="148">
        <f>SUMIFS(AS!$W:$W,AS!$BO:$BO,$W$7,AS!$AB:$AB,AS!$AA$1,AS!$AW:$AW,$Y$6,AS!$AH:$AH,$X$8,AS!$BD:$BD,'Päättäminen, tila, kesto'!$X140,AS!$BB:$BB,'Päättäminen, tila, kesto'!$X$110,AS!$AV:$AV,'Päättäminen, tila, kesto'!$X$6,AS!$AW:$AW,'Päättäminen, tila, kesto'!$Y$6,AS!$X:$X,'Päättäminen, tila, kesto'!$Y$5,AS!$K:$K,'Päättäminen, tila, kesto'!$V$2)</f>
        <v>0</v>
      </c>
      <c r="F140" s="341" t="str">
        <f t="shared" si="28"/>
        <v>-</v>
      </c>
      <c r="G140" s="242"/>
      <c r="L140" s="229"/>
      <c r="X140" s="28" t="s">
        <v>1217</v>
      </c>
    </row>
    <row r="141" spans="2:24" x14ac:dyDescent="0.2">
      <c r="B141" s="149" t="s">
        <v>745</v>
      </c>
      <c r="C141" s="148">
        <f>SUMIFS(AS!$W:$W,AS!$BO:$BO,$W$7,AS!$AB:$AB,AS!$AA$1,AS!$AW:$AW,$Y$6,AS!$AH:$AH,$X$8,AS!$BD:$BD,'Päättäminen, tila, kesto'!$X141,AS!$AV:$AV,'Päättäminen, tila, kesto'!$X$6,AS!$AW:$AW,'Päättäminen, tila, kesto'!$Y$6,AS!$X:$X,'Päättäminen, tila, kesto'!$Y$5,AS!$K:$K,'Päättäminen, tila, kesto'!$V$2)</f>
        <v>0</v>
      </c>
      <c r="D141" s="312" t="str">
        <f t="shared" si="27"/>
        <v>-</v>
      </c>
      <c r="E141" s="148">
        <f>SUMIFS(AS!$W:$W,AS!$BO:$BO,$W$7,AS!$AB:$AB,AS!$AA$1,AS!$AW:$AW,$Y$6,AS!$AH:$AH,$X$8,AS!$BD:$BD,'Päättäminen, tila, kesto'!$X141,AS!$BB:$BB,'Päättäminen, tila, kesto'!$X$110,AS!$AV:$AV,'Päättäminen, tila, kesto'!$X$6,AS!$AW:$AW,'Päättäminen, tila, kesto'!$Y$6,AS!$X:$X,'Päättäminen, tila, kesto'!$Y$5,AS!$K:$K,'Päättäminen, tila, kesto'!$V$2)</f>
        <v>0</v>
      </c>
      <c r="F141" s="341" t="str">
        <f t="shared" si="28"/>
        <v>-</v>
      </c>
      <c r="G141" s="242"/>
      <c r="L141" s="229"/>
      <c r="X141" s="28" t="s">
        <v>644</v>
      </c>
    </row>
    <row r="142" spans="2:24" x14ac:dyDescent="0.2">
      <c r="B142" s="85" t="s">
        <v>114</v>
      </c>
      <c r="C142" s="54">
        <f>SUM(C130:C141)</f>
        <v>0</v>
      </c>
      <c r="D142" s="220">
        <f>SUM(D130:D141)</f>
        <v>0</v>
      </c>
      <c r="E142" s="54">
        <f>SUM(E130:E141)</f>
        <v>0</v>
      </c>
      <c r="F142" s="342">
        <f>SUM(F130:F141)</f>
        <v>0</v>
      </c>
      <c r="G142" s="598"/>
      <c r="H142" s="599"/>
      <c r="I142" s="599"/>
      <c r="J142" s="599"/>
      <c r="K142" s="599"/>
      <c r="L142" s="600"/>
    </row>
    <row r="143" spans="2:24" x14ac:dyDescent="0.2">
      <c r="B143" s="226" t="s">
        <v>772</v>
      </c>
      <c r="F143" s="597"/>
      <c r="L143" s="229"/>
    </row>
    <row r="144" spans="2:24" x14ac:dyDescent="0.2">
      <c r="B144" s="226" t="s">
        <v>742</v>
      </c>
      <c r="L144" s="229"/>
    </row>
    <row r="145" spans="2:12" x14ac:dyDescent="0.2">
      <c r="L145" s="229"/>
    </row>
    <row r="146" spans="2:12" x14ac:dyDescent="0.2">
      <c r="L146" s="229"/>
    </row>
    <row r="147" spans="2:12" x14ac:dyDescent="0.2">
      <c r="L147" s="229"/>
    </row>
    <row r="148" spans="2:12" x14ac:dyDescent="0.2">
      <c r="L148" s="229"/>
    </row>
    <row r="149" spans="2:12" x14ac:dyDescent="0.2">
      <c r="L149" s="229"/>
    </row>
    <row r="150" spans="2:12" x14ac:dyDescent="0.2">
      <c r="L150" s="229"/>
    </row>
    <row r="151" spans="2:12" ht="15" x14ac:dyDescent="0.25">
      <c r="B151"/>
      <c r="C151"/>
      <c r="D151"/>
      <c r="E151"/>
      <c r="F151"/>
      <c r="G151"/>
      <c r="H151"/>
      <c r="I151"/>
      <c r="J151"/>
      <c r="K151"/>
    </row>
    <row r="152" spans="2:12" ht="15" x14ac:dyDescent="0.25">
      <c r="B152"/>
      <c r="C152"/>
      <c r="D152"/>
      <c r="E152"/>
      <c r="F152"/>
      <c r="G152"/>
      <c r="H152"/>
      <c r="I152"/>
      <c r="J152"/>
      <c r="K152"/>
    </row>
    <row r="153" spans="2:12" ht="15" x14ac:dyDescent="0.25">
      <c r="B153"/>
      <c r="C153"/>
      <c r="D153"/>
      <c r="E153"/>
      <c r="F153"/>
      <c r="G153"/>
      <c r="H153"/>
      <c r="I153"/>
      <c r="J153"/>
      <c r="K153"/>
    </row>
    <row r="154" spans="2:12" ht="15" x14ac:dyDescent="0.25">
      <c r="B154"/>
      <c r="C154"/>
      <c r="D154"/>
      <c r="E154"/>
      <c r="F154"/>
      <c r="G154"/>
      <c r="H154"/>
      <c r="I154"/>
      <c r="J154"/>
      <c r="K154"/>
    </row>
    <row r="155" spans="2:12" ht="15" x14ac:dyDescent="0.25">
      <c r="B155"/>
      <c r="C155"/>
      <c r="D155"/>
      <c r="E155"/>
      <c r="F155"/>
      <c r="G155"/>
      <c r="H155"/>
      <c r="I155"/>
      <c r="J155"/>
      <c r="K155"/>
    </row>
    <row r="156" spans="2:12" ht="15" x14ac:dyDescent="0.25">
      <c r="B156"/>
      <c r="C156"/>
      <c r="D156"/>
      <c r="E156"/>
      <c r="F156"/>
      <c r="G156"/>
      <c r="H156"/>
      <c r="I156"/>
      <c r="J156"/>
      <c r="K156"/>
    </row>
    <row r="157" spans="2:12" ht="15" x14ac:dyDescent="0.25">
      <c r="B157"/>
      <c r="C157"/>
      <c r="D157"/>
      <c r="E157"/>
      <c r="F157"/>
      <c r="G157"/>
      <c r="H157"/>
      <c r="I157"/>
      <c r="J157"/>
      <c r="K157"/>
    </row>
    <row r="158" spans="2:12" ht="15" x14ac:dyDescent="0.25">
      <c r="B158"/>
      <c r="C158"/>
      <c r="D158"/>
      <c r="E158"/>
      <c r="F158"/>
      <c r="G158"/>
      <c r="H158"/>
      <c r="I158"/>
      <c r="J158"/>
      <c r="K158"/>
    </row>
    <row r="159" spans="2:12" ht="15" x14ac:dyDescent="0.25">
      <c r="B159"/>
      <c r="C159"/>
      <c r="D159"/>
      <c r="E159"/>
      <c r="F159"/>
      <c r="G159"/>
      <c r="H159"/>
      <c r="I159"/>
      <c r="J159"/>
      <c r="K159"/>
    </row>
    <row r="160" spans="2:12" ht="15" x14ac:dyDescent="0.25">
      <c r="B160"/>
      <c r="C160"/>
      <c r="D160"/>
      <c r="E160"/>
      <c r="F160"/>
      <c r="G160"/>
      <c r="H160"/>
      <c r="I160"/>
      <c r="J160"/>
      <c r="K160"/>
    </row>
    <row r="164" spans="1:1" ht="15" x14ac:dyDescent="0.25">
      <c r="A164" s="353" t="s">
        <v>746</v>
      </c>
    </row>
  </sheetData>
  <sheetProtection sheet="1"/>
  <mergeCells count="19">
    <mergeCell ref="B128:B129"/>
    <mergeCell ref="C128:D128"/>
    <mergeCell ref="E128:F128"/>
    <mergeCell ref="C12:D12"/>
    <mergeCell ref="A12:B13"/>
    <mergeCell ref="E89:F89"/>
    <mergeCell ref="B89:B90"/>
    <mergeCell ref="C89:D89"/>
    <mergeCell ref="B67:B68"/>
    <mergeCell ref="C67:D67"/>
    <mergeCell ref="B112:B113"/>
    <mergeCell ref="C112:D112"/>
    <mergeCell ref="B104:B105"/>
    <mergeCell ref="G128:L129"/>
    <mergeCell ref="G130:I130"/>
    <mergeCell ref="J130:L130"/>
    <mergeCell ref="G67:K68"/>
    <mergeCell ref="G89:K90"/>
    <mergeCell ref="H112:L112"/>
  </mergeCells>
  <dataValidations count="3">
    <dataValidation type="date" allowBlank="1" showInputMessage="1" showErrorMessage="1" error="Kirjoita päivämäärä muodossa _x000a_pp.kk.vvvv_x000a__x000a_Päivämäärän on oltava _x000a_suurempi kuin 01.01.2008 ja _x000a_pienempi kuin 31.12.2020" sqref="A2:A3" xr:uid="{00000000-0002-0000-0500-000000000000}">
      <formula1>39448</formula1>
      <formula2>44196</formula2>
    </dataValidation>
    <dataValidation type="list" allowBlank="1" showInputMessage="1" showErrorMessage="1" sqref="A4" xr:uid="{00000000-0002-0000-0500-000003000000}">
      <formula1>$W$2:$W$5</formula1>
    </dataValidation>
    <dataValidation type="list" allowBlank="1" showInputMessage="1" showErrorMessage="1" sqref="A6" xr:uid="{FC9606F9-0799-4394-A839-90333BB78E6A}">
      <formula1>$Y$1:$Y$3</formula1>
    </dataValidation>
  </dataValidations>
  <hyperlinks>
    <hyperlink ref="A2" location="Asiakastilastot!A2" display="Asiakastilastot!A2" xr:uid="{00000000-0004-0000-0500-000000000000}"/>
    <hyperlink ref="A3" location="Asiakastilastot!A3" display="Asiakastilastot!A3" xr:uid="{00000000-0004-0000-0500-000001000000}"/>
    <hyperlink ref="A164" location="'Päättäminen, tila, kesto'!A1" display="Sivun alkuun" xr:uid="{00000000-0004-0000-0500-000002000000}"/>
  </hyperlinks>
  <pageMargins left="0.7" right="0.7" top="0.75" bottom="0.83333333333333337" header="0" footer="0"/>
  <pageSetup paperSize="9" scale="44" fitToHeight="0" orientation="landscape" r:id="rId1"/>
  <headerFooter>
    <oddFooter>&amp;L 
Etsivä org
Etsivätie 1
01000, E-kunta&amp;C&amp;G&amp;R&amp;P/&amp;N</oddFooter>
  </headerFooter>
  <rowBreaks count="2" manualBreakCount="2">
    <brk id="83" max="16383" man="1"/>
    <brk id="120" max="16383" man="1"/>
  </rowBreaks>
  <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500-000002000000}">
          <x14:formula1>
            <xm:f>Parkki!$O$53:$O$82</xm:f>
          </x14:formula1>
          <xm:sqref>A5</xm:sqref>
        </x14:dataValidation>
        <x14:dataValidation type="list" allowBlank="1" showInputMessage="1" showErrorMessage="1" xr:uid="{19113702-5C07-4C37-B231-72D99B86CBA8}">
          <x14:formula1>
            <xm:f>Parkki!$O$19:$O$48</xm:f>
          </x14:formula1>
          <xm:sqref>A7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E7E53-28C2-485F-A262-83083D470170}">
  <sheetPr codeName="Taul16"/>
  <dimension ref="A1:AM69"/>
  <sheetViews>
    <sheetView showGridLines="0" zoomScaleNormal="100" workbookViewId="0">
      <selection activeCell="R1" sqref="R1:AM1048576"/>
    </sheetView>
  </sheetViews>
  <sheetFormatPr defaultRowHeight="15" x14ac:dyDescent="0.25"/>
  <cols>
    <col min="1" max="1" width="21.28515625" customWidth="1"/>
    <col min="2" max="2" width="24.28515625" customWidth="1"/>
    <col min="4" max="7" width="10.28515625" customWidth="1"/>
    <col min="18" max="22" width="9.140625" hidden="1" customWidth="1"/>
    <col min="23" max="26" width="9.140625" style="51" hidden="1" customWidth="1"/>
    <col min="27" max="27" width="11.140625" style="51" hidden="1" customWidth="1"/>
    <col min="28" max="29" width="9.140625" style="51" hidden="1" customWidth="1"/>
    <col min="30" max="39" width="9.140625" hidden="1" customWidth="1"/>
  </cols>
  <sheetData>
    <row r="1" spans="1:38" ht="15.75" thickBot="1" x14ac:dyDescent="0.3">
      <c r="A1" s="500" t="s">
        <v>624</v>
      </c>
      <c r="R1" s="143" t="s">
        <v>623</v>
      </c>
      <c r="S1" s="143" t="s">
        <v>623</v>
      </c>
      <c r="T1" s="143" t="s">
        <v>623</v>
      </c>
      <c r="U1" s="143" t="s">
        <v>623</v>
      </c>
      <c r="V1" s="143" t="s">
        <v>623</v>
      </c>
      <c r="W1" s="143" t="s">
        <v>623</v>
      </c>
      <c r="X1" s="143" t="s">
        <v>623</v>
      </c>
      <c r="Y1" s="179" t="s">
        <v>625</v>
      </c>
      <c r="Z1" s="143" t="s">
        <v>623</v>
      </c>
      <c r="AA1" s="143" t="s">
        <v>623</v>
      </c>
      <c r="AB1" s="143" t="s">
        <v>623</v>
      </c>
      <c r="AC1" s="143" t="s">
        <v>623</v>
      </c>
      <c r="AD1" s="143" t="s">
        <v>623</v>
      </c>
      <c r="AE1" s="143" t="s">
        <v>623</v>
      </c>
      <c r="AF1" s="143" t="s">
        <v>623</v>
      </c>
      <c r="AG1" s="143" t="s">
        <v>623</v>
      </c>
      <c r="AH1" s="143" t="s">
        <v>623</v>
      </c>
      <c r="AI1" s="681" t="s">
        <v>623</v>
      </c>
      <c r="AJ1" s="681" t="s">
        <v>623</v>
      </c>
      <c r="AK1" s="681" t="s">
        <v>623</v>
      </c>
      <c r="AL1" s="681" t="s">
        <v>623</v>
      </c>
    </row>
    <row r="2" spans="1:38" x14ac:dyDescent="0.25">
      <c r="A2" s="501">
        <f>Asiakastilastot!$A$2</f>
        <v>45658</v>
      </c>
      <c r="B2" t="s">
        <v>670</v>
      </c>
      <c r="R2" t="s">
        <v>998</v>
      </c>
      <c r="V2" s="181" t="str">
        <f>IF(A7="","*",INDEX(AE5:AE55,MATCH(A7,AD5:AD55,0)))</f>
        <v>*</v>
      </c>
      <c r="W2" s="182" t="s">
        <v>720</v>
      </c>
      <c r="X2" s="183" t="s">
        <v>568</v>
      </c>
      <c r="Y2" s="179" t="s">
        <v>626</v>
      </c>
      <c r="Z2" s="382" t="s">
        <v>763</v>
      </c>
      <c r="AA2" s="177" t="s">
        <v>639</v>
      </c>
      <c r="AB2" s="44" t="s">
        <v>638</v>
      </c>
      <c r="AC2" s="177" t="s">
        <v>639</v>
      </c>
      <c r="AD2" s="44" t="s">
        <v>1601</v>
      </c>
      <c r="AL2" s="15"/>
    </row>
    <row r="3" spans="1:38" x14ac:dyDescent="0.25">
      <c r="A3" s="501">
        <f>Asiakastilastot!$A$3</f>
        <v>45777</v>
      </c>
      <c r="B3" t="s">
        <v>671</v>
      </c>
      <c r="R3">
        <f>COUNTIFS(TA!Y:Y,$Y$7,TA!W:W,Tavoitteet!$W$7,TA!$AH:$AH,"OK",TA!$AI:$AI,Tavoitteet!$Y$5)</f>
        <v>0</v>
      </c>
      <c r="W3" s="184" t="s">
        <v>910</v>
      </c>
      <c r="X3" s="185" t="s">
        <v>205</v>
      </c>
      <c r="Y3" s="179" t="s">
        <v>819</v>
      </c>
      <c r="Z3" s="382" t="s">
        <v>764</v>
      </c>
      <c r="AA3" s="177" t="s">
        <v>635</v>
      </c>
      <c r="AB3" s="44" t="e">
        <f>INDEX(Data_Omakoodi!K:K,MATCH($AB$2,Data_Omakoodi!$I:$I,0))</f>
        <v>#N/A</v>
      </c>
      <c r="AC3" s="177" t="s">
        <v>635</v>
      </c>
      <c r="AD3" s="44" t="e">
        <f>INDEX(Data_Omakoodi!K:K,MATCH($AD$2,Data_Omakoodi!$I:$I,0))</f>
        <v>#N/A</v>
      </c>
      <c r="AG3" t="s">
        <v>1521</v>
      </c>
      <c r="AH3" s="176" t="s">
        <v>1649</v>
      </c>
      <c r="AI3" s="15"/>
      <c r="AJ3" t="s">
        <v>1522</v>
      </c>
      <c r="AK3" s="176" t="s">
        <v>1648</v>
      </c>
      <c r="AL3" s="15"/>
    </row>
    <row r="4" spans="1:38" x14ac:dyDescent="0.25">
      <c r="A4" s="500" t="s">
        <v>723</v>
      </c>
      <c r="B4" t="s">
        <v>576</v>
      </c>
      <c r="R4">
        <f>COUNTIFS(TA!Y:Y,$X$7)</f>
        <v>0</v>
      </c>
      <c r="W4" s="184" t="s">
        <v>722</v>
      </c>
      <c r="X4" s="185" t="s">
        <v>230</v>
      </c>
      <c r="Y4" t="s">
        <v>568</v>
      </c>
      <c r="Z4" s="382" t="s">
        <v>1032</v>
      </c>
      <c r="AA4" s="177" t="s">
        <v>640</v>
      </c>
      <c r="AB4" s="44" t="str">
        <f>IFERROR(MATCH($AB$2,Data_Omakoodi!$I:$I,0),"")</f>
        <v/>
      </c>
      <c r="AC4" s="177" t="s">
        <v>640</v>
      </c>
      <c r="AD4" s="44" t="str">
        <f>IFERROR(MATCH($AD$2,Data_Omakoodi!$I:$I,0),"")</f>
        <v/>
      </c>
      <c r="AG4" s="739"/>
      <c r="AH4" s="739" t="s">
        <v>1523</v>
      </c>
      <c r="AI4" s="15"/>
      <c r="AJ4" s="739"/>
      <c r="AK4" s="739" t="s">
        <v>1523</v>
      </c>
      <c r="AL4" s="15"/>
    </row>
    <row r="5" spans="1:38" ht="15.75" thickBot="1" x14ac:dyDescent="0.3">
      <c r="A5" s="200" t="s">
        <v>719</v>
      </c>
      <c r="B5" t="s">
        <v>579</v>
      </c>
      <c r="W5" s="186" t="s">
        <v>723</v>
      </c>
      <c r="X5" s="187" t="s">
        <v>212</v>
      </c>
      <c r="Y5" s="181" t="str">
        <f>IF(A6="","*",IF(A6=Y1,"*",IF(A6=Y3,X9,"*")))</f>
        <v>*</v>
      </c>
      <c r="Z5"/>
      <c r="AA5" s="177" t="s">
        <v>568</v>
      </c>
      <c r="AB5" s="44" t="s">
        <v>719</v>
      </c>
      <c r="AC5" s="177" t="s">
        <v>568</v>
      </c>
      <c r="AD5" s="44" t="s">
        <v>1524</v>
      </c>
      <c r="AE5" s="177" t="s">
        <v>568</v>
      </c>
      <c r="AG5" s="739" t="str">
        <f>TEXT(AD5,"@")</f>
        <v>Kaikki yksiköt</v>
      </c>
      <c r="AH5" s="739">
        <f>IF(AG5&lt;&gt;"",ROW(),"")</f>
        <v>5</v>
      </c>
      <c r="AJ5" s="739" t="str">
        <f>TEXT(AB5,"@")</f>
        <v>Kaikki kunnat</v>
      </c>
      <c r="AK5" s="739">
        <f>IF(AJ5&lt;&gt;"",ROW(),"")</f>
        <v>5</v>
      </c>
      <c r="AL5" s="15"/>
    </row>
    <row r="6" spans="1:38" x14ac:dyDescent="0.25">
      <c r="A6" s="200" t="s">
        <v>625</v>
      </c>
      <c r="B6" t="s">
        <v>799</v>
      </c>
      <c r="R6" t="s">
        <v>1001</v>
      </c>
      <c r="W6"/>
      <c r="X6" s="181" t="str">
        <f>IF(A4="","*",INDEX($X$2:X5,MATCH($A$4,$W$2:$W$5,0)))</f>
        <v>ComboBox_EtStatus#tavoitettu</v>
      </c>
      <c r="Y6" s="181" t="str">
        <f>IF(A5="","*",INDEX(AA5:AA55,MATCH(A5,AB5:AB55,0)))</f>
        <v>*</v>
      </c>
      <c r="Z6"/>
      <c r="AA6" s="177" t="s">
        <v>644</v>
      </c>
      <c r="AB6" s="188" t="s">
        <v>643</v>
      </c>
      <c r="AC6" s="177" t="s">
        <v>644</v>
      </c>
      <c r="AD6" s="188" t="s">
        <v>1525</v>
      </c>
      <c r="AE6" s="177" t="s">
        <v>644</v>
      </c>
      <c r="AG6" s="739" t="str">
        <f t="shared" ref="AG6:AG55" si="0">TEXT(AD6,"@")</f>
        <v>Ei yksiköitä</v>
      </c>
      <c r="AH6" s="739">
        <f t="shared" ref="AH6:AH55" si="1">IF(AG6&lt;&gt;"",ROW(),"")</f>
        <v>6</v>
      </c>
      <c r="AJ6" s="739" t="str">
        <f t="shared" ref="AJ6:AJ55" si="2">TEXT(AB6,"@")</f>
        <v>Ei kuntaluokkaa</v>
      </c>
      <c r="AK6" s="739">
        <f t="shared" ref="AK6:AK55" si="3">IF(AJ6&lt;&gt;"",ROW(),"")</f>
        <v>6</v>
      </c>
      <c r="AL6" s="15"/>
    </row>
    <row r="7" spans="1:38" x14ac:dyDescent="0.25">
      <c r="A7" s="493" t="s">
        <v>1524</v>
      </c>
      <c r="B7" s="51" t="s">
        <v>1557</v>
      </c>
      <c r="R7" t="e">
        <f>R3/F11</f>
        <v>#DIV/0!</v>
      </c>
      <c r="S7" t="s">
        <v>1002</v>
      </c>
      <c r="W7" s="181" t="str">
        <f>IF(A6=Y2,"OK","*")</f>
        <v>*</v>
      </c>
      <c r="X7" s="35" t="s">
        <v>207</v>
      </c>
      <c r="Y7" s="28" t="s">
        <v>213</v>
      </c>
      <c r="Z7"/>
      <c r="AA7" s="177" t="s">
        <v>62</v>
      </c>
      <c r="AB7" s="188" t="s">
        <v>641</v>
      </c>
      <c r="AC7" s="177" t="s">
        <v>62</v>
      </c>
      <c r="AD7" s="188" t="s">
        <v>1526</v>
      </c>
      <c r="AE7" s="177" t="s">
        <v>62</v>
      </c>
      <c r="AF7" s="27"/>
      <c r="AG7" s="739" t="str">
        <f t="shared" si="0"/>
        <v>Muut yksiköt</v>
      </c>
      <c r="AH7" s="739">
        <f t="shared" si="1"/>
        <v>7</v>
      </c>
      <c r="AJ7" s="739" t="str">
        <f t="shared" si="2"/>
        <v>Muut kunnat</v>
      </c>
      <c r="AK7" s="739">
        <f t="shared" si="3"/>
        <v>7</v>
      </c>
      <c r="AL7" s="15"/>
    </row>
    <row r="8" spans="1:38" ht="66" customHeight="1" x14ac:dyDescent="0.25">
      <c r="B8" s="951" t="str">
        <f>X14&amp;Y12&amp;X10</f>
        <v xml:space="preserve">Kuinka monta nuorta on tavoitettu? KAIKKI: 01.01.2025-30.04.2025 </v>
      </c>
      <c r="C8" s="951"/>
      <c r="D8" s="951"/>
      <c r="E8" s="951"/>
      <c r="H8" s="561"/>
      <c r="I8" s="561"/>
      <c r="R8" t="e">
        <f>R4/F12</f>
        <v>#DIV/0!</v>
      </c>
      <c r="S8" t="s">
        <v>1003</v>
      </c>
      <c r="W8" s="27"/>
      <c r="X8" s="35" t="s">
        <v>546</v>
      </c>
      <c r="Y8" s="35" t="s">
        <v>593</v>
      </c>
      <c r="Z8"/>
      <c r="AA8" s="176" t="str">
        <f>IFERROR(IF(INDEX(Data_Omakoodi!H:H,MATCH($AK$3&amp;$AL8,Data_Omakoodi!A:A,0))="P","",$AK$3&amp;$AL8),$AK$3&amp;$AL8)</f>
        <v>ComboBox_EtKuntakoodi_00000001</v>
      </c>
      <c r="AB8" s="44" t="str">
        <f>IFERROR(INDEX(Data_Omakoodi!E:E,MATCH(AA8,Data_Omakoodi!A:A,0)),"")</f>
        <v/>
      </c>
      <c r="AC8" t="str">
        <f>IFERROR(IF(INDEX(Data_Omakoodi!H:H,MATCH($AH$3&amp;$AL8,Data_Omakoodi!A:A,0))="P","",$AH$3&amp;$AL8),$AH$3&amp;$AL8)</f>
        <v>ComboBox_TyHlo_yksikko_00000001</v>
      </c>
      <c r="AD8" s="44" t="str">
        <f>IFERROR(INDEX(Data_Omakoodi!E:E,MATCH(AC8,Data_Omakoodi!A:A,0)),"")</f>
        <v/>
      </c>
      <c r="AE8" t="str">
        <f>IFERROR(IF(INDEX(Data_Omakoodi!H:H,MATCH($AH$3&amp;$AL8,Data_Omakoodi!A:A,0))="P","",$AH$3&amp;$AL8),$AH$3&amp;$AL8)</f>
        <v>ComboBox_TyHlo_yksikko_00000001</v>
      </c>
      <c r="AF8" t="s">
        <v>1527</v>
      </c>
      <c r="AG8" s="739" t="str">
        <f>TEXT(AD8,"@")</f>
        <v/>
      </c>
      <c r="AH8" s="739" t="str">
        <f t="shared" si="1"/>
        <v/>
      </c>
      <c r="AJ8" s="739" t="str">
        <f t="shared" si="2"/>
        <v/>
      </c>
      <c r="AK8" s="739" t="str">
        <f t="shared" si="3"/>
        <v/>
      </c>
      <c r="AL8" s="370" t="s">
        <v>1639</v>
      </c>
    </row>
    <row r="9" spans="1:38" ht="25.5" customHeight="1" x14ac:dyDescent="0.25">
      <c r="B9" s="952" t="s">
        <v>1029</v>
      </c>
      <c r="C9" s="952"/>
      <c r="D9" s="938" t="s">
        <v>723</v>
      </c>
      <c r="E9" s="882"/>
      <c r="F9" s="938" t="s">
        <v>1598</v>
      </c>
      <c r="G9" s="882"/>
      <c r="H9" s="562"/>
      <c r="I9" s="165"/>
      <c r="J9" s="165"/>
      <c r="W9" s="27"/>
      <c r="X9" s="178" t="s">
        <v>486</v>
      </c>
      <c r="Y9" s="27"/>
      <c r="Z9"/>
      <c r="AA9" s="176" t="str">
        <f>IFERROR(IF(INDEX(Data_Omakoodi!H:H,MATCH($AK$3&amp;$AL9,Data_Omakoodi!A:A,0))="P","",$AK$3&amp;$AL9),$AK$3&amp;$AL9)</f>
        <v>ComboBox_EtKuntakoodi_00000002</v>
      </c>
      <c r="AB9" s="44" t="str">
        <f>IFERROR(INDEX(Data_Omakoodi!E:E,MATCH(AA9,Data_Omakoodi!A:A,0)),"")</f>
        <v/>
      </c>
      <c r="AC9" t="str">
        <f>IFERROR(IF(INDEX(Data_Omakoodi!H:H,MATCH($AH$3&amp;$AL9,Data_Omakoodi!A:A,0))="P","",$AH$3&amp;$AL9),$AH$3&amp;$AL9)</f>
        <v>ComboBox_TyHlo_yksikko_00000002</v>
      </c>
      <c r="AD9" s="44" t="str">
        <f>IFERROR(INDEX(Data_Omakoodi!E:E,MATCH(AC9,Data_Omakoodi!A:A,0)),"")</f>
        <v/>
      </c>
      <c r="AE9" t="str">
        <f>IFERROR(IF(INDEX(Data_Omakoodi!H:H,MATCH($AH$3&amp;$AL9,Data_Omakoodi!A:A,0))="P","",$AH$3&amp;$AL9),$AH$3&amp;$AL9)</f>
        <v>ComboBox_TyHlo_yksikko_00000002</v>
      </c>
      <c r="AF9" t="s">
        <v>1528</v>
      </c>
      <c r="AG9" s="739" t="str">
        <f t="shared" si="0"/>
        <v/>
      </c>
      <c r="AH9" s="739" t="str">
        <f t="shared" si="1"/>
        <v/>
      </c>
      <c r="AJ9" s="739" t="str">
        <f t="shared" si="2"/>
        <v/>
      </c>
      <c r="AK9" s="739" t="str">
        <f t="shared" si="3"/>
        <v/>
      </c>
      <c r="AL9" s="370" t="s">
        <v>1640</v>
      </c>
    </row>
    <row r="10" spans="1:38" x14ac:dyDescent="0.25">
      <c r="B10" s="952"/>
      <c r="C10" s="952"/>
      <c r="D10" s="497" t="s">
        <v>1168</v>
      </c>
      <c r="E10" s="494" t="s">
        <v>176</v>
      </c>
      <c r="F10" s="497" t="s">
        <v>1168</v>
      </c>
      <c r="G10" s="494" t="s">
        <v>176</v>
      </c>
      <c r="H10" s="562"/>
      <c r="I10" s="531"/>
      <c r="J10" s="531"/>
      <c r="R10" t="s">
        <v>997</v>
      </c>
      <c r="W10" s="27"/>
      <c r="X10" s="271" t="str">
        <f>TEXT($A$2,$X$11)&amp;"-"&amp;TEXT($A$3,$X$11)&amp;" "</f>
        <v xml:space="preserve">01.01.2025-30.04.2025 </v>
      </c>
      <c r="Y10"/>
      <c r="Z10"/>
      <c r="AA10" s="176" t="str">
        <f>IFERROR(IF(INDEX(Data_Omakoodi!H:H,MATCH($AK$3&amp;$AL10,Data_Omakoodi!A:A,0))="P","",$AK$3&amp;$AL10),$AK$3&amp;$AL10)</f>
        <v>ComboBox_EtKuntakoodi_00000003</v>
      </c>
      <c r="AB10" s="44" t="str">
        <f>IFERROR(INDEX(Data_Omakoodi!E:E,MATCH(AA10,Data_Omakoodi!A:A,0)),"")</f>
        <v/>
      </c>
      <c r="AC10" t="str">
        <f>IFERROR(IF(INDEX(Data_Omakoodi!H:H,MATCH($AH$3&amp;$AL10,Data_Omakoodi!A:A,0))="P","",$AH$3&amp;$AL10),$AH$3&amp;$AL10)</f>
        <v>ComboBox_TyHlo_yksikko_00000003</v>
      </c>
      <c r="AD10" s="44" t="str">
        <f>IFERROR(INDEX(Data_Omakoodi!E:E,MATCH(AC10,Data_Omakoodi!A:A,0)),"")</f>
        <v/>
      </c>
      <c r="AE10" t="str">
        <f>IFERROR(IF(INDEX(Data_Omakoodi!H:H,MATCH($AH$3&amp;$AL10,Data_Omakoodi!A:A,0))="P","",$AH$3&amp;$AL10),$AH$3&amp;$AL10)</f>
        <v>ComboBox_TyHlo_yksikko_00000003</v>
      </c>
      <c r="AF10" t="s">
        <v>1529</v>
      </c>
      <c r="AG10" s="739" t="str">
        <f t="shared" si="0"/>
        <v/>
      </c>
      <c r="AH10" s="739" t="str">
        <f t="shared" si="1"/>
        <v/>
      </c>
      <c r="AJ10" s="739" t="str">
        <f t="shared" si="2"/>
        <v/>
      </c>
      <c r="AK10" s="739" t="str">
        <f t="shared" si="3"/>
        <v/>
      </c>
      <c r="AL10" s="370" t="s">
        <v>1641</v>
      </c>
    </row>
    <row r="11" spans="1:38" x14ac:dyDescent="0.25">
      <c r="B11" s="948" t="s">
        <v>874</v>
      </c>
      <c r="C11" s="948"/>
      <c r="D11" s="274">
        <f>SUMIFS(AS!$W:$W,AS!$BO:$BO,$W$7,AS!$AB:$AB,AS!$AA$1,AS!$AV:$AV,$X17,AS!$I:$I,$Y$7,AS!AH:AH,$X$8,AS!$AW:$AW,$Y$6,AS!$X:$X,$Y$5,AS!$K:$K,$V$2)</f>
        <v>0</v>
      </c>
      <c r="E11" s="312" t="str">
        <f>IFERROR(D11/$D$13,"-")</f>
        <v>-</v>
      </c>
      <c r="F11" s="148">
        <f>COUNTIFS(TA!AB:AB,"ok",TA!Y:Y,Tavoitteet!$Y$7,TA!W:W,Tavoitteet!$X$8,TA!$AH:$AH,"OK",TA!$AI:$AI,Tavoitteet!$Y$5,TA!AG:AG,Tavoitteet!$W$7,TA!$AF:$AF,Tavoitteet!$Y$6,TA!$AE:$AE,Tavoitteet!$X$5,TA!$AJ:$AJ,Tavoitteet!$V$2)</f>
        <v>0</v>
      </c>
      <c r="G11" s="312" t="str">
        <f>IFERROR(F11/$F$13,"-")</f>
        <v>-</v>
      </c>
      <c r="H11" s="560"/>
      <c r="R11" t="s">
        <v>1035</v>
      </c>
      <c r="X11" s="272" t="s">
        <v>675</v>
      </c>
      <c r="Y11" s="222" t="s">
        <v>676</v>
      </c>
      <c r="Z11"/>
      <c r="AA11" s="176" t="str">
        <f>IFERROR(IF(INDEX(Data_Omakoodi!H:H,MATCH($AK$3&amp;$AL11,Data_Omakoodi!A:A,0))="P","",$AK$3&amp;$AL11),$AK$3&amp;$AL11)</f>
        <v>ComboBox_EtKuntakoodi_00000004</v>
      </c>
      <c r="AB11" s="44" t="str">
        <f>IFERROR(INDEX(Data_Omakoodi!E:E,MATCH(AA11,Data_Omakoodi!A:A,0)),"")</f>
        <v/>
      </c>
      <c r="AC11" t="str">
        <f>IFERROR(IF(INDEX(Data_Omakoodi!H:H,MATCH($AH$3&amp;$AL11,Data_Omakoodi!A:A,0))="P","",$AH$3&amp;$AL11),$AH$3&amp;$AL11)</f>
        <v>ComboBox_TyHlo_yksikko_00000004</v>
      </c>
      <c r="AD11" s="44" t="str">
        <f>IFERROR(INDEX(Data_Omakoodi!E:E,MATCH(AC11,Data_Omakoodi!A:A,0)),"")</f>
        <v/>
      </c>
      <c r="AE11" t="str">
        <f>IFERROR(IF(INDEX(Data_Omakoodi!H:H,MATCH($AH$3&amp;$AL11,Data_Omakoodi!A:A,0))="P","",$AH$3&amp;$AL11),$AH$3&amp;$AL11)</f>
        <v>ComboBox_TyHlo_yksikko_00000004</v>
      </c>
      <c r="AF11" t="s">
        <v>1530</v>
      </c>
      <c r="AG11" s="739" t="str">
        <f t="shared" si="0"/>
        <v/>
      </c>
      <c r="AH11" s="739" t="str">
        <f t="shared" si="1"/>
        <v/>
      </c>
      <c r="AJ11" s="739" t="str">
        <f t="shared" si="2"/>
        <v/>
      </c>
      <c r="AK11" s="739" t="str">
        <f t="shared" si="3"/>
        <v/>
      </c>
      <c r="AL11" s="370" t="s">
        <v>1642</v>
      </c>
    </row>
    <row r="12" spans="1:38" x14ac:dyDescent="0.25">
      <c r="B12" s="948" t="s">
        <v>873</v>
      </c>
      <c r="C12" s="948"/>
      <c r="D12" s="274">
        <f>SUMIFS(AS!$W:$W,AS!$BO:$BO,$W$7,AS!$AB:$AB,AS!$AA$1,AS!$AV:$AV,$X17,AS!$I:$I,$X$7,AS!AH:AH,$X$8,AS!$AW:$AW,$Y$6,AS!$X:$X,$Y$5,AS!$K:$K,$V$2)</f>
        <v>0</v>
      </c>
      <c r="E12" s="312" t="str">
        <f>IFERROR(D12/$D$13,"-")</f>
        <v>-</v>
      </c>
      <c r="F12" s="148">
        <f>COUNTIFS(TA!AB:AB,"ok",TA!Y:Y,Tavoitteet!$X$7,TA!W:W,Tavoitteet!$X$8,TA!$AH:$AH,"OK",TA!$AI:$AI,Tavoitteet!$Y$5,TA!AG:AG,Tavoitteet!$W$7,TA!$AF:$AF,Tavoitteet!$Y$6,TA!$AE:$AE,Tavoitteet!$X$5,TA!$AJ:$AJ,Tavoitteet!$V$2)</f>
        <v>0</v>
      </c>
      <c r="G12" s="312" t="str">
        <f>IFERROR(F12/$F$13,"-")</f>
        <v>-</v>
      </c>
      <c r="H12" s="560"/>
      <c r="R12" t="s">
        <v>1013</v>
      </c>
      <c r="X12" s="221" t="str">
        <f>IF(A4=W2,IF(A5=AB5,"","("&amp;A5&amp;")"),IF(A5=AB5,"("&amp;A4&amp;")","("&amp;A4&amp;"/"&amp;A5&amp;")"))&amp;IF(A7=AD5,"","("&amp;A7&amp;")")</f>
        <v>(Tavoitetut)</v>
      </c>
      <c r="Y12" s="221" t="str">
        <f>IF($A$6=$Y$2,$Z$3,IF(A6=Y1,$Z$2,Z4))</f>
        <v xml:space="preserve">KAIKKI: </v>
      </c>
      <c r="Z12"/>
      <c r="AA12" s="176" t="str">
        <f>IFERROR(IF(INDEX(Data_Omakoodi!H:H,MATCH($AK$3&amp;$AL12,Data_Omakoodi!A:A,0))="P","",$AK$3&amp;$AL12),$AK$3&amp;$AL12)</f>
        <v>ComboBox_EtKuntakoodi_00000005</v>
      </c>
      <c r="AB12" s="44" t="str">
        <f>IFERROR(INDEX(Data_Omakoodi!E:E,MATCH(AA12,Data_Omakoodi!A:A,0)),"")</f>
        <v/>
      </c>
      <c r="AC12" t="str">
        <f>IFERROR(IF(INDEX(Data_Omakoodi!H:H,MATCH($AH$3&amp;$AL12,Data_Omakoodi!A:A,0))="P","",$AH$3&amp;$AL12),$AH$3&amp;$AL12)</f>
        <v>ComboBox_TyHlo_yksikko_00000005</v>
      </c>
      <c r="AD12" s="44" t="str">
        <f>IFERROR(INDEX(Data_Omakoodi!E:E,MATCH(AC12,Data_Omakoodi!A:A,0)),"")</f>
        <v/>
      </c>
      <c r="AE12" t="str">
        <f>IFERROR(IF(INDEX(Data_Omakoodi!H:H,MATCH($AH$3&amp;$AL12,Data_Omakoodi!A:A,0))="P","",$AH$3&amp;$AL12),$AH$3&amp;$AL12)</f>
        <v>ComboBox_TyHlo_yksikko_00000005</v>
      </c>
      <c r="AF12" t="s">
        <v>1531</v>
      </c>
      <c r="AG12" s="739" t="str">
        <f t="shared" si="0"/>
        <v/>
      </c>
      <c r="AH12" s="739" t="str">
        <f t="shared" si="1"/>
        <v/>
      </c>
      <c r="AJ12" s="739" t="str">
        <f t="shared" si="2"/>
        <v/>
      </c>
      <c r="AK12" s="739" t="str">
        <f t="shared" si="3"/>
        <v/>
      </c>
      <c r="AL12" s="370" t="s">
        <v>1643</v>
      </c>
    </row>
    <row r="13" spans="1:38" x14ac:dyDescent="0.25">
      <c r="B13" s="949" t="s">
        <v>93</v>
      </c>
      <c r="C13" s="950"/>
      <c r="D13" s="54">
        <f>SUM(D11:D12)</f>
        <v>0</v>
      </c>
      <c r="E13" s="313" t="str">
        <f>IFERROR(D13/D$13,"-")</f>
        <v>-</v>
      </c>
      <c r="F13" s="54">
        <f>SUM(F11:F12)</f>
        <v>0</v>
      </c>
      <c r="G13" s="313" t="str">
        <f>IFERROR(F13/F$13,"-")</f>
        <v>-</v>
      </c>
      <c r="H13" s="563"/>
      <c r="W13"/>
      <c r="X13" s="499" t="s">
        <v>1085</v>
      </c>
      <c r="Y13"/>
      <c r="Z13"/>
      <c r="AA13" s="176" t="str">
        <f>IFERROR(IF(INDEX(Data_Omakoodi!H:H,MATCH($AK$3&amp;$AL13,Data_Omakoodi!A:A,0))="P","",$AK$3&amp;$AL13),$AK$3&amp;$AL13)</f>
        <v>ComboBox_EtKuntakoodi_00000006</v>
      </c>
      <c r="AB13" s="44" t="str">
        <f>IFERROR(INDEX(Data_Omakoodi!E:E,MATCH(AA13,Data_Omakoodi!A:A,0)),"")</f>
        <v/>
      </c>
      <c r="AC13" t="str">
        <f>IFERROR(IF(INDEX(Data_Omakoodi!H:H,MATCH($AH$3&amp;$AL13,Data_Omakoodi!A:A,0))="P","",$AH$3&amp;$AL13),$AH$3&amp;$AL13)</f>
        <v>ComboBox_TyHlo_yksikko_00000006</v>
      </c>
      <c r="AD13" s="44" t="str">
        <f>IFERROR(INDEX(Data_Omakoodi!E:E,MATCH(AC13,Data_Omakoodi!A:A,0)),"")</f>
        <v/>
      </c>
      <c r="AE13" t="str">
        <f>IFERROR(IF(INDEX(Data_Omakoodi!H:H,MATCH($AH$3&amp;$AL13,Data_Omakoodi!A:A,0))="P","",$AH$3&amp;$AL13),$AH$3&amp;$AL13)</f>
        <v>ComboBox_TyHlo_yksikko_00000006</v>
      </c>
      <c r="AF13" t="s">
        <v>1532</v>
      </c>
      <c r="AG13" s="739" t="str">
        <f t="shared" si="0"/>
        <v/>
      </c>
      <c r="AH13" s="739" t="str">
        <f t="shared" si="1"/>
        <v/>
      </c>
      <c r="AJ13" s="739" t="str">
        <f t="shared" si="2"/>
        <v/>
      </c>
      <c r="AK13" s="739" t="str">
        <f t="shared" si="3"/>
        <v/>
      </c>
      <c r="AL13" s="370" t="s">
        <v>1644</v>
      </c>
    </row>
    <row r="14" spans="1:38" x14ac:dyDescent="0.25">
      <c r="U14" t="s">
        <v>972</v>
      </c>
      <c r="W14"/>
      <c r="X14" s="499" t="s">
        <v>1087</v>
      </c>
      <c r="Y14"/>
      <c r="AA14" s="176" t="str">
        <f>IFERROR(IF(INDEX(Data_Omakoodi!H:H,MATCH($AK$3&amp;$AL14,Data_Omakoodi!A:A,0))="P","",$AK$3&amp;$AL14),$AK$3&amp;$AL14)</f>
        <v>ComboBox_EtKuntakoodi_00000007</v>
      </c>
      <c r="AB14" s="44" t="str">
        <f>IFERROR(INDEX(Data_Omakoodi!E:E,MATCH(AA14,Data_Omakoodi!A:A,0)),"")</f>
        <v/>
      </c>
      <c r="AC14" t="str">
        <f>IFERROR(IF(INDEX(Data_Omakoodi!H:H,MATCH($AH$3&amp;$AL14,Data_Omakoodi!A:A,0))="P","",$AH$3&amp;$AL14),$AH$3&amp;$AL14)</f>
        <v>ComboBox_TyHlo_yksikko_00000007</v>
      </c>
      <c r="AD14" s="44" t="str">
        <f>IFERROR(INDEX(Data_Omakoodi!E:E,MATCH(AC14,Data_Omakoodi!A:A,0)),"")</f>
        <v/>
      </c>
      <c r="AE14" t="str">
        <f>IFERROR(IF(INDEX(Data_Omakoodi!H:H,MATCH($AH$3&amp;$AL14,Data_Omakoodi!A:A,0))="P","",$AH$3&amp;$AL14),$AH$3&amp;$AL14)</f>
        <v>ComboBox_TyHlo_yksikko_00000007</v>
      </c>
      <c r="AF14" t="s">
        <v>1533</v>
      </c>
      <c r="AG14" s="739" t="str">
        <f t="shared" si="0"/>
        <v/>
      </c>
      <c r="AH14" s="739" t="str">
        <f t="shared" si="1"/>
        <v/>
      </c>
      <c r="AJ14" s="739" t="str">
        <f t="shared" si="2"/>
        <v/>
      </c>
      <c r="AK14" s="739" t="str">
        <f t="shared" si="3"/>
        <v/>
      </c>
      <c r="AL14" s="370" t="s">
        <v>1645</v>
      </c>
    </row>
    <row r="15" spans="1:38" x14ac:dyDescent="0.25">
      <c r="U15" t="s">
        <v>973</v>
      </c>
      <c r="W15"/>
      <c r="X15"/>
      <c r="Y15"/>
      <c r="AA15" s="176" t="str">
        <f>IFERROR(IF(INDEX(Data_Omakoodi!H:H,MATCH($AK$3&amp;$AL15,Data_Omakoodi!A:A,0))="P","",$AK$3&amp;$AL15),$AK$3&amp;$AL15)</f>
        <v>ComboBox_EtKuntakoodi_00000008</v>
      </c>
      <c r="AB15" s="44" t="str">
        <f>IFERROR(INDEX(Data_Omakoodi!E:E,MATCH(AA15,Data_Omakoodi!A:A,0)),"")</f>
        <v/>
      </c>
      <c r="AC15" t="str">
        <f>IFERROR(IF(INDEX(Data_Omakoodi!H:H,MATCH($AH$3&amp;$AL15,Data_Omakoodi!A:A,0))="P","",$AH$3&amp;$AL15),$AH$3&amp;$AL15)</f>
        <v>ComboBox_TyHlo_yksikko_00000008</v>
      </c>
      <c r="AD15" s="44" t="str">
        <f>IFERROR(INDEX(Data_Omakoodi!E:E,MATCH(AC15,Data_Omakoodi!A:A,0)),"")</f>
        <v/>
      </c>
      <c r="AE15" t="str">
        <f>IFERROR(IF(INDEX(Data_Omakoodi!H:H,MATCH($AH$3&amp;$AL15,Data_Omakoodi!A:A,0))="P","",$AH$3&amp;$AL15),$AH$3&amp;$AL15)</f>
        <v>ComboBox_TyHlo_yksikko_00000008</v>
      </c>
      <c r="AF15" t="s">
        <v>1534</v>
      </c>
      <c r="AG15" s="739" t="str">
        <f t="shared" si="0"/>
        <v/>
      </c>
      <c r="AH15" s="739" t="str">
        <f t="shared" si="1"/>
        <v/>
      </c>
      <c r="AJ15" s="739" t="str">
        <f t="shared" si="2"/>
        <v/>
      </c>
      <c r="AK15" s="739" t="str">
        <f t="shared" si="3"/>
        <v/>
      </c>
      <c r="AL15" s="370" t="s">
        <v>1646</v>
      </c>
    </row>
    <row r="16" spans="1:38" x14ac:dyDescent="0.25">
      <c r="U16" t="s">
        <v>974</v>
      </c>
      <c r="W16"/>
      <c r="X16"/>
      <c r="Y16"/>
      <c r="AA16" s="176" t="str">
        <f>IFERROR(IF(INDEX(Data_Omakoodi!H:H,MATCH($AK$3&amp;$AL16,Data_Omakoodi!A:A,0))="P","",$AK$3&amp;$AL16),$AK$3&amp;$AL16)</f>
        <v>ComboBox_EtKuntakoodi_00000009</v>
      </c>
      <c r="AB16" s="44" t="str">
        <f>IFERROR(INDEX(Data_Omakoodi!E:E,MATCH(AA16,Data_Omakoodi!A:A,0)),"")</f>
        <v/>
      </c>
      <c r="AC16" t="str">
        <f>IFERROR(IF(INDEX(Data_Omakoodi!H:H,MATCH($AH$3&amp;$AL16,Data_Omakoodi!A:A,0))="P","",$AH$3&amp;$AL16),$AH$3&amp;$AL16)</f>
        <v>ComboBox_TyHlo_yksikko_00000009</v>
      </c>
      <c r="AD16" s="44" t="str">
        <f>IFERROR(INDEX(Data_Omakoodi!E:E,MATCH(AC16,Data_Omakoodi!A:A,0)),"")</f>
        <v/>
      </c>
      <c r="AE16" t="str">
        <f>IFERROR(IF(INDEX(Data_Omakoodi!H:H,MATCH($AH$3&amp;$AL16,Data_Omakoodi!A:A,0))="P","",$AH$3&amp;$AL16),$AH$3&amp;$AL16)</f>
        <v>ComboBox_TyHlo_yksikko_00000009</v>
      </c>
      <c r="AF16" t="s">
        <v>1535</v>
      </c>
      <c r="AG16" s="739" t="str">
        <f t="shared" si="0"/>
        <v/>
      </c>
      <c r="AH16" s="739" t="str">
        <f t="shared" si="1"/>
        <v/>
      </c>
      <c r="AJ16" s="739" t="str">
        <f t="shared" si="2"/>
        <v/>
      </c>
      <c r="AK16" s="739" t="str">
        <f t="shared" si="3"/>
        <v/>
      </c>
      <c r="AL16" s="370" t="s">
        <v>1647</v>
      </c>
    </row>
    <row r="17" spans="1:38" x14ac:dyDescent="0.25">
      <c r="U17" t="s">
        <v>975</v>
      </c>
      <c r="W17"/>
      <c r="X17" s="47" t="s">
        <v>212</v>
      </c>
      <c r="Y17"/>
      <c r="AA17" s="176" t="str">
        <f>IFERROR(IF(INDEX(Data_Omakoodi!H:H,MATCH($AK$3&amp;$AL17,Data_Omakoodi!A:A,0))="P","",$AK$3&amp;$AL17),$AK$3&amp;$AL17)</f>
        <v>ComboBox_EtKuntakoodi_00000010</v>
      </c>
      <c r="AB17" s="44" t="str">
        <f>IFERROR(INDEX(Data_Omakoodi!E:E,MATCH(AA17,Data_Omakoodi!A:A,0)),"")</f>
        <v/>
      </c>
      <c r="AC17" t="str">
        <f>IFERROR(IF(INDEX(Data_Omakoodi!H:H,MATCH($AH$3&amp;$AL17,Data_Omakoodi!A:A,0))="P","",$AH$3&amp;$AL17),$AH$3&amp;$AL17)</f>
        <v>ComboBox_TyHlo_yksikko_00000010</v>
      </c>
      <c r="AD17" s="44" t="str">
        <f>IFERROR(INDEX(Data_Omakoodi!E:E,MATCH(AC17,Data_Omakoodi!A:A,0)),"")</f>
        <v/>
      </c>
      <c r="AE17" t="str">
        <f>IFERROR(IF(INDEX(Data_Omakoodi!H:H,MATCH($AH$3&amp;$AL17,Data_Omakoodi!A:A,0))="P","",$AH$3&amp;$AL17),$AH$3&amp;$AL17)</f>
        <v>ComboBox_TyHlo_yksikko_00000010</v>
      </c>
      <c r="AF17" t="s">
        <v>1536</v>
      </c>
      <c r="AG17" s="739" t="str">
        <f t="shared" si="0"/>
        <v/>
      </c>
      <c r="AH17" s="739" t="str">
        <f t="shared" si="1"/>
        <v/>
      </c>
      <c r="AJ17" s="739" t="str">
        <f t="shared" si="2"/>
        <v/>
      </c>
      <c r="AK17" s="739" t="str">
        <f t="shared" si="3"/>
        <v/>
      </c>
      <c r="AL17">
        <v>10</v>
      </c>
    </row>
    <row r="18" spans="1:38" ht="15" customHeight="1" x14ac:dyDescent="0.25">
      <c r="A18" s="957" t="str">
        <f>X18&amp;Y12&amp;X10 &amp;X12&amp;" (N:"&amp;F13&amp;")"</f>
        <v>Alkutilanne, tavoitteen kanssa työskennellään - KAIKKI: 01.01.2025-30.04.2025 (Tavoitetut) (N:0)</v>
      </c>
      <c r="B18" s="957"/>
      <c r="C18" s="957"/>
      <c r="D18" s="957"/>
      <c r="E18" s="957"/>
      <c r="F18" s="957"/>
      <c r="G18" s="957"/>
      <c r="H18" s="957"/>
      <c r="I18" s="957"/>
      <c r="J18" s="957"/>
      <c r="K18" s="957"/>
      <c r="U18" t="s">
        <v>976</v>
      </c>
      <c r="W18"/>
      <c r="X18" s="499" t="s">
        <v>1086</v>
      </c>
      <c r="Y18"/>
      <c r="AA18" s="176" t="str">
        <f>IFERROR(IF(INDEX(Data_Omakoodi!H:H,MATCH($AK$3&amp;$AL18,Data_Omakoodi!A:A,0))="P","",$AK$3&amp;$AL18),$AK$3&amp;$AL18)</f>
        <v>ComboBox_EtKuntakoodi_00000011</v>
      </c>
      <c r="AB18" s="44" t="str">
        <f>IFERROR(INDEX(Data_Omakoodi!E:E,MATCH(AA18,Data_Omakoodi!A:A,0)),"")</f>
        <v/>
      </c>
      <c r="AC18" t="str">
        <f>IFERROR(IF(INDEX(Data_Omakoodi!H:H,MATCH($AH$3&amp;$AL18,Data_Omakoodi!A:A,0))="P","",$AH$3&amp;$AL18),$AH$3&amp;$AL18)</f>
        <v>ComboBox_TyHlo_yksikko_00000011</v>
      </c>
      <c r="AD18" s="44" t="str">
        <f>IFERROR(INDEX(Data_Omakoodi!E:E,MATCH(AC18,Data_Omakoodi!A:A,0)),"")</f>
        <v/>
      </c>
      <c r="AE18" t="str">
        <f>IFERROR(IF(INDEX(Data_Omakoodi!H:H,MATCH($AH$3&amp;$AL18,Data_Omakoodi!A:A,0))="P","",$AH$3&amp;$AL18),$AH$3&amp;$AL18)</f>
        <v>ComboBox_TyHlo_yksikko_00000011</v>
      </c>
      <c r="AF18" t="s">
        <v>1537</v>
      </c>
      <c r="AG18" s="739" t="str">
        <f t="shared" si="0"/>
        <v/>
      </c>
      <c r="AH18" s="739" t="str">
        <f t="shared" si="1"/>
        <v/>
      </c>
      <c r="AJ18" s="739" t="str">
        <f t="shared" si="2"/>
        <v/>
      </c>
      <c r="AK18" s="739" t="str">
        <f t="shared" si="3"/>
        <v/>
      </c>
      <c r="AL18">
        <v>11</v>
      </c>
    </row>
    <row r="19" spans="1:38" ht="15" customHeight="1" x14ac:dyDescent="0.25">
      <c r="A19" s="834" t="s">
        <v>1030</v>
      </c>
      <c r="B19" s="836"/>
      <c r="C19" s="969" t="s">
        <v>114</v>
      </c>
      <c r="D19" s="970"/>
      <c r="E19" s="550" t="s">
        <v>132</v>
      </c>
      <c r="F19" s="551" t="s">
        <v>133</v>
      </c>
      <c r="G19" s="958"/>
      <c r="H19" s="959"/>
      <c r="I19" s="959"/>
      <c r="J19" s="959"/>
      <c r="K19" s="960"/>
      <c r="U19" t="s">
        <v>977</v>
      </c>
      <c r="W19"/>
      <c r="X19" s="499" t="s">
        <v>1015</v>
      </c>
      <c r="Y19"/>
      <c r="AA19" s="176" t="str">
        <f>IFERROR(IF(INDEX(Data_Omakoodi!H:H,MATCH($AK$3&amp;$AL19,Data_Omakoodi!A:A,0))="P","",$AK$3&amp;$AL19),$AK$3&amp;$AL19)</f>
        <v>ComboBox_EtKuntakoodi_00000012</v>
      </c>
      <c r="AB19" s="44" t="str">
        <f>IFERROR(INDEX(Data_Omakoodi!E:E,MATCH(AA19,Data_Omakoodi!A:A,0)),"")</f>
        <v/>
      </c>
      <c r="AC19" t="str">
        <f>IFERROR(IF(INDEX(Data_Omakoodi!H:H,MATCH($AH$3&amp;$AL19,Data_Omakoodi!A:A,0))="P","",$AH$3&amp;$AL19),$AH$3&amp;$AL19)</f>
        <v>ComboBox_TyHlo_yksikko_00000012</v>
      </c>
      <c r="AD19" s="44" t="str">
        <f>IFERROR(INDEX(Data_Omakoodi!E:E,MATCH(AC19,Data_Omakoodi!A:A,0)),"")</f>
        <v/>
      </c>
      <c r="AE19" t="str">
        <f>IFERROR(IF(INDEX(Data_Omakoodi!H:H,MATCH($AH$3&amp;$AL19,Data_Omakoodi!A:A,0))="P","",$AH$3&amp;$AL19),$AH$3&amp;$AL19)</f>
        <v>ComboBox_TyHlo_yksikko_00000012</v>
      </c>
      <c r="AF19" t="s">
        <v>1538</v>
      </c>
      <c r="AG19" s="739" t="str">
        <f t="shared" si="0"/>
        <v/>
      </c>
      <c r="AH19" s="739" t="str">
        <f t="shared" si="1"/>
        <v/>
      </c>
      <c r="AJ19" s="739" t="str">
        <f t="shared" si="2"/>
        <v/>
      </c>
      <c r="AK19" s="739" t="str">
        <f t="shared" si="3"/>
        <v/>
      </c>
      <c r="AL19">
        <v>12</v>
      </c>
    </row>
    <row r="20" spans="1:38" x14ac:dyDescent="0.25">
      <c r="A20" s="837"/>
      <c r="B20" s="839"/>
      <c r="C20" s="497" t="s">
        <v>106</v>
      </c>
      <c r="D20" s="494" t="s">
        <v>176</v>
      </c>
      <c r="E20" s="234" t="s">
        <v>106</v>
      </c>
      <c r="F20" s="349" t="s">
        <v>106</v>
      </c>
      <c r="G20" s="961"/>
      <c r="H20" s="962"/>
      <c r="I20" s="962"/>
      <c r="J20" s="962"/>
      <c r="K20" s="963"/>
      <c r="U20" t="s">
        <v>979</v>
      </c>
      <c r="W20"/>
      <c r="X20"/>
      <c r="Y20"/>
      <c r="AA20" s="176" t="str">
        <f>IFERROR(IF(INDEX(Data_Omakoodi!H:H,MATCH($AK$3&amp;$AL20,Data_Omakoodi!A:A,0))="P","",$AK$3&amp;$AL20),$AK$3&amp;$AL20)</f>
        <v>ComboBox_EtKuntakoodi_00000013</v>
      </c>
      <c r="AB20" s="44" t="str">
        <f>IFERROR(INDEX(Data_Omakoodi!E:E,MATCH(AA20,Data_Omakoodi!A:A,0)),"")</f>
        <v/>
      </c>
      <c r="AC20" t="str">
        <f>IFERROR(IF(INDEX(Data_Omakoodi!H:H,MATCH($AH$3&amp;$AL20,Data_Omakoodi!A:A,0))="P","",$AH$3&amp;$AL20),$AH$3&amp;$AL20)</f>
        <v>ComboBox_TyHlo_yksikko_00000013</v>
      </c>
      <c r="AD20" s="44" t="str">
        <f>IFERROR(INDEX(Data_Omakoodi!E:E,MATCH(AC20,Data_Omakoodi!A:A,0)),"")</f>
        <v/>
      </c>
      <c r="AE20" t="str">
        <f>IFERROR(IF(INDEX(Data_Omakoodi!H:H,MATCH($AH$3&amp;$AL20,Data_Omakoodi!A:A,0))="P","",$AH$3&amp;$AL20),$AH$3&amp;$AL20)</f>
        <v>ComboBox_TyHlo_yksikko_00000013</v>
      </c>
      <c r="AF20" t="s">
        <v>1539</v>
      </c>
      <c r="AG20" s="739" t="str">
        <f t="shared" si="0"/>
        <v/>
      </c>
      <c r="AH20" s="739" t="str">
        <f t="shared" si="1"/>
        <v/>
      </c>
      <c r="AJ20" s="739" t="str">
        <f t="shared" si="2"/>
        <v/>
      </c>
      <c r="AK20" s="739" t="str">
        <f t="shared" si="3"/>
        <v/>
      </c>
      <c r="AL20">
        <v>13</v>
      </c>
    </row>
    <row r="21" spans="1:38" x14ac:dyDescent="0.25">
      <c r="A21" s="955" t="s">
        <v>1004</v>
      </c>
      <c r="B21" s="956"/>
      <c r="C21" s="148">
        <f>COUNTIFS(TA!$AB:$AB,"ok",TA!$F:$F,Tavoitteet!X19,TA!W:W,Tavoitteet!$X$8,TA!$AH:$AH,"OK",TA!$AI:$AI,Tavoitteet!$Y$5,TA!AG:AG,Tavoitteet!$W$7,TA!$AF:$AF,Tavoitteet!$Y$6,TA!$AE:$AE,Tavoitteet!$X$5,TA!$AJ:$AJ,Tavoitteet!$V$2)</f>
        <v>0</v>
      </c>
      <c r="D21" s="312" t="str">
        <f t="shared" ref="D21:D30" si="4">IFERROR(C21/$F$13,"-")</f>
        <v>-</v>
      </c>
      <c r="E21" s="148">
        <f>COUNTIFS(TA!$AB:$AB,"ok",TA!$F:$F,Tavoitteet!X19,TA!Y:Y,Tavoitteet!$X$7,TA!W:W,Tavoitteet!$X$8,TA!$AH:$AH,"OK",TA!$AI:$AI,Tavoitteet!$Y$5,TA!AG:AG,Tavoitteet!$W$7,TA!$AF:$AF,Tavoitteet!$Y$6,TA!$AE:$AE,Tavoitteet!$X$5,TA!$AJ:$AJ,Tavoitteet!$V$2)</f>
        <v>0</v>
      </c>
      <c r="F21" s="510">
        <f>COUNTIFS(TA!$AB:$AB,"ok",TA!$F:$F,Tavoitteet!X19,TA!Y:Y,Tavoitteet!$Y$7,TA!W:W,Tavoitteet!$X$8,TA!$AH:$AH,"OK",TA!$AI:$AI,Tavoitteet!$Y$5,TA!AG:AG,Tavoitteet!$W$7,TA!$AF:$AF,Tavoitteet!$Y$6,TA!$AE:$AE,Tavoitteet!$X$5,TA!$AJ:$AJ,Tavoitteet!$V$2)</f>
        <v>0</v>
      </c>
      <c r="G21" s="504"/>
      <c r="H21" s="505"/>
      <c r="I21" s="505"/>
      <c r="J21" s="505"/>
      <c r="K21" s="502"/>
      <c r="U21" t="s">
        <v>981</v>
      </c>
      <c r="W21"/>
      <c r="X21"/>
      <c r="Y21"/>
      <c r="AA21" s="176" t="str">
        <f>IFERROR(IF(INDEX(Data_Omakoodi!H:H,MATCH($AK$3&amp;$AL21,Data_Omakoodi!A:A,0))="P","",$AK$3&amp;$AL21),$AK$3&amp;$AL21)</f>
        <v>ComboBox_EtKuntakoodi_00000014</v>
      </c>
      <c r="AB21" s="44" t="str">
        <f>IFERROR(INDEX(Data_Omakoodi!E:E,MATCH(AA21,Data_Omakoodi!A:A,0)),"")</f>
        <v/>
      </c>
      <c r="AC21" t="str">
        <f>IFERROR(IF(INDEX(Data_Omakoodi!H:H,MATCH($AH$3&amp;$AL21,Data_Omakoodi!A:A,0))="P","",$AH$3&amp;$AL21),$AH$3&amp;$AL21)</f>
        <v>ComboBox_TyHlo_yksikko_00000014</v>
      </c>
      <c r="AD21" s="44" t="str">
        <f>IFERROR(INDEX(Data_Omakoodi!E:E,MATCH(AC21,Data_Omakoodi!A:A,0)),"")</f>
        <v/>
      </c>
      <c r="AE21" t="str">
        <f>IFERROR(IF(INDEX(Data_Omakoodi!H:H,MATCH($AH$3&amp;$AL21,Data_Omakoodi!A:A,0))="P","",$AH$3&amp;$AL21),$AH$3&amp;$AL21)</f>
        <v>ComboBox_TyHlo_yksikko_00000014</v>
      </c>
      <c r="AF21" t="s">
        <v>1540</v>
      </c>
      <c r="AG21" s="739" t="str">
        <f t="shared" si="0"/>
        <v/>
      </c>
      <c r="AH21" s="739" t="str">
        <f t="shared" si="1"/>
        <v/>
      </c>
      <c r="AJ21" s="739" t="str">
        <f t="shared" si="2"/>
        <v/>
      </c>
      <c r="AK21" s="739" t="str">
        <f t="shared" si="3"/>
        <v/>
      </c>
      <c r="AL21">
        <v>14</v>
      </c>
    </row>
    <row r="22" spans="1:38" x14ac:dyDescent="0.25">
      <c r="A22" s="953" t="s">
        <v>1005</v>
      </c>
      <c r="B22" s="954"/>
      <c r="C22" s="148">
        <f>COUNTIFS(TA!$AB:$AB,"ok",TA!$H:$H,Tavoitteet!X19,TA!W:W,Tavoitteet!$X$8,TA!$AH:$AH,"OK",TA!$AI:$AI,Tavoitteet!$Y$5,TA!AG:AG,Tavoitteet!$W$7,TA!$AF:$AF,Tavoitteet!$Y$6,TA!$AE:$AE,Tavoitteet!$X$5,TA!$AJ:$AJ,Tavoitteet!$V$2)</f>
        <v>0</v>
      </c>
      <c r="D22" s="312" t="str">
        <f t="shared" si="4"/>
        <v>-</v>
      </c>
      <c r="E22" s="148">
        <f>COUNTIFS(TA!$AB:$AB,"ok",TA!$H:$H,Tavoitteet!X19,TA!Y:Y,Tavoitteet!$X$7,TA!W:W,Tavoitteet!$X$8,TA!$AH:$AH,"OK",TA!$AI:$AI,Tavoitteet!$Y$5,TA!AG:AG,Tavoitteet!$W$7,TA!$AF:$AF,Tavoitteet!$Y$6,TA!$AE:$AE,Tavoitteet!$X$5,TA!$AJ:$AJ,Tavoitteet!$V$2)</f>
        <v>0</v>
      </c>
      <c r="F22" s="239">
        <f>COUNTIFS(TA!$AB:$AB,"ok",TA!$H:$H,Tavoitteet!X19,TA!Y:Y,Tavoitteet!$Y$7,TA!W:W,Tavoitteet!$X$8,TA!$AH:$AH,"OK",TA!$AI:$AI,Tavoitteet!$Y$5,TA!AG:AG,Tavoitteet!$W$7,TA!$AF:$AF,Tavoitteet!$Y$6,TA!$AE:$AE,Tavoitteet!$X$5,TA!$AJ:$AJ,Tavoitteet!$V$2)</f>
        <v>0</v>
      </c>
      <c r="G22" s="230"/>
      <c r="H22" s="231"/>
      <c r="I22" s="231"/>
      <c r="J22" s="231"/>
      <c r="K22" s="260"/>
      <c r="U22" t="s">
        <v>983</v>
      </c>
      <c r="W22"/>
      <c r="X22"/>
      <c r="Y22"/>
      <c r="AA22" s="176" t="str">
        <f>IFERROR(IF(INDEX(Data_Omakoodi!H:H,MATCH($AK$3&amp;$AL22,Data_Omakoodi!A:A,0))="P","",$AK$3&amp;$AL22),$AK$3&amp;$AL22)</f>
        <v>ComboBox_EtKuntakoodi_00000015</v>
      </c>
      <c r="AB22" s="44" t="str">
        <f>IFERROR(INDEX(Data_Omakoodi!E:E,MATCH(AA22,Data_Omakoodi!A:A,0)),"")</f>
        <v/>
      </c>
      <c r="AC22" t="str">
        <f>IFERROR(IF(INDEX(Data_Omakoodi!H:H,MATCH($AH$3&amp;$AL22,Data_Omakoodi!A:A,0))="P","",$AH$3&amp;$AL22),$AH$3&amp;$AL22)</f>
        <v>ComboBox_TyHlo_yksikko_00000015</v>
      </c>
      <c r="AD22" s="44" t="str">
        <f>IFERROR(INDEX(Data_Omakoodi!E:E,MATCH(AC22,Data_Omakoodi!A:A,0)),"")</f>
        <v/>
      </c>
      <c r="AE22" t="str">
        <f>IFERROR(IF(INDEX(Data_Omakoodi!H:H,MATCH($AH$3&amp;$AL22,Data_Omakoodi!A:A,0))="P","",$AH$3&amp;$AL22),$AH$3&amp;$AL22)</f>
        <v>ComboBox_TyHlo_yksikko_00000015</v>
      </c>
      <c r="AF22" t="s">
        <v>1541</v>
      </c>
      <c r="AG22" s="739" t="str">
        <f t="shared" si="0"/>
        <v/>
      </c>
      <c r="AH22" s="739" t="str">
        <f t="shared" si="1"/>
        <v/>
      </c>
      <c r="AJ22" s="739" t="str">
        <f t="shared" si="2"/>
        <v/>
      </c>
      <c r="AK22" s="739" t="str">
        <f t="shared" si="3"/>
        <v/>
      </c>
      <c r="AL22">
        <v>15</v>
      </c>
    </row>
    <row r="23" spans="1:38" x14ac:dyDescent="0.25">
      <c r="A23" s="953" t="s">
        <v>1006</v>
      </c>
      <c r="B23" s="954"/>
      <c r="C23" s="148">
        <f>COUNTIFS(TA!$AB:$AB,"ok",TA!$J:$J,Tavoitteet!X19,TA!W:W,Tavoitteet!$X$8,TA!$AH:$AH,"OK",TA!$AI:$AI,Tavoitteet!$Y$5,TA!AG:AG,Tavoitteet!$W$7,TA!$AF:$AF,Tavoitteet!$Y$6,TA!$AE:$AE,Tavoitteet!$X$5,TA!$AJ:$AJ,Tavoitteet!$V$2)</f>
        <v>0</v>
      </c>
      <c r="D23" s="312" t="str">
        <f t="shared" si="4"/>
        <v>-</v>
      </c>
      <c r="E23" s="148">
        <f>COUNTIFS(TA!$AB:$AB,"ok",TA!$J:$J,Tavoitteet!X19,TA!Y:Y,Tavoitteet!$X$7,TA!W:W,Tavoitteet!$X$8,TA!$AH:$AH,"OK",TA!$AI:$AI,Tavoitteet!$Y$5,TA!AG:AG,Tavoitteet!$W$7,TA!$AF:$AF,Tavoitteet!$Y$6,TA!$AE:$AE,Tavoitteet!$X$5,TA!$AJ:$AJ,Tavoitteet!$V$2)</f>
        <v>0</v>
      </c>
      <c r="F23" s="239">
        <f>COUNTIFS(TA!$AB:$AB,"ok",TA!$J:$J,Tavoitteet!X19,TA!Y:Y,Tavoitteet!$Y$7,TA!W:W,Tavoitteet!$X$8,TA!$AH:$AH,"OK",TA!$AI:$AI,Tavoitteet!$Y$5,TA!AG:AG,Tavoitteet!$W$7,TA!$AF:$AF,Tavoitteet!$Y$6,TA!$AE:$AE,Tavoitteet!$X$5,TA!$AJ:$AJ,Tavoitteet!$V$2)</f>
        <v>0</v>
      </c>
      <c r="G23" s="230"/>
      <c r="H23" s="231"/>
      <c r="I23" s="231"/>
      <c r="J23" s="231"/>
      <c r="K23" s="260"/>
      <c r="U23" t="s">
        <v>985</v>
      </c>
      <c r="W23"/>
      <c r="X23"/>
      <c r="Y23"/>
      <c r="AA23" s="176" t="str">
        <f>IFERROR(IF(INDEX(Data_Omakoodi!H:H,MATCH($AK$3&amp;$AL23,Data_Omakoodi!A:A,0))="P","",$AK$3&amp;$AL23),$AK$3&amp;$AL23)</f>
        <v>ComboBox_EtKuntakoodi_00000016</v>
      </c>
      <c r="AB23" s="44" t="str">
        <f>IFERROR(INDEX(Data_Omakoodi!E:E,MATCH(AA23,Data_Omakoodi!A:A,0)),"")</f>
        <v/>
      </c>
      <c r="AC23" t="str">
        <f>IFERROR(IF(INDEX(Data_Omakoodi!H:H,MATCH($AH$3&amp;$AL23,Data_Omakoodi!A:A,0))="P","",$AH$3&amp;$AL23),$AH$3&amp;$AL23)</f>
        <v>ComboBox_TyHlo_yksikko_00000016</v>
      </c>
      <c r="AD23" s="44" t="str">
        <f>IFERROR(INDEX(Data_Omakoodi!E:E,MATCH(AC23,Data_Omakoodi!A:A,0)),"")</f>
        <v/>
      </c>
      <c r="AE23" t="str">
        <f>IFERROR(IF(INDEX(Data_Omakoodi!H:H,MATCH($AH$3&amp;$AL23,Data_Omakoodi!A:A,0))="P","",$AH$3&amp;$AL23),$AH$3&amp;$AL23)</f>
        <v>ComboBox_TyHlo_yksikko_00000016</v>
      </c>
      <c r="AF23" t="s">
        <v>1542</v>
      </c>
      <c r="AG23" s="739" t="str">
        <f t="shared" si="0"/>
        <v/>
      </c>
      <c r="AH23" s="739" t="str">
        <f t="shared" si="1"/>
        <v/>
      </c>
      <c r="AJ23" s="739" t="str">
        <f t="shared" si="2"/>
        <v/>
      </c>
      <c r="AK23" s="739" t="str">
        <f t="shared" si="3"/>
        <v/>
      </c>
      <c r="AL23">
        <v>16</v>
      </c>
    </row>
    <row r="24" spans="1:38" x14ac:dyDescent="0.25">
      <c r="A24" s="953" t="s">
        <v>1007</v>
      </c>
      <c r="B24" s="954"/>
      <c r="C24" s="148">
        <f>COUNTIFS(TA!$AB:$AB,"ok",TA!$L:$L,Tavoitteet!X19,TA!W:W,Tavoitteet!$X$8,TA!$AH:$AH,"OK",TA!$AI:$AI,Tavoitteet!$Y$5,TA!AG:AG,Tavoitteet!$W$7,TA!$AF:$AF,Tavoitteet!$Y$6,TA!$AE:$AE,Tavoitteet!$X$5,TA!$AJ:$AJ,Tavoitteet!$V$2)</f>
        <v>0</v>
      </c>
      <c r="D24" s="312" t="str">
        <f t="shared" si="4"/>
        <v>-</v>
      </c>
      <c r="E24" s="148">
        <f>COUNTIFS(TA!$AB:$AB,"ok",TA!$L:$L,Tavoitteet!X19,TA!Y:Y,Tavoitteet!$X$7,TA!W:W,Tavoitteet!$X$8,TA!$AH:$AH,"OK",TA!$AI:$AI,Tavoitteet!$Y$5,TA!AG:AG,Tavoitteet!$W$7,TA!$AF:$AF,Tavoitteet!$Y$6,TA!$AE:$AE,Tavoitteet!$X$5,TA!$AJ:$AJ,Tavoitteet!$V$2)</f>
        <v>0</v>
      </c>
      <c r="F24" s="239">
        <f>COUNTIFS(TA!$AB:$AB,"ok",TA!$L:$L,Tavoitteet!X19,TA!Y:Y,Tavoitteet!$Y$7,TA!W:W,Tavoitteet!$X$8,TA!$AH:$AH,"OK",TA!$AI:$AI,Tavoitteet!$Y$5,TA!AG:AG,Tavoitteet!$W$7,TA!$AF:$AF,Tavoitteet!$Y$6,TA!$AE:$AE,Tavoitteet!$X$5,TA!$AJ:$AJ,Tavoitteet!$V$2)</f>
        <v>0</v>
      </c>
      <c r="G24" s="230"/>
      <c r="H24" s="231"/>
      <c r="I24" s="231"/>
      <c r="J24" s="231"/>
      <c r="K24" s="260"/>
      <c r="U24" t="s">
        <v>987</v>
      </c>
      <c r="W24"/>
      <c r="X24"/>
      <c r="Y24"/>
      <c r="AA24" s="176" t="str">
        <f>IFERROR(IF(INDEX(Data_Omakoodi!H:H,MATCH($AK$3&amp;$AL24,Data_Omakoodi!A:A,0))="P","",$AK$3&amp;$AL24),$AK$3&amp;$AL24)</f>
        <v>ComboBox_EtKuntakoodi_00000017</v>
      </c>
      <c r="AB24" s="44" t="str">
        <f>IFERROR(INDEX(Data_Omakoodi!E:E,MATCH(AA24,Data_Omakoodi!A:A,0)),"")</f>
        <v/>
      </c>
      <c r="AC24" t="str">
        <f>IFERROR(IF(INDEX(Data_Omakoodi!H:H,MATCH($AH$3&amp;$AL24,Data_Omakoodi!A:A,0))="P","",$AH$3&amp;$AL24),$AH$3&amp;$AL24)</f>
        <v>ComboBox_TyHlo_yksikko_00000017</v>
      </c>
      <c r="AD24" s="44" t="str">
        <f>IFERROR(INDEX(Data_Omakoodi!E:E,MATCH(AC24,Data_Omakoodi!A:A,0)),"")</f>
        <v/>
      </c>
      <c r="AE24" t="str">
        <f>IFERROR(IF(INDEX(Data_Omakoodi!H:H,MATCH($AH$3&amp;$AL24,Data_Omakoodi!A:A,0))="P","",$AH$3&amp;$AL24),$AH$3&amp;$AL24)</f>
        <v>ComboBox_TyHlo_yksikko_00000017</v>
      </c>
      <c r="AF24" t="s">
        <v>1543</v>
      </c>
      <c r="AG24" s="739" t="str">
        <f t="shared" si="0"/>
        <v/>
      </c>
      <c r="AH24" s="739" t="str">
        <f t="shared" si="1"/>
        <v/>
      </c>
      <c r="AJ24" s="739" t="str">
        <f t="shared" si="2"/>
        <v/>
      </c>
      <c r="AK24" s="739" t="str">
        <f t="shared" si="3"/>
        <v/>
      </c>
      <c r="AL24">
        <v>17</v>
      </c>
    </row>
    <row r="25" spans="1:38" x14ac:dyDescent="0.25">
      <c r="A25" s="953" t="s">
        <v>1008</v>
      </c>
      <c r="B25" s="954"/>
      <c r="C25" s="148">
        <f>COUNTIFS(TA!$AB:$AB,"ok",TA!$N:$N,Tavoitteet!X19,TA!W:W,Tavoitteet!$X$8,TA!$AH:$AH,"OK",TA!$AI:$AI,Tavoitteet!$Y$5,TA!AG:AG,Tavoitteet!$W$7,TA!$AF:$AF,Tavoitteet!$Y$6,TA!$AE:$AE,Tavoitteet!$X$5,TA!$AJ:$AJ,Tavoitteet!$V$2)</f>
        <v>0</v>
      </c>
      <c r="D25" s="312" t="str">
        <f t="shared" si="4"/>
        <v>-</v>
      </c>
      <c r="E25" s="148">
        <f>COUNTIFS(TA!$AB:$AB,"ok",TA!$N:$N,Tavoitteet!X19,TA!Y:Y,Tavoitteet!$X$7,TA!W:W,Tavoitteet!$X$8,TA!$AH:$AH,"OK",TA!$AI:$AI,Tavoitteet!$Y$5,TA!AG:AG,Tavoitteet!$W$7,TA!$AF:$AF,Tavoitteet!$Y$6,TA!$AE:$AE,Tavoitteet!$X$5,TA!$AJ:$AJ,Tavoitteet!$V$2)</f>
        <v>0</v>
      </c>
      <c r="F25" s="239">
        <f>COUNTIFS(TA!$AB:$AB,"ok",TA!$N:$N,Tavoitteet!X19,TA!Y:Y,Tavoitteet!$Y$7,TA!W:W,Tavoitteet!$X$8,TA!$AH:$AH,"OK",TA!$AI:$AI,Tavoitteet!$Y$5,TA!AG:AG,Tavoitteet!$W$7,TA!$AF:$AF,Tavoitteet!$Y$6,TA!$AE:$AE,Tavoitteet!$X$5,TA!$AJ:$AJ,Tavoitteet!$V$2)</f>
        <v>0</v>
      </c>
      <c r="G25" s="230"/>
      <c r="H25" s="231"/>
      <c r="I25" s="231"/>
      <c r="J25" s="231"/>
      <c r="K25" s="260"/>
      <c r="U25" t="s">
        <v>989</v>
      </c>
      <c r="W25"/>
      <c r="X25"/>
      <c r="Y25"/>
      <c r="AA25" s="176" t="str">
        <f>IFERROR(IF(INDEX(Data_Omakoodi!H:H,MATCH($AK$3&amp;$AL25,Data_Omakoodi!A:A,0))="P","",$AK$3&amp;$AL25),$AK$3&amp;$AL25)</f>
        <v>ComboBox_EtKuntakoodi_00000018</v>
      </c>
      <c r="AB25" s="44" t="str">
        <f>IFERROR(INDEX(Data_Omakoodi!E:E,MATCH(AA25,Data_Omakoodi!A:A,0)),"")</f>
        <v/>
      </c>
      <c r="AC25" t="str">
        <f>IFERROR(IF(INDEX(Data_Omakoodi!H:H,MATCH($AH$3&amp;$AL25,Data_Omakoodi!A:A,0))="P","",$AH$3&amp;$AL25),$AH$3&amp;$AL25)</f>
        <v>ComboBox_TyHlo_yksikko_00000018</v>
      </c>
      <c r="AD25" s="44" t="str">
        <f>IFERROR(INDEX(Data_Omakoodi!E:E,MATCH(AC25,Data_Omakoodi!A:A,0)),"")</f>
        <v/>
      </c>
      <c r="AE25" t="str">
        <f>IFERROR(IF(INDEX(Data_Omakoodi!H:H,MATCH($AH$3&amp;$AL25,Data_Omakoodi!A:A,0))="P","",$AH$3&amp;$AL25),$AH$3&amp;$AL25)</f>
        <v>ComboBox_TyHlo_yksikko_00000018</v>
      </c>
      <c r="AF25" t="s">
        <v>1544</v>
      </c>
      <c r="AG25" s="739" t="str">
        <f t="shared" si="0"/>
        <v/>
      </c>
      <c r="AH25" s="739" t="str">
        <f t="shared" si="1"/>
        <v/>
      </c>
      <c r="AJ25" s="739" t="str">
        <f t="shared" si="2"/>
        <v/>
      </c>
      <c r="AK25" s="739" t="str">
        <f t="shared" si="3"/>
        <v/>
      </c>
      <c r="AL25">
        <v>18</v>
      </c>
    </row>
    <row r="26" spans="1:38" x14ac:dyDescent="0.25">
      <c r="A26" s="953" t="s">
        <v>1504</v>
      </c>
      <c r="B26" s="954"/>
      <c r="C26" s="148">
        <f>COUNTIFS(TA!$AB:$AB,"ok",TA!$P:$P,Tavoitteet!X19,TA!W:W,Tavoitteet!$X$8,TA!$AH:$AH,"OK",TA!$AI:$AI,Tavoitteet!$Y$5,TA!AG:AG,Tavoitteet!$W$7,TA!$AF:$AF,Tavoitteet!$Y$6,TA!$AE:$AE,Tavoitteet!$X$5,TA!$AJ:$AJ,Tavoitteet!$V$2)</f>
        <v>0</v>
      </c>
      <c r="D26" s="312" t="str">
        <f t="shared" si="4"/>
        <v>-</v>
      </c>
      <c r="E26" s="148">
        <f>COUNTIFS(TA!$AB:$AB,"ok",TA!$P:$P,Tavoitteet!X19,TA!Y:Y,Tavoitteet!$X$7,TA!W:W,Tavoitteet!$X$8,TA!$AH:$AH,"OK",TA!$AI:$AI,Tavoitteet!$Y$5,TA!AG:AG,Tavoitteet!$W$7,TA!$AF:$AF,Tavoitteet!$Y$6,TA!$AE:$AE,Tavoitteet!$X$5,TA!$AJ:$AJ,Tavoitteet!$V$2)</f>
        <v>0</v>
      </c>
      <c r="F26" s="239">
        <f>COUNTIFS(TA!$AB:$AB,"ok",TA!$P:$P,Tavoitteet!X19,TA!Y:Y,Tavoitteet!$Y$7,TA!W:W,Tavoitteet!$X$8,TA!$AH:$AH,"OK",TA!$AI:$AI,Tavoitteet!$Y$5,TA!AG:AG,Tavoitteet!$W$7,TA!$AF:$AF,Tavoitteet!$Y$6,TA!$AE:$AE,Tavoitteet!$X$5,TA!$AJ:$AJ,Tavoitteet!$V$2)</f>
        <v>0</v>
      </c>
      <c r="G26" s="230"/>
      <c r="H26" s="231"/>
      <c r="I26" s="231"/>
      <c r="J26" s="231"/>
      <c r="K26" s="260"/>
      <c r="U26" t="s">
        <v>990</v>
      </c>
      <c r="W26"/>
      <c r="X26"/>
      <c r="Y26"/>
      <c r="AA26" s="176" t="str">
        <f>IFERROR(IF(INDEX(Data_Omakoodi!H:H,MATCH($AK$3&amp;$AL26,Data_Omakoodi!A:A,0))="P","",$AK$3&amp;$AL26),$AK$3&amp;$AL26)</f>
        <v>ComboBox_EtKuntakoodi_00000019</v>
      </c>
      <c r="AB26" s="44" t="str">
        <f>IFERROR(INDEX(Data_Omakoodi!E:E,MATCH(AA26,Data_Omakoodi!A:A,0)),"")</f>
        <v/>
      </c>
      <c r="AC26" t="str">
        <f>IFERROR(IF(INDEX(Data_Omakoodi!H:H,MATCH($AH$3&amp;$AL26,Data_Omakoodi!A:A,0))="P","",$AH$3&amp;$AL26),$AH$3&amp;$AL26)</f>
        <v>ComboBox_TyHlo_yksikko_00000019</v>
      </c>
      <c r="AD26" s="44" t="str">
        <f>IFERROR(INDEX(Data_Omakoodi!E:E,MATCH(AC26,Data_Omakoodi!A:A,0)),"")</f>
        <v/>
      </c>
      <c r="AE26" t="str">
        <f>IFERROR(IF(INDEX(Data_Omakoodi!H:H,MATCH($AH$3&amp;$AL26,Data_Omakoodi!A:A,0))="P","",$AH$3&amp;$AL26),$AH$3&amp;$AL26)</f>
        <v>ComboBox_TyHlo_yksikko_00000019</v>
      </c>
      <c r="AF26" t="s">
        <v>1545</v>
      </c>
      <c r="AG26" s="739" t="str">
        <f t="shared" si="0"/>
        <v/>
      </c>
      <c r="AH26" s="739" t="str">
        <f t="shared" si="1"/>
        <v/>
      </c>
      <c r="AJ26" s="739" t="str">
        <f t="shared" si="2"/>
        <v/>
      </c>
      <c r="AK26" s="739" t="str">
        <f t="shared" si="3"/>
        <v/>
      </c>
      <c r="AL26">
        <v>19</v>
      </c>
    </row>
    <row r="27" spans="1:38" x14ac:dyDescent="0.25">
      <c r="A27" s="953" t="s">
        <v>1009</v>
      </c>
      <c r="B27" s="954"/>
      <c r="C27" s="148">
        <f>COUNTIFS(TA!$AB:$AB,"ok",TA!$R:$R,Tavoitteet!X19,TA!W:W,Tavoitteet!$X$8,TA!$AH:$AH,"OK",TA!$AI:$AI,Tavoitteet!$Y$5,TA!AG:AG,Tavoitteet!$W$7,TA!$AF:$AF,Tavoitteet!$Y$6,TA!$AE:$AE,Tavoitteet!$X$5,TA!$AJ:$AJ,Tavoitteet!$V$2)</f>
        <v>0</v>
      </c>
      <c r="D27" s="312" t="str">
        <f t="shared" si="4"/>
        <v>-</v>
      </c>
      <c r="E27" s="148">
        <f>COUNTIFS(TA!$AB:$AB,"ok",TA!$R:$R,Tavoitteet!X19,TA!Y:Y,Tavoitteet!$X$7,TA!W:W,Tavoitteet!$X$8,TA!$AH:$AH,"OK",TA!$AI:$AI,Tavoitteet!$Y$5,TA!AG:AG,Tavoitteet!$W$7,TA!$AF:$AF,Tavoitteet!$Y$6,TA!$AE:$AE,Tavoitteet!$X$5,TA!$AJ:$AJ,Tavoitteet!$V$2)</f>
        <v>0</v>
      </c>
      <c r="F27" s="239">
        <f>COUNTIFS(TA!$AB:$AB,"ok",TA!$R:$R,Tavoitteet!X19,TA!Y:Y,Tavoitteet!$Y$7,TA!W:W,Tavoitteet!$X$8,TA!$AH:$AH,"OK",TA!$AI:$AI,Tavoitteet!$Y$5,TA!AG:AG,Tavoitteet!$W$7,TA!$AF:$AF,Tavoitteet!$Y$6,TA!$AE:$AE,Tavoitteet!$X$5,TA!$AJ:$AJ,Tavoitteet!$V$2)</f>
        <v>0</v>
      </c>
      <c r="G27" s="230"/>
      <c r="H27" s="231"/>
      <c r="I27" s="231"/>
      <c r="J27" s="231"/>
      <c r="K27" s="260"/>
      <c r="U27" t="s">
        <v>991</v>
      </c>
      <c r="X27" s="7"/>
      <c r="AA27" s="176" t="str">
        <f>IFERROR(IF(INDEX(Data_Omakoodi!H:H,MATCH($AK$3&amp;$AL27,Data_Omakoodi!A:A,0))="P","",$AK$3&amp;$AL27),$AK$3&amp;$AL27)</f>
        <v>ComboBox_EtKuntakoodi_00000020</v>
      </c>
      <c r="AB27" s="44" t="str">
        <f>IFERROR(INDEX(Data_Omakoodi!E:E,MATCH(AA27,Data_Omakoodi!A:A,0)),"")</f>
        <v/>
      </c>
      <c r="AC27" t="str">
        <f>IFERROR(IF(INDEX(Data_Omakoodi!H:H,MATCH($AH$3&amp;$AL27,Data_Omakoodi!A:A,0))="P","",$AH$3&amp;$AL27),$AH$3&amp;$AL27)</f>
        <v>ComboBox_TyHlo_yksikko_00000020</v>
      </c>
      <c r="AD27" s="44" t="str">
        <f>IFERROR(INDEX(Data_Omakoodi!E:E,MATCH(AC27,Data_Omakoodi!A:A,0)),"")</f>
        <v/>
      </c>
      <c r="AE27" t="str">
        <f>IFERROR(IF(INDEX(Data_Omakoodi!H:H,MATCH($AH$3&amp;$AL27,Data_Omakoodi!A:A,0))="P","",$AH$3&amp;$AL27),$AH$3&amp;$AL27)</f>
        <v>ComboBox_TyHlo_yksikko_00000020</v>
      </c>
      <c r="AF27" t="s">
        <v>1546</v>
      </c>
      <c r="AG27" s="739" t="str">
        <f t="shared" si="0"/>
        <v/>
      </c>
      <c r="AH27" s="739" t="str">
        <f t="shared" si="1"/>
        <v/>
      </c>
      <c r="AJ27" s="739" t="str">
        <f t="shared" si="2"/>
        <v/>
      </c>
      <c r="AK27" s="739" t="str">
        <f t="shared" si="3"/>
        <v/>
      </c>
      <c r="AL27">
        <v>20</v>
      </c>
    </row>
    <row r="28" spans="1:38" x14ac:dyDescent="0.25">
      <c r="A28" s="953" t="s">
        <v>1010</v>
      </c>
      <c r="B28" s="954"/>
      <c r="C28" s="148">
        <f>COUNTIFS(TA!$AB:$AB,"ok",TA!$S:$S,Tavoitteet!X19,TA!W:W,Tavoitteet!$X$8,TA!$AH:$AH,"OK",TA!$AI:$AI,Tavoitteet!$Y$5,TA!AG:AG,Tavoitteet!$W$7,TA!$AF:$AF,Tavoitteet!$Y$6,TA!$AE:$AE,Tavoitteet!$X$5,TA!$AJ:$AJ,Tavoitteet!$V$2)</f>
        <v>0</v>
      </c>
      <c r="D28" s="312" t="str">
        <f t="shared" si="4"/>
        <v>-</v>
      </c>
      <c r="E28" s="148">
        <f>COUNTIFS(TA!$AB:$AB,"ok",TA!$S:$S,Tavoitteet!X19,TA!Y:Y,Tavoitteet!$X$7,TA!W:W,Tavoitteet!$X$8,TA!$AH:$AH,"OK",TA!$AI:$AI,Tavoitteet!$Y$5,TA!AG:AG,Tavoitteet!$W$7,TA!$AF:$AF,Tavoitteet!$Y$6,TA!$AE:$AE,Tavoitteet!$X$5,TA!$AJ:$AJ,Tavoitteet!$V$2)</f>
        <v>0</v>
      </c>
      <c r="F28" s="239">
        <f>COUNTIFS(TA!$AB:$AB,"ok",TA!$S:$S,Tavoitteet!X19,TA!Y:Y,Tavoitteet!$Y$7,TA!W:W,Tavoitteet!$X$8,TA!$AH:$AH,"OK",TA!$AI:$AI,Tavoitteet!$Y$5,TA!AG:AG,Tavoitteet!$W$7,TA!$AF:$AF,Tavoitteet!$Y$6,TA!$AE:$AE,Tavoitteet!$X$5,TA!$AJ:$AJ,Tavoitteet!$V$2)</f>
        <v>0</v>
      </c>
      <c r="G28" s="230"/>
      <c r="H28" s="231"/>
      <c r="I28" s="231"/>
      <c r="J28" s="231"/>
      <c r="K28" s="260"/>
      <c r="U28" t="s">
        <v>992</v>
      </c>
      <c r="AA28" s="176" t="str">
        <f>IFERROR(IF(INDEX(Data_Omakoodi!H:H,MATCH($AK$3&amp;$AL28,Data_Omakoodi!A:A,0))="P","",$AK$3&amp;$AL28),$AK$3&amp;$AL28)</f>
        <v>ComboBox_EtKuntakoodi_00000021</v>
      </c>
      <c r="AB28" s="44" t="str">
        <f>IFERROR(INDEX(Data_Omakoodi!E:E,MATCH(AA28,Data_Omakoodi!A:A,0)),"")</f>
        <v/>
      </c>
      <c r="AC28" t="str">
        <f>IFERROR(IF(INDEX(Data_Omakoodi!H:H,MATCH($AH$3&amp;$AL28,Data_Omakoodi!A:A,0))="P","",$AH$3&amp;$AL28),$AH$3&amp;$AL28)</f>
        <v>ComboBox_TyHlo_yksikko_00000021</v>
      </c>
      <c r="AD28" s="44" t="str">
        <f>IFERROR(INDEX(Data_Omakoodi!E:E,MATCH(AC28,Data_Omakoodi!A:A,0)),"")</f>
        <v/>
      </c>
      <c r="AE28" t="str">
        <f>IFERROR(IF(INDEX(Data_Omakoodi!H:H,MATCH($AH$3&amp;$AL28,Data_Omakoodi!A:A,0))="P","",$AH$3&amp;$AL28),$AH$3&amp;$AL28)</f>
        <v>ComboBox_TyHlo_yksikko_00000021</v>
      </c>
      <c r="AF28" t="s">
        <v>1547</v>
      </c>
      <c r="AG28" s="739" t="str">
        <f t="shared" si="0"/>
        <v/>
      </c>
      <c r="AH28" s="739" t="str">
        <f t="shared" si="1"/>
        <v/>
      </c>
      <c r="AJ28" s="739" t="str">
        <f t="shared" si="2"/>
        <v/>
      </c>
      <c r="AK28" s="739" t="str">
        <f t="shared" si="3"/>
        <v/>
      </c>
      <c r="AL28">
        <v>21</v>
      </c>
    </row>
    <row r="29" spans="1:38" x14ac:dyDescent="0.25">
      <c r="A29" s="953" t="s">
        <v>1011</v>
      </c>
      <c r="B29" s="954"/>
      <c r="C29" s="148">
        <f>COUNTIFS(TA!$AB:$AB,"ok",TA!$T:$T,Tavoitteet!X19,TA!W:W,Tavoitteet!$X$8,TA!$AH:$AH,"OK",TA!$AI:$AI,Tavoitteet!$Y$5,TA!AG:AG,Tavoitteet!$W$7,TA!$AF:$AF,Tavoitteet!$Y$6,TA!$AE:$AE,Tavoitteet!$X$5,TA!$AJ:$AJ,Tavoitteet!$V$2)</f>
        <v>0</v>
      </c>
      <c r="D29" s="312" t="str">
        <f t="shared" si="4"/>
        <v>-</v>
      </c>
      <c r="E29" s="148">
        <f>COUNTIFS(TA!$AB:$AB,"ok",TA!$T:$T,Tavoitteet!X19,TA!Y:Y,Tavoitteet!$X$7,TA!W:W,Tavoitteet!$X$8,TA!$AH:$AH,"OK",TA!$AI:$AI,Tavoitteet!$Y$5,TA!AG:AG,Tavoitteet!$W$7,TA!$AF:$AF,Tavoitteet!$Y$6,TA!$AE:$AE,Tavoitteet!$X$5,TA!$AJ:$AJ,Tavoitteet!$V$2)</f>
        <v>0</v>
      </c>
      <c r="F29" s="239">
        <f>COUNTIFS(TA!$AB:$AB,"ok",TA!$T:$T,Tavoitteet!X19,TA!Y:Y,Tavoitteet!$Y$7,TA!W:W,Tavoitteet!$X$8,TA!$AH:$AH,"OK",TA!$AI:$AI,Tavoitteet!$Y$5,TA!AG:AG,Tavoitteet!$W$7,TA!$AF:$AF,Tavoitteet!$Y$6,TA!$AE:$AE,Tavoitteet!$X$5,TA!$AJ:$AJ,Tavoitteet!$V$2)</f>
        <v>0</v>
      </c>
      <c r="G29" s="230"/>
      <c r="H29" s="231"/>
      <c r="I29" s="231"/>
      <c r="J29" s="231"/>
      <c r="K29" s="260"/>
      <c r="AA29" s="176" t="str">
        <f>IFERROR(IF(INDEX(Data_Omakoodi!H:H,MATCH($AK$3&amp;$AL29,Data_Omakoodi!A:A,0))="P","",$AK$3&amp;$AL29),$AK$3&amp;$AL29)</f>
        <v>ComboBox_EtKuntakoodi_00000022</v>
      </c>
      <c r="AB29" s="44" t="str">
        <f>IFERROR(INDEX(Data_Omakoodi!E:E,MATCH(AA29,Data_Omakoodi!A:A,0)),"")</f>
        <v/>
      </c>
      <c r="AC29" t="str">
        <f>IFERROR(IF(INDEX(Data_Omakoodi!H:H,MATCH($AH$3&amp;$AL29,Data_Omakoodi!A:A,0))="P","",$AH$3&amp;$AL29),$AH$3&amp;$AL29)</f>
        <v>ComboBox_TyHlo_yksikko_00000022</v>
      </c>
      <c r="AD29" s="44" t="str">
        <f>IFERROR(INDEX(Data_Omakoodi!E:E,MATCH(AC29,Data_Omakoodi!A:A,0)),"")</f>
        <v/>
      </c>
      <c r="AE29" t="str">
        <f>IFERROR(IF(INDEX(Data_Omakoodi!H:H,MATCH($AH$3&amp;$AL29,Data_Omakoodi!A:A,0))="P","",$AH$3&amp;$AL29),$AH$3&amp;$AL29)</f>
        <v>ComboBox_TyHlo_yksikko_00000022</v>
      </c>
      <c r="AF29" t="s">
        <v>1548</v>
      </c>
      <c r="AG29" s="739" t="str">
        <f t="shared" si="0"/>
        <v/>
      </c>
      <c r="AH29" s="739" t="str">
        <f t="shared" si="1"/>
        <v/>
      </c>
      <c r="AJ29" s="739" t="str">
        <f t="shared" si="2"/>
        <v/>
      </c>
      <c r="AK29" s="739" t="str">
        <f t="shared" si="3"/>
        <v/>
      </c>
      <c r="AL29">
        <v>22</v>
      </c>
    </row>
    <row r="30" spans="1:38" x14ac:dyDescent="0.25">
      <c r="A30" s="953" t="s">
        <v>1012</v>
      </c>
      <c r="B30" s="954"/>
      <c r="C30" s="148">
        <f>COUNTIFS(TA!$AB:$AB,"ok",TA!$U:$U,Tavoitteet!X19,TA!W:W,Tavoitteet!$X$8,TA!$AH:$AH,"OK",TA!$AI:$AI,Tavoitteet!$Y$5,TA!AG:AG,Tavoitteet!$W$7,TA!$AF:$AF,Tavoitteet!$Y$6,TA!$AE:$AE,Tavoitteet!$X$5,TA!$AJ:$AJ,Tavoitteet!$V$2)</f>
        <v>0</v>
      </c>
      <c r="D30" s="312" t="str">
        <f t="shared" si="4"/>
        <v>-</v>
      </c>
      <c r="E30" s="148">
        <f>COUNTIFS(TA!$AB:$AB,"ok",TA!$U:$U,Tavoitteet!X19,TA!Y:Y,Tavoitteet!$X$7,TA!W:W,Tavoitteet!$X$8,TA!$AH:$AH,"OK",TA!$AI:$AI,Tavoitteet!$Y$5,TA!AG:AG,Tavoitteet!$W$7,TA!$AF:$AF,Tavoitteet!$Y$6,TA!$AE:$AE,Tavoitteet!$X$5,TA!$AJ:$AJ,Tavoitteet!$V$2)</f>
        <v>0</v>
      </c>
      <c r="F30" s="239">
        <f>COUNTIFS(TA!$AB:$AB,"ok",TA!$U:$U,Tavoitteet!X19,TA!Y:Y,Tavoitteet!$Y$7,TA!W:W,Tavoitteet!$X$8,TA!$AH:$AH,"OK",TA!$AI:$AI,Tavoitteet!$Y$5,TA!AG:AG,Tavoitteet!$W$7,TA!$AF:$AF,Tavoitteet!$Y$6,TA!$AE:$AE,Tavoitteet!$X$5,TA!$AJ:$AJ,Tavoitteet!$V$2)</f>
        <v>0</v>
      </c>
      <c r="G30" s="230"/>
      <c r="H30" s="231"/>
      <c r="I30" s="231"/>
      <c r="J30" s="231"/>
      <c r="K30" s="260"/>
      <c r="AA30" s="176" t="str">
        <f>IFERROR(IF(INDEX(Data_Omakoodi!H:H,MATCH($AK$3&amp;$AL30,Data_Omakoodi!A:A,0))="P","",$AK$3&amp;$AL30),$AK$3&amp;$AL30)</f>
        <v>ComboBox_EtKuntakoodi_00000023</v>
      </c>
      <c r="AB30" s="44" t="str">
        <f>IFERROR(INDEX(Data_Omakoodi!E:E,MATCH(AA30,Data_Omakoodi!A:A,0)),"")</f>
        <v/>
      </c>
      <c r="AC30" t="str">
        <f>IFERROR(IF(INDEX(Data_Omakoodi!H:H,MATCH($AH$3&amp;$AL30,Data_Omakoodi!A:A,0))="P","",$AH$3&amp;$AL30),$AH$3&amp;$AL30)</f>
        <v>ComboBox_TyHlo_yksikko_00000023</v>
      </c>
      <c r="AD30" s="44" t="str">
        <f>IFERROR(INDEX(Data_Omakoodi!E:E,MATCH(AC30,Data_Omakoodi!A:A,0)),"")</f>
        <v/>
      </c>
      <c r="AE30" t="str">
        <f>IFERROR(IF(INDEX(Data_Omakoodi!H:H,MATCH($AH$3&amp;$AL30,Data_Omakoodi!A:A,0))="P","",$AH$3&amp;$AL30),$AH$3&amp;$AL30)</f>
        <v>ComboBox_TyHlo_yksikko_00000023</v>
      </c>
      <c r="AF30" t="s">
        <v>1549</v>
      </c>
      <c r="AG30" s="739" t="str">
        <f t="shared" si="0"/>
        <v/>
      </c>
      <c r="AH30" s="739" t="str">
        <f t="shared" si="1"/>
        <v/>
      </c>
      <c r="AJ30" s="739" t="str">
        <f t="shared" si="2"/>
        <v/>
      </c>
      <c r="AK30" s="739" t="str">
        <f t="shared" si="3"/>
        <v/>
      </c>
      <c r="AL30">
        <v>23</v>
      </c>
    </row>
    <row r="31" spans="1:38" x14ac:dyDescent="0.25">
      <c r="A31" s="971" t="s">
        <v>1596</v>
      </c>
      <c r="B31" s="972"/>
      <c r="C31" s="754">
        <f>AVERAGE(C21:C30)</f>
        <v>0</v>
      </c>
      <c r="D31" s="755" t="str">
        <f>IFERROR(AVERAGE(D21:D30),"")</f>
        <v/>
      </c>
      <c r="E31" s="754">
        <f>AVERAGE(E21:E30)</f>
        <v>0</v>
      </c>
      <c r="F31" s="754">
        <f>AVERAGE(F21:F30)</f>
        <v>0</v>
      </c>
      <c r="G31" s="498"/>
      <c r="H31" s="498"/>
      <c r="AA31" s="176" t="str">
        <f>IFERROR(IF(INDEX(Data_Omakoodi!H:H,MATCH($AK$3&amp;$AL31,Data_Omakoodi!A:A,0))="P","",$AK$3&amp;$AL31),$AK$3&amp;$AL31)</f>
        <v>ComboBox_EtKuntakoodi_00000024</v>
      </c>
      <c r="AB31" s="44" t="str">
        <f>IFERROR(INDEX(Data_Omakoodi!E:E,MATCH(AA31,Data_Omakoodi!A:A,0)),"")</f>
        <v/>
      </c>
      <c r="AC31" t="str">
        <f>IFERROR(IF(INDEX(Data_Omakoodi!H:H,MATCH($AH$3&amp;$AL31,Data_Omakoodi!A:A,0))="P","",$AH$3&amp;$AL31),$AH$3&amp;$AL31)</f>
        <v>ComboBox_TyHlo_yksikko_00000024</v>
      </c>
      <c r="AD31" s="44" t="str">
        <f>IFERROR(INDEX(Data_Omakoodi!E:E,MATCH(AC31,Data_Omakoodi!A:A,0)),"")</f>
        <v/>
      </c>
      <c r="AE31" t="str">
        <f>IFERROR(IF(INDEX(Data_Omakoodi!H:H,MATCH($AH$3&amp;$AL31,Data_Omakoodi!A:A,0))="P","",$AH$3&amp;$AL31),$AH$3&amp;$AL31)</f>
        <v>ComboBox_TyHlo_yksikko_00000024</v>
      </c>
      <c r="AF31" t="s">
        <v>1550</v>
      </c>
      <c r="AG31" s="739" t="str">
        <f t="shared" si="0"/>
        <v/>
      </c>
      <c r="AH31" s="739" t="str">
        <f t="shared" si="1"/>
        <v/>
      </c>
      <c r="AJ31" s="739" t="str">
        <f t="shared" si="2"/>
        <v/>
      </c>
      <c r="AK31" s="739" t="str">
        <f t="shared" si="3"/>
        <v/>
      </c>
      <c r="AL31">
        <v>24</v>
      </c>
    </row>
    <row r="32" spans="1:38" x14ac:dyDescent="0.25">
      <c r="A32" s="971" t="s">
        <v>1595</v>
      </c>
      <c r="B32" s="972"/>
      <c r="C32" s="754">
        <f>SUM(C21:C30)</f>
        <v>0</v>
      </c>
      <c r="E32" s="754">
        <f>SUM(E21:E30)</f>
        <v>0</v>
      </c>
      <c r="F32" s="754">
        <f>SUM(F21:F30)</f>
        <v>0</v>
      </c>
      <c r="W32"/>
      <c r="X32" s="499" t="s">
        <v>1088</v>
      </c>
      <c r="Y32"/>
      <c r="Z32"/>
      <c r="AA32" s="176" t="str">
        <f>IFERROR(IF(INDEX(Data_Omakoodi!H:H,MATCH($AK$3&amp;$AL32,Data_Omakoodi!A:A,0))="P","",$AK$3&amp;$AL32),$AK$3&amp;$AL32)</f>
        <v>ComboBox_EtKuntakoodi_00000025</v>
      </c>
      <c r="AB32" s="44" t="str">
        <f>IFERROR(INDEX(Data_Omakoodi!E:E,MATCH(AA32,Data_Omakoodi!A:A,0)),"")</f>
        <v/>
      </c>
      <c r="AC32" t="str">
        <f>IFERROR(IF(INDEX(Data_Omakoodi!H:H,MATCH($AH$3&amp;$AL32,Data_Omakoodi!A:A,0))="P","",$AH$3&amp;$AL32),$AH$3&amp;$AL32)</f>
        <v>ComboBox_TyHlo_yksikko_00000025</v>
      </c>
      <c r="AD32" s="44" t="str">
        <f>IFERROR(INDEX(Data_Omakoodi!E:E,MATCH(AC32,Data_Omakoodi!A:A,0)),"")</f>
        <v/>
      </c>
      <c r="AE32" t="str">
        <f>IFERROR(IF(INDEX(Data_Omakoodi!H:H,MATCH($AH$3&amp;$AL32,Data_Omakoodi!A:A,0))="P","",$AH$3&amp;$AL32),$AH$3&amp;$AL32)</f>
        <v>ComboBox_TyHlo_yksikko_00000025</v>
      </c>
      <c r="AF32" t="s">
        <v>1551</v>
      </c>
      <c r="AG32" s="739" t="str">
        <f t="shared" si="0"/>
        <v/>
      </c>
      <c r="AH32" s="739" t="str">
        <f t="shared" si="1"/>
        <v/>
      </c>
      <c r="AJ32" s="739" t="str">
        <f t="shared" si="2"/>
        <v/>
      </c>
      <c r="AK32" s="739" t="str">
        <f t="shared" si="3"/>
        <v/>
      </c>
      <c r="AL32">
        <v>25</v>
      </c>
    </row>
    <row r="33" spans="1:38" ht="36" customHeight="1" x14ac:dyDescent="0.25">
      <c r="A33" s="756" t="s">
        <v>1036</v>
      </c>
      <c r="S33" s="503" t="s">
        <v>1015</v>
      </c>
      <c r="T33" s="503" t="s">
        <v>1017</v>
      </c>
      <c r="U33" s="503" t="s">
        <v>1015</v>
      </c>
      <c r="V33" s="503" t="s">
        <v>1017</v>
      </c>
      <c r="W33"/>
      <c r="X33"/>
      <c r="Y33"/>
      <c r="Z33"/>
      <c r="AA33" s="176" t="str">
        <f>IFERROR(IF(INDEX(Data_Omakoodi!H:H,MATCH($AK$3&amp;$AL33,Data_Omakoodi!A:A,0))="P","",$AK$3&amp;$AL33),$AK$3&amp;$AL33)</f>
        <v>ComboBox_EtKuntakoodi_00000026</v>
      </c>
      <c r="AB33" s="44" t="str">
        <f>IFERROR(INDEX(Data_Omakoodi!E:E,MATCH(AA33,Data_Omakoodi!A:A,0)),"")</f>
        <v/>
      </c>
      <c r="AC33" t="str">
        <f>IFERROR(IF(INDEX(Data_Omakoodi!H:H,MATCH($AH$3&amp;$AL33,Data_Omakoodi!A:A,0))="P","",$AH$3&amp;$AL33),$AH$3&amp;$AL33)</f>
        <v>ComboBox_TyHlo_yksikko_00000026</v>
      </c>
      <c r="AD33" s="44" t="str">
        <f>IFERROR(INDEX(Data_Omakoodi!E:E,MATCH(AC33,Data_Omakoodi!A:A,0)),"")</f>
        <v/>
      </c>
      <c r="AE33" t="str">
        <f>IFERROR(IF(INDEX(Data_Omakoodi!H:H,MATCH($AH$3&amp;$AL33,Data_Omakoodi!A:A,0))="P","",$AH$3&amp;$AL33),$AH$3&amp;$AL33)</f>
        <v>ComboBox_TyHlo_yksikko_00000026</v>
      </c>
      <c r="AF33" t="s">
        <v>1552</v>
      </c>
      <c r="AG33" s="739" t="str">
        <f t="shared" si="0"/>
        <v/>
      </c>
      <c r="AH33" s="739" t="str">
        <f t="shared" si="1"/>
        <v/>
      </c>
      <c r="AJ33" s="739" t="str">
        <f t="shared" si="2"/>
        <v/>
      </c>
      <c r="AK33" s="739" t="str">
        <f t="shared" si="3"/>
        <v/>
      </c>
      <c r="AL33">
        <v>26</v>
      </c>
    </row>
    <row r="34" spans="1:38" x14ac:dyDescent="0.25">
      <c r="A34" s="957" t="str">
        <f>X32&amp;X10 &amp;Y12&amp;X12&amp;" (N:"&amp;F13&amp;")"</f>
        <v>Viimeisin tilanne, tavoiteen kanssa työskennellään tai tavoite saavutettu - 01.01.2025-30.04.2025 KAIKKI: (Tavoitetut) (N:0)</v>
      </c>
      <c r="B34" s="957"/>
      <c r="C34" s="957"/>
      <c r="D34" s="957"/>
      <c r="E34" s="957"/>
      <c r="F34" s="957"/>
      <c r="G34" s="957"/>
      <c r="H34" s="957"/>
      <c r="I34" s="957"/>
      <c r="J34" s="957"/>
      <c r="K34" s="957"/>
      <c r="W34"/>
      <c r="X34"/>
      <c r="Y34"/>
      <c r="Z34"/>
      <c r="AA34" s="176" t="str">
        <f>IFERROR(IF(INDEX(Data_Omakoodi!H:H,MATCH($AK$3&amp;$AL34,Data_Omakoodi!A:A,0))="P","",$AK$3&amp;$AL34),$AK$3&amp;$AL34)</f>
        <v>ComboBox_EtKuntakoodi_00000027</v>
      </c>
      <c r="AB34" s="44" t="str">
        <f>IFERROR(INDEX(Data_Omakoodi!E:E,MATCH(AA34,Data_Omakoodi!A:A,0)),"")</f>
        <v/>
      </c>
      <c r="AC34" t="str">
        <f>IFERROR(IF(INDEX(Data_Omakoodi!H:H,MATCH($AH$3&amp;$AL34,Data_Omakoodi!A:A,0))="P","",$AH$3&amp;$AL34),$AH$3&amp;$AL34)</f>
        <v>ComboBox_TyHlo_yksikko_00000027</v>
      </c>
      <c r="AD34" s="44" t="str">
        <f>IFERROR(INDEX(Data_Omakoodi!E:E,MATCH(AC34,Data_Omakoodi!A:A,0)),"")</f>
        <v/>
      </c>
      <c r="AE34" t="str">
        <f>IFERROR(IF(INDEX(Data_Omakoodi!H:H,MATCH($AH$3&amp;$AL34,Data_Omakoodi!A:A,0))="P","",$AH$3&amp;$AL34),$AH$3&amp;$AL34)</f>
        <v>ComboBox_TyHlo_yksikko_00000027</v>
      </c>
      <c r="AF34" t="s">
        <v>1553</v>
      </c>
      <c r="AG34" s="739" t="str">
        <f t="shared" si="0"/>
        <v/>
      </c>
      <c r="AH34" s="739" t="str">
        <f t="shared" si="1"/>
        <v/>
      </c>
      <c r="AJ34" s="739" t="str">
        <f t="shared" si="2"/>
        <v/>
      </c>
      <c r="AK34" s="739" t="str">
        <f t="shared" si="3"/>
        <v/>
      </c>
      <c r="AL34">
        <v>27</v>
      </c>
    </row>
    <row r="35" spans="1:38" ht="29.45" customHeight="1" x14ac:dyDescent="0.25">
      <c r="A35" s="834" t="s">
        <v>1030</v>
      </c>
      <c r="B35" s="836"/>
      <c r="C35" s="969" t="s">
        <v>1033</v>
      </c>
      <c r="D35" s="975"/>
      <c r="E35" s="973" t="s">
        <v>1034</v>
      </c>
      <c r="F35" s="974"/>
      <c r="G35" s="976" t="s">
        <v>1463</v>
      </c>
      <c r="H35" s="977"/>
      <c r="I35" s="257"/>
      <c r="J35" s="257"/>
      <c r="K35" s="257"/>
      <c r="L35" s="257"/>
      <c r="M35" s="258"/>
      <c r="U35" t="s">
        <v>993</v>
      </c>
      <c r="W35"/>
      <c r="X35"/>
      <c r="Y35"/>
      <c r="Z35"/>
      <c r="AA35" s="176" t="str">
        <f>IFERROR(IF(INDEX(Data_Omakoodi!H:H,MATCH($AK$3&amp;$AL35,Data_Omakoodi!A:A,0))="P","",$AK$3&amp;$AL35),$AK$3&amp;$AL35)</f>
        <v>ComboBox_EtKuntakoodi_00000028</v>
      </c>
      <c r="AB35" s="44" t="str">
        <f>IFERROR(INDEX(Data_Omakoodi!E:E,MATCH(AA35,Data_Omakoodi!A:A,0)),"")</f>
        <v/>
      </c>
      <c r="AC35" t="str">
        <f>IFERROR(IF(INDEX(Data_Omakoodi!H:H,MATCH($AH$3&amp;$AL35,Data_Omakoodi!A:A,0))="P","",$AH$3&amp;$AL35),$AH$3&amp;$AL35)</f>
        <v>ComboBox_TyHlo_yksikko_00000028</v>
      </c>
      <c r="AD35" s="44" t="str">
        <f>IFERROR(INDEX(Data_Omakoodi!E:E,MATCH(AC35,Data_Omakoodi!A:A,0)),"")</f>
        <v/>
      </c>
      <c r="AE35" t="str">
        <f>IFERROR(IF(INDEX(Data_Omakoodi!H:H,MATCH($AH$3&amp;$AL35,Data_Omakoodi!A:A,0))="P","",$AH$3&amp;$AL35),$AH$3&amp;$AL35)</f>
        <v>ComboBox_TyHlo_yksikko_00000028</v>
      </c>
      <c r="AF35" t="s">
        <v>1554</v>
      </c>
      <c r="AG35" s="739" t="str">
        <f t="shared" si="0"/>
        <v/>
      </c>
      <c r="AH35" s="739" t="str">
        <f t="shared" si="1"/>
        <v/>
      </c>
      <c r="AJ35" s="739" t="str">
        <f t="shared" si="2"/>
        <v/>
      </c>
      <c r="AK35" s="739" t="str">
        <f t="shared" si="3"/>
        <v/>
      </c>
      <c r="AL35">
        <v>28</v>
      </c>
    </row>
    <row r="36" spans="1:38" x14ac:dyDescent="0.25">
      <c r="A36" s="924"/>
      <c r="B36" s="926"/>
      <c r="C36" s="882" t="s">
        <v>114</v>
      </c>
      <c r="D36" s="850"/>
      <c r="E36" s="967" t="s">
        <v>114</v>
      </c>
      <c r="F36" s="968"/>
      <c r="G36" s="967" t="s">
        <v>114</v>
      </c>
      <c r="H36" s="968"/>
      <c r="I36" s="677"/>
      <c r="J36" s="677"/>
      <c r="K36" s="677"/>
      <c r="L36" s="677"/>
      <c r="M36" s="678"/>
      <c r="U36" t="s">
        <v>994</v>
      </c>
      <c r="W36"/>
      <c r="X36"/>
      <c r="Y36"/>
      <c r="Z36"/>
      <c r="AA36" s="176" t="str">
        <f>IFERROR(IF(INDEX(Data_Omakoodi!H:H,MATCH($AK$3&amp;$AL36,Data_Omakoodi!A:A,0))="P","",$AK$3&amp;$AL36),$AK$3&amp;$AL36)</f>
        <v>ComboBox_EtKuntakoodi_00000029</v>
      </c>
      <c r="AB36" s="44" t="str">
        <f>IFERROR(INDEX(Data_Omakoodi!E:E,MATCH(AA36,Data_Omakoodi!A:A,0)),"")</f>
        <v/>
      </c>
      <c r="AC36" t="str">
        <f>IFERROR(IF(INDEX(Data_Omakoodi!H:H,MATCH($AH$3&amp;$AL36,Data_Omakoodi!A:A,0))="P","",$AH$3&amp;$AL36),$AH$3&amp;$AL36)</f>
        <v>ComboBox_TyHlo_yksikko_00000029</v>
      </c>
      <c r="AD36" s="44" t="str">
        <f>IFERROR(INDEX(Data_Omakoodi!E:E,MATCH(AC36,Data_Omakoodi!A:A,0)),"")</f>
        <v/>
      </c>
      <c r="AE36" t="str">
        <f>IFERROR(IF(INDEX(Data_Omakoodi!H:H,MATCH($AH$3&amp;$AL36,Data_Omakoodi!A:A,0))="P","",$AH$3&amp;$AL36),$AH$3&amp;$AL36)</f>
        <v>ComboBox_TyHlo_yksikko_00000029</v>
      </c>
      <c r="AF36" t="s">
        <v>1555</v>
      </c>
      <c r="AG36" s="739" t="str">
        <f t="shared" si="0"/>
        <v/>
      </c>
      <c r="AH36" s="739" t="str">
        <f t="shared" si="1"/>
        <v/>
      </c>
      <c r="AJ36" s="739" t="str">
        <f t="shared" si="2"/>
        <v/>
      </c>
      <c r="AK36" s="739" t="str">
        <f t="shared" si="3"/>
        <v/>
      </c>
      <c r="AL36">
        <v>29</v>
      </c>
    </row>
    <row r="37" spans="1:38" x14ac:dyDescent="0.25">
      <c r="A37" s="837"/>
      <c r="B37" s="839"/>
      <c r="C37" s="497" t="s">
        <v>106</v>
      </c>
      <c r="D37" s="496" t="s">
        <v>176</v>
      </c>
      <c r="E37" s="495" t="s">
        <v>106</v>
      </c>
      <c r="F37" s="506" t="s">
        <v>176</v>
      </c>
      <c r="G37" s="495" t="s">
        <v>1464</v>
      </c>
      <c r="H37" s="506" t="s">
        <v>176</v>
      </c>
      <c r="I37" s="231"/>
      <c r="J37" s="231"/>
      <c r="K37" s="231"/>
      <c r="L37" s="231"/>
      <c r="M37" s="260"/>
      <c r="U37" t="s">
        <v>995</v>
      </c>
      <c r="W37"/>
      <c r="X37"/>
      <c r="Y37"/>
      <c r="Z37"/>
      <c r="AA37" s="176" t="str">
        <f>IFERROR(IF(INDEX(Data_Omakoodi!H:H,MATCH($AK$3&amp;$AL37,Data_Omakoodi!A:A,0))="P","",$AK$3&amp;$AL37),$AK$3&amp;$AL37)</f>
        <v>ComboBox_EtKuntakoodi_00000030</v>
      </c>
      <c r="AB37" s="44" t="str">
        <f>IFERROR(INDEX(Data_Omakoodi!E:E,MATCH(AA37,Data_Omakoodi!A:A,0)),"")</f>
        <v/>
      </c>
      <c r="AC37" t="str">
        <f>IFERROR(IF(INDEX(Data_Omakoodi!H:H,MATCH($AH$3&amp;$AL37,Data_Omakoodi!A:A,0))="P","",$AH$3&amp;$AL37),$AH$3&amp;$AL37)</f>
        <v>ComboBox_TyHlo_yksikko_00000030</v>
      </c>
      <c r="AD37" s="44" t="str">
        <f>IFERROR(INDEX(Data_Omakoodi!E:E,MATCH(AC37,Data_Omakoodi!A:A,0)),"")</f>
        <v/>
      </c>
      <c r="AE37" t="str">
        <f>IFERROR(IF(INDEX(Data_Omakoodi!H:H,MATCH($AH$3&amp;$AL37,Data_Omakoodi!A:A,0))="P","",$AH$3&amp;$AL37),$AH$3&amp;$AL37)</f>
        <v>ComboBox_TyHlo_yksikko_00000030</v>
      </c>
      <c r="AF37" t="s">
        <v>1556</v>
      </c>
      <c r="AG37" s="739" t="str">
        <f t="shared" si="0"/>
        <v/>
      </c>
      <c r="AH37" s="739" t="str">
        <f t="shared" si="1"/>
        <v/>
      </c>
      <c r="AJ37" s="739" t="str">
        <f t="shared" si="2"/>
        <v/>
      </c>
      <c r="AK37" s="739" t="str">
        <f t="shared" si="3"/>
        <v/>
      </c>
      <c r="AL37">
        <v>30</v>
      </c>
    </row>
    <row r="38" spans="1:38" x14ac:dyDescent="0.25">
      <c r="A38" s="955" t="s">
        <v>1004</v>
      </c>
      <c r="B38" s="956"/>
      <c r="C38" s="148">
        <f>COUNTIFS(TA!$AD:$AD,"ok",TA!$F:$F,Tavoitteet!S33,TA!W:W,Tavoitteet!$X$8,TA!$AH:$AH,"OK",TA!$AI:$AI,Tavoitteet!$Y$5,TA!AG:AG,Tavoitteet!$W$7,TA!$AF:$AF,Tavoitteet!$Y$6,TA!$AE:$AE,Tavoitteet!$X$5,TA!$AJ:$AJ,Tavoitteet!$V$2)</f>
        <v>0</v>
      </c>
      <c r="D38" s="312" t="str">
        <f t="shared" ref="D38:D47" si="5">IFERROR(C38/$F$13,"-")</f>
        <v>-</v>
      </c>
      <c r="E38" s="507">
        <f>COUNTIFS(TA!$AD:$AD,"ok",TA!$F:$F,Tavoitteet!T33,TA!W:W,Tavoitteet!$X$8,TA!$AH:$AH,"OK",TA!$AI:$AI,Tavoitteet!$Y$5,TA!AG:AG,Tavoitteet!$W$7,TA!$AF:$AF,Tavoitteet!$Y$6,TA!$AE:$AE,Tavoitteet!$X$5,TA!$AJ:$AJ,Tavoitteet!$V$2)</f>
        <v>0</v>
      </c>
      <c r="F38" s="312" t="str">
        <f t="shared" ref="F38:F47" si="6">IFERROR(E38/$F$13,"-")</f>
        <v>-</v>
      </c>
      <c r="G38" s="680">
        <f>C38+E38</f>
        <v>0</v>
      </c>
      <c r="H38" s="679" t="str">
        <f>IFERROR(G38/$F$13,"-")</f>
        <v>-</v>
      </c>
      <c r="I38" s="231"/>
      <c r="J38" s="231"/>
      <c r="K38" s="231"/>
      <c r="L38" s="231"/>
      <c r="M38" s="260"/>
      <c r="U38" t="s">
        <v>978</v>
      </c>
      <c r="W38"/>
      <c r="X38"/>
      <c r="Y38"/>
      <c r="Z38"/>
      <c r="AA38" s="176" t="str">
        <f>IFERROR(IF(INDEX(Data_Omakoodi!H:H,MATCH($AK$3&amp;$AL38,Data_Omakoodi!A:A,0))="P","",$AK$3&amp;$AL38),$AK$3&amp;$AL38)</f>
        <v>ComboBox_EtKuntakoodi_00000031</v>
      </c>
      <c r="AB38" s="44" t="str">
        <f>IFERROR(INDEX(Data_Omakoodi!E:E,MATCH(AA38,Data_Omakoodi!A:A,0)),"")</f>
        <v/>
      </c>
      <c r="AC38" t="str">
        <f>IFERROR(IF(INDEX(Data_Omakoodi!H:H,MATCH($AH$3&amp;$AL38,Data_Omakoodi!A:A,0))="P","",$AH$3&amp;$AL38),$AH$3&amp;$AL38)</f>
        <v>ComboBox_TyHlo_yksikko_00000031</v>
      </c>
      <c r="AD38" s="44" t="str">
        <f>IFERROR(INDEX(Data_Omakoodi!E:E,MATCH(AC38,Data_Omakoodi!A:A,0)),"")</f>
        <v/>
      </c>
      <c r="AE38" t="str">
        <f>IFERROR(IF(INDEX(Data_Omakoodi!H:H,MATCH($AH$3&amp;$AL38,Data_Omakoodi!A:A,0))="P","",$AH$3&amp;$AL38),$AH$3&amp;$AL38)</f>
        <v>ComboBox_TyHlo_yksikko_00000031</v>
      </c>
      <c r="AF38" t="s">
        <v>1621</v>
      </c>
      <c r="AG38" s="739" t="str">
        <f t="shared" si="0"/>
        <v/>
      </c>
      <c r="AH38" s="739" t="str">
        <f t="shared" si="1"/>
        <v/>
      </c>
      <c r="AJ38" s="739" t="str">
        <f t="shared" si="2"/>
        <v/>
      </c>
      <c r="AK38" s="739" t="str">
        <f t="shared" si="3"/>
        <v/>
      </c>
      <c r="AL38">
        <v>31</v>
      </c>
    </row>
    <row r="39" spans="1:38" x14ac:dyDescent="0.25">
      <c r="A39" s="955" t="s">
        <v>1005</v>
      </c>
      <c r="B39" s="956"/>
      <c r="C39" s="148">
        <f>COUNTIFS(TA!$AD:$AD,"ok",TA!$H:$H,Tavoitteet!S33,TA!W:W,Tavoitteet!$X$8,TA!$AH:$AH,"OK",TA!$AI:$AI,Tavoitteet!$Y$5,TA!AG:AG,Tavoitteet!$W$7,TA!$AF:$AF,Tavoitteet!$Y$6,TA!$AE:$AE,Tavoitteet!$X$5,TA!$AJ:$AJ,Tavoitteet!$V$2)</f>
        <v>0</v>
      </c>
      <c r="D39" s="312" t="str">
        <f t="shared" si="5"/>
        <v>-</v>
      </c>
      <c r="E39" s="507">
        <f>COUNTIFS(TA!$AD:$AD,"ok",TA!$H:$H,Tavoitteet!T33,TA!W:W,Tavoitteet!$X$8,TA!$AH:$AH,"OK",TA!$AI:$AI,Tavoitteet!$Y$5,TA!AG:AG,Tavoitteet!$W$7,TA!$AF:$AF,Tavoitteet!$Y$6,TA!$AE:$AE,Tavoitteet!$X$5,TA!$AJ:$AJ,Tavoitteet!$V$2)</f>
        <v>0</v>
      </c>
      <c r="F39" s="312" t="str">
        <f t="shared" si="6"/>
        <v>-</v>
      </c>
      <c r="G39" s="680">
        <f t="shared" ref="G39:G47" si="7">C39+E39</f>
        <v>0</v>
      </c>
      <c r="H39" s="679" t="str">
        <f t="shared" ref="H39:H47" si="8">IFERROR(G39/$F$13,"-")</f>
        <v>-</v>
      </c>
      <c r="I39" s="231"/>
      <c r="J39" s="231"/>
      <c r="K39" s="231"/>
      <c r="L39" s="231"/>
      <c r="M39" s="260"/>
      <c r="U39" t="s">
        <v>980</v>
      </c>
      <c r="W39"/>
      <c r="X39"/>
      <c r="Y39"/>
      <c r="Z39"/>
      <c r="AA39" s="176" t="str">
        <f>IFERROR(IF(INDEX(Data_Omakoodi!H:H,MATCH($AK$3&amp;$AL39,Data_Omakoodi!A:A,0))="P","",$AK$3&amp;$AL39),$AK$3&amp;$AL39)</f>
        <v>ComboBox_EtKuntakoodi_00000032</v>
      </c>
      <c r="AB39" s="44" t="str">
        <f>IFERROR(INDEX(Data_Omakoodi!E:E,MATCH(AA39,Data_Omakoodi!A:A,0)),"")</f>
        <v/>
      </c>
      <c r="AC39" t="str">
        <f>IFERROR(IF(INDEX(Data_Omakoodi!H:H,MATCH($AH$3&amp;$AL39,Data_Omakoodi!A:A,0))="P","",$AH$3&amp;$AL39),$AH$3&amp;$AL39)</f>
        <v>ComboBox_TyHlo_yksikko_00000032</v>
      </c>
      <c r="AD39" s="44" t="str">
        <f>IFERROR(INDEX(Data_Omakoodi!E:E,MATCH(AC39,Data_Omakoodi!A:A,0)),"")</f>
        <v/>
      </c>
      <c r="AE39" t="str">
        <f>IFERROR(IF(INDEX(Data_Omakoodi!H:H,MATCH($AH$3&amp;$AL39,Data_Omakoodi!A:A,0))="P","",$AH$3&amp;$AL39),$AH$3&amp;$AL39)</f>
        <v>ComboBox_TyHlo_yksikko_00000032</v>
      </c>
      <c r="AF39" t="s">
        <v>1622</v>
      </c>
      <c r="AG39" s="739" t="str">
        <f t="shared" si="0"/>
        <v/>
      </c>
      <c r="AH39" s="739" t="str">
        <f t="shared" si="1"/>
        <v/>
      </c>
      <c r="AJ39" s="739" t="str">
        <f t="shared" si="2"/>
        <v/>
      </c>
      <c r="AK39" s="739" t="str">
        <f t="shared" si="3"/>
        <v/>
      </c>
      <c r="AL39">
        <v>32</v>
      </c>
    </row>
    <row r="40" spans="1:38" x14ac:dyDescent="0.25">
      <c r="A40" s="955" t="s">
        <v>1006</v>
      </c>
      <c r="B40" s="956"/>
      <c r="C40" s="148">
        <f>COUNTIFS(TA!$AD:$AD,"ok",TA!$J:$J,Tavoitteet!S33,TA!W:W,Tavoitteet!$X$8,TA!$AH:$AH,"OK",TA!$AI:$AI,Tavoitteet!$Y$5,TA!AG:AG,Tavoitteet!$W$7,TA!$AF:$AF,Tavoitteet!$Y$6,TA!$AE:$AE,Tavoitteet!$X$5,TA!$AJ:$AJ,Tavoitteet!$V$2)</f>
        <v>0</v>
      </c>
      <c r="D40" s="312" t="str">
        <f t="shared" si="5"/>
        <v>-</v>
      </c>
      <c r="E40" s="507">
        <f>COUNTIFS(TA!$AD:$AD,"ok",TA!$J:$J,Tavoitteet!T33,TA!W:W,Tavoitteet!$X$8,TA!$AH:$AH,"OK",TA!$AI:$AI,Tavoitteet!$Y$5,TA!AG:AG,Tavoitteet!$W$7,TA!$AF:$AF,Tavoitteet!$Y$6,TA!$AE:$AE,Tavoitteet!$X$5,TA!$AJ:$AJ,Tavoitteet!$V$2)</f>
        <v>0</v>
      </c>
      <c r="F40" s="312" t="str">
        <f t="shared" si="6"/>
        <v>-</v>
      </c>
      <c r="G40" s="680">
        <f t="shared" si="7"/>
        <v>0</v>
      </c>
      <c r="H40" s="679" t="str">
        <f t="shared" si="8"/>
        <v>-</v>
      </c>
      <c r="I40" s="231"/>
      <c r="J40" s="231"/>
      <c r="K40" s="231"/>
      <c r="L40" s="231"/>
      <c r="M40" s="260"/>
      <c r="U40" t="s">
        <v>982</v>
      </c>
      <c r="W40"/>
      <c r="X40"/>
      <c r="Y40"/>
      <c r="Z40"/>
      <c r="AA40" s="176" t="str">
        <f>IFERROR(IF(INDEX(Data_Omakoodi!H:H,MATCH($AK$3&amp;$AL40,Data_Omakoodi!A:A,0))="P","",$AK$3&amp;$AL40),$AK$3&amp;$AL40)</f>
        <v>ComboBox_EtKuntakoodi_00000033</v>
      </c>
      <c r="AB40" s="44" t="str">
        <f>IFERROR(INDEX(Data_Omakoodi!E:E,MATCH(AA40,Data_Omakoodi!A:A,0)),"")</f>
        <v/>
      </c>
      <c r="AC40" t="str">
        <f>IFERROR(IF(INDEX(Data_Omakoodi!H:H,MATCH($AH$3&amp;$AL40,Data_Omakoodi!A:A,0))="P","",$AH$3&amp;$AL40),$AH$3&amp;$AL40)</f>
        <v>ComboBox_TyHlo_yksikko_00000033</v>
      </c>
      <c r="AD40" s="44" t="str">
        <f>IFERROR(INDEX(Data_Omakoodi!E:E,MATCH(AC40,Data_Omakoodi!A:A,0)),"")</f>
        <v/>
      </c>
      <c r="AE40" t="str">
        <f>IFERROR(IF(INDEX(Data_Omakoodi!H:H,MATCH($AH$3&amp;$AL40,Data_Omakoodi!A:A,0))="P","",$AH$3&amp;$AL40),$AH$3&amp;$AL40)</f>
        <v>ComboBox_TyHlo_yksikko_00000033</v>
      </c>
      <c r="AF40" t="s">
        <v>1623</v>
      </c>
      <c r="AG40" s="739" t="str">
        <f t="shared" si="0"/>
        <v/>
      </c>
      <c r="AH40" s="739" t="str">
        <f t="shared" si="1"/>
        <v/>
      </c>
      <c r="AJ40" s="739" t="str">
        <f t="shared" si="2"/>
        <v/>
      </c>
      <c r="AK40" s="739" t="str">
        <f t="shared" si="3"/>
        <v/>
      </c>
      <c r="AL40">
        <v>33</v>
      </c>
    </row>
    <row r="41" spans="1:38" x14ac:dyDescent="0.25">
      <c r="A41" s="955" t="s">
        <v>1007</v>
      </c>
      <c r="B41" s="956"/>
      <c r="C41" s="148">
        <f>COUNTIFS(TA!$AD:$AD,"ok",TA!$L:$L,Tavoitteet!S33,TA!W:W,Tavoitteet!$X$8,TA!$AH:$AH,"OK",TA!$AI:$AI,Tavoitteet!$Y$5,TA!AG:AG,Tavoitteet!$W$7,TA!$AF:$AF,Tavoitteet!$Y$6,TA!$AE:$AE,Tavoitteet!$X$5,TA!$AJ:$AJ,Tavoitteet!$V$2)</f>
        <v>0</v>
      </c>
      <c r="D41" s="312" t="str">
        <f t="shared" si="5"/>
        <v>-</v>
      </c>
      <c r="E41" s="507">
        <f>COUNTIFS(TA!$AD:$AD,"ok",TA!$L:$L,Tavoitteet!T33,TA!W:W,Tavoitteet!$X$8,TA!$AH:$AH,"OK",TA!$AI:$AI,Tavoitteet!$Y$5,TA!AG:AG,Tavoitteet!$W$7,TA!$AF:$AF,Tavoitteet!$Y$6,TA!$AE:$AE,Tavoitteet!$X$5,TA!$AJ:$AJ,Tavoitteet!$V$2)</f>
        <v>0</v>
      </c>
      <c r="F41" s="312" t="str">
        <f t="shared" si="6"/>
        <v>-</v>
      </c>
      <c r="G41" s="680">
        <f t="shared" si="7"/>
        <v>0</v>
      </c>
      <c r="H41" s="679" t="str">
        <f t="shared" si="8"/>
        <v>-</v>
      </c>
      <c r="I41" s="231"/>
      <c r="J41" s="231"/>
      <c r="K41" s="231"/>
      <c r="L41" s="231"/>
      <c r="M41" s="260"/>
      <c r="U41" t="s">
        <v>984</v>
      </c>
      <c r="W41"/>
      <c r="X41"/>
      <c r="Y41"/>
      <c r="Z41"/>
      <c r="AA41" s="176" t="str">
        <f>IFERROR(IF(INDEX(Data_Omakoodi!H:H,MATCH($AK$3&amp;$AL41,Data_Omakoodi!A:A,0))="P","",$AK$3&amp;$AL41),$AK$3&amp;$AL41)</f>
        <v>ComboBox_EtKuntakoodi_00000034</v>
      </c>
      <c r="AB41" s="44" t="str">
        <f>IFERROR(INDEX(Data_Omakoodi!E:E,MATCH(AA41,Data_Omakoodi!A:A,0)),"")</f>
        <v/>
      </c>
      <c r="AC41" t="str">
        <f>IFERROR(IF(INDEX(Data_Omakoodi!H:H,MATCH($AH$3&amp;$AL41,Data_Omakoodi!A:A,0))="P","",$AH$3&amp;$AL41),$AH$3&amp;$AL41)</f>
        <v>ComboBox_TyHlo_yksikko_00000034</v>
      </c>
      <c r="AD41" s="44" t="str">
        <f>IFERROR(INDEX(Data_Omakoodi!E:E,MATCH(AC41,Data_Omakoodi!A:A,0)),"")</f>
        <v/>
      </c>
      <c r="AE41" t="str">
        <f>IFERROR(IF(INDEX(Data_Omakoodi!H:H,MATCH($AH$3&amp;$AL41,Data_Omakoodi!A:A,0))="P","",$AH$3&amp;$AL41),$AH$3&amp;$AL41)</f>
        <v>ComboBox_TyHlo_yksikko_00000034</v>
      </c>
      <c r="AF41" t="s">
        <v>1624</v>
      </c>
      <c r="AG41" s="739" t="str">
        <f t="shared" si="0"/>
        <v/>
      </c>
      <c r="AH41" s="739" t="str">
        <f t="shared" si="1"/>
        <v/>
      </c>
      <c r="AJ41" s="739" t="str">
        <f t="shared" si="2"/>
        <v/>
      </c>
      <c r="AK41" s="739" t="str">
        <f t="shared" si="3"/>
        <v/>
      </c>
      <c r="AL41">
        <v>34</v>
      </c>
    </row>
    <row r="42" spans="1:38" x14ac:dyDescent="0.25">
      <c r="A42" s="955" t="s">
        <v>1008</v>
      </c>
      <c r="B42" s="956"/>
      <c r="C42" s="148">
        <f>COUNTIFS(TA!$AD:$AD,"ok",TA!$N:$N,Tavoitteet!S33,TA!W:W,Tavoitteet!$X$8,TA!$AH:$AH,"OK",TA!$AI:$AI,Tavoitteet!$Y$5,TA!AG:AG,Tavoitteet!$W$7,TA!$AF:$AF,Tavoitteet!$Y$6,TA!$AE:$AE,Tavoitteet!$X$5,TA!$AJ:$AJ,Tavoitteet!$V$2)</f>
        <v>0</v>
      </c>
      <c r="D42" s="312" t="str">
        <f t="shared" si="5"/>
        <v>-</v>
      </c>
      <c r="E42" s="507">
        <f>COUNTIFS(TA!$AD:$AD,"ok",TA!$N:$N,Tavoitteet!T33,TA!W:W,Tavoitteet!$X$8,TA!$AH:$AH,"OK",TA!$AI:$AI,Tavoitteet!$Y$5,TA!AG:AG,Tavoitteet!$W$7,TA!$AF:$AF,Tavoitteet!$Y$6,TA!$AE:$AE,Tavoitteet!$X$5,TA!$AJ:$AJ,Tavoitteet!$V$2)</f>
        <v>0</v>
      </c>
      <c r="F42" s="312" t="str">
        <f t="shared" si="6"/>
        <v>-</v>
      </c>
      <c r="G42" s="680">
        <f t="shared" si="7"/>
        <v>0</v>
      </c>
      <c r="H42" s="679" t="str">
        <f t="shared" si="8"/>
        <v>-</v>
      </c>
      <c r="I42" s="231"/>
      <c r="J42" s="231"/>
      <c r="K42" s="231"/>
      <c r="L42" s="231"/>
      <c r="M42" s="260"/>
      <c r="U42" t="s">
        <v>986</v>
      </c>
      <c r="W42"/>
      <c r="X42"/>
      <c r="Y42"/>
      <c r="Z42"/>
      <c r="AA42" s="176" t="str">
        <f>IFERROR(IF(INDEX(Data_Omakoodi!H:H,MATCH($AK$3&amp;$AL42,Data_Omakoodi!A:A,0))="P","",$AK$3&amp;$AL42),$AK$3&amp;$AL42)</f>
        <v>ComboBox_EtKuntakoodi_00000035</v>
      </c>
      <c r="AB42" s="44" t="str">
        <f>IFERROR(INDEX(Data_Omakoodi!E:E,MATCH(AA42,Data_Omakoodi!A:A,0)),"")</f>
        <v/>
      </c>
      <c r="AC42" t="str">
        <f>IFERROR(IF(INDEX(Data_Omakoodi!H:H,MATCH($AH$3&amp;$AL42,Data_Omakoodi!A:A,0))="P","",$AH$3&amp;$AL42),$AH$3&amp;$AL42)</f>
        <v>ComboBox_TyHlo_yksikko_00000035</v>
      </c>
      <c r="AD42" s="44" t="str">
        <f>IFERROR(INDEX(Data_Omakoodi!E:E,MATCH(AC42,Data_Omakoodi!A:A,0)),"")</f>
        <v/>
      </c>
      <c r="AE42" t="str">
        <f>IFERROR(IF(INDEX(Data_Omakoodi!H:H,MATCH($AH$3&amp;$AL42,Data_Omakoodi!A:A,0))="P","",$AH$3&amp;$AL42),$AH$3&amp;$AL42)</f>
        <v>ComboBox_TyHlo_yksikko_00000035</v>
      </c>
      <c r="AF42" t="s">
        <v>1625</v>
      </c>
      <c r="AG42" s="739" t="str">
        <f t="shared" si="0"/>
        <v/>
      </c>
      <c r="AH42" s="739" t="str">
        <f t="shared" si="1"/>
        <v/>
      </c>
      <c r="AJ42" s="739" t="str">
        <f t="shared" si="2"/>
        <v/>
      </c>
      <c r="AK42" s="739" t="str">
        <f t="shared" si="3"/>
        <v/>
      </c>
      <c r="AL42">
        <v>35</v>
      </c>
    </row>
    <row r="43" spans="1:38" x14ac:dyDescent="0.25">
      <c r="A43" s="953" t="s">
        <v>1504</v>
      </c>
      <c r="B43" s="954"/>
      <c r="C43" s="148">
        <f>COUNTIFS(TA!$AD:$AD,"ok",TA!$P:$P,Tavoitteet!S33,TA!W:W,Tavoitteet!$X$8,TA!$AH:$AH,"OK",TA!$AI:$AI,Tavoitteet!$Y$5,TA!AG:AG,Tavoitteet!$W$7,TA!$AF:$AF,Tavoitteet!$Y$6,TA!$AE:$AE,Tavoitteet!$X$5,TA!$AJ:$AJ,Tavoitteet!$V$2)</f>
        <v>0</v>
      </c>
      <c r="D43" s="312" t="str">
        <f t="shared" si="5"/>
        <v>-</v>
      </c>
      <c r="E43" s="507">
        <f>COUNTIFS(TA!$AD:$AD,"ok",TA!$P:$P,Tavoitteet!T33,TA!W:W,Tavoitteet!$X$8,TA!$AH:$AH,"OK",TA!$AI:$AI,Tavoitteet!$Y$5,TA!AG:AG,Tavoitteet!$W$7,TA!$AF:$AF,Tavoitteet!$Y$6,TA!$AE:$AE,Tavoitteet!$X$5,TA!$AJ:$AJ,Tavoitteet!$V$2)</f>
        <v>0</v>
      </c>
      <c r="F43" s="312" t="str">
        <f t="shared" si="6"/>
        <v>-</v>
      </c>
      <c r="G43" s="680">
        <f t="shared" si="7"/>
        <v>0</v>
      </c>
      <c r="H43" s="679" t="str">
        <f t="shared" si="8"/>
        <v>-</v>
      </c>
      <c r="I43" s="231"/>
      <c r="J43" s="231"/>
      <c r="K43" s="231"/>
      <c r="L43" s="231"/>
      <c r="M43" s="260"/>
      <c r="U43" t="s">
        <v>988</v>
      </c>
      <c r="W43"/>
      <c r="X43"/>
      <c r="Y43"/>
      <c r="Z43"/>
      <c r="AA43" s="176" t="str">
        <f>IFERROR(IF(INDEX(Data_Omakoodi!H:H,MATCH($AK$3&amp;$AL43,Data_Omakoodi!A:A,0))="P","",$AK$3&amp;$AL43),$AK$3&amp;$AL43)</f>
        <v>ComboBox_EtKuntakoodi_00000036</v>
      </c>
      <c r="AB43" s="44" t="str">
        <f>IFERROR(INDEX(Data_Omakoodi!E:E,MATCH(AA43,Data_Omakoodi!A:A,0)),"")</f>
        <v/>
      </c>
      <c r="AC43" t="str">
        <f>IFERROR(IF(INDEX(Data_Omakoodi!H:H,MATCH($AH$3&amp;$AL43,Data_Omakoodi!A:A,0))="P","",$AH$3&amp;$AL43),$AH$3&amp;$AL43)</f>
        <v>ComboBox_TyHlo_yksikko_00000036</v>
      </c>
      <c r="AD43" s="44" t="str">
        <f>IFERROR(INDEX(Data_Omakoodi!E:E,MATCH(AC43,Data_Omakoodi!A:A,0)),"")</f>
        <v/>
      </c>
      <c r="AE43" t="str">
        <f>IFERROR(IF(INDEX(Data_Omakoodi!H:H,MATCH($AH$3&amp;$AL43,Data_Omakoodi!A:A,0))="P","",$AH$3&amp;$AL43),$AH$3&amp;$AL43)</f>
        <v>ComboBox_TyHlo_yksikko_00000036</v>
      </c>
      <c r="AF43" t="s">
        <v>1626</v>
      </c>
      <c r="AG43" s="739" t="str">
        <f t="shared" si="0"/>
        <v/>
      </c>
      <c r="AH43" s="739" t="str">
        <f t="shared" si="1"/>
        <v/>
      </c>
      <c r="AJ43" s="739" t="str">
        <f t="shared" si="2"/>
        <v/>
      </c>
      <c r="AK43" s="739" t="str">
        <f t="shared" si="3"/>
        <v/>
      </c>
      <c r="AL43">
        <v>36</v>
      </c>
    </row>
    <row r="44" spans="1:38" x14ac:dyDescent="0.25">
      <c r="A44" s="955" t="s">
        <v>1009</v>
      </c>
      <c r="B44" s="956"/>
      <c r="C44" s="148">
        <f>COUNTIFS(TA!$AD:$AD,"ok",TA!$R:$R,Tavoitteet!S33,TA!W:W,Tavoitteet!$X$8,TA!$AH:$AH,"OK",TA!$AI:$AI,Tavoitteet!$Y$5,TA!AG:AG,Tavoitteet!$W$7,TA!$AF:$AF,Tavoitteet!$Y$6,TA!$AE:$AE,Tavoitteet!$X$5,TA!$AJ:$AJ,Tavoitteet!$V$2)</f>
        <v>0</v>
      </c>
      <c r="D44" s="312" t="str">
        <f t="shared" si="5"/>
        <v>-</v>
      </c>
      <c r="E44" s="507">
        <f>COUNTIFS(TA!$AD:$AD,"ok",TA!$R:$R,Tavoitteet!T33,TA!W:W,Tavoitteet!$X$8,TA!$AH:$AH,"OK",TA!$AI:$AI,Tavoitteet!$Y$5,TA!AG:AG,Tavoitteet!$W$7,TA!$AF:$AF,Tavoitteet!$Y$6,TA!$AE:$AE,Tavoitteet!$X$5,TA!$AJ:$AJ,Tavoitteet!$V$2)</f>
        <v>0</v>
      </c>
      <c r="F44" s="312" t="str">
        <f t="shared" si="6"/>
        <v>-</v>
      </c>
      <c r="G44" s="680">
        <f t="shared" si="7"/>
        <v>0</v>
      </c>
      <c r="H44" s="679" t="str">
        <f t="shared" si="8"/>
        <v>-</v>
      </c>
      <c r="I44" s="231"/>
      <c r="J44" s="231"/>
      <c r="K44" s="231"/>
      <c r="L44" s="231"/>
      <c r="M44" s="260"/>
      <c r="W44"/>
      <c r="X44"/>
      <c r="Y44"/>
      <c r="Z44"/>
      <c r="AA44" s="176" t="str">
        <f>IFERROR(IF(INDEX(Data_Omakoodi!H:H,MATCH($AK$3&amp;$AL44,Data_Omakoodi!A:A,0))="P","",$AK$3&amp;$AL44),$AK$3&amp;$AL44)</f>
        <v>ComboBox_EtKuntakoodi_00000037</v>
      </c>
      <c r="AB44" s="44" t="str">
        <f>IFERROR(INDEX(Data_Omakoodi!E:E,MATCH(AA44,Data_Omakoodi!A:A,0)),"")</f>
        <v/>
      </c>
      <c r="AC44" t="str">
        <f>IFERROR(IF(INDEX(Data_Omakoodi!H:H,MATCH($AH$3&amp;$AL44,Data_Omakoodi!A:A,0))="P","",$AH$3&amp;$AL44),$AH$3&amp;$AL44)</f>
        <v>ComboBox_TyHlo_yksikko_00000037</v>
      </c>
      <c r="AD44" s="44" t="str">
        <f>IFERROR(INDEX(Data_Omakoodi!E:E,MATCH(AC44,Data_Omakoodi!A:A,0)),"")</f>
        <v/>
      </c>
      <c r="AE44" t="str">
        <f>IFERROR(IF(INDEX(Data_Omakoodi!H:H,MATCH($AH$3&amp;$AL44,Data_Omakoodi!A:A,0))="P","",$AH$3&amp;$AL44),$AH$3&amp;$AL44)</f>
        <v>ComboBox_TyHlo_yksikko_00000037</v>
      </c>
      <c r="AF44" t="s">
        <v>1627</v>
      </c>
      <c r="AG44" s="739" t="str">
        <f t="shared" si="0"/>
        <v/>
      </c>
      <c r="AH44" s="739" t="str">
        <f t="shared" si="1"/>
        <v/>
      </c>
      <c r="AJ44" s="739" t="str">
        <f t="shared" si="2"/>
        <v/>
      </c>
      <c r="AK44" s="739" t="str">
        <f t="shared" si="3"/>
        <v/>
      </c>
      <c r="AL44">
        <v>37</v>
      </c>
    </row>
    <row r="45" spans="1:38" x14ac:dyDescent="0.25">
      <c r="A45" s="955" t="s">
        <v>1010</v>
      </c>
      <c r="B45" s="956"/>
      <c r="C45" s="148">
        <f>COUNTIFS(TA!$AD:$AD,"ok",TA!$S:$S,Tavoitteet!S33,TA!W:W,Tavoitteet!$X$8,TA!$AH:$AH,"OK",TA!$AI:$AI,Tavoitteet!$Y$5,TA!AG:AG,Tavoitteet!$W$7,TA!$AF:$AF,Tavoitteet!$Y$6,TA!$AE:$AE,Tavoitteet!$X$5,TA!$AJ:$AJ,Tavoitteet!$V$2)</f>
        <v>0</v>
      </c>
      <c r="D45" s="312" t="str">
        <f t="shared" si="5"/>
        <v>-</v>
      </c>
      <c r="E45" s="507">
        <f>COUNTIFS(TA!$AD:$AD,"ok",TA!$S:$S,Tavoitteet!T33,TA!W:W,Tavoitteet!$X$8,TA!$AH:$AH,"OK",TA!$AI:$AI,Tavoitteet!$Y$5,TA!AG:AG,Tavoitteet!$W$7,TA!$AF:$AF,Tavoitteet!$Y$6,TA!$AE:$AE,Tavoitteet!$X$5,TA!$AJ:$AJ,Tavoitteet!$V$2)</f>
        <v>0</v>
      </c>
      <c r="F45" s="312" t="str">
        <f t="shared" si="6"/>
        <v>-</v>
      </c>
      <c r="G45" s="680">
        <f t="shared" si="7"/>
        <v>0</v>
      </c>
      <c r="H45" s="679" t="str">
        <f t="shared" si="8"/>
        <v>-</v>
      </c>
      <c r="I45" s="231"/>
      <c r="J45" s="231"/>
      <c r="K45" s="231"/>
      <c r="L45" s="231"/>
      <c r="M45" s="260"/>
      <c r="W45"/>
      <c r="X45"/>
      <c r="Y45"/>
      <c r="Z45"/>
      <c r="AA45" s="176" t="str">
        <f>IFERROR(IF(INDEX(Data_Omakoodi!H:H,MATCH($AK$3&amp;$AL45,Data_Omakoodi!A:A,0))="P","",$AK$3&amp;$AL45),$AK$3&amp;$AL45)</f>
        <v>ComboBox_EtKuntakoodi_00000038</v>
      </c>
      <c r="AB45" s="44" t="str">
        <f>IFERROR(INDEX(Data_Omakoodi!E:E,MATCH(AA45,Data_Omakoodi!A:A,0)),"")</f>
        <v/>
      </c>
      <c r="AC45" t="str">
        <f>IFERROR(IF(INDEX(Data_Omakoodi!H:H,MATCH($AH$3&amp;$AL45,Data_Omakoodi!A:A,0))="P","",$AH$3&amp;$AL45),$AH$3&amp;$AL45)</f>
        <v>ComboBox_TyHlo_yksikko_00000038</v>
      </c>
      <c r="AD45" s="44" t="str">
        <f>IFERROR(INDEX(Data_Omakoodi!E:E,MATCH(AC45,Data_Omakoodi!A:A,0)),"")</f>
        <v/>
      </c>
      <c r="AE45" t="str">
        <f>IFERROR(IF(INDEX(Data_Omakoodi!H:H,MATCH($AH$3&amp;$AL45,Data_Omakoodi!A:A,0))="P","",$AH$3&amp;$AL45),$AH$3&amp;$AL45)</f>
        <v>ComboBox_TyHlo_yksikko_00000038</v>
      </c>
      <c r="AF45" t="s">
        <v>1628</v>
      </c>
      <c r="AG45" s="739" t="str">
        <f t="shared" si="0"/>
        <v/>
      </c>
      <c r="AH45" s="739" t="str">
        <f t="shared" si="1"/>
        <v/>
      </c>
      <c r="AJ45" s="739" t="str">
        <f t="shared" si="2"/>
        <v/>
      </c>
      <c r="AK45" s="739" t="str">
        <f t="shared" si="3"/>
        <v/>
      </c>
      <c r="AL45">
        <v>38</v>
      </c>
    </row>
    <row r="46" spans="1:38" x14ac:dyDescent="0.25">
      <c r="A46" s="955" t="s">
        <v>1011</v>
      </c>
      <c r="B46" s="956"/>
      <c r="C46" s="148">
        <f>COUNTIFS(TA!$AD:$AD,"ok",TA!$T:$T,Tavoitteet!S33,TA!W:W,Tavoitteet!$X$8,TA!$AH:$AH,"OK",TA!$AI:$AI,Tavoitteet!$Y$5,TA!AG:AG,Tavoitteet!$W$7,TA!$AF:$AF,Tavoitteet!$Y$6,TA!$AE:$AE,Tavoitteet!$X$5,TA!$AJ:$AJ,Tavoitteet!$V$2)</f>
        <v>0</v>
      </c>
      <c r="D46" s="312" t="str">
        <f t="shared" si="5"/>
        <v>-</v>
      </c>
      <c r="E46" s="507">
        <f>COUNTIFS(TA!$AD:$AD,"ok",TA!$T:$T,Tavoitteet!T33,TA!W:W,Tavoitteet!$X$8,TA!$AH:$AH,"OK",TA!$AI:$AI,Tavoitteet!$Y$5,TA!AG:AG,Tavoitteet!$W$7,TA!$AF:$AF,Tavoitteet!$Y$6,TA!$AE:$AE,Tavoitteet!$X$5,TA!$AJ:$AJ,Tavoitteet!$V$2)</f>
        <v>0</v>
      </c>
      <c r="F46" s="312" t="str">
        <f t="shared" si="6"/>
        <v>-</v>
      </c>
      <c r="G46" s="680">
        <f t="shared" si="7"/>
        <v>0</v>
      </c>
      <c r="H46" s="679" t="str">
        <f t="shared" si="8"/>
        <v>-</v>
      </c>
      <c r="I46" s="231"/>
      <c r="J46" s="231"/>
      <c r="K46" s="231"/>
      <c r="L46" s="231"/>
      <c r="M46" s="260"/>
      <c r="W46"/>
      <c r="X46"/>
      <c r="Y46"/>
      <c r="Z46"/>
      <c r="AA46" s="176" t="str">
        <f>IFERROR(IF(INDEX(Data_Omakoodi!H:H,MATCH($AK$3&amp;$AL46,Data_Omakoodi!A:A,0))="P","",$AK$3&amp;$AL46),$AK$3&amp;$AL46)</f>
        <v>ComboBox_EtKuntakoodi_00000039</v>
      </c>
      <c r="AB46" s="44" t="str">
        <f>IFERROR(INDEX(Data_Omakoodi!E:E,MATCH(AA46,Data_Omakoodi!A:A,0)),"")</f>
        <v/>
      </c>
      <c r="AC46" t="str">
        <f>IFERROR(IF(INDEX(Data_Omakoodi!H:H,MATCH($AH$3&amp;$AL46,Data_Omakoodi!A:A,0))="P","",$AH$3&amp;$AL46),$AH$3&amp;$AL46)</f>
        <v>ComboBox_TyHlo_yksikko_00000039</v>
      </c>
      <c r="AD46" s="44" t="str">
        <f>IFERROR(INDEX(Data_Omakoodi!E:E,MATCH(AC46,Data_Omakoodi!A:A,0)),"")</f>
        <v/>
      </c>
      <c r="AE46" t="str">
        <f>IFERROR(IF(INDEX(Data_Omakoodi!H:H,MATCH($AH$3&amp;$AL46,Data_Omakoodi!A:A,0))="P","",$AH$3&amp;$AL46),$AH$3&amp;$AL46)</f>
        <v>ComboBox_TyHlo_yksikko_00000039</v>
      </c>
      <c r="AF46" t="s">
        <v>1629</v>
      </c>
      <c r="AG46" s="739" t="str">
        <f t="shared" si="0"/>
        <v/>
      </c>
      <c r="AH46" s="739" t="str">
        <f t="shared" si="1"/>
        <v/>
      </c>
      <c r="AJ46" s="739" t="str">
        <f t="shared" si="2"/>
        <v/>
      </c>
      <c r="AK46" s="739" t="str">
        <f t="shared" si="3"/>
        <v/>
      </c>
      <c r="AL46">
        <v>39</v>
      </c>
    </row>
    <row r="47" spans="1:38" x14ac:dyDescent="0.25">
      <c r="A47" s="955" t="s">
        <v>1012</v>
      </c>
      <c r="B47" s="956"/>
      <c r="C47" s="148">
        <f>COUNTIFS(TA!$AD:$AD,"ok",TA!$U:$U,Tavoitteet!S33,TA!W:W,Tavoitteet!$X$8,TA!$AH:$AH,"OK",TA!$AI:$AI,Tavoitteet!$Y$5,TA!AG:AG,Tavoitteet!$W$7,TA!$AF:$AF,Tavoitteet!$Y$6,TA!$AE:$AE,Tavoitteet!$X$5,TA!$AJ:$AJ,Tavoitteet!$V$2)</f>
        <v>0</v>
      </c>
      <c r="D47" s="312" t="str">
        <f t="shared" si="5"/>
        <v>-</v>
      </c>
      <c r="E47" s="508">
        <f>COUNTIFS(TA!$AD:$AD,"ok",TA!$U:$U,Tavoitteet!T33,TA!W:W,Tavoitteet!$X$8,TA!$AH:$AH,"OK",TA!$AI:$AI,Tavoitteet!$Y$5,TA!AG:AG,Tavoitteet!$W$7,TA!$AF:$AF,Tavoitteet!$Y$6,TA!$AE:$AE,Tavoitteet!$X$5,TA!$AJ:$AJ,Tavoitteet!$V$2)</f>
        <v>0</v>
      </c>
      <c r="F47" s="312" t="str">
        <f t="shared" si="6"/>
        <v>-</v>
      </c>
      <c r="G47" s="680">
        <f t="shared" si="7"/>
        <v>0</v>
      </c>
      <c r="H47" s="679" t="str">
        <f t="shared" si="8"/>
        <v>-</v>
      </c>
      <c r="I47" s="231"/>
      <c r="J47" s="231"/>
      <c r="K47" s="231"/>
      <c r="L47" s="231"/>
      <c r="M47" s="260"/>
      <c r="W47"/>
      <c r="X47"/>
      <c r="Y47"/>
      <c r="Z47"/>
      <c r="AA47" s="176" t="str">
        <f>IFERROR(IF(INDEX(Data_Omakoodi!H:H,MATCH($AK$3&amp;$AL47,Data_Omakoodi!A:A,0))="P","",$AK$3&amp;$AL47),$AK$3&amp;$AL47)</f>
        <v>ComboBox_EtKuntakoodi_00000040</v>
      </c>
      <c r="AB47" s="44" t="str">
        <f>IFERROR(INDEX(Data_Omakoodi!E:E,MATCH(AA47,Data_Omakoodi!A:A,0)),"")</f>
        <v/>
      </c>
      <c r="AC47" t="str">
        <f>IFERROR(IF(INDEX(Data_Omakoodi!H:H,MATCH($AH$3&amp;$AL47,Data_Omakoodi!A:A,0))="P","",$AH$3&amp;$AL47),$AH$3&amp;$AL47)</f>
        <v>ComboBox_TyHlo_yksikko_00000040</v>
      </c>
      <c r="AD47" s="44" t="str">
        <f>IFERROR(INDEX(Data_Omakoodi!E:E,MATCH(AC47,Data_Omakoodi!A:A,0)),"")</f>
        <v/>
      </c>
      <c r="AE47" t="str">
        <f>IFERROR(IF(INDEX(Data_Omakoodi!H:H,MATCH($AH$3&amp;$AL47,Data_Omakoodi!A:A,0))="P","",$AH$3&amp;$AL47),$AH$3&amp;$AL47)</f>
        <v>ComboBox_TyHlo_yksikko_00000040</v>
      </c>
      <c r="AF47" t="s">
        <v>1630</v>
      </c>
      <c r="AG47" s="739" t="str">
        <f t="shared" si="0"/>
        <v/>
      </c>
      <c r="AH47" s="739" t="str">
        <f t="shared" si="1"/>
        <v/>
      </c>
      <c r="AJ47" s="739" t="str">
        <f t="shared" si="2"/>
        <v/>
      </c>
      <c r="AK47" s="739" t="str">
        <f t="shared" si="3"/>
        <v/>
      </c>
      <c r="AL47">
        <v>40</v>
      </c>
    </row>
    <row r="48" spans="1:38" x14ac:dyDescent="0.25">
      <c r="A48" s="971" t="s">
        <v>1596</v>
      </c>
      <c r="B48" s="972"/>
      <c r="C48" s="754">
        <f>AVERAGE(C38:C47)</f>
        <v>0</v>
      </c>
      <c r="D48" s="755" t="str">
        <f>IFERROR(AVERAGE(D38:D47),"")</f>
        <v/>
      </c>
      <c r="E48" s="757">
        <f>AVERAGE(E38:E47)</f>
        <v>0</v>
      </c>
      <c r="F48" s="758" t="e">
        <f>AVERAGE(F38:F47)</f>
        <v>#DIV/0!</v>
      </c>
      <c r="G48" s="759">
        <f t="shared" ref="G48" si="9">AVERAGE(G38:G47)</f>
        <v>0</v>
      </c>
      <c r="H48" s="760" t="e">
        <f>AVERAGE(H38:H47)</f>
        <v>#DIV/0!</v>
      </c>
      <c r="W48"/>
      <c r="X48"/>
      <c r="Y48"/>
      <c r="Z48"/>
      <c r="AA48" s="176" t="str">
        <f>IFERROR(IF(INDEX(Data_Omakoodi!H:H,MATCH($AK$3&amp;$AL48,Data_Omakoodi!A:A,0))="P","",$AK$3&amp;$AL48),$AK$3&amp;$AL48)</f>
        <v>ComboBox_EtKuntakoodi_00000041</v>
      </c>
      <c r="AB48" s="44" t="str">
        <f>IFERROR(INDEX(Data_Omakoodi!E:E,MATCH(AA48,Data_Omakoodi!A:A,0)),"")</f>
        <v/>
      </c>
      <c r="AC48" t="str">
        <f>IFERROR(IF(INDEX(Data_Omakoodi!H:H,MATCH($AH$3&amp;$AL48,Data_Omakoodi!A:A,0))="P","",$AH$3&amp;$AL48),$AH$3&amp;$AL48)</f>
        <v>ComboBox_TyHlo_yksikko_00000041</v>
      </c>
      <c r="AD48" s="44" t="str">
        <f>IFERROR(INDEX(Data_Omakoodi!E:E,MATCH(AC48,Data_Omakoodi!A:A,0)),"")</f>
        <v/>
      </c>
      <c r="AE48" t="str">
        <f>IFERROR(IF(INDEX(Data_Omakoodi!H:H,MATCH($AH$3&amp;$AL48,Data_Omakoodi!A:A,0))="P","",$AH$3&amp;$AL48),$AH$3&amp;$AL48)</f>
        <v>ComboBox_TyHlo_yksikko_00000041</v>
      </c>
      <c r="AF48" t="s">
        <v>1631</v>
      </c>
      <c r="AG48" s="739" t="str">
        <f t="shared" si="0"/>
        <v/>
      </c>
      <c r="AH48" s="739" t="str">
        <f t="shared" si="1"/>
        <v/>
      </c>
      <c r="AJ48" s="739" t="str">
        <f t="shared" si="2"/>
        <v/>
      </c>
      <c r="AK48" s="739" t="str">
        <f t="shared" si="3"/>
        <v/>
      </c>
      <c r="AL48">
        <v>41</v>
      </c>
    </row>
    <row r="49" spans="1:38" x14ac:dyDescent="0.25">
      <c r="A49" s="971" t="s">
        <v>1595</v>
      </c>
      <c r="B49" s="972"/>
      <c r="C49" s="754">
        <f>SUM(C38:C47)</f>
        <v>0</v>
      </c>
      <c r="E49" s="757">
        <f>SUM(E38:E47)</f>
        <v>0</v>
      </c>
      <c r="G49" s="759">
        <f t="shared" ref="G49" si="10">SUM(G38:G47)</f>
        <v>0</v>
      </c>
      <c r="W49"/>
      <c r="X49"/>
      <c r="AA49" s="176" t="str">
        <f>IFERROR(IF(INDEX(Data_Omakoodi!H:H,MATCH($AK$3&amp;$AL49,Data_Omakoodi!A:A,0))="P","",$AK$3&amp;$AL49),$AK$3&amp;$AL49)</f>
        <v>ComboBox_EtKuntakoodi_00000042</v>
      </c>
      <c r="AB49" s="44" t="str">
        <f>IFERROR(INDEX(Data_Omakoodi!E:E,MATCH(AA49,Data_Omakoodi!A:A,0)),"")</f>
        <v/>
      </c>
      <c r="AC49" t="str">
        <f>IFERROR(IF(INDEX(Data_Omakoodi!H:H,MATCH($AH$3&amp;$AL49,Data_Omakoodi!A:A,0))="P","",$AH$3&amp;$AL49),$AH$3&amp;$AL49)</f>
        <v>ComboBox_TyHlo_yksikko_00000042</v>
      </c>
      <c r="AD49" s="44" t="str">
        <f>IFERROR(INDEX(Data_Omakoodi!E:E,MATCH(AC49,Data_Omakoodi!A:A,0)),"")</f>
        <v/>
      </c>
      <c r="AE49" t="str">
        <f>IFERROR(IF(INDEX(Data_Omakoodi!H:H,MATCH($AH$3&amp;$AL49,Data_Omakoodi!A:A,0))="P","",$AH$3&amp;$AL49),$AH$3&amp;$AL49)</f>
        <v>ComboBox_TyHlo_yksikko_00000042</v>
      </c>
      <c r="AF49" t="s">
        <v>1632</v>
      </c>
      <c r="AG49" s="739" t="str">
        <f t="shared" si="0"/>
        <v/>
      </c>
      <c r="AH49" s="739" t="str">
        <f t="shared" si="1"/>
        <v/>
      </c>
      <c r="AJ49" s="739" t="str">
        <f t="shared" si="2"/>
        <v/>
      </c>
      <c r="AK49" s="739" t="str">
        <f t="shared" si="3"/>
        <v/>
      </c>
      <c r="AL49">
        <v>42</v>
      </c>
    </row>
    <row r="50" spans="1:38" x14ac:dyDescent="0.25">
      <c r="A50" s="509" t="s">
        <v>1036</v>
      </c>
      <c r="W50"/>
      <c r="X50"/>
      <c r="AA50" s="176" t="str">
        <f>IFERROR(IF(INDEX(Data_Omakoodi!H:H,MATCH($AK$3&amp;$AL50,Data_Omakoodi!A:A,0))="P","",$AK$3&amp;$AL50),$AK$3&amp;$AL50)</f>
        <v>ComboBox_EtKuntakoodi_00000043</v>
      </c>
      <c r="AB50" s="44" t="str">
        <f>IFERROR(INDEX(Data_Omakoodi!E:E,MATCH(AA50,Data_Omakoodi!A:A,0)),"")</f>
        <v/>
      </c>
      <c r="AC50" t="str">
        <f>IFERROR(IF(INDEX(Data_Omakoodi!H:H,MATCH($AH$3&amp;$AL50,Data_Omakoodi!A:A,0))="P","",$AH$3&amp;$AL50),$AH$3&amp;$AL50)</f>
        <v>ComboBox_TyHlo_yksikko_00000043</v>
      </c>
      <c r="AD50" s="44" t="str">
        <f>IFERROR(INDEX(Data_Omakoodi!E:E,MATCH(AC50,Data_Omakoodi!A:A,0)),"")</f>
        <v/>
      </c>
      <c r="AE50" t="str">
        <f>IFERROR(IF(INDEX(Data_Omakoodi!H:H,MATCH($AH$3&amp;$AL50,Data_Omakoodi!A:A,0))="P","",$AH$3&amp;$AL50),$AH$3&amp;$AL50)</f>
        <v>ComboBox_TyHlo_yksikko_00000043</v>
      </c>
      <c r="AF50" t="s">
        <v>1633</v>
      </c>
      <c r="AG50" s="739" t="str">
        <f t="shared" si="0"/>
        <v/>
      </c>
      <c r="AH50" s="739" t="str">
        <f t="shared" si="1"/>
        <v/>
      </c>
      <c r="AJ50" s="739" t="str">
        <f t="shared" si="2"/>
        <v/>
      </c>
      <c r="AK50" s="739" t="str">
        <f t="shared" si="3"/>
        <v/>
      </c>
      <c r="AL50">
        <v>43</v>
      </c>
    </row>
    <row r="51" spans="1:38" x14ac:dyDescent="0.25">
      <c r="A51" s="509" t="s">
        <v>1037</v>
      </c>
      <c r="W51"/>
      <c r="X51"/>
      <c r="AA51" s="176" t="str">
        <f>IFERROR(IF(INDEX(Data_Omakoodi!H:H,MATCH($AK$3&amp;$AL51,Data_Omakoodi!A:A,0))="P","",$AK$3&amp;$AL51),$AK$3&amp;$AL51)</f>
        <v>ComboBox_EtKuntakoodi_00000044</v>
      </c>
      <c r="AB51" s="44" t="str">
        <f>IFERROR(INDEX(Data_Omakoodi!E:E,MATCH(AA51,Data_Omakoodi!A:A,0)),"")</f>
        <v/>
      </c>
      <c r="AC51" t="str">
        <f>IFERROR(IF(INDEX(Data_Omakoodi!H:H,MATCH($AH$3&amp;$AL51,Data_Omakoodi!A:A,0))="P","",$AH$3&amp;$AL51),$AH$3&amp;$AL51)</f>
        <v>ComboBox_TyHlo_yksikko_00000044</v>
      </c>
      <c r="AD51" s="44" t="str">
        <f>IFERROR(INDEX(Data_Omakoodi!E:E,MATCH(AC51,Data_Omakoodi!A:A,0)),"")</f>
        <v/>
      </c>
      <c r="AE51" t="str">
        <f>IFERROR(IF(INDEX(Data_Omakoodi!H:H,MATCH($AH$3&amp;$AL51,Data_Omakoodi!A:A,0))="P","",$AH$3&amp;$AL51),$AH$3&amp;$AL51)</f>
        <v>ComboBox_TyHlo_yksikko_00000044</v>
      </c>
      <c r="AF51" t="s">
        <v>1634</v>
      </c>
      <c r="AG51" s="739" t="str">
        <f t="shared" si="0"/>
        <v/>
      </c>
      <c r="AH51" s="739" t="str">
        <f t="shared" si="1"/>
        <v/>
      </c>
      <c r="AJ51" s="739" t="str">
        <f t="shared" si="2"/>
        <v/>
      </c>
      <c r="AK51" s="739" t="str">
        <f t="shared" si="3"/>
        <v/>
      </c>
      <c r="AL51">
        <v>44</v>
      </c>
    </row>
    <row r="52" spans="1:38" x14ac:dyDescent="0.25">
      <c r="A52" s="957" t="str">
        <f>X54&amp;Y12&amp;X10 &amp;X12&amp;" (N:"&amp;X56&amp;")"</f>
        <v>Loppuarviointi, tavoiteen kanssa työskennellään tai tavoite saavutettu - KAIKKI: 01.01.2025-30.04.2025 (Tavoitetut) (N:0)</v>
      </c>
      <c r="B52" s="957"/>
      <c r="C52" s="957"/>
      <c r="D52" s="957"/>
      <c r="E52" s="957"/>
      <c r="F52" s="957"/>
      <c r="G52" s="957"/>
      <c r="H52" s="957"/>
      <c r="I52" s="957"/>
      <c r="J52" s="957"/>
      <c r="K52" s="957"/>
      <c r="W52"/>
      <c r="X52"/>
      <c r="AA52" s="176" t="str">
        <f>IFERROR(IF(INDEX(Data_Omakoodi!H:H,MATCH($AK$3&amp;$AL52,Data_Omakoodi!A:A,0))="P","",$AK$3&amp;$AL52),$AK$3&amp;$AL52)</f>
        <v>ComboBox_EtKuntakoodi_00000045</v>
      </c>
      <c r="AB52" s="44" t="str">
        <f>IFERROR(INDEX(Data_Omakoodi!E:E,MATCH(AA52,Data_Omakoodi!A:A,0)),"")</f>
        <v/>
      </c>
      <c r="AC52" t="str">
        <f>IFERROR(IF(INDEX(Data_Omakoodi!H:H,MATCH($AH$3&amp;$AL52,Data_Omakoodi!A:A,0))="P","",$AH$3&amp;$AL52),$AH$3&amp;$AL52)</f>
        <v>ComboBox_TyHlo_yksikko_00000045</v>
      </c>
      <c r="AD52" s="44" t="str">
        <f>IFERROR(INDEX(Data_Omakoodi!E:E,MATCH(AC52,Data_Omakoodi!A:A,0)),"")</f>
        <v/>
      </c>
      <c r="AE52" t="str">
        <f>IFERROR(IF(INDEX(Data_Omakoodi!H:H,MATCH($AH$3&amp;$AL52,Data_Omakoodi!A:A,0))="P","",$AH$3&amp;$AL52),$AH$3&amp;$AL52)</f>
        <v>ComboBox_TyHlo_yksikko_00000045</v>
      </c>
      <c r="AF52" t="s">
        <v>1635</v>
      </c>
      <c r="AG52" s="739" t="str">
        <f t="shared" si="0"/>
        <v/>
      </c>
      <c r="AH52" s="739" t="str">
        <f t="shared" si="1"/>
        <v/>
      </c>
      <c r="AJ52" s="739" t="str">
        <f t="shared" si="2"/>
        <v/>
      </c>
      <c r="AK52" s="739" t="str">
        <f t="shared" si="3"/>
        <v/>
      </c>
      <c r="AL52">
        <v>45</v>
      </c>
    </row>
    <row r="53" spans="1:38" ht="29.25" customHeight="1" x14ac:dyDescent="0.25">
      <c r="A53" s="834" t="s">
        <v>1030</v>
      </c>
      <c r="B53" s="836"/>
      <c r="C53" s="969" t="s">
        <v>1033</v>
      </c>
      <c r="D53" s="975"/>
      <c r="E53" s="973" t="s">
        <v>1034</v>
      </c>
      <c r="F53" s="974"/>
      <c r="G53" s="976" t="s">
        <v>1463</v>
      </c>
      <c r="H53" s="977"/>
      <c r="I53" s="256"/>
      <c r="J53" s="257"/>
      <c r="K53" s="257"/>
      <c r="L53" s="257"/>
      <c r="M53" s="258"/>
      <c r="U53" t="s">
        <v>1038</v>
      </c>
      <c r="W53"/>
      <c r="X53"/>
      <c r="AA53" s="176" t="str">
        <f>IFERROR(IF(INDEX(Data_Omakoodi!H:H,MATCH($AK$3&amp;$AL53,Data_Omakoodi!A:A,0))="P","",$AK$3&amp;$AL53),$AK$3&amp;$AL53)</f>
        <v>ComboBox_EtKuntakoodi_00000046</v>
      </c>
      <c r="AB53" s="44" t="str">
        <f>IFERROR(INDEX(Data_Omakoodi!E:E,MATCH(AA53,Data_Omakoodi!A:A,0)),"")</f>
        <v/>
      </c>
      <c r="AC53" t="str">
        <f>IFERROR(IF(INDEX(Data_Omakoodi!H:H,MATCH($AH$3&amp;$AL53,Data_Omakoodi!A:A,0))="P","",$AH$3&amp;$AL53),$AH$3&amp;$AL53)</f>
        <v>ComboBox_TyHlo_yksikko_00000046</v>
      </c>
      <c r="AD53" s="44" t="str">
        <f>IFERROR(INDEX(Data_Omakoodi!E:E,MATCH(AC53,Data_Omakoodi!A:A,0)),"")</f>
        <v/>
      </c>
      <c r="AE53" t="str">
        <f>IFERROR(IF(INDEX(Data_Omakoodi!H:H,MATCH($AH$3&amp;$AL53,Data_Omakoodi!A:A,0))="P","",$AH$3&amp;$AL53),$AH$3&amp;$AL53)</f>
        <v>ComboBox_TyHlo_yksikko_00000046</v>
      </c>
      <c r="AF53" t="s">
        <v>1636</v>
      </c>
      <c r="AG53" s="739" t="str">
        <f t="shared" si="0"/>
        <v/>
      </c>
      <c r="AH53" s="739" t="str">
        <f t="shared" si="1"/>
        <v/>
      </c>
      <c r="AJ53" s="739" t="str">
        <f t="shared" si="2"/>
        <v/>
      </c>
      <c r="AK53" s="739" t="str">
        <f t="shared" si="3"/>
        <v/>
      </c>
      <c r="AL53">
        <v>46</v>
      </c>
    </row>
    <row r="54" spans="1:38" x14ac:dyDescent="0.25">
      <c r="A54" s="924"/>
      <c r="B54" s="926"/>
      <c r="C54" s="882" t="s">
        <v>114</v>
      </c>
      <c r="D54" s="850"/>
      <c r="E54" s="967" t="s">
        <v>114</v>
      </c>
      <c r="F54" s="968"/>
      <c r="G54" s="967" t="s">
        <v>114</v>
      </c>
      <c r="H54" s="968"/>
      <c r="I54" s="964"/>
      <c r="J54" s="965"/>
      <c r="K54" s="965"/>
      <c r="L54" s="965"/>
      <c r="M54" s="966"/>
      <c r="W54"/>
      <c r="X54" s="499" t="s">
        <v>1089</v>
      </c>
      <c r="AA54" s="176" t="str">
        <f>IFERROR(IF(INDEX(Data_Omakoodi!H:H,MATCH($AK$3&amp;$AL54,Data_Omakoodi!A:A,0))="P","",$AK$3&amp;$AL54),$AK$3&amp;$AL54)</f>
        <v>ComboBox_EtKuntakoodi_00000047</v>
      </c>
      <c r="AB54" s="44" t="str">
        <f>IFERROR(INDEX(Data_Omakoodi!E:E,MATCH(AA54,Data_Omakoodi!A:A,0)),"")</f>
        <v/>
      </c>
      <c r="AC54" t="str">
        <f>IFERROR(IF(INDEX(Data_Omakoodi!H:H,MATCH($AH$3&amp;$AL54,Data_Omakoodi!A:A,0))="P","",$AH$3&amp;$AL54),$AH$3&amp;$AL54)</f>
        <v>ComboBox_TyHlo_yksikko_00000047</v>
      </c>
      <c r="AD54" s="44" t="str">
        <f>IFERROR(INDEX(Data_Omakoodi!E:E,MATCH(AC54,Data_Omakoodi!A:A,0)),"")</f>
        <v/>
      </c>
      <c r="AE54" t="str">
        <f>IFERROR(IF(INDEX(Data_Omakoodi!H:H,MATCH($AH$3&amp;$AL54,Data_Omakoodi!A:A,0))="P","",$AH$3&amp;$AL54),$AH$3&amp;$AL54)</f>
        <v>ComboBox_TyHlo_yksikko_00000047</v>
      </c>
      <c r="AF54" t="s">
        <v>1637</v>
      </c>
      <c r="AG54" s="739" t="str">
        <f t="shared" si="0"/>
        <v/>
      </c>
      <c r="AH54" s="739" t="str">
        <f t="shared" si="1"/>
        <v/>
      </c>
      <c r="AJ54" s="739" t="str">
        <f t="shared" si="2"/>
        <v/>
      </c>
      <c r="AK54" s="739" t="str">
        <f t="shared" si="3"/>
        <v/>
      </c>
      <c r="AL54">
        <v>47</v>
      </c>
    </row>
    <row r="55" spans="1:38" ht="15" customHeight="1" x14ac:dyDescent="0.25">
      <c r="A55" s="837"/>
      <c r="B55" s="839"/>
      <c r="C55" s="497" t="s">
        <v>106</v>
      </c>
      <c r="D55" s="496" t="s">
        <v>176</v>
      </c>
      <c r="E55" s="495" t="s">
        <v>106</v>
      </c>
      <c r="F55" s="506" t="s">
        <v>176</v>
      </c>
      <c r="G55" s="495" t="s">
        <v>1464</v>
      </c>
      <c r="H55" s="506" t="s">
        <v>176</v>
      </c>
      <c r="I55" s="230"/>
      <c r="J55" s="231"/>
      <c r="K55" s="231"/>
      <c r="L55" s="231"/>
      <c r="M55" s="260"/>
      <c r="U55" s="3" t="s">
        <v>1015</v>
      </c>
      <c r="V55" s="3" t="s">
        <v>1015</v>
      </c>
      <c r="W55" s="3" t="s">
        <v>1017</v>
      </c>
      <c r="X55" s="3" t="s">
        <v>1017</v>
      </c>
      <c r="AA55" s="176" t="str">
        <f>IFERROR(IF(INDEX(Data_Omakoodi!H:H,MATCH($AK$3&amp;$AL55,Data_Omakoodi!A:A,0))="P","",$AK$3&amp;$AL55),$AK$3&amp;$AL55)</f>
        <v>ComboBox_EtKuntakoodi_00000048</v>
      </c>
      <c r="AB55" s="44" t="str">
        <f>IFERROR(INDEX(Data_Omakoodi!E:E,MATCH(AA55,Data_Omakoodi!A:A,0)),"")</f>
        <v/>
      </c>
      <c r="AC55" t="str">
        <f>IFERROR(IF(INDEX(Data_Omakoodi!H:H,MATCH($AH$3&amp;$AL55,Data_Omakoodi!A:A,0))="P","",$AH$3&amp;$AL55),$AH$3&amp;$AL55)</f>
        <v>ComboBox_TyHlo_yksikko_00000048</v>
      </c>
      <c r="AD55" s="44" t="str">
        <f>IFERROR(INDEX(Data_Omakoodi!E:E,MATCH(AC55,Data_Omakoodi!A:A,0)),"")</f>
        <v/>
      </c>
      <c r="AE55" t="str">
        <f>IFERROR(IF(INDEX(Data_Omakoodi!H:H,MATCH($AH$3&amp;$AL55,Data_Omakoodi!A:A,0))="P","",$AH$3&amp;$AL55),$AH$3&amp;$AL55)</f>
        <v>ComboBox_TyHlo_yksikko_00000048</v>
      </c>
      <c r="AF55" t="s">
        <v>1638</v>
      </c>
      <c r="AG55" s="739" t="str">
        <f t="shared" si="0"/>
        <v/>
      </c>
      <c r="AH55" s="739" t="str">
        <f t="shared" si="1"/>
        <v/>
      </c>
      <c r="AJ55" s="739" t="str">
        <f t="shared" si="2"/>
        <v/>
      </c>
      <c r="AK55" s="739" t="str">
        <f t="shared" si="3"/>
        <v/>
      </c>
      <c r="AL55">
        <v>48</v>
      </c>
    </row>
    <row r="56" spans="1:38" ht="15" customHeight="1" x14ac:dyDescent="0.25">
      <c r="A56" s="955" t="s">
        <v>1004</v>
      </c>
      <c r="B56" s="956"/>
      <c r="C56" s="148">
        <f>COUNTIFS(TA!$AD:$AD,"ok",TA!$F:$F,Tavoitteet!U55,TA!W:W,Tavoitteet!$X$8,TA!$AH:$AH,"OK",TA!$AI:$AI,Tavoitteet!$Y$5,TA!AG:AG,Tavoitteet!$W$7,TA!$AF:$AF,Tavoitteet!$Y$6,TA!$AE:$AE,Tavoitteet!$X$5,TA!E:E,"-1",TA!$AJ:$AJ,Tavoitteet!$V$2)</f>
        <v>0</v>
      </c>
      <c r="D56" s="341" t="str">
        <f>IFERROR(C56/$X$56,"-")</f>
        <v>-</v>
      </c>
      <c r="E56" s="507">
        <f>COUNTIFS(TA!$AD:$AD,"ok",TA!$F:$F,Tavoitteet!W55,TA!W:W,Tavoitteet!$X$8,TA!$AH:$AH,"OK",TA!$AI:$AI,Tavoitteet!$Y$5,TA!AG:AG,Tavoitteet!$W$7,TA!$AF:$AF,Tavoitteet!$Y$6,TA!$AE:$AE,Tavoitteet!$X$5,TA!E:E,"-1",TA!$AJ:$AJ,Tavoitteet!$V$2)</f>
        <v>0</v>
      </c>
      <c r="F56" s="341" t="str">
        <f>IFERROR(E56/$X$56,"-")</f>
        <v>-</v>
      </c>
      <c r="G56" s="680">
        <f>C56+E56</f>
        <v>0</v>
      </c>
      <c r="H56" s="679" t="str">
        <f t="shared" ref="H56:H65" si="11">IFERROR(G56/$X$56,"-")</f>
        <v>-</v>
      </c>
      <c r="I56" s="230"/>
      <c r="J56" s="231"/>
      <c r="K56" s="231"/>
      <c r="L56" s="231"/>
      <c r="M56" s="260"/>
      <c r="W56"/>
      <c r="X56" s="511">
        <f>COUNTIFS(TA!AD:AD,"ok",TA!E:E,"-1",TA!W:W,Tavoitteet!$X$8,TA!$AH:$AH,"OK",TA!$AI:$AI,Tavoitteet!$Y$5,TA!AG:AG,Tavoitteet!$W$7,TA!$AF:$AF,Tavoitteet!$Y$6,TA!$AE:$AE,Tavoitteet!$X$5)</f>
        <v>0</v>
      </c>
    </row>
    <row r="57" spans="1:38" x14ac:dyDescent="0.25">
      <c r="A57" s="955" t="s">
        <v>1005</v>
      </c>
      <c r="B57" s="956"/>
      <c r="C57" s="148">
        <f>COUNTIFS(TA!$AD:$AD,"ok",TA!$H:$H,Tavoitteet!U55,TA!E:E,"-1",TA!W:W,Tavoitteet!$X$8,TA!$AH:$AH,"OK",TA!$AI:$AI,Tavoitteet!$Y$5,TA!AG:AG,Tavoitteet!$W$7,TA!$AF:$AF,Tavoitteet!$Y$6,TA!$AE:$AE,Tavoitteet!$X$5,TA!E:E,"-1",TA!$AJ:$AJ,Tavoitteet!$V$2)</f>
        <v>0</v>
      </c>
      <c r="D57" s="341" t="str">
        <f t="shared" ref="D57:D64" si="12">IFERROR(C57/$X$56,"-")</f>
        <v>-</v>
      </c>
      <c r="E57" s="507">
        <f>COUNTIFS(TA!$AD:$AD,"ok",TA!$H:$H,Tavoitteet!W55,TA!E:E,"-1",TA!W:W,Tavoitteet!$X$8,TA!$AH:$AH,"OK",TA!$AI:$AI,Tavoitteet!$Y$5,TA!AG:AG,Tavoitteet!$W$7,TA!$AF:$AF,Tavoitteet!$Y$6,TA!$AE:$AE,Tavoitteet!$X$5,TA!E:E,"-1",TA!$AJ:$AJ,Tavoitteet!$V$2)</f>
        <v>0</v>
      </c>
      <c r="F57" s="341" t="str">
        <f t="shared" ref="F57:F65" si="13">IFERROR(E57/$X$56,"-")</f>
        <v>-</v>
      </c>
      <c r="G57" s="680">
        <f t="shared" ref="G57:G65" si="14">C57+E57</f>
        <v>0</v>
      </c>
      <c r="H57" s="679" t="str">
        <f t="shared" si="11"/>
        <v>-</v>
      </c>
      <c r="I57" s="230"/>
      <c r="J57" s="231"/>
      <c r="K57" s="231"/>
      <c r="L57" s="231"/>
      <c r="M57" s="260"/>
      <c r="W57"/>
      <c r="X57"/>
    </row>
    <row r="58" spans="1:38" x14ac:dyDescent="0.25">
      <c r="A58" s="955" t="s">
        <v>1006</v>
      </c>
      <c r="B58" s="956"/>
      <c r="C58" s="148">
        <f>COUNTIFS(TA!$AD:$AD,"ok",TA!$J:$J,Tavoitteet!U55,TA!E:E,"-1",TA!W:W,Tavoitteet!$X$8,TA!$AH:$AH,"OK",TA!$AI:$AI,Tavoitteet!$Y$5,TA!AG:AG,Tavoitteet!$W$7,TA!$AF:$AF,Tavoitteet!$Y$6,TA!$AE:$AE,Tavoitteet!$X$5,TA!E:E,"-1",TA!$AJ:$AJ,Tavoitteet!$V$2)</f>
        <v>0</v>
      </c>
      <c r="D58" s="341" t="str">
        <f t="shared" si="12"/>
        <v>-</v>
      </c>
      <c r="E58" s="507">
        <f>COUNTIFS(TA!$AD:$AD,"ok",TA!$J:$J,Tavoitteet!W55,TA!E:E,"-1",TA!W:W,Tavoitteet!$X$8,TA!$AH:$AH,"OK",TA!$AI:$AI,Tavoitteet!$Y$5,TA!AG:AG,Tavoitteet!$W$7,TA!$AF:$AF,Tavoitteet!$Y$6,TA!$AE:$AE,Tavoitteet!$X$5,TA!E:E,"-1",TA!$AJ:$AJ,Tavoitteet!$V$2)</f>
        <v>0</v>
      </c>
      <c r="F58" s="341" t="str">
        <f t="shared" si="13"/>
        <v>-</v>
      </c>
      <c r="G58" s="680">
        <f t="shared" si="14"/>
        <v>0</v>
      </c>
      <c r="H58" s="679" t="str">
        <f t="shared" si="11"/>
        <v>-</v>
      </c>
      <c r="I58" s="230"/>
      <c r="J58" s="231"/>
      <c r="K58" s="231"/>
      <c r="L58" s="231"/>
      <c r="M58" s="260"/>
      <c r="W58"/>
      <c r="X58"/>
    </row>
    <row r="59" spans="1:38" x14ac:dyDescent="0.25">
      <c r="A59" s="955" t="s">
        <v>1007</v>
      </c>
      <c r="B59" s="956"/>
      <c r="C59" s="148">
        <f>COUNTIFS(TA!$AD:$AD,"ok",TA!$L:$L,Tavoitteet!U55,TA!E:E,"-1",TA!W:W,Tavoitteet!$X$8,TA!$AH:$AH,"OK",TA!$AI:$AI,Tavoitteet!$Y$5,TA!AG:AG,Tavoitteet!$W$7,TA!$AF:$AF,Tavoitteet!$Y$6,TA!$AE:$AE,Tavoitteet!$X$5,TA!E:E,"-1",TA!$AJ:$AJ,Tavoitteet!$V$2)</f>
        <v>0</v>
      </c>
      <c r="D59" s="341" t="str">
        <f t="shared" si="12"/>
        <v>-</v>
      </c>
      <c r="E59" s="507">
        <f>COUNTIFS(TA!$AD:$AD,"ok",TA!$L:$L,Tavoitteet!W55,TA!E:E,"-1",TA!W:W,Tavoitteet!$X$8,TA!$AH:$AH,"OK",TA!$AI:$AI,Tavoitteet!$Y$5,TA!AG:AG,Tavoitteet!$W$7,TA!$AF:$AF,Tavoitteet!$Y$6,TA!$AE:$AE,Tavoitteet!$X$5,TA!E:E,"-1",TA!$AJ:$AJ,Tavoitteet!$V$2)</f>
        <v>0</v>
      </c>
      <c r="F59" s="341" t="str">
        <f t="shared" si="13"/>
        <v>-</v>
      </c>
      <c r="G59" s="680">
        <f t="shared" si="14"/>
        <v>0</v>
      </c>
      <c r="H59" s="679" t="str">
        <f t="shared" si="11"/>
        <v>-</v>
      </c>
      <c r="I59" s="230"/>
      <c r="J59" s="231"/>
      <c r="K59" s="231"/>
      <c r="L59" s="231"/>
      <c r="M59" s="260"/>
      <c r="W59"/>
      <c r="X59"/>
    </row>
    <row r="60" spans="1:38" x14ac:dyDescent="0.25">
      <c r="A60" s="955" t="s">
        <v>1008</v>
      </c>
      <c r="B60" s="956"/>
      <c r="C60" s="148">
        <f>COUNTIFS(TA!$AD:$AD,"ok",TA!$N:$N,Tavoitteet!U55,TA!E:E,"-1",TA!W:W,Tavoitteet!$X$8,TA!$AH:$AH,"OK",TA!$AI:$AI,Tavoitteet!$Y$5,TA!AG:AG,Tavoitteet!$W$7,TA!$AF:$AF,Tavoitteet!$Y$6,TA!$AE:$AE,Tavoitteet!$X$5,TA!E:E,"-1",TA!$AJ:$AJ,Tavoitteet!$V$2)</f>
        <v>0</v>
      </c>
      <c r="D60" s="341" t="str">
        <f t="shared" si="12"/>
        <v>-</v>
      </c>
      <c r="E60" s="507">
        <f>COUNTIFS(TA!$AD:$AD,"ok",TA!$N:$N,Tavoitteet!W55,TA!E:E,"-1",TA!W:W,Tavoitteet!$X$8,TA!$AH:$AH,"OK",TA!$AI:$AI,Tavoitteet!$Y$5,TA!AG:AG,Tavoitteet!$W$7,TA!$AF:$AF,Tavoitteet!$Y$6,TA!$AE:$AE,Tavoitteet!$X$5,TA!E:E,"-1",TA!$AJ:$AJ,Tavoitteet!$V$2)</f>
        <v>0</v>
      </c>
      <c r="F60" s="341" t="str">
        <f t="shared" si="13"/>
        <v>-</v>
      </c>
      <c r="G60" s="680">
        <f t="shared" si="14"/>
        <v>0</v>
      </c>
      <c r="H60" s="679" t="str">
        <f t="shared" si="11"/>
        <v>-</v>
      </c>
      <c r="I60" s="230"/>
      <c r="J60" s="231"/>
      <c r="K60" s="231"/>
      <c r="L60" s="231"/>
      <c r="M60" s="260"/>
      <c r="W60"/>
      <c r="X60"/>
    </row>
    <row r="61" spans="1:38" x14ac:dyDescent="0.25">
      <c r="A61" s="953" t="s">
        <v>1504</v>
      </c>
      <c r="B61" s="954"/>
      <c r="C61" s="148">
        <f>COUNTIFS(TA!$AD:$AD,"ok",TA!$P:$P,Tavoitteet!U55,TA!E:E,"-1",TA!W:W,Tavoitteet!$X$8,TA!$AH:$AH,"OK",TA!$AI:$AI,Tavoitteet!$Y$5,TA!AG:AG,Tavoitteet!$W$7,TA!$AF:$AF,Tavoitteet!$Y$6,TA!$AE:$AE,Tavoitteet!$X$5,TA!E:E,"-1",TA!$AJ:$AJ,Tavoitteet!$V$2)</f>
        <v>0</v>
      </c>
      <c r="D61" s="341" t="str">
        <f t="shared" si="12"/>
        <v>-</v>
      </c>
      <c r="E61" s="507">
        <f>COUNTIFS(TA!$AD:$AD,"ok",TA!$P:$P,Tavoitteet!W55,TA!E:E,"-1",TA!W:W,Tavoitteet!$X$8,TA!$AH:$AH,"OK",TA!$AI:$AI,Tavoitteet!$Y$5,TA!AG:AG,Tavoitteet!$W$7,TA!$AF:$AF,Tavoitteet!$Y$6,TA!$AE:$AE,Tavoitteet!$X$5,TA!E:E,"-1",TA!$AJ:$AJ,Tavoitteet!$V$2)</f>
        <v>0</v>
      </c>
      <c r="F61" s="341" t="str">
        <f t="shared" si="13"/>
        <v>-</v>
      </c>
      <c r="G61" s="680">
        <f t="shared" si="14"/>
        <v>0</v>
      </c>
      <c r="H61" s="679" t="str">
        <f t="shared" si="11"/>
        <v>-</v>
      </c>
      <c r="I61" s="230"/>
      <c r="J61" s="231"/>
      <c r="K61" s="231"/>
      <c r="L61" s="231"/>
      <c r="M61" s="260"/>
      <c r="W61"/>
      <c r="X61"/>
    </row>
    <row r="62" spans="1:38" x14ac:dyDescent="0.25">
      <c r="A62" s="955" t="s">
        <v>1009</v>
      </c>
      <c r="B62" s="956"/>
      <c r="C62" s="148">
        <f>COUNTIFS(TA!$AD:$AD,"ok",TA!$R:$R,Tavoitteet!U55,TA!E:E,"-1",TA!W:W,Tavoitteet!$X$8,TA!$AH:$AH,"OK",TA!$AI:$AI,Tavoitteet!$Y$5,TA!AG:AG,Tavoitteet!$W$7,TA!$AF:$AF,Tavoitteet!$Y$6,TA!$AE:$AE,Tavoitteet!$X$5,TA!E:E,"-1",TA!$AJ:$AJ,Tavoitteet!$V$2)</f>
        <v>0</v>
      </c>
      <c r="D62" s="341" t="str">
        <f t="shared" si="12"/>
        <v>-</v>
      </c>
      <c r="E62" s="507">
        <f>COUNTIFS(TA!$AD:$AD,"ok",TA!$R:$R,Tavoitteet!W55,TA!E:E,"-1",TA!W:W,Tavoitteet!$X$8,TA!$AH:$AH,"OK",TA!$AI:$AI,Tavoitteet!$Y$5,TA!AG:AG,Tavoitteet!$W$7,TA!$AF:$AF,Tavoitteet!$Y$6,TA!$AE:$AE,Tavoitteet!$X$5,TA!E:E,"-1",TA!$AJ:$AJ,Tavoitteet!$V$2)</f>
        <v>0</v>
      </c>
      <c r="F62" s="341" t="str">
        <f t="shared" si="13"/>
        <v>-</v>
      </c>
      <c r="G62" s="680">
        <f t="shared" si="14"/>
        <v>0</v>
      </c>
      <c r="H62" s="679" t="str">
        <f t="shared" si="11"/>
        <v>-</v>
      </c>
      <c r="I62" s="230"/>
      <c r="J62" s="231"/>
      <c r="K62" s="231"/>
      <c r="L62" s="231"/>
      <c r="M62" s="260"/>
      <c r="W62"/>
      <c r="X62"/>
    </row>
    <row r="63" spans="1:38" x14ac:dyDescent="0.25">
      <c r="A63" s="955" t="s">
        <v>1010</v>
      </c>
      <c r="B63" s="956"/>
      <c r="C63" s="148">
        <f>COUNTIFS(TA!$AD:$AD,"ok",TA!$S:$S,Tavoitteet!U55,TA!E:E,"-1",TA!W:W,Tavoitteet!$X$8,TA!$AH:$AH,"OK",TA!$AI:$AI,Tavoitteet!$Y$5,TA!AG:AG,Tavoitteet!$W$7,TA!$AF:$AF,Tavoitteet!$Y$6,TA!$AE:$AE,Tavoitteet!$X$5,TA!E:E,"-1",TA!$AJ:$AJ,Tavoitteet!$V$2)</f>
        <v>0</v>
      </c>
      <c r="D63" s="341" t="str">
        <f t="shared" si="12"/>
        <v>-</v>
      </c>
      <c r="E63" s="507">
        <f>COUNTIFS(TA!$AD:$AD,"ok",TA!$S:$S,Tavoitteet!W55,TA!E:E,"-1",TA!W:W,Tavoitteet!$X$8,TA!$AH:$AH,"OK",TA!$AI:$AI,Tavoitteet!$Y$5,TA!AG:AG,Tavoitteet!$W$7,TA!$AF:$AF,Tavoitteet!$Y$6,TA!$AE:$AE,Tavoitteet!$X$5,TA!E:E,"-1",TA!$AJ:$AJ,Tavoitteet!$V$2)</f>
        <v>0</v>
      </c>
      <c r="F63" s="341" t="str">
        <f t="shared" si="13"/>
        <v>-</v>
      </c>
      <c r="G63" s="680">
        <f t="shared" si="14"/>
        <v>0</v>
      </c>
      <c r="H63" s="679" t="str">
        <f t="shared" si="11"/>
        <v>-</v>
      </c>
      <c r="I63" s="230"/>
      <c r="J63" s="231"/>
      <c r="K63" s="231"/>
      <c r="L63" s="231"/>
      <c r="M63" s="260"/>
      <c r="W63"/>
      <c r="X63"/>
    </row>
    <row r="64" spans="1:38" x14ac:dyDescent="0.25">
      <c r="A64" s="955" t="s">
        <v>1011</v>
      </c>
      <c r="B64" s="956"/>
      <c r="C64" s="148">
        <f>COUNTIFS(TA!$AD:$AD,"ok",TA!$T:$T,Tavoitteet!U55,TA!E:E,"-1",TA!W:W,Tavoitteet!$X$8,TA!$AH:$AH,"OK",TA!$AI:$AI,Tavoitteet!$Y$5,TA!AG:AG,Tavoitteet!$W$7,TA!$AF:$AF,Tavoitteet!$Y$6,TA!$AE:$AE,Tavoitteet!$X$5,TA!E:E,"-1",TA!$AJ:$AJ,Tavoitteet!$V$2)</f>
        <v>0</v>
      </c>
      <c r="D64" s="341" t="str">
        <f t="shared" si="12"/>
        <v>-</v>
      </c>
      <c r="E64" s="507">
        <f>COUNTIFS(TA!$AD:$AD,"ok",TA!$T:$T,Tavoitteet!W55,TA!E:E,"-1",TA!W:W,Tavoitteet!$X$8,TA!$AH:$AH,"OK",TA!$AI:$AI,Tavoitteet!$Y$5,TA!AG:AG,Tavoitteet!$W$7,TA!$AF:$AF,Tavoitteet!$Y$6,TA!$AE:$AE,Tavoitteet!$X$5,TA!E:E,"-1",TA!$AJ:$AJ,Tavoitteet!$V$2)</f>
        <v>0</v>
      </c>
      <c r="F64" s="341" t="str">
        <f t="shared" si="13"/>
        <v>-</v>
      </c>
      <c r="G64" s="680">
        <f t="shared" si="14"/>
        <v>0</v>
      </c>
      <c r="H64" s="679" t="str">
        <f t="shared" si="11"/>
        <v>-</v>
      </c>
      <c r="I64" s="230"/>
      <c r="J64" s="231"/>
      <c r="K64" s="231"/>
      <c r="L64" s="231"/>
      <c r="M64" s="260"/>
      <c r="W64"/>
      <c r="X64"/>
    </row>
    <row r="65" spans="1:11" x14ac:dyDescent="0.25">
      <c r="A65" s="955" t="s">
        <v>1012</v>
      </c>
      <c r="B65" s="956"/>
      <c r="C65" s="148">
        <f>COUNTIFS(TA!$AD:$AD,"ok",TA!$U:$U,Tavoitteet!U55,TA!E:E,"-1",TA!W:W,Tavoitteet!$X$8,TA!$AH:$AH,"OK",TA!$AI:$AI,Tavoitteet!$Y$5,TA!AG:AG,Tavoitteet!$W$7,TA!$AF:$AF,Tavoitteet!$Y$6,TA!$AE:$AE,Tavoitteet!$X$5,TA!E:E,"-1",TA!$AJ:$AJ,Tavoitteet!$V$2)</f>
        <v>0</v>
      </c>
      <c r="D65" s="341" t="str">
        <f>IFERROR(C65/$X$56,"-")</f>
        <v>-</v>
      </c>
      <c r="E65" s="508">
        <f>COUNTIFS(TA!$AD:$AD,"ok",TA!$U:$U,Tavoitteet!W55,TA!E:E,"-1",TA!W:W,Tavoitteet!$X$8,TA!$AH:$AH,"OK",TA!$AI:$AI,Tavoitteet!$Y$5,TA!AG:AG,Tavoitteet!$W$7,TA!$AF:$AF,Tavoitteet!$Y$6,TA!$AE:$AE,Tavoitteet!$X$5,TA!E:E,"-1",TA!$AJ:$AJ,Tavoitteet!$V$2)</f>
        <v>0</v>
      </c>
      <c r="F65" s="341" t="str">
        <f t="shared" si="13"/>
        <v>-</v>
      </c>
      <c r="G65" s="680">
        <f t="shared" si="14"/>
        <v>0</v>
      </c>
      <c r="H65" s="679" t="str">
        <f t="shared" si="11"/>
        <v>-</v>
      </c>
      <c r="I65" s="230"/>
      <c r="J65" s="231"/>
      <c r="K65" s="231"/>
    </row>
    <row r="66" spans="1:11" x14ac:dyDescent="0.25">
      <c r="A66" s="971" t="s">
        <v>1596</v>
      </c>
      <c r="B66" s="972"/>
      <c r="C66" s="754">
        <f>AVERAGE(C56:C65)</f>
        <v>0</v>
      </c>
      <c r="D66" s="755" t="e">
        <f>AVERAGE(D56:D65)</f>
        <v>#DIV/0!</v>
      </c>
      <c r="E66" s="757">
        <f>AVERAGE(E56:E65)</f>
        <v>0</v>
      </c>
      <c r="F66" s="758" t="e">
        <f>AVERAGE(F56:F65)</f>
        <v>#DIV/0!</v>
      </c>
      <c r="G66" s="759">
        <f t="shared" ref="G66" si="15">AVERAGE(G56:G65)</f>
        <v>0</v>
      </c>
      <c r="H66" s="760" t="e">
        <f>AVERAGE(H56:H65)</f>
        <v>#DIV/0!</v>
      </c>
    </row>
    <row r="67" spans="1:11" x14ac:dyDescent="0.25">
      <c r="A67" s="971" t="s">
        <v>1595</v>
      </c>
      <c r="B67" s="972"/>
      <c r="C67" s="754">
        <f>SUM(C56:C65)</f>
        <v>0</v>
      </c>
      <c r="E67" s="757">
        <f>SUM(E56:E65)</f>
        <v>0</v>
      </c>
      <c r="G67" s="759">
        <f t="shared" ref="G67" si="16">SUM(G56:G65)</f>
        <v>0</v>
      </c>
    </row>
    <row r="68" spans="1:11" x14ac:dyDescent="0.25">
      <c r="A68" s="509" t="s">
        <v>1036</v>
      </c>
    </row>
    <row r="69" spans="1:11" x14ac:dyDescent="0.25">
      <c r="A69" s="509" t="s">
        <v>1037</v>
      </c>
    </row>
  </sheetData>
  <sheetProtection sheet="1"/>
  <mergeCells count="64">
    <mergeCell ref="A66:B66"/>
    <mergeCell ref="A67:B67"/>
    <mergeCell ref="G53:H53"/>
    <mergeCell ref="G54:H54"/>
    <mergeCell ref="A32:B32"/>
    <mergeCell ref="A57:B57"/>
    <mergeCell ref="A58:B58"/>
    <mergeCell ref="A65:B65"/>
    <mergeCell ref="A56:B56"/>
    <mergeCell ref="A59:B59"/>
    <mergeCell ref="A60:B60"/>
    <mergeCell ref="A61:B61"/>
    <mergeCell ref="A62:B62"/>
    <mergeCell ref="A63:B63"/>
    <mergeCell ref="A64:B64"/>
    <mergeCell ref="G35:H35"/>
    <mergeCell ref="A31:B31"/>
    <mergeCell ref="A48:B48"/>
    <mergeCell ref="A49:B49"/>
    <mergeCell ref="E53:F53"/>
    <mergeCell ref="C54:D54"/>
    <mergeCell ref="E54:F54"/>
    <mergeCell ref="A53:B55"/>
    <mergeCell ref="C53:D53"/>
    <mergeCell ref="A47:B47"/>
    <mergeCell ref="A52:K52"/>
    <mergeCell ref="C35:D35"/>
    <mergeCell ref="E35:F35"/>
    <mergeCell ref="A42:B42"/>
    <mergeCell ref="A43:B43"/>
    <mergeCell ref="A44:B44"/>
    <mergeCell ref="G36:H36"/>
    <mergeCell ref="A18:K18"/>
    <mergeCell ref="G19:K20"/>
    <mergeCell ref="I54:M54"/>
    <mergeCell ref="E36:F36"/>
    <mergeCell ref="A35:B37"/>
    <mergeCell ref="C19:D19"/>
    <mergeCell ref="A19:B20"/>
    <mergeCell ref="A30:B30"/>
    <mergeCell ref="A34:K34"/>
    <mergeCell ref="A38:B38"/>
    <mergeCell ref="A39:B39"/>
    <mergeCell ref="A40:B40"/>
    <mergeCell ref="A41:B41"/>
    <mergeCell ref="C36:D36"/>
    <mergeCell ref="A45:B45"/>
    <mergeCell ref="A46:B46"/>
    <mergeCell ref="A27:B27"/>
    <mergeCell ref="A28:B28"/>
    <mergeCell ref="A29:B29"/>
    <mergeCell ref="A21:B21"/>
    <mergeCell ref="A22:B22"/>
    <mergeCell ref="A23:B23"/>
    <mergeCell ref="A24:B24"/>
    <mergeCell ref="A25:B25"/>
    <mergeCell ref="A26:B26"/>
    <mergeCell ref="B12:C12"/>
    <mergeCell ref="B13:C13"/>
    <mergeCell ref="B8:E8"/>
    <mergeCell ref="D9:E9"/>
    <mergeCell ref="F9:G9"/>
    <mergeCell ref="B9:C10"/>
    <mergeCell ref="B11:C11"/>
  </mergeCells>
  <dataValidations count="2">
    <dataValidation type="list" allowBlank="1" showInputMessage="1" showErrorMessage="1" sqref="A6" xr:uid="{16340EF7-D15E-4D47-A03B-7D4377A4756A}">
      <formula1>$Y$1:$Y$3</formula1>
    </dataValidation>
    <dataValidation type="date" allowBlank="1" showInputMessage="1" showErrorMessage="1" error="Kirjoita päivämäärä muodossa _x000a_pp.kk.vvvv_x000a__x000a_Päivämäärän on oltava _x000a_suurempi kuin 01.01.2008 ja _x000a_pienempi kuin 31.12.2020" sqref="A2:A3" xr:uid="{F69E62AD-5CD1-4D8C-9664-2C89FF99FEF0}">
      <formula1>39448</formula1>
      <formula2>44196</formula2>
    </dataValidation>
  </dataValidations>
  <hyperlinks>
    <hyperlink ref="A2" location="Asiakastilastot!A2" display="Asiakastilastot!A2" xr:uid="{54C84141-C29F-4221-B750-947F20F474C1}"/>
    <hyperlink ref="A3" location="Asiakastilastot!A3" display="Asiakastilastot!A3" xr:uid="{82A0F126-8ED9-46E0-B6A6-D98DFFFBD326}"/>
  </hyperlinks>
  <pageMargins left="0.7" right="0.7" top="0.75" bottom="0.83333333333333337" header="0" footer="0"/>
  <pageSetup paperSize="9" orientation="portrait" horizontalDpi="300" r:id="rId1"/>
  <headerFooter>
    <oddFooter>&amp;L 
Etsivä org
Etsivätie 1
01000, E-kunta&amp;C&amp;G&amp;R&amp;P/&amp;N</oddFooter>
  </headerFooter>
  <ignoredErrors>
    <ignoredError sqref="F13 E13" formula="1"/>
  </ignoredErrors>
  <drawing r:id="rId2"/>
  <extLst>
    <ext xmlns:x14="http://schemas.microsoft.com/office/spreadsheetml/2009/9/main" uri="{CCE6A557-97BC-4b89-ADB6-D9C93CAAB3DF}">
      <x14:dataValidations xmlns:xm="http://schemas.microsoft.com/office/excel/2006/main" count="2">
        <x14:dataValidation type="list" showInputMessage="1" showErrorMessage="1" xr:uid="{57467153-031A-4239-9502-A12E6FC2FFCE}">
          <x14:formula1>
            <xm:f>Parkki!$O$53:$O$82</xm:f>
          </x14:formula1>
          <xm:sqref>A5</xm:sqref>
        </x14:dataValidation>
        <x14:dataValidation type="list" allowBlank="1" showInputMessage="1" showErrorMessage="1" xr:uid="{8D867826-AA41-4CFB-8BF4-C781051DF373}">
          <x14:formula1>
            <xm:f>Parkki!$O$19:$O$48</xm:f>
          </x14:formula1>
          <xm:sqref>A7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82BC6F1322BD44EADAC5659F05CDD06" ma:contentTypeVersion="10" ma:contentTypeDescription="Create a new document." ma:contentTypeScope="" ma:versionID="ff01654791ef779687a173a3b17a043b">
  <xsd:schema xmlns:xsd="http://www.w3.org/2001/XMLSchema" xmlns:xs="http://www.w3.org/2001/XMLSchema" xmlns:p="http://schemas.microsoft.com/office/2006/metadata/properties" xmlns:ns3="98f1da45-6ef8-4033-ad2d-7948aa2ba531" xmlns:ns4="f061cf3a-4cae-4a90-9b58-10bb9792e5ef" targetNamespace="http://schemas.microsoft.com/office/2006/metadata/properties" ma:root="true" ma:fieldsID="5a312a7270609975d5b95dcca920735f" ns3:_="" ns4:_="">
    <xsd:import namespace="98f1da45-6ef8-4033-ad2d-7948aa2ba531"/>
    <xsd:import namespace="f061cf3a-4cae-4a90-9b58-10bb9792e5ef"/>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f1da45-6ef8-4033-ad2d-7948aa2ba53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61cf3a-4cae-4a90-9b58-10bb9792e5e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E79438-D3B2-4139-8D99-77B01ADC0BCA}">
  <ds:schemaRefs>
    <ds:schemaRef ds:uri="http://schemas.microsoft.com/sharepoint/v3/contenttype/forms"/>
  </ds:schemaRefs>
</ds:datastoreItem>
</file>

<file path=customXml/itemProps2.xml><?xml version="1.0" encoding="utf-8"?>
<ds:datastoreItem xmlns:ds="http://schemas.openxmlformats.org/officeDocument/2006/customXml" ds:itemID="{4241F777-00C0-4D38-A060-EB814501C8F0}">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f061cf3a-4cae-4a90-9b58-10bb9792e5ef"/>
    <ds:schemaRef ds:uri="http://www.w3.org/XML/1998/namespace"/>
    <ds:schemaRef ds:uri="98f1da45-6ef8-4033-ad2d-7948aa2ba531"/>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9D4A0916-2B03-4DB7-A405-7F0E1E1DED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f1da45-6ef8-4033-ad2d-7948aa2ba531"/>
    <ds:schemaRef ds:uri="f061cf3a-4cae-4a90-9b58-10bb9792e5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c14dfa4-c0fc-4725-9f04-76a443deb095}" enabled="0" method="" siteId="{7c14dfa4-c0fc-4725-9f04-76a443deb0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Laskentataulukot</vt:lpstr>
      </vt:variant>
      <vt:variant>
        <vt:i4>26</vt:i4>
      </vt:variant>
    </vt:vector>
  </HeadingPairs>
  <TitlesOfParts>
    <vt:vector size="26" baseType="lpstr">
      <vt:lpstr>Parkki</vt:lpstr>
      <vt:lpstr>Henkilöstö</vt:lpstr>
      <vt:lpstr>HTV-laskuri</vt:lpstr>
      <vt:lpstr>Asiakastilastot</vt:lpstr>
      <vt:lpstr>Saapuminen</vt:lpstr>
      <vt:lpstr>Tilanne</vt:lpstr>
      <vt:lpstr>Toimenpiteet</vt:lpstr>
      <vt:lpstr>Päättäminen, tila, kesto</vt:lpstr>
      <vt:lpstr>Tavoitteet</vt:lpstr>
      <vt:lpstr>INFO</vt:lpstr>
      <vt:lpstr>AS</vt:lpstr>
      <vt:lpstr>JA</vt:lpstr>
      <vt:lpstr>TP</vt:lpstr>
      <vt:lpstr>TI</vt:lpstr>
      <vt:lpstr>TA</vt:lpstr>
      <vt:lpstr>Data_Kayttis</vt:lpstr>
      <vt:lpstr>Data_nimet</vt:lpstr>
      <vt:lpstr>Data_Organisaatio</vt:lpstr>
      <vt:lpstr>Data_Asiakasnimi</vt:lpstr>
      <vt:lpstr>Data_Toimenpiteet</vt:lpstr>
      <vt:lpstr>Data_Jaksot</vt:lpstr>
      <vt:lpstr>Data_tavoitteet</vt:lpstr>
      <vt:lpstr>Data_Tilanne</vt:lpstr>
      <vt:lpstr>Data_Omakoodi</vt:lpstr>
      <vt:lpstr>Vakiot</vt:lpstr>
      <vt:lpstr>Data_Muistiot</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Tuulikki Nieminen</dc:creator>
  <cp:lastModifiedBy>Nieminen Tuulikki (AVI)</cp:lastModifiedBy>
  <cp:lastPrinted>2022-03-24T13:59:22Z</cp:lastPrinted>
  <dcterms:created xsi:type="dcterms:W3CDTF">2016-12-20T05:44:33Z</dcterms:created>
  <dcterms:modified xsi:type="dcterms:W3CDTF">2025-09-08T12:52:22Z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0x010100582BC6F1322BD44EADAC5659F05CDD06</vt:lpwstr>
  </property>
</Properties>
</file>